
<file path=[Content_Types].xml><?xml version="1.0" encoding="utf-8"?>
<Types xmlns="http://schemas.openxmlformats.org/package/2006/content-types"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mmabennett/Dropbox/PHD/Chapters/Appendices/Electronic/Appendix-6-Crystal_cargo_database/"/>
    </mc:Choice>
  </mc:AlternateContent>
  <xr:revisionPtr revIDLastSave="0" documentId="13_ncr:1_{21166407-45C6-784D-ADC5-CAE8BAF2E192}" xr6:coauthVersionLast="43" xr6:coauthVersionMax="43" xr10:uidLastSave="{00000000-0000-0000-0000-000000000000}"/>
  <bookViews>
    <workbookView xWindow="11980" yWindow="1140" windowWidth="24300" windowHeight="17200" activeTab="4" xr2:uid="{65B016DF-1623-B54F-ABD2-FBA6922743CF}"/>
  </bookViews>
  <sheets>
    <sheet name="Contents" sheetId="10" r:id="rId1"/>
    <sheet name="Individual Plagioclase" sheetId="11" r:id="rId2"/>
    <sheet name="Mono-mineralic glomerocryst" sheetId="12" r:id="rId3"/>
    <sheet name="Poly-mineralic glomerocryst" sheetId="13" r:id="rId4"/>
    <sheet name="Olivine" sheetId="14" r:id="rId5"/>
    <sheet name="Clinopyroxene " sheetId="15" r:id="rId6"/>
    <sheet name="Classification" sheetId="6" r:id="rId7"/>
  </sheets>
  <externalReferences>
    <externalReference r:id="rId8"/>
  </externalReferences>
  <definedNames>
    <definedName name="_xlnm.Print_Area" localSheetId="6">Classification!$A$1:$W$34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S72" i="15" l="1"/>
  <c r="N72" i="15"/>
  <c r="G72" i="15"/>
  <c r="S71" i="15"/>
  <c r="N71" i="15"/>
  <c r="G71" i="15"/>
  <c r="S70" i="15"/>
  <c r="N70" i="15"/>
  <c r="G70" i="15"/>
  <c r="AQ69" i="15"/>
  <c r="S69" i="15"/>
  <c r="N69" i="15"/>
  <c r="G69" i="15"/>
  <c r="S68" i="15"/>
  <c r="N68" i="15"/>
  <c r="G68" i="15"/>
  <c r="S67" i="15"/>
  <c r="N67" i="15"/>
  <c r="G67" i="15"/>
  <c r="S66" i="15"/>
  <c r="N66" i="15"/>
  <c r="G66" i="15"/>
  <c r="S65" i="15"/>
  <c r="N65" i="15"/>
  <c r="G65" i="15"/>
  <c r="S64" i="15"/>
  <c r="N64" i="15"/>
  <c r="G64" i="15"/>
  <c r="S63" i="15"/>
  <c r="N63" i="15"/>
  <c r="G63" i="15"/>
  <c r="S62" i="15"/>
  <c r="N62" i="15"/>
  <c r="G62" i="15"/>
  <c r="S61" i="15"/>
  <c r="N61" i="15"/>
  <c r="G61" i="15"/>
  <c r="S60" i="15"/>
  <c r="N60" i="15"/>
  <c r="G60" i="15"/>
  <c r="S59" i="15"/>
  <c r="N59" i="15"/>
  <c r="G59" i="15"/>
  <c r="S58" i="15"/>
  <c r="N58" i="15"/>
  <c r="G58" i="15"/>
  <c r="S56" i="15"/>
  <c r="N56" i="15"/>
  <c r="G56" i="15"/>
  <c r="AQ55" i="15"/>
  <c r="S55" i="15"/>
  <c r="N55" i="15"/>
  <c r="G55" i="15"/>
  <c r="S54" i="15"/>
  <c r="N54" i="15"/>
  <c r="G54" i="15"/>
  <c r="S53" i="15"/>
  <c r="N53" i="15"/>
  <c r="G53" i="15"/>
  <c r="S52" i="15"/>
  <c r="N52" i="15"/>
  <c r="G52" i="15"/>
  <c r="S51" i="15"/>
  <c r="N51" i="15"/>
  <c r="G51" i="15"/>
  <c r="S50" i="15"/>
  <c r="N50" i="15"/>
  <c r="G50" i="15"/>
  <c r="S49" i="15"/>
  <c r="N49" i="15"/>
  <c r="G49" i="15"/>
  <c r="S48" i="15"/>
  <c r="N48" i="15"/>
  <c r="G48" i="15"/>
  <c r="S47" i="15"/>
  <c r="N47" i="15"/>
  <c r="G47" i="15"/>
  <c r="S46" i="15"/>
  <c r="N46" i="15"/>
  <c r="G46" i="15"/>
  <c r="S45" i="15"/>
  <c r="N45" i="15"/>
  <c r="G45" i="15"/>
  <c r="S44" i="15"/>
  <c r="N44" i="15"/>
  <c r="G44" i="15"/>
  <c r="S43" i="15"/>
  <c r="N43" i="15"/>
  <c r="G43" i="15"/>
  <c r="S42" i="15"/>
  <c r="N42" i="15"/>
  <c r="G42" i="15"/>
  <c r="S41" i="15"/>
  <c r="N41" i="15"/>
  <c r="G41" i="15"/>
  <c r="S40" i="15"/>
  <c r="N40" i="15"/>
  <c r="G40" i="15"/>
  <c r="S39" i="15"/>
  <c r="N39" i="15"/>
  <c r="G39" i="15"/>
  <c r="S38" i="15"/>
  <c r="N38" i="15"/>
  <c r="G38" i="15"/>
  <c r="S37" i="15"/>
  <c r="N37" i="15"/>
  <c r="G37" i="15"/>
  <c r="S36" i="15"/>
  <c r="N36" i="15"/>
  <c r="G36" i="15"/>
  <c r="S35" i="15"/>
  <c r="N35" i="15"/>
  <c r="G35" i="15"/>
  <c r="AQ34" i="15"/>
  <c r="S34" i="15"/>
  <c r="N34" i="15"/>
  <c r="G34" i="15"/>
  <c r="S33" i="15"/>
  <c r="N33" i="15"/>
  <c r="G33" i="15"/>
  <c r="AQ32" i="15"/>
  <c r="S32" i="15"/>
  <c r="N32" i="15"/>
  <c r="G32" i="15"/>
  <c r="AQ31" i="15"/>
  <c r="S31" i="15"/>
  <c r="N31" i="15"/>
  <c r="G31" i="15"/>
  <c r="S30" i="15"/>
  <c r="N30" i="15"/>
  <c r="G30" i="15"/>
  <c r="S29" i="15"/>
  <c r="N29" i="15"/>
  <c r="G29" i="15"/>
  <c r="AQ28" i="15"/>
  <c r="S28" i="15"/>
  <c r="N28" i="15"/>
  <c r="G28" i="15"/>
  <c r="AQ27" i="15"/>
  <c r="S27" i="15"/>
  <c r="N27" i="15"/>
  <c r="G27" i="15"/>
  <c r="S26" i="15"/>
  <c r="N26" i="15"/>
  <c r="G26" i="15"/>
  <c r="S25" i="15"/>
  <c r="N25" i="15"/>
  <c r="G25" i="15"/>
  <c r="S24" i="15"/>
  <c r="N24" i="15"/>
  <c r="G24" i="15"/>
  <c r="S23" i="15"/>
  <c r="N23" i="15"/>
  <c r="G23" i="15"/>
  <c r="S22" i="15"/>
  <c r="N22" i="15"/>
  <c r="G22" i="15"/>
  <c r="AQ21" i="15"/>
  <c r="S21" i="15"/>
  <c r="N21" i="15"/>
  <c r="G21" i="15"/>
  <c r="S20" i="15"/>
  <c r="N20" i="15"/>
  <c r="G20" i="15"/>
  <c r="AQ19" i="15"/>
  <c r="S19" i="15"/>
  <c r="N19" i="15"/>
  <c r="G19" i="15"/>
  <c r="AQ18" i="15"/>
  <c r="S18" i="15"/>
  <c r="N18" i="15"/>
  <c r="G18" i="15"/>
  <c r="AQ17" i="15"/>
  <c r="S17" i="15"/>
  <c r="N17" i="15"/>
  <c r="G17" i="15"/>
  <c r="S16" i="15"/>
  <c r="N16" i="15"/>
  <c r="G16" i="15"/>
  <c r="S15" i="15"/>
  <c r="N15" i="15"/>
  <c r="G15" i="15"/>
  <c r="S14" i="15"/>
  <c r="N14" i="15"/>
  <c r="S13" i="15"/>
  <c r="N13" i="15"/>
  <c r="G13" i="15"/>
  <c r="AQ12" i="15"/>
  <c r="S12" i="15"/>
  <c r="N12" i="15"/>
  <c r="G12" i="15"/>
  <c r="AQ11" i="15"/>
  <c r="S11" i="15"/>
  <c r="N11" i="15"/>
  <c r="G11" i="15"/>
  <c r="AQ10" i="15"/>
  <c r="S10" i="15"/>
  <c r="N10" i="15"/>
  <c r="G10" i="15"/>
  <c r="AQ9" i="15"/>
  <c r="S9" i="15"/>
  <c r="N9" i="15"/>
  <c r="G9" i="15"/>
  <c r="S8" i="15"/>
  <c r="N8" i="15"/>
  <c r="G8" i="15"/>
  <c r="S7" i="15"/>
  <c r="N7" i="15"/>
  <c r="G7" i="15"/>
  <c r="S6" i="15"/>
  <c r="N6" i="15"/>
  <c r="G6" i="15"/>
  <c r="S5" i="15"/>
  <c r="N5" i="15"/>
  <c r="G5" i="15"/>
  <c r="S4" i="15"/>
  <c r="N4" i="15"/>
  <c r="G4" i="15"/>
  <c r="G2113" i="14" l="1"/>
  <c r="G2112" i="14"/>
  <c r="G2111" i="14"/>
  <c r="G2110" i="14"/>
  <c r="G2109" i="14"/>
  <c r="G2108" i="14"/>
  <c r="G2107" i="14"/>
  <c r="G2106" i="14"/>
  <c r="G2105" i="14"/>
  <c r="G2104" i="14"/>
  <c r="G2103" i="14"/>
  <c r="G2102" i="14"/>
  <c r="G2101" i="14"/>
  <c r="G2100" i="14"/>
  <c r="G2099" i="14"/>
  <c r="G2098" i="14"/>
  <c r="G2097" i="14"/>
  <c r="G2096" i="14"/>
  <c r="G2095" i="14"/>
  <c r="G2094" i="14"/>
  <c r="G2093" i="14"/>
  <c r="G2092" i="14"/>
  <c r="G2091" i="14"/>
  <c r="G2090" i="14"/>
  <c r="G2089" i="14"/>
  <c r="G2088" i="14"/>
  <c r="G2087" i="14"/>
  <c r="G2086" i="14"/>
  <c r="G2085" i="14"/>
  <c r="G2084" i="14"/>
  <c r="G2083" i="14"/>
  <c r="G2082" i="14"/>
  <c r="G2081" i="14"/>
  <c r="G2080" i="14"/>
  <c r="G2079" i="14"/>
  <c r="G2078" i="14"/>
  <c r="G2077" i="14"/>
  <c r="G2076" i="14"/>
  <c r="G2075" i="14"/>
  <c r="G2074" i="14"/>
  <c r="G2073" i="14"/>
  <c r="G2072" i="14"/>
  <c r="G2071" i="14"/>
  <c r="G2070" i="14"/>
  <c r="G2069" i="14"/>
  <c r="G2068" i="14"/>
  <c r="G2067" i="14"/>
  <c r="G2066" i="14"/>
  <c r="G2065" i="14"/>
  <c r="G2064" i="14"/>
  <c r="G2063" i="14"/>
  <c r="G2062" i="14"/>
  <c r="G2061" i="14"/>
  <c r="G2060" i="14"/>
  <c r="G2059" i="14"/>
  <c r="G2058" i="14"/>
  <c r="G2057" i="14"/>
  <c r="G2056" i="14"/>
  <c r="G2055" i="14"/>
  <c r="G2054" i="14"/>
  <c r="G2053" i="14"/>
  <c r="G2052" i="14"/>
  <c r="G2051" i="14"/>
  <c r="G2050" i="14"/>
  <c r="G2049" i="14"/>
  <c r="G2048" i="14"/>
  <c r="G2047" i="14"/>
  <c r="G2046" i="14"/>
  <c r="G2045" i="14"/>
  <c r="G2044" i="14"/>
  <c r="G2043" i="14"/>
  <c r="G2042" i="14"/>
  <c r="G2041" i="14"/>
  <c r="G2040" i="14"/>
  <c r="G2039" i="14"/>
  <c r="G2038" i="14"/>
  <c r="G2036" i="14"/>
  <c r="G2035" i="14"/>
  <c r="G2034" i="14"/>
  <c r="G2033" i="14"/>
  <c r="G2032" i="14"/>
  <c r="G2031" i="14"/>
  <c r="G2030" i="14"/>
  <c r="G2029" i="14"/>
  <c r="G2028" i="14"/>
  <c r="G2027" i="14"/>
  <c r="G2026" i="14"/>
  <c r="G2025" i="14"/>
  <c r="G2024" i="14"/>
  <c r="G2023" i="14"/>
  <c r="G2022" i="14"/>
  <c r="G2021" i="14"/>
  <c r="G2020" i="14"/>
  <c r="G2019" i="14"/>
  <c r="G2018" i="14"/>
  <c r="G2017" i="14"/>
  <c r="G2016" i="14"/>
  <c r="G2015" i="14"/>
  <c r="G2014" i="14"/>
  <c r="G2013" i="14"/>
  <c r="G2012" i="14"/>
  <c r="G2011" i="14"/>
  <c r="G2010" i="14"/>
  <c r="G2009" i="14"/>
  <c r="G2008" i="14"/>
  <c r="G2007" i="14"/>
  <c r="G2006" i="14"/>
  <c r="G2005" i="14"/>
  <c r="G2004" i="14"/>
  <c r="G2003" i="14"/>
  <c r="G2002" i="14"/>
  <c r="G2001" i="14"/>
  <c r="G2000" i="14"/>
  <c r="G1999" i="14"/>
  <c r="G1998" i="14"/>
  <c r="G1997" i="14"/>
  <c r="G1996" i="14"/>
  <c r="G1995" i="14"/>
  <c r="G1994" i="14"/>
  <c r="G1993" i="14"/>
  <c r="G1992" i="14"/>
  <c r="G1991" i="14"/>
  <c r="G1990" i="14"/>
  <c r="G1989" i="14"/>
  <c r="G1988" i="14"/>
  <c r="G1987" i="14"/>
  <c r="G1986" i="14"/>
  <c r="G1985" i="14"/>
  <c r="G1984" i="14"/>
  <c r="G1983" i="14"/>
  <c r="G1982" i="14"/>
  <c r="G1981" i="14"/>
  <c r="G1980" i="14"/>
  <c r="G1979" i="14"/>
  <c r="G1978" i="14"/>
  <c r="G1977" i="14"/>
  <c r="G1976" i="14"/>
  <c r="G1975" i="14"/>
  <c r="G1974" i="14"/>
  <c r="G1973" i="14"/>
  <c r="G1972" i="14"/>
  <c r="G1971" i="14"/>
  <c r="G1970" i="14"/>
  <c r="G1969" i="14"/>
  <c r="G1968" i="14"/>
  <c r="G1967" i="14"/>
  <c r="G1966" i="14"/>
  <c r="G1965" i="14"/>
  <c r="G1964" i="14"/>
  <c r="G1963" i="14"/>
  <c r="G1962" i="14"/>
  <c r="G1961" i="14"/>
  <c r="G1960" i="14"/>
  <c r="G1959" i="14"/>
  <c r="G1958" i="14"/>
  <c r="G1957" i="14"/>
  <c r="G1956" i="14"/>
  <c r="G1955" i="14"/>
  <c r="G1954" i="14"/>
  <c r="G1953" i="14"/>
  <c r="G1952" i="14"/>
  <c r="G1951" i="14"/>
  <c r="G1950" i="14"/>
  <c r="G1949" i="14"/>
  <c r="G1948" i="14"/>
  <c r="G1947" i="14"/>
  <c r="G1946" i="14"/>
  <c r="G1945" i="14"/>
  <c r="G1944" i="14"/>
  <c r="G1943" i="14"/>
  <c r="G1942" i="14"/>
  <c r="G1941" i="14"/>
  <c r="G1939" i="14"/>
  <c r="G1938" i="14"/>
  <c r="G1937" i="14"/>
  <c r="G1936" i="14"/>
  <c r="G1935" i="14"/>
  <c r="G1934" i="14"/>
  <c r="G1933" i="14"/>
  <c r="G1932" i="14"/>
  <c r="G1931" i="14"/>
  <c r="G1930" i="14"/>
  <c r="G1929" i="14"/>
  <c r="G1928" i="14"/>
  <c r="G1927" i="14"/>
  <c r="G1926" i="14"/>
  <c r="G1925" i="14"/>
  <c r="G1924" i="14"/>
  <c r="G1923" i="14"/>
  <c r="G1922" i="14"/>
  <c r="G1921" i="14"/>
  <c r="G1920" i="14"/>
  <c r="G1919" i="14"/>
  <c r="G1918" i="14"/>
  <c r="G1917" i="14"/>
  <c r="G1916" i="14"/>
  <c r="G1915" i="14"/>
  <c r="G1914" i="14"/>
  <c r="G1913" i="14"/>
  <c r="G1912" i="14"/>
  <c r="G1911" i="14"/>
  <c r="G1910" i="14"/>
  <c r="G1909" i="14"/>
  <c r="G1908" i="14"/>
  <c r="G1907" i="14"/>
  <c r="G1906" i="14"/>
  <c r="G1905" i="14"/>
  <c r="G1904" i="14"/>
  <c r="G1903" i="14"/>
  <c r="G1902" i="14"/>
  <c r="G1901" i="14"/>
  <c r="G1900" i="14"/>
  <c r="G1899" i="14"/>
  <c r="G1898" i="14"/>
  <c r="G1897" i="14"/>
  <c r="G1896" i="14"/>
  <c r="G1895" i="14"/>
  <c r="G1894" i="14"/>
  <c r="G1893" i="14"/>
  <c r="G1892" i="14"/>
  <c r="G1891" i="14"/>
  <c r="G1890" i="14"/>
  <c r="G1889" i="14"/>
  <c r="G1888" i="14"/>
  <c r="G1887" i="14"/>
  <c r="G1886" i="14"/>
  <c r="G1885" i="14"/>
  <c r="G1884" i="14"/>
  <c r="G1883" i="14"/>
  <c r="G1882" i="14"/>
  <c r="G1881" i="14"/>
  <c r="G1880" i="14"/>
  <c r="G1879" i="14"/>
  <c r="G1878" i="14"/>
  <c r="G1877" i="14"/>
  <c r="G1876" i="14"/>
  <c r="G1875" i="14"/>
  <c r="G1874" i="14"/>
  <c r="G1873" i="14"/>
  <c r="G1872" i="14"/>
  <c r="G1871" i="14"/>
  <c r="G1870" i="14"/>
  <c r="G1869" i="14"/>
  <c r="G1868" i="14"/>
  <c r="G1867" i="14"/>
  <c r="G1866" i="14"/>
  <c r="G1865" i="14"/>
  <c r="G1864" i="14"/>
  <c r="G1863" i="14"/>
  <c r="G1862" i="14"/>
  <c r="G1861" i="14"/>
  <c r="G1860" i="14"/>
  <c r="G1859" i="14"/>
  <c r="G1858" i="14"/>
  <c r="G1857" i="14"/>
  <c r="G1856" i="14"/>
  <c r="G1855" i="14"/>
  <c r="G1854" i="14"/>
  <c r="G1853" i="14"/>
  <c r="G1852" i="14"/>
  <c r="G1851" i="14"/>
  <c r="G1850" i="14"/>
  <c r="G1849" i="14"/>
  <c r="G1848" i="14"/>
  <c r="G1847" i="14"/>
  <c r="G1846" i="14"/>
  <c r="G1845" i="14"/>
  <c r="G1844" i="14"/>
  <c r="G1843" i="14"/>
  <c r="G1842" i="14"/>
  <c r="G1841" i="14"/>
  <c r="G1840" i="14"/>
  <c r="G1839" i="14"/>
  <c r="G1838" i="14"/>
  <c r="G1837" i="14"/>
  <c r="G1836" i="14"/>
  <c r="G1835" i="14"/>
  <c r="G1834" i="14"/>
  <c r="G1833" i="14"/>
  <c r="G1832" i="14"/>
  <c r="G1831" i="14"/>
  <c r="G1830" i="14"/>
  <c r="G1829" i="14"/>
  <c r="G1828" i="14"/>
  <c r="G1827" i="14"/>
  <c r="G1826" i="14"/>
  <c r="G1825" i="14"/>
  <c r="G1824" i="14"/>
  <c r="G1823" i="14"/>
  <c r="G1822" i="14"/>
  <c r="G1821" i="14"/>
  <c r="G1820" i="14"/>
  <c r="G1819" i="14"/>
  <c r="G1818" i="14"/>
  <c r="G1817" i="14"/>
  <c r="G1816" i="14"/>
  <c r="G1815" i="14"/>
  <c r="G1814" i="14"/>
  <c r="G1813" i="14"/>
  <c r="G1812" i="14"/>
  <c r="G1811" i="14"/>
  <c r="G1810" i="14"/>
  <c r="G1809" i="14"/>
  <c r="G1808" i="14"/>
  <c r="G1807" i="14"/>
  <c r="G1806" i="14"/>
  <c r="G1805" i="14"/>
  <c r="G1804" i="14"/>
  <c r="G1803" i="14"/>
  <c r="G1802" i="14"/>
  <c r="G1801" i="14"/>
  <c r="G1800" i="14"/>
  <c r="G1799" i="14"/>
  <c r="G1798" i="14"/>
  <c r="G1797" i="14"/>
  <c r="G1796" i="14"/>
  <c r="G1795" i="14"/>
  <c r="G1794" i="14"/>
  <c r="G1793" i="14"/>
  <c r="G1792" i="14"/>
  <c r="G1791" i="14"/>
  <c r="G1790" i="14"/>
  <c r="G1789" i="14"/>
  <c r="G1788" i="14"/>
  <c r="G1787" i="14"/>
  <c r="G1786" i="14"/>
  <c r="G1785" i="14"/>
  <c r="G1784" i="14"/>
  <c r="G1783" i="14"/>
  <c r="G1782" i="14"/>
  <c r="G1781" i="14"/>
  <c r="G1780" i="14"/>
  <c r="G1779" i="14"/>
  <c r="G1778" i="14"/>
  <c r="G1777" i="14"/>
  <c r="G1776" i="14"/>
  <c r="G1775" i="14"/>
  <c r="G1774" i="14"/>
  <c r="G1773" i="14"/>
  <c r="G1772" i="14"/>
  <c r="G1771" i="14"/>
  <c r="G1770" i="14"/>
  <c r="G1769" i="14"/>
  <c r="G1768" i="14"/>
  <c r="G1767" i="14"/>
  <c r="G1766" i="14"/>
  <c r="G1765" i="14"/>
  <c r="G1764" i="14"/>
  <c r="G1763" i="14"/>
  <c r="G1762" i="14"/>
  <c r="G1761" i="14"/>
  <c r="G1760" i="14"/>
  <c r="G1759" i="14"/>
  <c r="G1758" i="14"/>
  <c r="G1757" i="14"/>
  <c r="G1756" i="14"/>
  <c r="G1755" i="14"/>
  <c r="G1754" i="14"/>
  <c r="G1753" i="14"/>
  <c r="G1752" i="14"/>
  <c r="G1751" i="14"/>
  <c r="G1750" i="14"/>
  <c r="G1749" i="14"/>
  <c r="G1748" i="14"/>
  <c r="G1747" i="14"/>
  <c r="G1746" i="14"/>
  <c r="G1745" i="14"/>
  <c r="G1744" i="14"/>
  <c r="G1743" i="14"/>
  <c r="G1742" i="14"/>
  <c r="G1741" i="14"/>
  <c r="G1740" i="14"/>
  <c r="G1739" i="14"/>
  <c r="G1738" i="14"/>
  <c r="G1737" i="14"/>
  <c r="G1736" i="14"/>
  <c r="G1735" i="14"/>
  <c r="G1734" i="14"/>
  <c r="G1733" i="14"/>
  <c r="G1732" i="14"/>
  <c r="G1731" i="14"/>
  <c r="G1730" i="14"/>
  <c r="G1729" i="14"/>
  <c r="G1728" i="14"/>
  <c r="G1727" i="14"/>
  <c r="G1726" i="14"/>
  <c r="G1725" i="14"/>
  <c r="G1724" i="14"/>
  <c r="G1723" i="14"/>
  <c r="G1722" i="14"/>
  <c r="G1721" i="14"/>
  <c r="G1720" i="14"/>
  <c r="G1719" i="14"/>
  <c r="G1718" i="14"/>
  <c r="G1717" i="14"/>
  <c r="G1716" i="14"/>
  <c r="G1715" i="14"/>
  <c r="G1714" i="14"/>
  <c r="G1713" i="14"/>
  <c r="G1712" i="14"/>
  <c r="G1711" i="14"/>
  <c r="G1710" i="14"/>
  <c r="G1709" i="14"/>
  <c r="G1708" i="14"/>
  <c r="G1707" i="14"/>
  <c r="G1706" i="14"/>
  <c r="G1705" i="14"/>
  <c r="G1704" i="14"/>
  <c r="G1703" i="14"/>
  <c r="G1702" i="14"/>
  <c r="G1701" i="14"/>
  <c r="G1700" i="14"/>
  <c r="G1699" i="14"/>
  <c r="G1698" i="14"/>
  <c r="G1697" i="14"/>
  <c r="G1696" i="14"/>
  <c r="G1695" i="14"/>
  <c r="G1694" i="14"/>
  <c r="G1693" i="14"/>
  <c r="G1692" i="14"/>
  <c r="G1691" i="14"/>
  <c r="G1690" i="14"/>
  <c r="G1689" i="14"/>
  <c r="G1688" i="14"/>
  <c r="G1687" i="14"/>
  <c r="G1686" i="14"/>
  <c r="G1685" i="14"/>
  <c r="G1684" i="14"/>
  <c r="G1683" i="14"/>
  <c r="G1682" i="14"/>
  <c r="G1681" i="14"/>
  <c r="G1680" i="14"/>
  <c r="G1679" i="14"/>
  <c r="G1678" i="14"/>
  <c r="G1677" i="14"/>
  <c r="G1676" i="14"/>
  <c r="G1675" i="14"/>
  <c r="G1674" i="14"/>
  <c r="G1673" i="14"/>
  <c r="G1672" i="14"/>
  <c r="G1671" i="14"/>
  <c r="G1670" i="14"/>
  <c r="G1669" i="14"/>
  <c r="G1668" i="14"/>
  <c r="G1667" i="14"/>
  <c r="G1666" i="14"/>
  <c r="G1665" i="14"/>
  <c r="G1664" i="14"/>
  <c r="G1663" i="14"/>
  <c r="G1662" i="14"/>
  <c r="G1661" i="14"/>
  <c r="G1660" i="14"/>
  <c r="G1659" i="14"/>
  <c r="G1658" i="14"/>
  <c r="G1657" i="14"/>
  <c r="G1656" i="14"/>
  <c r="G1655" i="14"/>
  <c r="G1654" i="14"/>
  <c r="G1653" i="14"/>
  <c r="G1652" i="14"/>
  <c r="G1651" i="14"/>
  <c r="G1650" i="14"/>
  <c r="G1649" i="14"/>
  <c r="G1648" i="14"/>
  <c r="G1647" i="14"/>
  <c r="G1646" i="14"/>
  <c r="G1645" i="14"/>
  <c r="G1644" i="14"/>
  <c r="G1643" i="14"/>
  <c r="G1642" i="14"/>
  <c r="G1641" i="14"/>
  <c r="G1640" i="14"/>
  <c r="G1639" i="14"/>
  <c r="G1638" i="14"/>
  <c r="G1637" i="14"/>
  <c r="G1636" i="14"/>
  <c r="G1635" i="14"/>
  <c r="G1634" i="14"/>
  <c r="G1633" i="14"/>
  <c r="G1632" i="14"/>
  <c r="G1631" i="14"/>
  <c r="G1630" i="14"/>
  <c r="G1629" i="14"/>
  <c r="G1628" i="14"/>
  <c r="G1627" i="14"/>
  <c r="G1626" i="14"/>
  <c r="G1625" i="14"/>
  <c r="G1624" i="14"/>
  <c r="G1623" i="14"/>
  <c r="G1622" i="14"/>
  <c r="G1621" i="14"/>
  <c r="G1620" i="14"/>
  <c r="G1619" i="14"/>
  <c r="G1618" i="14"/>
  <c r="G1617" i="14"/>
  <c r="G1616" i="14"/>
  <c r="G1615" i="14"/>
  <c r="G1614" i="14"/>
  <c r="G1613" i="14"/>
  <c r="G1612" i="14"/>
  <c r="G1611" i="14"/>
  <c r="G1610" i="14"/>
  <c r="G1609" i="14"/>
  <c r="G1608" i="14"/>
  <c r="G1607" i="14"/>
  <c r="G1606" i="14"/>
  <c r="G1605" i="14"/>
  <c r="G1604" i="14"/>
  <c r="G1603" i="14"/>
  <c r="G1602" i="14"/>
  <c r="G1601" i="14"/>
  <c r="G1600" i="14"/>
  <c r="G1599" i="14"/>
  <c r="G1598" i="14"/>
  <c r="G1597" i="14"/>
  <c r="G1596" i="14"/>
  <c r="G1595" i="14"/>
  <c r="G1594" i="14"/>
  <c r="G1593" i="14"/>
  <c r="G1592" i="14"/>
  <c r="G1591" i="14"/>
  <c r="G1590" i="14"/>
  <c r="G1589" i="14"/>
  <c r="G1588" i="14"/>
  <c r="G1587" i="14"/>
  <c r="G1586" i="14"/>
  <c r="G1585" i="14"/>
  <c r="G1584" i="14"/>
  <c r="G1583" i="14"/>
  <c r="G1582" i="14"/>
  <c r="G1581" i="14"/>
  <c r="G1580" i="14"/>
  <c r="G1579" i="14"/>
  <c r="G1578" i="14"/>
  <c r="G1577" i="14"/>
  <c r="G1576" i="14"/>
  <c r="G1575" i="14"/>
  <c r="G1574" i="14"/>
  <c r="G1573" i="14"/>
  <c r="G1572" i="14"/>
  <c r="G1571" i="14"/>
  <c r="G1570" i="14"/>
  <c r="G1569" i="14"/>
  <c r="G1568" i="14"/>
  <c r="G1567" i="14"/>
  <c r="G1566" i="14"/>
  <c r="G1565" i="14"/>
  <c r="G1564" i="14"/>
  <c r="G1563" i="14"/>
  <c r="G1562" i="14"/>
  <c r="G1561" i="14"/>
  <c r="G1560" i="14"/>
  <c r="G1559" i="14"/>
  <c r="G1558" i="14"/>
  <c r="G1557" i="14"/>
  <c r="G1556" i="14"/>
  <c r="G1555" i="14"/>
  <c r="G1554" i="14"/>
  <c r="G1553" i="14"/>
  <c r="G1552" i="14"/>
  <c r="G1551" i="14"/>
  <c r="G1550" i="14"/>
  <c r="G1549" i="14"/>
  <c r="G1548" i="14"/>
  <c r="G1547" i="14"/>
  <c r="G1546" i="14"/>
  <c r="G1545" i="14"/>
  <c r="G1544" i="14"/>
  <c r="G1543" i="14"/>
  <c r="G1542" i="14"/>
  <c r="G1541" i="14"/>
  <c r="G1540" i="14"/>
  <c r="G1539" i="14"/>
  <c r="G1538" i="14"/>
  <c r="G1537" i="14"/>
  <c r="G1536" i="14"/>
  <c r="G1535" i="14"/>
  <c r="G1534" i="14"/>
  <c r="G1533" i="14"/>
  <c r="G1532" i="14"/>
  <c r="G1531" i="14"/>
  <c r="G1530" i="14"/>
  <c r="G1529" i="14"/>
  <c r="G1528" i="14"/>
  <c r="G1527" i="14"/>
  <c r="G1526" i="14"/>
  <c r="G1525" i="14"/>
  <c r="G1524" i="14"/>
  <c r="G1523" i="14"/>
  <c r="G1522" i="14"/>
  <c r="G1521" i="14"/>
  <c r="G1520" i="14"/>
  <c r="G1519" i="14"/>
  <c r="G1518" i="14"/>
  <c r="G1517" i="14"/>
  <c r="G1516" i="14"/>
  <c r="G1515" i="14"/>
  <c r="G1514" i="14"/>
  <c r="G1513" i="14"/>
  <c r="G1512" i="14"/>
  <c r="G1511" i="14"/>
  <c r="G1510" i="14"/>
  <c r="G1509" i="14"/>
  <c r="G1508" i="14"/>
  <c r="G1507" i="14"/>
  <c r="G1506" i="14"/>
  <c r="G1505" i="14"/>
  <c r="G1504" i="14"/>
  <c r="G1503" i="14"/>
  <c r="G1502" i="14"/>
  <c r="G1501" i="14"/>
  <c r="G1500" i="14"/>
  <c r="G1499" i="14"/>
  <c r="G1498" i="14"/>
  <c r="G1497" i="14"/>
  <c r="G1496" i="14"/>
  <c r="G1495" i="14"/>
  <c r="G1494" i="14"/>
  <c r="G1493" i="14"/>
  <c r="G1492" i="14"/>
  <c r="G1491" i="14"/>
  <c r="G1490" i="14"/>
  <c r="G1489" i="14"/>
  <c r="G1488" i="14"/>
  <c r="G1487" i="14"/>
  <c r="G1486" i="14"/>
  <c r="G1485" i="14"/>
  <c r="G1484" i="14"/>
  <c r="G1483" i="14"/>
  <c r="G1482" i="14"/>
  <c r="G1481" i="14"/>
  <c r="G1480" i="14"/>
  <c r="G1479" i="14"/>
  <c r="G1478" i="14"/>
  <c r="G1477" i="14"/>
  <c r="G1476" i="14"/>
  <c r="G1475" i="14"/>
  <c r="G1474" i="14"/>
  <c r="G1473" i="14"/>
  <c r="G1472" i="14"/>
  <c r="G1471" i="14"/>
  <c r="G1470" i="14"/>
  <c r="G1469" i="14"/>
  <c r="G1468" i="14"/>
  <c r="G1467" i="14"/>
  <c r="G1466" i="14"/>
  <c r="G1465" i="14"/>
  <c r="G1464" i="14"/>
  <c r="G1463" i="14"/>
  <c r="G1462" i="14"/>
  <c r="G1461" i="14"/>
  <c r="G1460" i="14"/>
  <c r="G1459" i="14"/>
  <c r="G1458" i="14"/>
  <c r="G1457" i="14"/>
  <c r="G1456" i="14"/>
  <c r="G1455" i="14"/>
  <c r="G1454" i="14"/>
  <c r="G1453" i="14"/>
  <c r="G1452" i="14"/>
  <c r="G1451" i="14"/>
  <c r="G1450" i="14"/>
  <c r="G1449" i="14"/>
  <c r="G1448" i="14"/>
  <c r="G1447" i="14"/>
  <c r="G1446" i="14"/>
  <c r="G1445" i="14"/>
  <c r="G1444" i="14"/>
  <c r="G1443" i="14"/>
  <c r="G1442" i="14"/>
  <c r="G1441" i="14"/>
  <c r="G1440" i="14"/>
  <c r="G1439" i="14"/>
  <c r="G1438" i="14"/>
  <c r="G1437" i="14"/>
  <c r="G1436" i="14"/>
  <c r="G1435" i="14"/>
  <c r="G1434" i="14"/>
  <c r="G1433" i="14"/>
  <c r="G1432" i="14"/>
  <c r="G1431" i="14"/>
  <c r="G1430" i="14"/>
  <c r="G1429" i="14"/>
  <c r="G1428" i="14"/>
  <c r="G1427" i="14"/>
  <c r="G1426" i="14"/>
  <c r="G1425" i="14"/>
  <c r="G1424" i="14"/>
  <c r="G1423" i="14"/>
  <c r="G1422" i="14"/>
  <c r="G1421" i="14"/>
  <c r="G1420" i="14"/>
  <c r="G1419" i="14"/>
  <c r="G1418" i="14"/>
  <c r="G1417" i="14"/>
  <c r="G1416" i="14"/>
  <c r="G1415" i="14"/>
  <c r="G1414" i="14"/>
  <c r="G1413" i="14"/>
  <c r="G1412" i="14"/>
  <c r="G1411" i="14"/>
  <c r="G1410" i="14"/>
  <c r="G1409" i="14"/>
  <c r="G1408" i="14"/>
  <c r="G1407" i="14"/>
  <c r="G1406" i="14"/>
  <c r="G1405" i="14"/>
  <c r="G1404" i="14"/>
  <c r="G1403" i="14"/>
  <c r="G1402" i="14"/>
  <c r="G1401" i="14"/>
  <c r="G1400" i="14"/>
  <c r="G1399" i="14"/>
  <c r="G1398" i="14"/>
  <c r="G1397" i="14"/>
  <c r="G1396" i="14"/>
  <c r="G1395" i="14"/>
  <c r="G1394" i="14"/>
  <c r="G1393" i="14"/>
  <c r="G1392" i="14"/>
  <c r="G1391" i="14"/>
  <c r="G1390" i="14"/>
  <c r="G1389" i="14"/>
  <c r="G1388" i="14"/>
  <c r="G1387" i="14"/>
  <c r="G1386" i="14"/>
  <c r="G1385" i="14"/>
  <c r="G1384" i="14"/>
  <c r="G1383" i="14"/>
  <c r="G1382" i="14"/>
  <c r="G1381" i="14"/>
  <c r="G1380" i="14"/>
  <c r="G1379" i="14"/>
  <c r="G1378" i="14"/>
  <c r="G1377" i="14"/>
  <c r="G1376" i="14"/>
  <c r="G1375" i="14"/>
  <c r="G1374" i="14"/>
  <c r="G1373" i="14"/>
  <c r="G1372" i="14"/>
  <c r="G1371" i="14"/>
  <c r="G1370" i="14"/>
  <c r="G1369" i="14"/>
  <c r="G1368" i="14"/>
  <c r="G1367" i="14"/>
  <c r="G1366" i="14"/>
  <c r="G1365" i="14"/>
  <c r="G1364" i="14"/>
  <c r="G1363" i="14"/>
  <c r="G1362" i="14"/>
  <c r="G1361" i="14"/>
  <c r="G1360" i="14"/>
  <c r="G1359" i="14"/>
  <c r="G1358" i="14"/>
  <c r="G1357" i="14"/>
  <c r="G1356" i="14"/>
  <c r="G1355" i="14"/>
  <c r="G1354" i="14"/>
  <c r="G1353" i="14"/>
  <c r="G1352" i="14"/>
  <c r="G1351" i="14"/>
  <c r="G1350" i="14"/>
  <c r="G1349" i="14"/>
  <c r="G1348" i="14"/>
  <c r="G1347" i="14"/>
  <c r="G1346" i="14"/>
  <c r="G1345" i="14"/>
  <c r="G1344" i="14"/>
  <c r="G1343" i="14"/>
  <c r="G1342" i="14"/>
  <c r="G1341" i="14"/>
  <c r="G1340" i="14"/>
  <c r="G1339" i="14"/>
  <c r="G1338" i="14"/>
  <c r="G1337" i="14"/>
  <c r="G1336" i="14"/>
  <c r="G1335" i="14"/>
  <c r="G1334" i="14"/>
  <c r="G1333" i="14"/>
  <c r="G1332" i="14"/>
  <c r="G1331" i="14"/>
  <c r="G1330" i="14"/>
  <c r="G1329" i="14"/>
  <c r="G1328" i="14"/>
  <c r="G1327" i="14"/>
  <c r="G1326" i="14"/>
  <c r="G1325" i="14"/>
  <c r="G1324" i="14"/>
  <c r="G1323" i="14"/>
  <c r="G1322" i="14"/>
  <c r="G1321" i="14"/>
  <c r="G1320" i="14"/>
  <c r="G1319" i="14"/>
  <c r="G1318" i="14"/>
  <c r="G1317" i="14"/>
  <c r="G1316" i="14"/>
  <c r="G1315" i="14"/>
  <c r="G1314" i="14"/>
  <c r="G1313" i="14"/>
  <c r="G1312" i="14"/>
  <c r="G1311" i="14"/>
  <c r="G1310" i="14"/>
  <c r="G1309" i="14"/>
  <c r="G1308" i="14"/>
  <c r="G1307" i="14"/>
  <c r="G1306" i="14"/>
  <c r="G1305" i="14"/>
  <c r="G1304" i="14"/>
  <c r="G1303" i="14"/>
  <c r="G1302" i="14"/>
  <c r="G1301" i="14"/>
  <c r="G1300" i="14"/>
  <c r="G1299" i="14"/>
  <c r="G1298" i="14"/>
  <c r="G1297" i="14"/>
  <c r="G1296" i="14"/>
  <c r="G1295" i="14"/>
  <c r="G1294" i="14"/>
  <c r="G1293" i="14"/>
  <c r="G1292" i="14"/>
  <c r="G1291" i="14"/>
  <c r="G1290" i="14"/>
  <c r="G1289" i="14"/>
  <c r="G1288" i="14"/>
  <c r="G1287" i="14"/>
  <c r="G1286" i="14"/>
  <c r="G1285" i="14"/>
  <c r="G1284" i="14"/>
  <c r="G1283" i="14"/>
  <c r="G1282" i="14"/>
  <c r="G1281" i="14"/>
  <c r="G1280" i="14"/>
  <c r="G1279" i="14"/>
  <c r="G1278" i="14"/>
  <c r="G1277" i="14"/>
  <c r="G1276" i="14"/>
  <c r="G1275" i="14"/>
  <c r="G1274" i="14"/>
  <c r="G1273" i="14"/>
  <c r="G1272" i="14"/>
  <c r="G1271" i="14"/>
  <c r="G1270" i="14"/>
  <c r="G1269" i="14"/>
  <c r="G1268" i="14"/>
  <c r="G1267" i="14"/>
  <c r="G1266" i="14"/>
  <c r="G1265" i="14"/>
  <c r="G1264" i="14"/>
  <c r="G1263" i="14"/>
  <c r="G1262" i="14"/>
  <c r="G1261" i="14"/>
  <c r="G1260" i="14"/>
  <c r="G1259" i="14"/>
  <c r="G1258" i="14"/>
  <c r="G1257" i="14"/>
  <c r="G1256" i="14"/>
  <c r="G1255" i="14"/>
  <c r="G1254" i="14"/>
  <c r="G1253" i="14"/>
  <c r="G1252" i="14"/>
  <c r="G1251" i="14"/>
  <c r="G1250" i="14"/>
  <c r="G1249" i="14"/>
  <c r="G1248" i="14"/>
  <c r="G1247" i="14"/>
  <c r="G1246" i="14"/>
  <c r="G1245" i="14"/>
  <c r="G1244" i="14"/>
  <c r="G1243" i="14"/>
  <c r="G1242" i="14"/>
  <c r="G1241" i="14"/>
  <c r="G1240" i="14"/>
  <c r="G1239" i="14"/>
  <c r="G1238" i="14"/>
  <c r="G1237" i="14"/>
  <c r="G1236" i="14"/>
  <c r="G1235" i="14"/>
  <c r="G1234" i="14"/>
  <c r="G1233" i="14"/>
  <c r="G1232" i="14"/>
  <c r="G1231" i="14"/>
  <c r="G1230" i="14"/>
  <c r="G1229" i="14"/>
  <c r="G1228" i="14"/>
  <c r="G1227" i="14"/>
  <c r="G1226" i="14"/>
  <c r="G1225" i="14"/>
  <c r="G1224" i="14"/>
  <c r="G1223" i="14"/>
  <c r="G1222" i="14"/>
  <c r="G1221" i="14"/>
  <c r="G1220" i="14"/>
  <c r="G1219" i="14"/>
  <c r="G1218" i="14"/>
  <c r="G1217" i="14"/>
  <c r="G1216" i="14"/>
  <c r="G1215" i="14"/>
  <c r="G1214" i="14"/>
  <c r="G1213" i="14"/>
  <c r="G1212" i="14"/>
  <c r="G1211" i="14"/>
  <c r="G1210" i="14"/>
  <c r="G1209" i="14"/>
  <c r="G1208" i="14"/>
  <c r="G1207" i="14"/>
  <c r="G1206" i="14"/>
  <c r="G1205" i="14"/>
  <c r="G1204" i="14"/>
  <c r="G1203" i="14"/>
  <c r="G1202" i="14"/>
  <c r="G1201" i="14"/>
  <c r="G1200" i="14"/>
  <c r="G1199" i="14"/>
  <c r="G1198" i="14"/>
  <c r="G1197" i="14"/>
  <c r="G1196" i="14"/>
  <c r="G1195" i="14"/>
  <c r="G1194" i="14"/>
  <c r="G1193" i="14"/>
  <c r="G1192" i="14"/>
  <c r="G1191" i="14"/>
  <c r="G1190" i="14"/>
  <c r="G1189" i="14"/>
  <c r="G1188" i="14"/>
  <c r="G1187" i="14"/>
  <c r="G1186" i="14"/>
  <c r="G1185" i="14"/>
  <c r="G1184" i="14"/>
  <c r="G1183" i="14"/>
  <c r="G1182" i="14"/>
  <c r="G1181" i="14"/>
  <c r="G1180" i="14"/>
  <c r="G1179" i="14"/>
  <c r="G1178" i="14"/>
  <c r="G1177" i="14"/>
  <c r="G1176" i="14"/>
  <c r="G1175" i="14"/>
  <c r="G1174" i="14"/>
  <c r="G1173" i="14"/>
  <c r="G1172" i="14"/>
  <c r="G1171" i="14"/>
  <c r="G1170" i="14"/>
  <c r="G1169" i="14"/>
  <c r="G1168" i="14"/>
  <c r="G1167" i="14"/>
  <c r="G1166" i="14"/>
  <c r="G1165" i="14"/>
  <c r="G1164" i="14"/>
  <c r="G1163" i="14"/>
  <c r="G1162" i="14"/>
  <c r="G1161" i="14"/>
  <c r="G1160" i="14"/>
  <c r="G1159" i="14"/>
  <c r="G1158" i="14"/>
  <c r="G1157" i="14"/>
  <c r="G1156" i="14"/>
  <c r="G1155" i="14"/>
  <c r="G1154" i="14"/>
  <c r="G1153" i="14"/>
  <c r="G1152" i="14"/>
  <c r="G1151" i="14"/>
  <c r="G1150" i="14"/>
  <c r="G1149" i="14"/>
  <c r="G1148" i="14"/>
  <c r="G1147" i="14"/>
  <c r="G1146" i="14"/>
  <c r="G1145" i="14"/>
  <c r="G1144" i="14"/>
  <c r="G1143" i="14"/>
  <c r="G1142" i="14"/>
  <c r="G1141" i="14"/>
  <c r="G1140" i="14"/>
  <c r="G1139" i="14"/>
  <c r="G1138" i="14"/>
  <c r="G1137" i="14"/>
  <c r="G1136" i="14"/>
  <c r="G1135" i="14"/>
  <c r="G1134" i="14"/>
  <c r="G1133" i="14"/>
  <c r="G1132" i="14"/>
  <c r="G1131" i="14"/>
  <c r="G1130" i="14"/>
  <c r="G1129" i="14"/>
  <c r="G1128" i="14"/>
  <c r="G1127" i="14"/>
  <c r="G1126" i="14"/>
  <c r="G1125" i="14"/>
  <c r="G1124" i="14"/>
  <c r="G1123" i="14"/>
  <c r="G1122" i="14"/>
  <c r="G1121" i="14"/>
  <c r="G1120" i="14"/>
  <c r="G1119" i="14"/>
  <c r="G1118" i="14"/>
  <c r="G1117" i="14"/>
  <c r="G1116" i="14"/>
  <c r="G1115" i="14"/>
  <c r="G1114" i="14"/>
  <c r="G1113" i="14"/>
  <c r="G1112" i="14"/>
  <c r="G1111" i="14"/>
  <c r="G1110" i="14"/>
  <c r="G1109" i="14"/>
  <c r="G1108" i="14"/>
  <c r="G1107" i="14"/>
  <c r="G1106" i="14"/>
  <c r="G1105" i="14"/>
  <c r="G1104" i="14"/>
  <c r="G1103" i="14"/>
  <c r="G1102" i="14"/>
  <c r="G1101" i="14"/>
  <c r="G1100" i="14"/>
  <c r="G1099" i="14"/>
  <c r="G1098" i="14"/>
  <c r="G1097" i="14"/>
  <c r="G1096" i="14"/>
  <c r="G1095" i="14"/>
  <c r="G1094" i="14"/>
  <c r="G1093" i="14"/>
  <c r="G1092" i="14"/>
  <c r="G1091" i="14"/>
  <c r="G1090" i="14"/>
  <c r="G1089" i="14"/>
  <c r="G1088" i="14"/>
  <c r="G1087" i="14"/>
  <c r="G1086" i="14"/>
  <c r="G1085" i="14"/>
  <c r="G1084" i="14"/>
  <c r="G1083" i="14"/>
  <c r="G1082" i="14"/>
  <c r="G1081" i="14"/>
  <c r="G1080" i="14"/>
  <c r="G1079" i="14"/>
  <c r="G1078" i="14"/>
  <c r="G1077" i="14"/>
  <c r="G1076" i="14"/>
  <c r="G1075" i="14"/>
  <c r="G1074" i="14"/>
  <c r="G1073" i="14"/>
  <c r="G1072" i="14"/>
  <c r="G1071" i="14"/>
  <c r="G1070" i="14"/>
  <c r="G1069" i="14"/>
  <c r="G1068" i="14"/>
  <c r="G1067" i="14"/>
  <c r="G1066" i="14"/>
  <c r="G1065" i="14"/>
  <c r="G1064" i="14"/>
  <c r="G1063" i="14"/>
  <c r="G1062" i="14"/>
  <c r="G1061" i="14"/>
  <c r="G1060" i="14"/>
  <c r="G1059" i="14"/>
  <c r="G1058" i="14"/>
  <c r="G1057" i="14"/>
  <c r="G1056" i="14"/>
  <c r="G1055" i="14"/>
  <c r="G1054" i="14"/>
  <c r="G1053" i="14"/>
  <c r="G1052" i="14"/>
  <c r="G1051" i="14"/>
  <c r="G1050" i="14"/>
  <c r="G1049" i="14"/>
  <c r="G1048" i="14"/>
  <c r="G1047" i="14"/>
  <c r="G1046" i="14"/>
  <c r="G1045" i="14"/>
  <c r="G1044" i="14"/>
  <c r="G1043" i="14"/>
  <c r="G1042" i="14"/>
  <c r="G1041" i="14"/>
  <c r="G1040" i="14"/>
  <c r="G1039" i="14"/>
  <c r="G1038" i="14"/>
  <c r="G1037" i="14"/>
  <c r="G1036" i="14"/>
  <c r="G1035" i="14"/>
  <c r="G1034" i="14"/>
  <c r="G1033" i="14"/>
  <c r="G1032" i="14"/>
  <c r="G1031" i="14"/>
  <c r="G1030" i="14"/>
  <c r="G1029" i="14"/>
  <c r="G1028" i="14"/>
  <c r="G1027" i="14"/>
  <c r="G1026" i="14"/>
  <c r="G1025" i="14"/>
  <c r="G1024" i="14"/>
  <c r="G1023" i="14"/>
  <c r="G1022" i="14"/>
  <c r="G1021" i="14"/>
  <c r="G1020" i="14"/>
  <c r="G1019" i="14"/>
  <c r="G1018" i="14"/>
  <c r="G1017" i="14"/>
  <c r="G1016" i="14"/>
  <c r="G1015" i="14"/>
  <c r="G1014" i="14"/>
  <c r="G1013" i="14"/>
  <c r="G1012" i="14"/>
  <c r="G1011" i="14"/>
  <c r="G1010" i="14"/>
  <c r="G1009" i="14"/>
  <c r="G1008" i="14"/>
  <c r="G1007" i="14"/>
  <c r="G1006" i="14"/>
  <c r="G1005" i="14"/>
  <c r="G1004" i="14"/>
  <c r="G1003" i="14"/>
  <c r="G1002" i="14"/>
  <c r="G1001" i="14"/>
  <c r="G1000" i="14"/>
  <c r="G999" i="14"/>
  <c r="G998" i="14"/>
  <c r="G997" i="14"/>
  <c r="G996" i="14"/>
  <c r="G995" i="14"/>
  <c r="G994" i="14"/>
  <c r="G993" i="14"/>
  <c r="G992" i="14"/>
  <c r="G991" i="14"/>
  <c r="G990" i="14"/>
  <c r="G989" i="14"/>
  <c r="G988" i="14"/>
  <c r="G987" i="14"/>
  <c r="G986" i="14"/>
  <c r="G985" i="14"/>
  <c r="G984" i="14"/>
  <c r="G983" i="14"/>
  <c r="G982" i="14"/>
  <c r="G981" i="14"/>
  <c r="G980" i="14"/>
  <c r="G979" i="14"/>
  <c r="G978" i="14"/>
  <c r="G977" i="14"/>
  <c r="G976" i="14"/>
  <c r="G975" i="14"/>
  <c r="G974" i="14"/>
  <c r="G973" i="14"/>
  <c r="G972" i="14"/>
  <c r="G971" i="14"/>
  <c r="G970" i="14"/>
  <c r="G969" i="14"/>
  <c r="G968" i="14"/>
  <c r="G967" i="14"/>
  <c r="G966" i="14"/>
  <c r="G965" i="14"/>
  <c r="G964" i="14"/>
  <c r="G963" i="14"/>
  <c r="G962" i="14"/>
  <c r="G961" i="14"/>
  <c r="G960" i="14"/>
  <c r="G959" i="14"/>
  <c r="G958" i="14"/>
  <c r="G957" i="14"/>
  <c r="G956" i="14"/>
  <c r="G955" i="14"/>
  <c r="G954" i="14"/>
  <c r="G953" i="14"/>
  <c r="G952" i="14"/>
  <c r="G951" i="14"/>
  <c r="G950" i="14"/>
  <c r="G949" i="14"/>
  <c r="G948" i="14"/>
  <c r="G947" i="14"/>
  <c r="G946" i="14"/>
  <c r="G945" i="14"/>
  <c r="G944" i="14"/>
  <c r="G943" i="14"/>
  <c r="G942" i="14"/>
  <c r="G941" i="14"/>
  <c r="G940" i="14"/>
  <c r="G939" i="14"/>
  <c r="G938" i="14"/>
  <c r="G937" i="14"/>
  <c r="G936" i="14"/>
  <c r="G935" i="14"/>
  <c r="G934" i="14"/>
  <c r="G933" i="14"/>
  <c r="G932" i="14"/>
  <c r="G931" i="14"/>
  <c r="G930" i="14"/>
  <c r="G929" i="14"/>
  <c r="G928" i="14"/>
  <c r="G927" i="14"/>
  <c r="G926" i="14"/>
  <c r="G925" i="14"/>
  <c r="G924" i="14"/>
  <c r="G923" i="14"/>
  <c r="G922" i="14"/>
  <c r="G921" i="14"/>
  <c r="G920" i="14"/>
  <c r="G919" i="14"/>
  <c r="G918" i="14"/>
  <c r="G917" i="14"/>
  <c r="G916" i="14"/>
  <c r="G915" i="14"/>
  <c r="G914" i="14"/>
  <c r="G913" i="14"/>
  <c r="G912" i="14"/>
  <c r="G911" i="14"/>
  <c r="G910" i="14"/>
  <c r="G909" i="14"/>
  <c r="G908" i="14"/>
  <c r="G907" i="14"/>
  <c r="G906" i="14"/>
  <c r="G905" i="14"/>
  <c r="G904" i="14"/>
  <c r="G903" i="14"/>
  <c r="G902" i="14"/>
  <c r="G901" i="14"/>
  <c r="G900" i="14"/>
  <c r="G899" i="14"/>
  <c r="G898" i="14"/>
  <c r="G897" i="14"/>
  <c r="G896" i="14"/>
  <c r="G895" i="14"/>
  <c r="G894" i="14"/>
  <c r="G893" i="14"/>
  <c r="G892" i="14"/>
  <c r="G891" i="14"/>
  <c r="G890" i="14"/>
  <c r="G889" i="14"/>
  <c r="G888" i="14"/>
  <c r="G887" i="14"/>
  <c r="G886" i="14"/>
  <c r="G885" i="14"/>
  <c r="G884" i="14"/>
  <c r="G883" i="14"/>
  <c r="G882" i="14"/>
  <c r="G881" i="14"/>
  <c r="G880" i="14"/>
  <c r="G879" i="14"/>
  <c r="G878" i="14"/>
  <c r="G877" i="14"/>
  <c r="G876" i="14"/>
  <c r="G875" i="14"/>
  <c r="G874" i="14"/>
  <c r="G873" i="14"/>
  <c r="G872" i="14"/>
  <c r="G871" i="14"/>
  <c r="G870" i="14"/>
  <c r="G869" i="14"/>
  <c r="G868" i="14"/>
  <c r="G867" i="14"/>
  <c r="G866" i="14"/>
  <c r="G865" i="14"/>
  <c r="G864" i="14"/>
  <c r="G863" i="14"/>
  <c r="G862" i="14"/>
  <c r="G861" i="14"/>
  <c r="G860" i="14"/>
  <c r="G859" i="14"/>
  <c r="G858" i="14"/>
  <c r="G857" i="14"/>
  <c r="G856" i="14"/>
  <c r="G855" i="14"/>
  <c r="G854" i="14"/>
  <c r="G853" i="14"/>
  <c r="G852" i="14"/>
  <c r="G851" i="14"/>
  <c r="G850" i="14"/>
  <c r="G849" i="14"/>
  <c r="G848" i="14"/>
  <c r="G847" i="14"/>
  <c r="G846" i="14"/>
  <c r="G845" i="14"/>
  <c r="G844" i="14"/>
  <c r="G843" i="14"/>
  <c r="G842" i="14"/>
  <c r="G841" i="14"/>
  <c r="G840" i="14"/>
  <c r="G839" i="14"/>
  <c r="G838" i="14"/>
  <c r="G837" i="14"/>
  <c r="G836" i="14"/>
  <c r="G835" i="14"/>
  <c r="G834" i="14"/>
  <c r="G833" i="14"/>
  <c r="G832" i="14"/>
  <c r="G831" i="14"/>
  <c r="G830" i="14"/>
  <c r="G829" i="14"/>
  <c r="G828" i="14"/>
  <c r="G827" i="14"/>
  <c r="G826" i="14"/>
  <c r="G825" i="14"/>
  <c r="G824" i="14"/>
  <c r="G823" i="14"/>
  <c r="G822" i="14"/>
  <c r="G821" i="14"/>
  <c r="G820" i="14"/>
  <c r="G819" i="14"/>
  <c r="G818" i="14"/>
  <c r="G817" i="14"/>
  <c r="G816" i="14"/>
  <c r="G815" i="14"/>
  <c r="G814" i="14"/>
  <c r="G813" i="14"/>
  <c r="G812" i="14"/>
  <c r="G811" i="14"/>
  <c r="G810" i="14"/>
  <c r="G809" i="14"/>
  <c r="G808" i="14"/>
  <c r="G807" i="14"/>
  <c r="G806" i="14"/>
  <c r="G805" i="14"/>
  <c r="G804" i="14"/>
  <c r="G803" i="14"/>
  <c r="G802" i="14"/>
  <c r="G801" i="14"/>
  <c r="G800" i="14"/>
  <c r="G799" i="14"/>
  <c r="G798" i="14"/>
  <c r="G797" i="14"/>
  <c r="G796" i="14"/>
  <c r="G795" i="14"/>
  <c r="G794" i="14"/>
  <c r="G793" i="14"/>
  <c r="G792" i="14"/>
  <c r="G791" i="14"/>
  <c r="G790" i="14"/>
  <c r="G789" i="14"/>
  <c r="G788" i="14"/>
  <c r="G787" i="14"/>
  <c r="G786" i="14"/>
  <c r="G785" i="14"/>
  <c r="G784" i="14"/>
  <c r="G783" i="14"/>
  <c r="G782" i="14"/>
  <c r="G781" i="14"/>
  <c r="G780" i="14"/>
  <c r="G779" i="14"/>
  <c r="G778" i="14"/>
  <c r="G777" i="14"/>
  <c r="G776" i="14"/>
  <c r="G775" i="14"/>
  <c r="G774" i="14"/>
  <c r="G773" i="14"/>
  <c r="G772" i="14"/>
  <c r="G771" i="14"/>
  <c r="G770" i="14"/>
  <c r="G769" i="14"/>
  <c r="G768" i="14"/>
  <c r="G767" i="14"/>
  <c r="G766" i="14"/>
  <c r="G765" i="14"/>
  <c r="G764" i="14"/>
  <c r="G763" i="14"/>
  <c r="G762" i="14"/>
  <c r="G761" i="14"/>
  <c r="G760" i="14"/>
  <c r="G759" i="14"/>
  <c r="G758" i="14"/>
  <c r="G757" i="14"/>
  <c r="G756" i="14"/>
  <c r="G755" i="14"/>
  <c r="G754" i="14"/>
  <c r="G753" i="14"/>
  <c r="G752" i="14"/>
  <c r="G751" i="14"/>
  <c r="G750" i="14"/>
  <c r="G749" i="14"/>
  <c r="G748" i="14"/>
  <c r="G747" i="14"/>
  <c r="G746" i="14"/>
  <c r="G745" i="14"/>
  <c r="G744" i="14"/>
  <c r="G743" i="14"/>
  <c r="G742" i="14"/>
  <c r="G741" i="14"/>
  <c r="G740" i="14"/>
  <c r="G739" i="14"/>
  <c r="G738" i="14"/>
  <c r="G737" i="14"/>
  <c r="G736" i="14"/>
  <c r="G735" i="14"/>
  <c r="G734" i="14"/>
  <c r="G733" i="14"/>
  <c r="G732" i="14"/>
  <c r="G731" i="14"/>
  <c r="G730" i="14"/>
  <c r="G729" i="14"/>
  <c r="G728" i="14"/>
  <c r="G727" i="14"/>
  <c r="G726" i="14"/>
  <c r="G725" i="14"/>
  <c r="G724" i="14"/>
  <c r="G723" i="14"/>
  <c r="G722" i="14"/>
  <c r="G721" i="14"/>
  <c r="G720" i="14"/>
  <c r="G719" i="14"/>
  <c r="G718" i="14"/>
  <c r="G717" i="14"/>
  <c r="G716" i="14"/>
  <c r="G715" i="14"/>
  <c r="G714" i="14"/>
  <c r="G713" i="14"/>
  <c r="G712" i="14"/>
  <c r="G711" i="14"/>
  <c r="G710" i="14"/>
  <c r="G709" i="14"/>
  <c r="G708" i="14"/>
  <c r="G707" i="14"/>
  <c r="G706" i="14"/>
  <c r="G705" i="14"/>
  <c r="G704" i="14"/>
  <c r="G703" i="14"/>
  <c r="G702" i="14"/>
  <c r="G701" i="14"/>
  <c r="G700" i="14"/>
  <c r="G699" i="14"/>
  <c r="G698" i="14"/>
  <c r="G697" i="14"/>
  <c r="G696" i="14"/>
  <c r="G695" i="14"/>
  <c r="G694" i="14"/>
  <c r="G693" i="14"/>
  <c r="G692" i="14"/>
  <c r="G691" i="14"/>
  <c r="G690" i="14"/>
  <c r="G689" i="14"/>
  <c r="G688" i="14"/>
  <c r="G687" i="14"/>
  <c r="G686" i="14"/>
  <c r="G685" i="14"/>
  <c r="G684" i="14"/>
  <c r="G683" i="14"/>
  <c r="G682" i="14"/>
  <c r="G681" i="14"/>
  <c r="G680" i="14"/>
  <c r="G679" i="14"/>
  <c r="G678" i="14"/>
  <c r="G677" i="14"/>
  <c r="G676" i="14"/>
  <c r="G675" i="14"/>
  <c r="G674" i="14"/>
  <c r="G673" i="14"/>
  <c r="G672" i="14"/>
  <c r="G671" i="14"/>
  <c r="G670" i="14"/>
  <c r="G669" i="14"/>
  <c r="G668" i="14"/>
  <c r="G667" i="14"/>
  <c r="G666" i="14"/>
  <c r="G665" i="14"/>
  <c r="G664" i="14"/>
  <c r="G663" i="14"/>
  <c r="G662" i="14"/>
  <c r="G661" i="14"/>
  <c r="G660" i="14"/>
  <c r="G659" i="14"/>
  <c r="G658" i="14"/>
  <c r="G657" i="14"/>
  <c r="G656" i="14"/>
  <c r="G655" i="14"/>
  <c r="G654" i="14"/>
  <c r="G653" i="14"/>
  <c r="G652" i="14"/>
  <c r="G651" i="14"/>
  <c r="G650" i="14"/>
  <c r="G649" i="14"/>
  <c r="G648" i="14"/>
  <c r="G647" i="14"/>
  <c r="G646" i="14"/>
  <c r="G645" i="14"/>
  <c r="G644" i="14"/>
  <c r="G643" i="14"/>
  <c r="G642" i="14"/>
  <c r="G641" i="14"/>
  <c r="G640" i="14"/>
  <c r="G639" i="14"/>
  <c r="G638" i="14"/>
  <c r="G637" i="14"/>
  <c r="G636" i="14"/>
  <c r="G635" i="14"/>
  <c r="G634" i="14"/>
  <c r="G633" i="14"/>
  <c r="G632" i="14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G618" i="14"/>
  <c r="G617" i="14"/>
  <c r="G616" i="14"/>
  <c r="G615" i="14"/>
  <c r="G614" i="14"/>
  <c r="G613" i="14"/>
  <c r="G612" i="14"/>
  <c r="G611" i="14"/>
  <c r="G610" i="14"/>
  <c r="G609" i="14"/>
  <c r="G608" i="14"/>
  <c r="G607" i="14"/>
  <c r="G606" i="14"/>
  <c r="G605" i="14"/>
  <c r="G604" i="14"/>
  <c r="G603" i="14"/>
  <c r="G602" i="14"/>
  <c r="G601" i="14"/>
  <c r="G600" i="14"/>
  <c r="G599" i="14"/>
  <c r="G598" i="14"/>
  <c r="G597" i="14"/>
  <c r="G596" i="14"/>
  <c r="G595" i="14"/>
  <c r="G594" i="14"/>
  <c r="G593" i="14"/>
  <c r="G592" i="14"/>
  <c r="G591" i="14"/>
  <c r="G590" i="14"/>
  <c r="G589" i="14"/>
  <c r="G588" i="14"/>
  <c r="G587" i="14"/>
  <c r="G586" i="14"/>
  <c r="G585" i="14"/>
  <c r="G584" i="14"/>
  <c r="G583" i="14"/>
  <c r="G582" i="14"/>
  <c r="G581" i="14"/>
  <c r="G580" i="14"/>
  <c r="G579" i="14"/>
  <c r="G578" i="14"/>
  <c r="G577" i="14"/>
  <c r="G576" i="14"/>
  <c r="G575" i="14"/>
  <c r="G574" i="14"/>
  <c r="G573" i="14"/>
  <c r="G572" i="14"/>
  <c r="G571" i="14"/>
  <c r="G570" i="14"/>
  <c r="G569" i="14"/>
  <c r="G568" i="14"/>
  <c r="G567" i="14"/>
  <c r="G566" i="14"/>
  <c r="G565" i="14"/>
  <c r="G564" i="14"/>
  <c r="G563" i="14"/>
  <c r="G562" i="14"/>
  <c r="G561" i="14"/>
  <c r="G560" i="14"/>
  <c r="G559" i="14"/>
  <c r="G558" i="14"/>
  <c r="G557" i="14"/>
  <c r="G556" i="14"/>
  <c r="G555" i="14"/>
  <c r="G554" i="14"/>
  <c r="G553" i="14"/>
  <c r="G552" i="14"/>
  <c r="G551" i="14"/>
  <c r="G550" i="14"/>
  <c r="G549" i="14"/>
  <c r="G548" i="14"/>
  <c r="G547" i="14"/>
  <c r="G546" i="14"/>
  <c r="G545" i="14"/>
  <c r="G544" i="14"/>
  <c r="G543" i="14"/>
  <c r="G542" i="14"/>
  <c r="G541" i="14"/>
  <c r="G540" i="14"/>
  <c r="G539" i="14"/>
  <c r="G538" i="14"/>
  <c r="G537" i="14"/>
  <c r="G536" i="14"/>
  <c r="G535" i="14"/>
  <c r="G534" i="14"/>
  <c r="G533" i="14"/>
  <c r="G532" i="14"/>
  <c r="G531" i="14"/>
  <c r="G530" i="14"/>
  <c r="G529" i="14"/>
  <c r="G528" i="14"/>
  <c r="G527" i="14"/>
  <c r="G526" i="14"/>
  <c r="G525" i="14"/>
  <c r="G524" i="14"/>
  <c r="G523" i="14"/>
  <c r="G522" i="14"/>
  <c r="G521" i="14"/>
  <c r="G520" i="14"/>
  <c r="G519" i="14"/>
  <c r="G518" i="14"/>
  <c r="G517" i="14"/>
  <c r="G516" i="14"/>
  <c r="G515" i="14"/>
  <c r="G514" i="14"/>
  <c r="G513" i="14"/>
  <c r="G512" i="14"/>
  <c r="G511" i="14"/>
  <c r="G510" i="14"/>
  <c r="G509" i="14"/>
  <c r="G508" i="14"/>
  <c r="G507" i="14"/>
  <c r="G506" i="14"/>
  <c r="G505" i="14"/>
  <c r="G504" i="14"/>
  <c r="G503" i="14"/>
  <c r="G502" i="14"/>
  <c r="G501" i="14"/>
  <c r="G500" i="14"/>
  <c r="G499" i="14"/>
  <c r="G498" i="14"/>
  <c r="G497" i="14"/>
  <c r="G496" i="14"/>
  <c r="G495" i="14"/>
  <c r="G494" i="14"/>
  <c r="G493" i="14"/>
  <c r="G492" i="14"/>
  <c r="G491" i="14"/>
  <c r="G490" i="14"/>
  <c r="G489" i="14"/>
  <c r="G488" i="14"/>
  <c r="G487" i="14"/>
  <c r="G486" i="14"/>
  <c r="G485" i="14"/>
  <c r="G484" i="14"/>
  <c r="G483" i="14"/>
  <c r="G482" i="14"/>
  <c r="G481" i="14"/>
  <c r="G480" i="14"/>
  <c r="G479" i="14"/>
  <c r="G478" i="14"/>
  <c r="G477" i="14"/>
  <c r="G476" i="14"/>
  <c r="G475" i="14"/>
  <c r="G474" i="14"/>
  <c r="G473" i="14"/>
  <c r="G472" i="14"/>
  <c r="G471" i="14"/>
  <c r="G470" i="14"/>
  <c r="G469" i="14"/>
  <c r="G468" i="14"/>
  <c r="G467" i="14"/>
  <c r="G466" i="14"/>
  <c r="G465" i="14"/>
  <c r="G464" i="14"/>
  <c r="G463" i="14"/>
  <c r="G462" i="14"/>
  <c r="G461" i="14"/>
  <c r="G460" i="14"/>
  <c r="G459" i="14"/>
  <c r="G458" i="14"/>
  <c r="G457" i="14"/>
  <c r="G456" i="14"/>
  <c r="G455" i="14"/>
  <c r="G454" i="14"/>
  <c r="G453" i="14"/>
  <c r="G452" i="14"/>
  <c r="G451" i="14"/>
  <c r="G450" i="14"/>
  <c r="G449" i="14"/>
  <c r="G448" i="14"/>
  <c r="G447" i="14"/>
  <c r="G446" i="14"/>
  <c r="G445" i="14"/>
  <c r="G444" i="14"/>
  <c r="G443" i="14"/>
  <c r="G442" i="14"/>
  <c r="G441" i="14"/>
  <c r="G440" i="14"/>
  <c r="G439" i="14"/>
  <c r="G438" i="14"/>
  <c r="G437" i="14"/>
  <c r="G436" i="14"/>
  <c r="G435" i="14"/>
  <c r="G434" i="14"/>
  <c r="G433" i="14"/>
  <c r="G432" i="14"/>
  <c r="G431" i="14"/>
  <c r="G430" i="14"/>
  <c r="G429" i="14"/>
  <c r="G428" i="14"/>
  <c r="G427" i="14"/>
  <c r="G426" i="14"/>
  <c r="G425" i="14"/>
  <c r="G424" i="14"/>
  <c r="G423" i="14"/>
  <c r="G422" i="14"/>
  <c r="G421" i="14"/>
  <c r="G420" i="14"/>
  <c r="G419" i="14"/>
  <c r="G418" i="14"/>
  <c r="G417" i="14"/>
  <c r="G416" i="14"/>
  <c r="G415" i="14"/>
  <c r="G414" i="14"/>
  <c r="G413" i="14"/>
  <c r="G412" i="14"/>
  <c r="G411" i="14"/>
  <c r="G410" i="14"/>
  <c r="G409" i="14"/>
  <c r="G408" i="14"/>
  <c r="G407" i="14"/>
  <c r="G406" i="14"/>
  <c r="G405" i="14"/>
  <c r="G404" i="14"/>
  <c r="G403" i="14"/>
  <c r="G402" i="14"/>
  <c r="G401" i="14"/>
  <c r="G400" i="14"/>
  <c r="G399" i="14"/>
  <c r="G398" i="14"/>
  <c r="G397" i="14"/>
  <c r="G396" i="14"/>
  <c r="G395" i="14"/>
  <c r="G394" i="14"/>
  <c r="G393" i="14"/>
  <c r="G392" i="14"/>
  <c r="G391" i="14"/>
  <c r="G390" i="14"/>
  <c r="G389" i="14"/>
  <c r="G388" i="14"/>
  <c r="G387" i="14"/>
  <c r="G386" i="14"/>
  <c r="G385" i="14"/>
  <c r="G384" i="14"/>
  <c r="G383" i="14"/>
  <c r="G382" i="14"/>
  <c r="G381" i="14"/>
  <c r="G380" i="14"/>
  <c r="G379" i="14"/>
  <c r="G378" i="14"/>
  <c r="G377" i="14"/>
  <c r="G376" i="14"/>
  <c r="G375" i="14"/>
  <c r="G374" i="14"/>
  <c r="G373" i="14"/>
  <c r="G372" i="14"/>
  <c r="G371" i="14"/>
  <c r="G370" i="14"/>
  <c r="G369" i="14"/>
  <c r="G368" i="14"/>
  <c r="G367" i="14"/>
  <c r="G366" i="14"/>
  <c r="G365" i="14"/>
  <c r="G364" i="14"/>
  <c r="G363" i="14"/>
  <c r="G362" i="14"/>
  <c r="G361" i="14"/>
  <c r="G360" i="14"/>
  <c r="G359" i="14"/>
  <c r="G358" i="14"/>
  <c r="G357" i="14"/>
  <c r="G356" i="14"/>
  <c r="G355" i="14"/>
  <c r="G354" i="14"/>
  <c r="G353" i="14"/>
  <c r="G352" i="14"/>
  <c r="G351" i="14"/>
  <c r="G350" i="14"/>
  <c r="G349" i="14"/>
  <c r="G348" i="14"/>
  <c r="G347" i="14"/>
  <c r="G346" i="14"/>
  <c r="G345" i="14"/>
  <c r="G344" i="14"/>
  <c r="G343" i="14"/>
  <c r="G342" i="14"/>
  <c r="G341" i="14"/>
  <c r="G340" i="14"/>
  <c r="G339" i="14"/>
  <c r="G338" i="14"/>
  <c r="G337" i="14"/>
  <c r="G336" i="14"/>
  <c r="G335" i="14"/>
  <c r="G334" i="14"/>
  <c r="G333" i="14"/>
  <c r="G332" i="14"/>
  <c r="G331" i="14"/>
  <c r="G330" i="14"/>
  <c r="G329" i="14"/>
  <c r="G328" i="14"/>
  <c r="G327" i="14"/>
  <c r="G326" i="14"/>
  <c r="G325" i="14"/>
  <c r="G324" i="14"/>
  <c r="G323" i="14"/>
  <c r="G322" i="14"/>
  <c r="G321" i="14"/>
  <c r="G320" i="14"/>
  <c r="G319" i="14"/>
  <c r="G318" i="14"/>
  <c r="G317" i="14"/>
  <c r="G316" i="14"/>
  <c r="G315" i="14"/>
  <c r="G314" i="14"/>
  <c r="G313" i="14"/>
  <c r="G312" i="14"/>
  <c r="G311" i="14"/>
  <c r="G310" i="14"/>
  <c r="G309" i="14"/>
  <c r="G308" i="14"/>
  <c r="G307" i="14"/>
  <c r="G306" i="14"/>
  <c r="G305" i="14"/>
  <c r="G304" i="14"/>
  <c r="G303" i="14"/>
  <c r="G302" i="14"/>
  <c r="G301" i="14"/>
  <c r="G300" i="14"/>
  <c r="G299" i="14"/>
  <c r="G298" i="14"/>
  <c r="G297" i="14"/>
  <c r="G296" i="14"/>
  <c r="G295" i="14"/>
  <c r="G294" i="14"/>
  <c r="G293" i="14"/>
  <c r="G292" i="14"/>
  <c r="G291" i="14"/>
  <c r="G290" i="14"/>
  <c r="G289" i="14"/>
  <c r="G288" i="14"/>
  <c r="G287" i="14"/>
  <c r="G286" i="14"/>
  <c r="G285" i="14"/>
  <c r="G284" i="14"/>
  <c r="G283" i="14"/>
  <c r="G282" i="14"/>
  <c r="G281" i="14"/>
  <c r="G280" i="14"/>
  <c r="G279" i="14"/>
  <c r="G278" i="14"/>
  <c r="G277" i="14"/>
  <c r="G276" i="14"/>
  <c r="G275" i="14"/>
  <c r="G274" i="14"/>
  <c r="G273" i="14"/>
  <c r="G272" i="14"/>
  <c r="G271" i="14"/>
  <c r="G270" i="14"/>
  <c r="G269" i="14"/>
  <c r="G268" i="14"/>
  <c r="G267" i="14"/>
  <c r="G266" i="14"/>
  <c r="G265" i="14"/>
  <c r="G264" i="14"/>
  <c r="G263" i="14"/>
  <c r="G262" i="14"/>
  <c r="G261" i="14"/>
  <c r="G260" i="14"/>
  <c r="G259" i="14"/>
  <c r="G258" i="14"/>
  <c r="G257" i="14"/>
  <c r="G256" i="14"/>
  <c r="G255" i="14"/>
  <c r="G254" i="14"/>
  <c r="G253" i="14"/>
  <c r="G252" i="14"/>
  <c r="G251" i="14"/>
  <c r="G250" i="14"/>
  <c r="G249" i="14"/>
  <c r="G248" i="14"/>
  <c r="G247" i="14"/>
  <c r="G246" i="14"/>
  <c r="G245" i="14"/>
  <c r="G244" i="14"/>
  <c r="G243" i="14"/>
  <c r="G242" i="14"/>
  <c r="G241" i="14"/>
  <c r="G240" i="14"/>
  <c r="G239" i="14"/>
  <c r="G238" i="14"/>
  <c r="G237" i="14"/>
  <c r="G236" i="14"/>
  <c r="G235" i="14"/>
  <c r="G234" i="14"/>
  <c r="G233" i="14"/>
  <c r="G232" i="14"/>
  <c r="G231" i="14"/>
  <c r="G230" i="14"/>
  <c r="G229" i="14"/>
  <c r="G228" i="14"/>
  <c r="G227" i="14"/>
  <c r="G226" i="14"/>
  <c r="G225" i="14"/>
  <c r="G224" i="14"/>
  <c r="G223" i="14"/>
  <c r="G222" i="14"/>
  <c r="G221" i="14"/>
  <c r="G220" i="14"/>
  <c r="G219" i="14"/>
  <c r="G218" i="14"/>
  <c r="G217" i="14"/>
  <c r="G216" i="14"/>
  <c r="G215" i="14"/>
  <c r="G214" i="14"/>
  <c r="G213" i="14"/>
  <c r="G212" i="14"/>
  <c r="G211" i="14"/>
  <c r="G210" i="14"/>
  <c r="G209" i="14"/>
  <c r="G208" i="14"/>
  <c r="G207" i="14"/>
  <c r="G206" i="14"/>
  <c r="G205" i="14"/>
  <c r="G204" i="14"/>
  <c r="G203" i="14"/>
  <c r="G202" i="14"/>
  <c r="G201" i="14"/>
  <c r="G200" i="14"/>
  <c r="G199" i="14"/>
  <c r="G198" i="14"/>
  <c r="G197" i="14"/>
  <c r="G196" i="14"/>
  <c r="G195" i="14"/>
  <c r="G194" i="14"/>
  <c r="G193" i="14"/>
  <c r="G192" i="14"/>
  <c r="G191" i="14"/>
  <c r="G190" i="14"/>
  <c r="G189" i="14"/>
  <c r="G188" i="14"/>
  <c r="G187" i="14"/>
  <c r="G186" i="14"/>
  <c r="G185" i="14"/>
  <c r="G184" i="14"/>
  <c r="G183" i="14"/>
  <c r="G182" i="14"/>
  <c r="G181" i="14"/>
  <c r="G180" i="14"/>
  <c r="G179" i="14"/>
  <c r="G178" i="14"/>
  <c r="G177" i="14"/>
  <c r="G176" i="14"/>
  <c r="G175" i="14"/>
  <c r="G174" i="14"/>
  <c r="G173" i="14"/>
  <c r="G172" i="14"/>
  <c r="G171" i="14"/>
  <c r="G170" i="14"/>
  <c r="G169" i="14"/>
  <c r="G168" i="14"/>
  <c r="G167" i="14"/>
  <c r="G166" i="14"/>
  <c r="G165" i="14"/>
  <c r="G164" i="14"/>
  <c r="G163" i="14"/>
  <c r="G162" i="14"/>
  <c r="G161" i="14"/>
  <c r="G160" i="14"/>
  <c r="G159" i="14"/>
  <c r="G158" i="14"/>
  <c r="G157" i="14"/>
  <c r="G156" i="14"/>
  <c r="G155" i="14"/>
  <c r="G154" i="14"/>
  <c r="G153" i="14"/>
  <c r="G152" i="14"/>
  <c r="G151" i="14"/>
  <c r="G150" i="14"/>
  <c r="G149" i="14"/>
  <c r="G148" i="14"/>
  <c r="G147" i="14"/>
  <c r="G146" i="14"/>
  <c r="G145" i="14"/>
  <c r="G144" i="14"/>
  <c r="G143" i="14"/>
  <c r="G142" i="14"/>
  <c r="G141" i="14"/>
  <c r="G140" i="14"/>
  <c r="G139" i="14"/>
  <c r="G138" i="14"/>
  <c r="G137" i="14"/>
  <c r="G136" i="14"/>
  <c r="G135" i="14"/>
  <c r="G134" i="14"/>
  <c r="G133" i="14"/>
  <c r="G132" i="14"/>
  <c r="G131" i="14"/>
  <c r="G130" i="14"/>
  <c r="G129" i="14"/>
  <c r="G128" i="14"/>
  <c r="G127" i="14"/>
  <c r="G126" i="14"/>
  <c r="G125" i="14"/>
  <c r="G124" i="14"/>
  <c r="G123" i="14"/>
  <c r="G122" i="14"/>
  <c r="G121" i="14"/>
  <c r="G120" i="14"/>
  <c r="G119" i="14"/>
  <c r="G118" i="14"/>
  <c r="G117" i="14"/>
  <c r="G116" i="14"/>
  <c r="G115" i="14"/>
  <c r="G114" i="14"/>
  <c r="G113" i="14"/>
  <c r="G112" i="14"/>
  <c r="G111" i="14"/>
  <c r="G110" i="14"/>
  <c r="G109" i="14"/>
  <c r="G108" i="14"/>
  <c r="G107" i="14"/>
  <c r="G106" i="14"/>
  <c r="G105" i="14"/>
  <c r="G104" i="14"/>
  <c r="G103" i="14"/>
  <c r="G102" i="14"/>
  <c r="G101" i="14"/>
  <c r="G100" i="14"/>
  <c r="G99" i="14"/>
  <c r="G98" i="14"/>
  <c r="G97" i="14"/>
  <c r="G96" i="14"/>
  <c r="G95" i="14"/>
  <c r="G94" i="14"/>
  <c r="G93" i="14"/>
  <c r="G92" i="14"/>
  <c r="G91" i="14"/>
  <c r="G90" i="14"/>
  <c r="G89" i="14"/>
  <c r="G88" i="14"/>
  <c r="G87" i="14"/>
  <c r="G86" i="14"/>
  <c r="G85" i="14"/>
  <c r="G84" i="14"/>
  <c r="G83" i="14"/>
  <c r="G82" i="14"/>
  <c r="G81" i="14"/>
  <c r="G80" i="14"/>
  <c r="G79" i="14"/>
  <c r="G78" i="14"/>
  <c r="G77" i="14"/>
  <c r="G76" i="14"/>
  <c r="G75" i="14"/>
  <c r="G74" i="14"/>
  <c r="G73" i="14"/>
  <c r="G72" i="14"/>
  <c r="G71" i="14"/>
  <c r="G70" i="14"/>
  <c r="G69" i="14"/>
  <c r="G68" i="14"/>
  <c r="G67" i="14"/>
  <c r="G66" i="14"/>
  <c r="G65" i="14"/>
  <c r="G64" i="14"/>
  <c r="G63" i="14"/>
  <c r="G62" i="14"/>
  <c r="G61" i="14"/>
  <c r="G60" i="14"/>
  <c r="G59" i="14"/>
  <c r="G58" i="14"/>
  <c r="G57" i="14"/>
  <c r="G56" i="14"/>
  <c r="G55" i="14"/>
  <c r="G54" i="14"/>
  <c r="G53" i="14"/>
  <c r="G52" i="14"/>
  <c r="G50" i="14"/>
  <c r="G49" i="14"/>
  <c r="G48" i="14"/>
  <c r="G47" i="14"/>
  <c r="G46" i="14"/>
  <c r="G45" i="14"/>
  <c r="G44" i="14"/>
  <c r="G43" i="14"/>
  <c r="G42" i="14"/>
  <c r="G41" i="14"/>
  <c r="G40" i="14"/>
  <c r="G39" i="14"/>
  <c r="G38" i="14"/>
  <c r="G37" i="14"/>
  <c r="G36" i="14"/>
  <c r="G35" i="14"/>
  <c r="G34" i="14"/>
  <c r="G33" i="14"/>
  <c r="G32" i="14"/>
  <c r="G31" i="14"/>
  <c r="G30" i="14"/>
  <c r="G29" i="14"/>
  <c r="G28" i="14"/>
  <c r="G27" i="14"/>
  <c r="G26" i="14"/>
  <c r="G25" i="14"/>
  <c r="G24" i="14"/>
  <c r="G23" i="14"/>
  <c r="G22" i="14"/>
  <c r="G21" i="14"/>
  <c r="G20" i="14"/>
  <c r="G19" i="14"/>
  <c r="G18" i="14"/>
  <c r="G17" i="14"/>
  <c r="G16" i="14"/>
  <c r="G15" i="14"/>
  <c r="G14" i="14"/>
  <c r="G13" i="14"/>
  <c r="G12" i="14"/>
  <c r="G11" i="14"/>
  <c r="G10" i="14"/>
  <c r="G9" i="14"/>
  <c r="G8" i="14"/>
  <c r="G7" i="14"/>
  <c r="G6" i="14"/>
  <c r="G5" i="14"/>
  <c r="G4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tc={8E02EBBF-88E9-FE48-8FFC-5C1A0FD49FAB}</author>
  </authors>
  <commentList>
    <comment ref="I3" authorId="0" shapeId="0" xr:uid="{8E02EBBF-88E9-FE48-8FFC-5C1A0FD49FAB}">
      <text>
        <t>[Threaded comment]
Your version of Excel allows you to read this threaded comment; however, any edits to it will get removed if the file is opened in a newer version of Excel. Learn more: https://go.microsoft.com/fwlink/?linkid=870924
Comment:
    Apparent maximum crystal dimension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tc={3CF4174B-3525-E848-A57D-D352526AF288}</author>
    <author>Microsoft Office User</author>
  </authors>
  <commentList>
    <comment ref="AH3" authorId="0" shapeId="0" xr:uid="{3CF4174B-3525-E848-A57D-D352526AF288}">
      <text>
        <t>[Threaded comment]
Your version of Excel allows you to read this threaded comment; however, any edits to it will get removed if the file is opened in a newer version of Excel. Learn more: https://go.microsoft.com/fwlink/?linkid=870924
Comment:
    Present/absent (1/0)</t>
      </text>
    </comment>
    <comment ref="AI154" authorId="1" shapeId="0" xr:uid="{DD90C5C3-28ED-BC4E-8C2F-E2A9F6162D35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infilled skeletal void?</t>
        </r>
      </text>
    </comment>
  </commentList>
</comments>
</file>

<file path=xl/sharedStrings.xml><?xml version="1.0" encoding="utf-8"?>
<sst xmlns="http://schemas.openxmlformats.org/spreadsheetml/2006/main" count="22025" uniqueCount="850">
  <si>
    <t>a</t>
  </si>
  <si>
    <t>b</t>
  </si>
  <si>
    <t>c</t>
  </si>
  <si>
    <t>d</t>
  </si>
  <si>
    <t>e</t>
  </si>
  <si>
    <t>f</t>
  </si>
  <si>
    <t>o</t>
  </si>
  <si>
    <t>p</t>
  </si>
  <si>
    <t>z</t>
  </si>
  <si>
    <t>Attached comp. size range</t>
  </si>
  <si>
    <t>Mineral inclusion</t>
  </si>
  <si>
    <t>Zoning</t>
  </si>
  <si>
    <t xml:space="preserve">Quench rim </t>
  </si>
  <si>
    <t>Resorption</t>
  </si>
  <si>
    <t>Surface attachement</t>
  </si>
  <si>
    <t>Plag</t>
  </si>
  <si>
    <t>Olivine</t>
  </si>
  <si>
    <t>CPX</t>
  </si>
  <si>
    <t>Spn</t>
  </si>
  <si>
    <t>Phase</t>
  </si>
  <si>
    <t>Core</t>
  </si>
  <si>
    <t>Mantle</t>
  </si>
  <si>
    <t>M1</t>
  </si>
  <si>
    <t>M2</t>
  </si>
  <si>
    <t>Rim</t>
  </si>
  <si>
    <t>Quench</t>
  </si>
  <si>
    <t>Melt inclusion quench</t>
  </si>
  <si>
    <t>Melt inclusion rim</t>
  </si>
  <si>
    <t>Patchy core</t>
  </si>
  <si>
    <t>Skeletal core</t>
  </si>
  <si>
    <t>Patch</t>
  </si>
  <si>
    <t>Inclusion</t>
  </si>
  <si>
    <t>Site</t>
  </si>
  <si>
    <t>Sample</t>
  </si>
  <si>
    <t>Crystal</t>
  </si>
  <si>
    <t>Component</t>
  </si>
  <si>
    <t>Longitude</t>
  </si>
  <si>
    <t>Habit</t>
  </si>
  <si>
    <t>code</t>
  </si>
  <si>
    <t>Water depth (m)</t>
  </si>
  <si>
    <t>Size (μm)</t>
  </si>
  <si>
    <t>Aspect ratio</t>
  </si>
  <si>
    <t>Eu-An</t>
  </si>
  <si>
    <t xml:space="preserve">Oscillatory </t>
  </si>
  <si>
    <t>Patchy</t>
  </si>
  <si>
    <t xml:space="preserve">Normal </t>
  </si>
  <si>
    <t>Reverse</t>
  </si>
  <si>
    <t>Sector</t>
  </si>
  <si>
    <t>width (μm)</t>
  </si>
  <si>
    <t>Stages</t>
  </si>
  <si>
    <t>Extent</t>
  </si>
  <si>
    <t xml:space="preserve">Zoning after </t>
  </si>
  <si>
    <t>Mi %</t>
  </si>
  <si>
    <t xml:space="preserve">Min </t>
  </si>
  <si>
    <t>Max</t>
  </si>
  <si>
    <t>Min</t>
  </si>
  <si>
    <t>Fresh</t>
  </si>
  <si>
    <t># inclusions</t>
  </si>
  <si>
    <t>Groundmass  (μm)</t>
  </si>
  <si>
    <t>C1</t>
  </si>
  <si>
    <t>C2</t>
  </si>
  <si>
    <t>C3</t>
  </si>
  <si>
    <t>C5</t>
  </si>
  <si>
    <t>R2</t>
  </si>
  <si>
    <t>P1</t>
  </si>
  <si>
    <t>P2</t>
  </si>
  <si>
    <t>P3</t>
  </si>
  <si>
    <t>P4</t>
  </si>
  <si>
    <t>P5</t>
  </si>
  <si>
    <t>P6</t>
  </si>
  <si>
    <t>C</t>
  </si>
  <si>
    <t>M</t>
  </si>
  <si>
    <t>R</t>
  </si>
  <si>
    <t>P10</t>
  </si>
  <si>
    <t>P7</t>
  </si>
  <si>
    <t>P8</t>
  </si>
  <si>
    <t>P9</t>
  </si>
  <si>
    <t>HLY0102-D12-1</t>
  </si>
  <si>
    <t>&lt;1</t>
  </si>
  <si>
    <t>HLY0102-D12-4</t>
  </si>
  <si>
    <t xml:space="preserve">P10 </t>
  </si>
  <si>
    <t>P11</t>
  </si>
  <si>
    <t>HLY0102-D12-6</t>
  </si>
  <si>
    <t>HLY0102-D13-3</t>
  </si>
  <si>
    <t>HLY0102-D14-4</t>
  </si>
  <si>
    <t>Hly0102-D15-6</t>
  </si>
  <si>
    <t>HLY0102-D15-7</t>
  </si>
  <si>
    <t>P12</t>
  </si>
  <si>
    <t>P13</t>
  </si>
  <si>
    <t>P3+Ol</t>
  </si>
  <si>
    <t>PS59-222-1</t>
  </si>
  <si>
    <t>P14-Ol</t>
  </si>
  <si>
    <t>P15</t>
  </si>
  <si>
    <t>P16</t>
  </si>
  <si>
    <t>P18</t>
  </si>
  <si>
    <t>P19</t>
  </si>
  <si>
    <t>P20</t>
  </si>
  <si>
    <t>P21</t>
  </si>
  <si>
    <t>P22</t>
  </si>
  <si>
    <t>P23</t>
  </si>
  <si>
    <t>P24</t>
  </si>
  <si>
    <t>P28</t>
  </si>
  <si>
    <t>P29</t>
  </si>
  <si>
    <t>P30</t>
  </si>
  <si>
    <t>P33</t>
  </si>
  <si>
    <t>P34</t>
  </si>
  <si>
    <t>P36</t>
  </si>
  <si>
    <t>P37</t>
  </si>
  <si>
    <t>P39</t>
  </si>
  <si>
    <t>PS59-222-12</t>
  </si>
  <si>
    <t>PS59-222-13</t>
  </si>
  <si>
    <t>P14</t>
  </si>
  <si>
    <t>P17</t>
  </si>
  <si>
    <t>P2-Ol</t>
  </si>
  <si>
    <t>P25</t>
  </si>
  <si>
    <t>PS59-222-14</t>
  </si>
  <si>
    <t>PS59-222-15</t>
  </si>
  <si>
    <t>P1-Ol</t>
  </si>
  <si>
    <t>P18-Ol</t>
  </si>
  <si>
    <t>P26</t>
  </si>
  <si>
    <t>P27</t>
  </si>
  <si>
    <t>P7-Ol</t>
  </si>
  <si>
    <t>PS59-222-4</t>
  </si>
  <si>
    <t>PS59-222-4a</t>
  </si>
  <si>
    <t xml:space="preserve">                                                                                </t>
  </si>
  <si>
    <t>PS59-223-25</t>
  </si>
  <si>
    <t>C9</t>
  </si>
  <si>
    <t>PS59-297-1</t>
  </si>
  <si>
    <t>PS59-297-45</t>
  </si>
  <si>
    <t>Clot22</t>
  </si>
  <si>
    <t>Clot15</t>
  </si>
  <si>
    <t>Clot13</t>
  </si>
  <si>
    <t>Clot1</t>
  </si>
  <si>
    <t>PS59-297-46</t>
  </si>
  <si>
    <t>Pext1</t>
  </si>
  <si>
    <t>Pext3</t>
  </si>
  <si>
    <t>PS59-299-6</t>
  </si>
  <si>
    <t>PS59-299-9</t>
  </si>
  <si>
    <t>PS59-299-11</t>
  </si>
  <si>
    <t>HLY0102-D48-SGA</t>
  </si>
  <si>
    <t>Glass</t>
  </si>
  <si>
    <t>HLY0102-D48-SGB</t>
  </si>
  <si>
    <t>P14b</t>
  </si>
  <si>
    <t xml:space="preserve">Glass </t>
  </si>
  <si>
    <t>CLot4</t>
  </si>
  <si>
    <t>CLot10</t>
  </si>
  <si>
    <t>PS59-310-1-2</t>
  </si>
  <si>
    <t>P31</t>
  </si>
  <si>
    <t>P32</t>
  </si>
  <si>
    <t>P35</t>
  </si>
  <si>
    <t>P38</t>
  </si>
  <si>
    <t>P40</t>
  </si>
  <si>
    <t>P41</t>
  </si>
  <si>
    <t>P42</t>
  </si>
  <si>
    <t>P43</t>
  </si>
  <si>
    <t>P44</t>
  </si>
  <si>
    <t>P45</t>
  </si>
  <si>
    <t>P47</t>
  </si>
  <si>
    <t>P48</t>
  </si>
  <si>
    <t>P49</t>
  </si>
  <si>
    <t>P50</t>
  </si>
  <si>
    <t>P51</t>
  </si>
  <si>
    <t>P52</t>
  </si>
  <si>
    <t>P53</t>
  </si>
  <si>
    <t>P54</t>
  </si>
  <si>
    <t>P55</t>
  </si>
  <si>
    <t>P59</t>
  </si>
  <si>
    <t>Clot2</t>
  </si>
  <si>
    <t>Clot3</t>
  </si>
  <si>
    <t>CLot6+Ol4</t>
  </si>
  <si>
    <t>P1-slide2</t>
  </si>
  <si>
    <t>P12b</t>
  </si>
  <si>
    <t>P12b-HR</t>
  </si>
  <si>
    <t>P14+Ol8</t>
  </si>
  <si>
    <t>Clot5</t>
  </si>
  <si>
    <t>Clo12</t>
  </si>
  <si>
    <t>Clot25</t>
  </si>
  <si>
    <t>Clot26</t>
  </si>
  <si>
    <t>Clot28</t>
  </si>
  <si>
    <t>P5+Ol9</t>
  </si>
  <si>
    <t>p11</t>
  </si>
  <si>
    <t>P43b</t>
  </si>
  <si>
    <t>P46</t>
  </si>
  <si>
    <t>HLY0102-D95-11</t>
  </si>
  <si>
    <t>HLY0102-D64-28</t>
  </si>
  <si>
    <t>HLY0102-D64-31</t>
  </si>
  <si>
    <t>HLY0102-D66-32</t>
  </si>
  <si>
    <t>P25b</t>
  </si>
  <si>
    <t>PS59-242-11</t>
  </si>
  <si>
    <t>CLot1</t>
  </si>
  <si>
    <t>Clot9</t>
  </si>
  <si>
    <t>P4b</t>
  </si>
  <si>
    <t>P4a</t>
  </si>
  <si>
    <t>PS59-242-12</t>
  </si>
  <si>
    <t>Clot10</t>
  </si>
  <si>
    <t>Clot24</t>
  </si>
  <si>
    <t>PE1</t>
  </si>
  <si>
    <t>PE2</t>
  </si>
  <si>
    <t>PS59-242-15</t>
  </si>
  <si>
    <t>Clot4</t>
  </si>
  <si>
    <t>CLot8</t>
  </si>
  <si>
    <t>Clot14</t>
  </si>
  <si>
    <t>Clot17</t>
  </si>
  <si>
    <t>Clot20</t>
  </si>
  <si>
    <t>Clot21</t>
  </si>
  <si>
    <t>PS59-242-3</t>
  </si>
  <si>
    <t>Clot7</t>
  </si>
  <si>
    <t>PS59-242-32</t>
  </si>
  <si>
    <t>CLot2</t>
  </si>
  <si>
    <t>Clot13 (P)</t>
  </si>
  <si>
    <t>CLot15</t>
  </si>
  <si>
    <t>Clot16</t>
  </si>
  <si>
    <t>Clot21 (P)</t>
  </si>
  <si>
    <t>CLot28</t>
  </si>
  <si>
    <t>HLY0102-D36-13</t>
  </si>
  <si>
    <t>P2b (SE)</t>
  </si>
  <si>
    <t>P3(SE)</t>
  </si>
  <si>
    <t>HLY0102-D36-16</t>
  </si>
  <si>
    <t>HLY0102-D36-4</t>
  </si>
  <si>
    <t>HLY0102-D38-16</t>
  </si>
  <si>
    <t>HLY0102-D38-24</t>
  </si>
  <si>
    <t>HLY0102-D38-8</t>
  </si>
  <si>
    <t>Ol4-Pl1</t>
  </si>
  <si>
    <t>HLY0102-D27-13</t>
  </si>
  <si>
    <t xml:space="preserve">P1 </t>
  </si>
  <si>
    <t>P56</t>
  </si>
  <si>
    <t>P57</t>
  </si>
  <si>
    <t>P58</t>
  </si>
  <si>
    <t>P60</t>
  </si>
  <si>
    <t>P63</t>
  </si>
  <si>
    <t>P64</t>
  </si>
  <si>
    <t>HLY0102-D27-15</t>
  </si>
  <si>
    <t>Pl17</t>
  </si>
  <si>
    <t>Pl19</t>
  </si>
  <si>
    <t>Pl26</t>
  </si>
  <si>
    <t>Pl29</t>
  </si>
  <si>
    <t>Pl30</t>
  </si>
  <si>
    <t>Pl32</t>
  </si>
  <si>
    <t>Pl33</t>
  </si>
  <si>
    <t>Pl34</t>
  </si>
  <si>
    <t>Pl35</t>
  </si>
  <si>
    <t>Pl4</t>
  </si>
  <si>
    <t>Pl5</t>
  </si>
  <si>
    <t>Pl6</t>
  </si>
  <si>
    <t>Pl8</t>
  </si>
  <si>
    <t>Pl9</t>
  </si>
  <si>
    <t>HLY0102-D27-31-a</t>
  </si>
  <si>
    <t>Pl10</t>
  </si>
  <si>
    <t>Pl12</t>
  </si>
  <si>
    <t>Pl13</t>
  </si>
  <si>
    <t>Pl2</t>
  </si>
  <si>
    <t>Pl7</t>
  </si>
  <si>
    <t>HLY0102-D27-31-b</t>
  </si>
  <si>
    <t>Pl1</t>
  </si>
  <si>
    <t>Pl11</t>
  </si>
  <si>
    <t>Pl14</t>
  </si>
  <si>
    <t>Pl3</t>
  </si>
  <si>
    <t>HLY0102-D27-8</t>
  </si>
  <si>
    <t>HLY0102-D26-11</t>
  </si>
  <si>
    <t>HLY0102-D26-8</t>
  </si>
  <si>
    <t>P13-MI</t>
  </si>
  <si>
    <t>Clot6</t>
  </si>
  <si>
    <t>P1+Clot1</t>
  </si>
  <si>
    <t>A</t>
  </si>
  <si>
    <t>B</t>
  </si>
  <si>
    <t>Clot5a</t>
  </si>
  <si>
    <t>P10+Ol4</t>
  </si>
  <si>
    <t>Clot17+P13</t>
  </si>
  <si>
    <t>P8+Ol6</t>
  </si>
  <si>
    <t>Clot4+P9</t>
  </si>
  <si>
    <t>p17</t>
  </si>
  <si>
    <t>z9</t>
  </si>
  <si>
    <t>P5+Ol1</t>
  </si>
  <si>
    <t>Clot1-Py3</t>
  </si>
  <si>
    <t>P12-Ol6</t>
  </si>
  <si>
    <t>P3b</t>
  </si>
  <si>
    <t>P8+Ol12</t>
  </si>
  <si>
    <t>P2b</t>
  </si>
  <si>
    <t>P5b</t>
  </si>
  <si>
    <t>P10+Ol2</t>
  </si>
  <si>
    <t>CLot13+P12</t>
  </si>
  <si>
    <t>P8b</t>
  </si>
  <si>
    <t>P24b</t>
  </si>
  <si>
    <t>1</t>
  </si>
  <si>
    <t>0</t>
  </si>
  <si>
    <t>Micro/Macro</t>
  </si>
  <si>
    <t>Macro</t>
  </si>
  <si>
    <t>Micro</t>
  </si>
  <si>
    <t>Location</t>
  </si>
  <si>
    <t>complexity</t>
  </si>
  <si>
    <t>Melt inclusion size  (μm)</t>
  </si>
  <si>
    <t>Attached component</t>
  </si>
  <si>
    <t>HLY0102-D49-3</t>
  </si>
  <si>
    <t>HLY0102-D95-10</t>
  </si>
  <si>
    <t>HLY0102-D95-7</t>
  </si>
  <si>
    <t>HLY0102-D50-14</t>
  </si>
  <si>
    <t>HLY0102-D23-5</t>
  </si>
  <si>
    <t>HLY0102-D18-7</t>
  </si>
  <si>
    <t>HLY0102-D18-6</t>
  </si>
  <si>
    <t>HLY0102-D18-1-B</t>
  </si>
  <si>
    <t>HLY0102-D21-4D</t>
  </si>
  <si>
    <t>HLY0102-D21-4B</t>
  </si>
  <si>
    <t>HLY0102-D21-1B</t>
  </si>
  <si>
    <t>HLY0102-D21-1-A</t>
  </si>
  <si>
    <t>HLY0102-D21-3</t>
  </si>
  <si>
    <t>HLY0102-D22-1</t>
  </si>
  <si>
    <t>HLY0102-D41-5</t>
  </si>
  <si>
    <t>HLY0102-D41-4</t>
  </si>
  <si>
    <t>HLY0102-D41-1</t>
  </si>
  <si>
    <t>HLY0102-D12-2</t>
  </si>
  <si>
    <t>HLY0102-D15-6</t>
  </si>
  <si>
    <t>PS59-229-33</t>
  </si>
  <si>
    <t>PS59-255-7</t>
  </si>
  <si>
    <t>PS59-255-5</t>
  </si>
  <si>
    <t>PS59-254-1</t>
  </si>
  <si>
    <t>PS59-253-1</t>
  </si>
  <si>
    <t>PS59-251-26</t>
  </si>
  <si>
    <t>PS59-251-1</t>
  </si>
  <si>
    <t>PS59-315-2B</t>
  </si>
  <si>
    <t>5°W AVR</t>
  </si>
  <si>
    <t>2°W AVR</t>
  </si>
  <si>
    <t>3°E Seamounts</t>
  </si>
  <si>
    <t>9°E Valley wall</t>
  </si>
  <si>
    <t>12°40'E AVR</t>
  </si>
  <si>
    <t>18°50'E Basement Ridge</t>
  </si>
  <si>
    <t>31°E Basement Ridge</t>
  </si>
  <si>
    <t>48°E Deep seafloor</t>
  </si>
  <si>
    <t>84°40'E Seamounts</t>
  </si>
  <si>
    <t>Code</t>
  </si>
  <si>
    <t>Plagioclase anorthite content</t>
  </si>
  <si>
    <t xml:space="preserve">Melt inclusion rim </t>
  </si>
  <si>
    <t>G</t>
  </si>
  <si>
    <t>C18</t>
  </si>
  <si>
    <t>C5aa</t>
  </si>
  <si>
    <t>An</t>
  </si>
  <si>
    <t>Eu-An range</t>
  </si>
  <si>
    <t>Component habit</t>
  </si>
  <si>
    <t>Component Zoning</t>
  </si>
  <si>
    <t>Component contact</t>
  </si>
  <si>
    <t>Component size range</t>
  </si>
  <si>
    <t>Surface attachment</t>
  </si>
  <si>
    <t>Structure</t>
  </si>
  <si>
    <t>Tabular</t>
  </si>
  <si>
    <t>Skeletal</t>
  </si>
  <si>
    <t>Acicular</t>
  </si>
  <si>
    <t xml:space="preserve">Resorbed </t>
  </si>
  <si>
    <t>Mi (%)</t>
  </si>
  <si>
    <t>Spinel</t>
  </si>
  <si>
    <t>Pyroxene</t>
  </si>
  <si>
    <t xml:space="preserve">Open </t>
  </si>
  <si>
    <t>Closed</t>
  </si>
  <si>
    <t>Pl28</t>
  </si>
  <si>
    <t>P62</t>
  </si>
  <si>
    <t>GLASS</t>
  </si>
  <si>
    <t>P2+Ol2</t>
  </si>
  <si>
    <t>Ol31b</t>
  </si>
  <si>
    <t>P13+ol6</t>
  </si>
  <si>
    <t>P15A</t>
  </si>
  <si>
    <t>Clo23</t>
  </si>
  <si>
    <t>P10+Ol17</t>
  </si>
  <si>
    <t>Oscillatory</t>
  </si>
  <si>
    <t>Normal</t>
  </si>
  <si>
    <t>Groundmass</t>
  </si>
  <si>
    <t>Contact</t>
  </si>
  <si>
    <t>Present/Absent</t>
  </si>
  <si>
    <t>Width (μm)</t>
  </si>
  <si>
    <t>Plagioclase</t>
  </si>
  <si>
    <t>Comp. contact</t>
  </si>
  <si>
    <t>Plg</t>
  </si>
  <si>
    <t>Olv</t>
  </si>
  <si>
    <t>CPx</t>
  </si>
  <si>
    <t>Mineral components</t>
  </si>
  <si>
    <t>Clinopyroxene</t>
  </si>
  <si>
    <t xml:space="preserve">Crystal </t>
  </si>
  <si>
    <t>Mx</t>
  </si>
  <si>
    <t>Sp</t>
  </si>
  <si>
    <t>Clot11</t>
  </si>
  <si>
    <t>Clot19</t>
  </si>
  <si>
    <t>Clot23</t>
  </si>
  <si>
    <t>Clot7MEGA</t>
  </si>
  <si>
    <t>Clot8-Pl-Py</t>
  </si>
  <si>
    <t>CLot11</t>
  </si>
  <si>
    <t>CLot12</t>
  </si>
  <si>
    <t>CLot13</t>
  </si>
  <si>
    <t>CLot14</t>
  </si>
  <si>
    <t>CLot16</t>
  </si>
  <si>
    <t>CLot17</t>
  </si>
  <si>
    <t>CLot18</t>
  </si>
  <si>
    <t>CLot3</t>
  </si>
  <si>
    <t>CLot5</t>
  </si>
  <si>
    <t>CLot6</t>
  </si>
  <si>
    <t>CLot7</t>
  </si>
  <si>
    <t>CLot9</t>
  </si>
  <si>
    <t>Clot12</t>
  </si>
  <si>
    <t>Clot18</t>
  </si>
  <si>
    <t>Clot8</t>
  </si>
  <si>
    <t>CLot4b</t>
  </si>
  <si>
    <t>CLot19</t>
  </si>
  <si>
    <t>Clo21</t>
  </si>
  <si>
    <t>centre</t>
  </si>
  <si>
    <t>CLot18b</t>
  </si>
  <si>
    <t>Clot8+P4</t>
  </si>
  <si>
    <t>Clot18b</t>
  </si>
  <si>
    <t>CLot22</t>
  </si>
  <si>
    <t>CLot23</t>
  </si>
  <si>
    <t>Clot27</t>
  </si>
  <si>
    <t>Clot29</t>
  </si>
  <si>
    <t>Clot30</t>
  </si>
  <si>
    <t>P10-Clot4</t>
  </si>
  <si>
    <t>Clo1</t>
  </si>
  <si>
    <t>P48b</t>
  </si>
  <si>
    <t>Clot27b</t>
  </si>
  <si>
    <t>Clot3b</t>
  </si>
  <si>
    <t>Pl18-CLot24</t>
  </si>
  <si>
    <t>Clot31</t>
  </si>
  <si>
    <t>Clot32</t>
  </si>
  <si>
    <t>CLot24</t>
  </si>
  <si>
    <t>CLot26</t>
  </si>
  <si>
    <t>CLot29</t>
  </si>
  <si>
    <t>CLot25</t>
  </si>
  <si>
    <t>P5-CLot11</t>
  </si>
  <si>
    <t>HLY0102-D38-10</t>
  </si>
  <si>
    <t>Clot1-Mi</t>
  </si>
  <si>
    <t>Ol1</t>
  </si>
  <si>
    <t>PS59-255-5A</t>
  </si>
  <si>
    <t>Clot2b</t>
  </si>
  <si>
    <t>HLY0102-D26-6</t>
  </si>
  <si>
    <t>Ol6-Sp2-Clot</t>
  </si>
  <si>
    <t xml:space="preserve">Clot1 </t>
  </si>
  <si>
    <t>Subhedral</t>
  </si>
  <si>
    <t>Habit code</t>
  </si>
  <si>
    <t>Glomerocryst</t>
  </si>
  <si>
    <t>Mineral inclusions</t>
  </si>
  <si>
    <t>37°E Random Basalt</t>
  </si>
  <si>
    <t>HLY0102-D18-1A</t>
  </si>
  <si>
    <t>HLY0102-D18-1B</t>
  </si>
  <si>
    <t>HLY0102-D48-SG-B</t>
  </si>
  <si>
    <t xml:space="preserve">Individual plagioclase classification </t>
  </si>
  <si>
    <t>See classification tab for classification tables</t>
  </si>
  <si>
    <t>Resorbed</t>
  </si>
  <si>
    <t>Euhedral</t>
  </si>
  <si>
    <t>Aanhedral</t>
  </si>
  <si>
    <t>Absent</t>
  </si>
  <si>
    <t>Present</t>
  </si>
  <si>
    <t xml:space="preserve">Skeletal </t>
  </si>
  <si>
    <t>Low intensity</t>
  </si>
  <si>
    <t>High intensity</t>
  </si>
  <si>
    <t xml:space="preserve">Component zoning </t>
  </si>
  <si>
    <t>Minor patches</t>
  </si>
  <si>
    <t>Presnt</t>
  </si>
  <si>
    <t>1 event</t>
  </si>
  <si>
    <t>2 event</t>
  </si>
  <si>
    <t>etc</t>
  </si>
  <si>
    <t>Anhedral</t>
  </si>
  <si>
    <t>Sub-anhedral</t>
  </si>
  <si>
    <t>Sub-euhedral</t>
  </si>
  <si>
    <t>Absent (euhedral)</t>
  </si>
  <si>
    <t>Minor resoprtion</t>
  </si>
  <si>
    <t>Highly resorbed</t>
  </si>
  <si>
    <t>Component contacts</t>
  </si>
  <si>
    <t>Point</t>
  </si>
  <si>
    <t>Planar/euhedral</t>
  </si>
  <si>
    <t>Embayed/anhedral</t>
  </si>
  <si>
    <t>Internal</t>
  </si>
  <si>
    <t>External</t>
  </si>
  <si>
    <t>Both</t>
  </si>
  <si>
    <t>Melt inclusion habit</t>
  </si>
  <si>
    <t>Circular</t>
  </si>
  <si>
    <t>Negative crystal</t>
  </si>
  <si>
    <t>Elongate</t>
  </si>
  <si>
    <t>Boxy</t>
  </si>
  <si>
    <t>Ameoboid</t>
  </si>
  <si>
    <t>MI habit</t>
  </si>
  <si>
    <t xml:space="preserve">Skeletal location </t>
  </si>
  <si>
    <t>Entire crystal</t>
  </si>
  <si>
    <t>Chain</t>
  </si>
  <si>
    <t>Polymineralic glomerocryst</t>
  </si>
  <si>
    <t>Crystal components</t>
  </si>
  <si>
    <t>Number of crystal present in the glomerocryst</t>
  </si>
  <si>
    <t>Hopper</t>
  </si>
  <si>
    <t>Vermiform</t>
  </si>
  <si>
    <t xml:space="preserve">Patchy </t>
  </si>
  <si>
    <t>Open</t>
  </si>
  <si>
    <t>Zoning after</t>
  </si>
  <si>
    <t>Classification tables</t>
  </si>
  <si>
    <t>Mono-mineralic glomerocryst</t>
  </si>
  <si>
    <t>Individual plagioclase and glomerocrysts classification databases</t>
  </si>
  <si>
    <t>Dredge</t>
  </si>
  <si>
    <t>complex</t>
  </si>
  <si>
    <t xml:space="preserve">Location </t>
  </si>
  <si>
    <t>M3</t>
  </si>
  <si>
    <t>M4</t>
  </si>
  <si>
    <t>R1</t>
  </si>
  <si>
    <t>Q1</t>
  </si>
  <si>
    <t>Q2</t>
  </si>
  <si>
    <t>HLY0101-D12-2</t>
  </si>
  <si>
    <t>H-D12</t>
  </si>
  <si>
    <t>H-D13</t>
  </si>
  <si>
    <t>H-D14</t>
  </si>
  <si>
    <t>H-D15</t>
  </si>
  <si>
    <t>P-222</t>
  </si>
  <si>
    <t/>
  </si>
  <si>
    <t>P-223</t>
  </si>
  <si>
    <t>P-297</t>
  </si>
  <si>
    <t>P-299</t>
  </si>
  <si>
    <t>H-D48</t>
  </si>
  <si>
    <t>P-310</t>
  </si>
  <si>
    <t>H-D49-3</t>
  </si>
  <si>
    <t>H-D49</t>
  </si>
  <si>
    <t>H-D95-10</t>
  </si>
  <si>
    <t>H-D95</t>
  </si>
  <si>
    <t>H-D95-7</t>
  </si>
  <si>
    <t>H-D50-14</t>
  </si>
  <si>
    <t>H-D50</t>
  </si>
  <si>
    <t>H-D64</t>
  </si>
  <si>
    <t>H-D66</t>
  </si>
  <si>
    <t>P-242</t>
  </si>
  <si>
    <t>H-D36</t>
  </si>
  <si>
    <t>H-D38</t>
  </si>
  <si>
    <t>H-D27</t>
  </si>
  <si>
    <t>H-D26</t>
  </si>
  <si>
    <t>H-D23-5</t>
  </si>
  <si>
    <t>H-D23</t>
  </si>
  <si>
    <t>H-D23-36</t>
  </si>
  <si>
    <t>H-D18-7</t>
  </si>
  <si>
    <t>H-D18</t>
  </si>
  <si>
    <t>H-D18-6</t>
  </si>
  <si>
    <t>H-D18-1-A</t>
  </si>
  <si>
    <t>H-D18-1-B</t>
  </si>
  <si>
    <t>H-D21-4D</t>
  </si>
  <si>
    <t>H-D21</t>
  </si>
  <si>
    <t>H-D21-4B</t>
  </si>
  <si>
    <t>H-D21-1B</t>
  </si>
  <si>
    <t>H-D21-1-A</t>
  </si>
  <si>
    <t>H-D21-3</t>
  </si>
  <si>
    <t>H-D22-1</t>
  </si>
  <si>
    <t>H-D22</t>
  </si>
  <si>
    <t>P-229-33</t>
  </si>
  <si>
    <t>P-229</t>
  </si>
  <si>
    <t>P-H-D42-13</t>
  </si>
  <si>
    <t>H-D42</t>
  </si>
  <si>
    <t>P-199-1-5-4</t>
  </si>
  <si>
    <t>P-199</t>
  </si>
  <si>
    <t>P-255-7</t>
  </si>
  <si>
    <t>P-255</t>
  </si>
  <si>
    <t>P-255-5</t>
  </si>
  <si>
    <t>P-254-1</t>
  </si>
  <si>
    <t>P-254</t>
  </si>
  <si>
    <t>P-253-1</t>
  </si>
  <si>
    <t>P-253</t>
  </si>
  <si>
    <t>P-251-26</t>
  </si>
  <si>
    <t>P-251</t>
  </si>
  <si>
    <t>P-251-1</t>
  </si>
  <si>
    <t>P-315-2B</t>
  </si>
  <si>
    <t>P-315</t>
  </si>
  <si>
    <t>H-D41-5</t>
  </si>
  <si>
    <t>H-D41</t>
  </si>
  <si>
    <t>H-D41-4</t>
  </si>
  <si>
    <t>H-D41-1</t>
  </si>
  <si>
    <t>Comp.</t>
  </si>
  <si>
    <t>habit</t>
  </si>
  <si>
    <t xml:space="preserve">Zoning </t>
  </si>
  <si>
    <t xml:space="preserve">Resorption </t>
  </si>
  <si>
    <t>#</t>
  </si>
  <si>
    <t>Inclusiom</t>
  </si>
  <si>
    <t xml:space="preserve">Melt inclusion quench </t>
  </si>
  <si>
    <t xml:space="preserve">Patch </t>
  </si>
  <si>
    <t>♯ Components</t>
  </si>
  <si>
    <t>location</t>
  </si>
  <si>
    <t>Present/absent</t>
  </si>
  <si>
    <t>fresh</t>
  </si>
  <si>
    <t xml:space="preserve"> inclusions</t>
  </si>
  <si>
    <t>R3</t>
  </si>
  <si>
    <t>Q3</t>
  </si>
  <si>
    <t>MIR1</t>
  </si>
  <si>
    <t>MIR2</t>
  </si>
  <si>
    <t>PC1</t>
  </si>
  <si>
    <t>PC2</t>
  </si>
  <si>
    <t>PC3</t>
  </si>
  <si>
    <t>PC4</t>
  </si>
  <si>
    <t>PC5</t>
  </si>
  <si>
    <t>PC6</t>
  </si>
  <si>
    <t>SC1</t>
  </si>
  <si>
    <t>SC2</t>
  </si>
  <si>
    <t>SC3</t>
  </si>
  <si>
    <t>HLYO102-D23-5</t>
  </si>
  <si>
    <t xml:space="preserve">Polyminealic glomerocryst </t>
  </si>
  <si>
    <t xml:space="preserve">Olivine forsterite </t>
  </si>
  <si>
    <t xml:space="preserve">Melt inclusions </t>
  </si>
  <si>
    <t xml:space="preserve">Fresh melt inclusions </t>
  </si>
  <si>
    <t>Inclusions</t>
  </si>
  <si>
    <t xml:space="preserve">Rim </t>
  </si>
  <si>
    <t>Water depth</t>
  </si>
  <si>
    <t># Comp.</t>
  </si>
  <si>
    <t>Size</t>
  </si>
  <si>
    <t>osci</t>
  </si>
  <si>
    <t>patchy</t>
  </si>
  <si>
    <t>normal</t>
  </si>
  <si>
    <t>reverse</t>
  </si>
  <si>
    <t>sector</t>
  </si>
  <si>
    <t xml:space="preserve">complexity </t>
  </si>
  <si>
    <t>overgrowth</t>
  </si>
  <si>
    <t>HLY0102-D27-32-b</t>
  </si>
  <si>
    <t>H-D12-4</t>
  </si>
  <si>
    <t xml:space="preserve">Olivine classification </t>
  </si>
  <si>
    <t xml:space="preserve">Clinopyroxene classfication </t>
  </si>
  <si>
    <t>Classification schemes</t>
  </si>
  <si>
    <t xml:space="preserve">This appendix contains the following: </t>
  </si>
  <si>
    <t>Olivine forsterite content</t>
  </si>
  <si>
    <t>Olivine habit</t>
  </si>
  <si>
    <t>component</t>
  </si>
  <si>
    <t xml:space="preserve">Zoning complexity </t>
  </si>
  <si>
    <t>MI %</t>
  </si>
  <si>
    <t>Crystal arrangment</t>
  </si>
  <si>
    <t>♯ Crystal components</t>
  </si>
  <si>
    <t>GM</t>
  </si>
  <si>
    <t xml:space="preserve">Spinel </t>
  </si>
  <si>
    <t>Px1</t>
  </si>
  <si>
    <t>OL1</t>
  </si>
  <si>
    <t>OL3</t>
  </si>
  <si>
    <t>Ol3</t>
  </si>
  <si>
    <t>OL2</t>
  </si>
  <si>
    <t>Ol2</t>
  </si>
  <si>
    <t>OL4</t>
  </si>
  <si>
    <t>OL6</t>
  </si>
  <si>
    <t>Ol6</t>
  </si>
  <si>
    <t>OL7</t>
  </si>
  <si>
    <t>P2-OL</t>
  </si>
  <si>
    <t>P16-OL</t>
  </si>
  <si>
    <t>Ol4</t>
  </si>
  <si>
    <t>Ol7</t>
  </si>
  <si>
    <t>P10-OL</t>
  </si>
  <si>
    <t>PS59-222-25</t>
  </si>
  <si>
    <t>OL5</t>
  </si>
  <si>
    <t>Ol5</t>
  </si>
  <si>
    <t>HLY0102-D26-3</t>
  </si>
  <si>
    <t>Ol1-Sp1</t>
  </si>
  <si>
    <t>Ol8</t>
  </si>
  <si>
    <t>Ol9</t>
  </si>
  <si>
    <t>Ol10</t>
  </si>
  <si>
    <t>Ol11</t>
  </si>
  <si>
    <t>Ol12</t>
  </si>
  <si>
    <t>Ol10-Hopper</t>
  </si>
  <si>
    <t>Ol13-Hopper</t>
  </si>
  <si>
    <t>Ol10-Pl2</t>
  </si>
  <si>
    <t>Ol12-Hopper</t>
  </si>
  <si>
    <t>Ol3-Pl1-MI1</t>
  </si>
  <si>
    <t>Ol13</t>
  </si>
  <si>
    <t>Ol14</t>
  </si>
  <si>
    <t>Ol15</t>
  </si>
  <si>
    <t>Ol4-Sp1-Mi</t>
  </si>
  <si>
    <t>Ol8-Pl5</t>
  </si>
  <si>
    <t>Ol2-Sp1</t>
  </si>
  <si>
    <t>Ol3-Sp2</t>
  </si>
  <si>
    <t>Ol3b</t>
  </si>
  <si>
    <t>PS59-234-4</t>
  </si>
  <si>
    <t>Ol3-Sp1</t>
  </si>
  <si>
    <t>Ol4-Sp2</t>
  </si>
  <si>
    <t>Ol5-Hopper</t>
  </si>
  <si>
    <t>Ol6-Sp3</t>
  </si>
  <si>
    <t>Ol7-Sp4</t>
  </si>
  <si>
    <t>Ol8-Sp5</t>
  </si>
  <si>
    <t>Ol9-Skeletal</t>
  </si>
  <si>
    <t>Ol10-Sp6</t>
  </si>
  <si>
    <t>Ol11-Sp7</t>
  </si>
  <si>
    <t>Ol12-Sp8</t>
  </si>
  <si>
    <t>Ol13-Sp9</t>
  </si>
  <si>
    <t>Ol14-Sp10</t>
  </si>
  <si>
    <t>PS59-234-34</t>
  </si>
  <si>
    <t>Ol16</t>
  </si>
  <si>
    <t>Ol17</t>
  </si>
  <si>
    <t>Ol18</t>
  </si>
  <si>
    <t>Ol19</t>
  </si>
  <si>
    <t>Ol20</t>
  </si>
  <si>
    <t>Ol21</t>
  </si>
  <si>
    <t>Ol22</t>
  </si>
  <si>
    <t>PS59-234-64a</t>
  </si>
  <si>
    <t>Ol23</t>
  </si>
  <si>
    <t>Ol24</t>
  </si>
  <si>
    <t>PS59-234-64b</t>
  </si>
  <si>
    <t>Ol25</t>
  </si>
  <si>
    <t>Ol26</t>
  </si>
  <si>
    <t>Ol27</t>
  </si>
  <si>
    <t>Ol29</t>
  </si>
  <si>
    <t>Ol30</t>
  </si>
  <si>
    <t>Ol31</t>
  </si>
  <si>
    <t>Ol32</t>
  </si>
  <si>
    <t>HLY0102-D38-11</t>
  </si>
  <si>
    <t>Ol7a</t>
  </si>
  <si>
    <t>Ol33</t>
  </si>
  <si>
    <t>Ol34</t>
  </si>
  <si>
    <t>Ol2b</t>
  </si>
  <si>
    <t>HLY0102-D38-4</t>
  </si>
  <si>
    <t xml:space="preserve"> </t>
  </si>
  <si>
    <t>Ol28</t>
  </si>
  <si>
    <t>Ol35</t>
  </si>
  <si>
    <t>Ol36</t>
  </si>
  <si>
    <t>Ol37</t>
  </si>
  <si>
    <t>Ol38</t>
  </si>
  <si>
    <t>Ol39</t>
  </si>
  <si>
    <t>Ol40</t>
  </si>
  <si>
    <t>Ol41</t>
  </si>
  <si>
    <t>Ol42</t>
  </si>
  <si>
    <t>Cllot6</t>
  </si>
  <si>
    <t>Clo18b</t>
  </si>
  <si>
    <t>Pl18-Clot24</t>
  </si>
  <si>
    <t>OL9</t>
  </si>
  <si>
    <t>OL10</t>
  </si>
  <si>
    <t>37°E Seamounts</t>
  </si>
  <si>
    <t>HLY0102-D89-5</t>
  </si>
  <si>
    <t>HLY0102-D89-3</t>
  </si>
  <si>
    <t>HLY0102-D89-1</t>
  </si>
  <si>
    <t>Ol5b</t>
  </si>
  <si>
    <t>Pl23</t>
  </si>
  <si>
    <t>Ol38b</t>
  </si>
  <si>
    <t>Ol39b</t>
  </si>
  <si>
    <t>P13-Ol2</t>
  </si>
  <si>
    <t>PS59-271-1-6</t>
  </si>
  <si>
    <t>PS59-271-2-2</t>
  </si>
  <si>
    <t>OL8</t>
  </si>
  <si>
    <t>OL11</t>
  </si>
  <si>
    <t>OL14</t>
  </si>
  <si>
    <t>OL16</t>
  </si>
  <si>
    <t>OL17</t>
  </si>
  <si>
    <t>OL19</t>
  </si>
  <si>
    <t>OL20</t>
  </si>
  <si>
    <t>OL22</t>
  </si>
  <si>
    <t>OL25</t>
  </si>
  <si>
    <t>OL28</t>
  </si>
  <si>
    <t>OL29</t>
  </si>
  <si>
    <t>OL31</t>
  </si>
  <si>
    <t>OL34</t>
  </si>
  <si>
    <t>OL36</t>
  </si>
  <si>
    <t>OL37</t>
  </si>
  <si>
    <t>OL40</t>
  </si>
  <si>
    <t>HLY0102-D79-4</t>
  </si>
  <si>
    <t>OL18</t>
  </si>
  <si>
    <t>OL21</t>
  </si>
  <si>
    <t>OL23</t>
  </si>
  <si>
    <t>OL24</t>
  </si>
  <si>
    <t>OL26</t>
  </si>
  <si>
    <t>OL27</t>
  </si>
  <si>
    <t>OL30</t>
  </si>
  <si>
    <t>OL33</t>
  </si>
  <si>
    <t>OL35</t>
  </si>
  <si>
    <t>OL38</t>
  </si>
  <si>
    <t xml:space="preserve">Ol40 </t>
  </si>
  <si>
    <t>HLY0102-D7915</t>
  </si>
  <si>
    <t>OL12</t>
  </si>
  <si>
    <t>OL15</t>
  </si>
  <si>
    <t>g</t>
  </si>
  <si>
    <t>h</t>
  </si>
  <si>
    <t>i</t>
  </si>
  <si>
    <t>OL13</t>
  </si>
  <si>
    <t>PS59-297-11</t>
  </si>
  <si>
    <t>PS59-297-53</t>
  </si>
  <si>
    <t>HLY0102-D80-3</t>
  </si>
  <si>
    <t>OL32</t>
  </si>
  <si>
    <t>PS59-270-2</t>
  </si>
  <si>
    <t>PS59-270-36</t>
  </si>
  <si>
    <t>Ol30-C2</t>
  </si>
  <si>
    <t>Ol30-C3</t>
  </si>
  <si>
    <t>HLY0102-D77-1</t>
  </si>
  <si>
    <t>HLY0102-D23-36</t>
  </si>
  <si>
    <t>HLY0102-D18-1-A</t>
  </si>
  <si>
    <t>Clot10+P13</t>
  </si>
  <si>
    <t>0l1</t>
  </si>
  <si>
    <t>PS59-318-25</t>
  </si>
  <si>
    <t>PS59-199-1-2</t>
  </si>
  <si>
    <t>PS59-199-1-5-4</t>
  </si>
  <si>
    <t>PS59-254-1B</t>
  </si>
  <si>
    <t>P5-Ol1</t>
  </si>
  <si>
    <t>HLY0102-D42-13</t>
  </si>
  <si>
    <t>C4</t>
  </si>
  <si>
    <t>C7</t>
  </si>
  <si>
    <t>C8</t>
  </si>
  <si>
    <t>Glom components</t>
  </si>
  <si>
    <t xml:space="preserve">Aspect </t>
  </si>
  <si>
    <t>Zoning code</t>
  </si>
  <si>
    <t xml:space="preserve">Mantle </t>
  </si>
  <si>
    <t>S1-S2</t>
  </si>
  <si>
    <t>Sector variation</t>
  </si>
  <si>
    <t>I</t>
  </si>
  <si>
    <t>PY2</t>
  </si>
  <si>
    <t>PY1</t>
  </si>
  <si>
    <t>PY2-C1</t>
  </si>
  <si>
    <t>PY3-C1</t>
  </si>
  <si>
    <t xml:space="preserve">PY3 GM </t>
  </si>
  <si>
    <t>H-D64-28</t>
  </si>
  <si>
    <t>C7-PY1</t>
  </si>
  <si>
    <t>C7-PY2</t>
  </si>
  <si>
    <t>C3-PY1</t>
  </si>
  <si>
    <t>C3-PY2</t>
  </si>
  <si>
    <t>C3-PY3</t>
  </si>
  <si>
    <t>C2-PY1</t>
  </si>
  <si>
    <t>C2-PY2</t>
  </si>
  <si>
    <t>C2-PY3</t>
  </si>
  <si>
    <t>C1-PY1</t>
  </si>
  <si>
    <t>C8-PY1</t>
  </si>
  <si>
    <t>C8-PY2</t>
  </si>
  <si>
    <t>C5A-PY1</t>
  </si>
  <si>
    <t>C12-PY</t>
  </si>
  <si>
    <t>C11-PY1</t>
  </si>
  <si>
    <t>C11-PY2</t>
  </si>
  <si>
    <t>C15-PY1</t>
  </si>
  <si>
    <t>C15-PY2</t>
  </si>
  <si>
    <t>C3-PY4</t>
  </si>
  <si>
    <t>C3-PY5</t>
  </si>
  <si>
    <t>C3a</t>
  </si>
  <si>
    <t>C3b</t>
  </si>
  <si>
    <t>H-D21-1A</t>
  </si>
  <si>
    <t>C14</t>
  </si>
  <si>
    <t>C4-PY1</t>
  </si>
  <si>
    <t>C4-PY2</t>
  </si>
  <si>
    <t>C1-PY2</t>
  </si>
  <si>
    <t>P-223-25</t>
  </si>
  <si>
    <t>H-D14-4</t>
  </si>
  <si>
    <t>C2A</t>
  </si>
  <si>
    <t>C2B</t>
  </si>
  <si>
    <t>C26-Py1</t>
  </si>
  <si>
    <t>C26-Py2</t>
  </si>
  <si>
    <t>C23</t>
  </si>
  <si>
    <t>C2-Py1</t>
  </si>
  <si>
    <t>C2-Py2</t>
  </si>
  <si>
    <t>C4-Py1</t>
  </si>
  <si>
    <t>C4-Py2</t>
  </si>
  <si>
    <t>C4-Py3</t>
  </si>
  <si>
    <t>C30-Py1</t>
  </si>
  <si>
    <t>C30-Py2</t>
  </si>
  <si>
    <t>C30-Py3</t>
  </si>
  <si>
    <t>C8-Py1</t>
  </si>
  <si>
    <t>C8-Py2</t>
  </si>
  <si>
    <t>Py1</t>
  </si>
  <si>
    <t>Py2</t>
  </si>
  <si>
    <t>A52-Py1</t>
  </si>
  <si>
    <t>A52-Py2</t>
  </si>
  <si>
    <t>A53-Py1</t>
  </si>
  <si>
    <t>A54-Py1</t>
  </si>
  <si>
    <t>Area55-Py1</t>
  </si>
  <si>
    <t>Individual/Glomerocryst/Attached</t>
  </si>
  <si>
    <t>Latitude</t>
  </si>
  <si>
    <t>Attached components</t>
  </si>
  <si>
    <t>Included components</t>
  </si>
  <si>
    <t>Composition (Mg number)</t>
  </si>
  <si>
    <t>Quench rim</t>
  </si>
  <si>
    <t>Sector zone 1-core</t>
  </si>
  <si>
    <t>Sector zone 2-core</t>
  </si>
  <si>
    <t xml:space="preserve">Sector zone 2-rim </t>
  </si>
  <si>
    <t>Sector zone 2-mante</t>
  </si>
  <si>
    <t>HLY0102-D27-32-a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</si>
</sst>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"/>
    <numFmt numFmtId="165" formatCode="0.0000"/>
    <numFmt numFmtId="166" formatCode="0.0"/>
  </numFmts>
  <fonts count="2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sz val="12"/>
      <color theme="1"/>
      <name val="Calibri (Body)"/>
    </font>
    <font>
      <sz val="12"/>
      <color rgb="FF000000"/>
      <name val="Calibri"/>
      <family val="2"/>
      <scheme val="minor"/>
    </font>
    <font>
      <b/>
      <sz val="12"/>
      <color rgb="FF000000"/>
      <name val="Calibri"/>
      <family val="2"/>
      <scheme val="minor"/>
    </font>
    <font>
      <sz val="9"/>
      <color theme="1"/>
      <name val="Geneva"/>
      <family val="2"/>
    </font>
    <font>
      <b/>
      <sz val="20"/>
      <color theme="1"/>
      <name val="Calibri"/>
      <family val="2"/>
      <scheme val="minor"/>
    </font>
    <font>
      <sz val="12"/>
      <color theme="4"/>
      <name val="Calibri"/>
      <family val="2"/>
      <scheme val="minor"/>
    </font>
    <font>
      <sz val="12"/>
      <color theme="6" tint="-0.249977111117893"/>
      <name val="Calibri"/>
      <family val="2"/>
      <scheme val="minor"/>
    </font>
    <font>
      <sz val="12"/>
      <color theme="3"/>
      <name val="Calibri"/>
      <family val="2"/>
      <scheme val="minor"/>
    </font>
    <font>
      <sz val="12"/>
      <color theme="6" tint="-0.499984740745262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0"/>
      <color indexed="81"/>
      <name val="Calibri"/>
      <family val="2"/>
    </font>
    <font>
      <sz val="10"/>
      <color indexed="81"/>
      <name val="Calibri"/>
      <family val="2"/>
    </font>
    <font>
      <sz val="12"/>
      <name val="Calibri (Body)"/>
    </font>
  </fonts>
  <fills count="6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/>
      <top style="thin">
        <color auto="1"/>
      </top>
      <bottom/>
      <diagonal/>
    </border>
  </borders>
  <cellStyleXfs count="1">
    <xf numFmtId="0" fontId="0" fillId="0" borderId="0"/>
  </cellStyleXfs>
  <cellXfs count="392">
    <xf numFmtId="0" fontId="0" fillId="0" borderId="0" xfId="0"/>
    <xf numFmtId="0" fontId="0" fillId="0" borderId="0" xfId="0" applyBorder="1" applyAlignment="1">
      <alignment horizontal="center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" fillId="0" borderId="5" xfId="0" applyFont="1" applyFill="1" applyBorder="1" applyAlignment="1">
      <alignment horizontal="center"/>
    </xf>
    <xf numFmtId="0" fontId="0" fillId="0" borderId="2" xfId="0" applyFill="1" applyBorder="1" applyAlignment="1">
      <alignment horizontal="center"/>
    </xf>
    <xf numFmtId="0" fontId="0" fillId="0" borderId="5" xfId="0" applyFill="1" applyBorder="1" applyAlignment="1">
      <alignment horizontal="center"/>
    </xf>
    <xf numFmtId="2" fontId="0" fillId="0" borderId="3" xfId="0" applyNumberForma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9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0" borderId="13" xfId="0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2" borderId="10" xfId="0" applyFill="1" applyBorder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7" fillId="0" borderId="13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0" fillId="0" borderId="17" xfId="0" applyFill="1" applyBorder="1" applyAlignment="1">
      <alignment horizontal="center"/>
    </xf>
    <xf numFmtId="0" fontId="0" fillId="0" borderId="14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8" xfId="0" applyFill="1" applyBorder="1" applyAlignment="1">
      <alignment horizontal="center"/>
    </xf>
    <xf numFmtId="0" fontId="0" fillId="0" borderId="7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0" fontId="0" fillId="0" borderId="19" xfId="0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18" xfId="0" applyBorder="1" applyAlignment="1">
      <alignment horizontal="center"/>
    </xf>
    <xf numFmtId="2" fontId="0" fillId="0" borderId="17" xfId="0" applyNumberFormat="1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9" xfId="0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" fillId="0" borderId="14" xfId="0" applyFont="1" applyBorder="1" applyAlignment="1">
      <alignment horizontal="center"/>
    </xf>
    <xf numFmtId="2" fontId="0" fillId="0" borderId="8" xfId="0" applyNumberForma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2" fontId="0" fillId="0" borderId="19" xfId="0" applyNumberForma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2" fontId="0" fillId="0" borderId="15" xfId="0" applyNumberForma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2" fontId="0" fillId="0" borderId="2" xfId="0" applyNumberForma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7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164" fontId="6" fillId="0" borderId="0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18" xfId="0" applyFont="1" applyFill="1" applyBorder="1" applyAlignment="1">
      <alignment horizontal="center"/>
    </xf>
    <xf numFmtId="2" fontId="5" fillId="0" borderId="7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0" fillId="0" borderId="0" xfId="0" applyFont="1" applyFill="1" applyBorder="1" applyAlignment="1"/>
    <xf numFmtId="164" fontId="0" fillId="0" borderId="0" xfId="0" applyNumberFormat="1" applyFont="1" applyFill="1" applyBorder="1" applyAlignment="1">
      <alignment horizontal="center"/>
    </xf>
    <xf numFmtId="165" fontId="0" fillId="0" borderId="0" xfId="0" applyNumberFormat="1" applyFont="1" applyFill="1" applyBorder="1" applyAlignment="1">
      <alignment horizontal="center"/>
    </xf>
    <xf numFmtId="2" fontId="2" fillId="0" borderId="0" xfId="0" applyNumberFormat="1" applyFont="1" applyFill="1" applyBorder="1" applyAlignment="1">
      <alignment horizontal="center"/>
    </xf>
    <xf numFmtId="164" fontId="6" fillId="0" borderId="2" xfId="0" applyNumberFormat="1" applyFont="1" applyFill="1" applyBorder="1" applyAlignment="1">
      <alignment horizontal="center"/>
    </xf>
    <xf numFmtId="164" fontId="6" fillId="0" borderId="15" xfId="0" applyNumberFormat="1" applyFont="1" applyFill="1" applyBorder="1" applyAlignment="1">
      <alignment horizontal="center"/>
    </xf>
    <xf numFmtId="2" fontId="0" fillId="0" borderId="15" xfId="0" applyNumberFormat="1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2" fontId="0" fillId="0" borderId="7" xfId="0" applyNumberFormat="1" applyFill="1" applyBorder="1" applyAlignment="1">
      <alignment horizontal="center"/>
    </xf>
    <xf numFmtId="164" fontId="0" fillId="0" borderId="2" xfId="0" applyNumberFormat="1" applyFont="1" applyFill="1" applyBorder="1" applyAlignment="1">
      <alignment horizontal="center"/>
    </xf>
    <xf numFmtId="164" fontId="0" fillId="0" borderId="15" xfId="0" applyNumberFormat="1" applyFont="1" applyFill="1" applyBorder="1" applyAlignment="1">
      <alignment horizontal="center"/>
    </xf>
    <xf numFmtId="164" fontId="6" fillId="0" borderId="7" xfId="0" applyNumberFormat="1" applyFont="1" applyFill="1" applyBorder="1" applyAlignment="1">
      <alignment horizontal="center"/>
    </xf>
    <xf numFmtId="165" fontId="0" fillId="0" borderId="2" xfId="0" applyNumberFormat="1" applyFont="1" applyFill="1" applyBorder="1" applyAlignment="1">
      <alignment horizontal="center"/>
    </xf>
    <xf numFmtId="165" fontId="0" fillId="0" borderId="15" xfId="0" applyNumberFormat="1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0" fillId="0" borderId="5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2" fontId="0" fillId="0" borderId="13" xfId="0" applyNumberFormat="1" applyFont="1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24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164" fontId="0" fillId="0" borderId="13" xfId="0" applyNumberFormat="1" applyFont="1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2" borderId="25" xfId="0" applyFill="1" applyBorder="1" applyAlignment="1">
      <alignment horizontal="center"/>
    </xf>
    <xf numFmtId="0" fontId="0" fillId="2" borderId="26" xfId="0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6" xfId="0" applyFont="1" applyFill="1" applyBorder="1" applyAlignment="1">
      <alignment horizontal="center"/>
    </xf>
    <xf numFmtId="0" fontId="7" fillId="0" borderId="2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7" fillId="0" borderId="1" xfId="0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3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19" xfId="0" applyFont="1" applyFill="1" applyBorder="1" applyAlignment="1">
      <alignment horizontal="center"/>
    </xf>
    <xf numFmtId="0" fontId="0" fillId="0" borderId="1" xfId="0" applyFill="1" applyBorder="1"/>
    <xf numFmtId="0" fontId="0" fillId="0" borderId="13" xfId="0" applyFill="1" applyBorder="1"/>
    <xf numFmtId="0" fontId="7" fillId="0" borderId="18" xfId="0" applyFont="1" applyFill="1" applyBorder="1" applyAlignment="1">
      <alignment horizontal="center"/>
    </xf>
    <xf numFmtId="0" fontId="10" fillId="0" borderId="0" xfId="0" applyFont="1" applyBorder="1" applyAlignment="1"/>
    <xf numFmtId="0" fontId="3" fillId="3" borderId="1" xfId="0" applyFont="1" applyFill="1" applyBorder="1" applyAlignment="1">
      <alignment horizontal="center"/>
    </xf>
    <xf numFmtId="0" fontId="2" fillId="3" borderId="5" xfId="0" applyFont="1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20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0" fontId="0" fillId="2" borderId="31" xfId="0" applyFill="1" applyBorder="1" applyAlignment="1">
      <alignment horizontal="center"/>
    </xf>
    <xf numFmtId="0" fontId="0" fillId="2" borderId="20" xfId="0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5" xfId="0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0" fillId="2" borderId="28" xfId="0" applyFill="1" applyBorder="1" applyAlignment="1">
      <alignment horizontal="center"/>
    </xf>
    <xf numFmtId="0" fontId="0" fillId="3" borderId="25" xfId="0" applyFill="1" applyBorder="1" applyAlignment="1">
      <alignment horizontal="center"/>
    </xf>
    <xf numFmtId="0" fontId="0" fillId="3" borderId="26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0" fillId="4" borderId="6" xfId="0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7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22" xfId="0" applyFill="1" applyBorder="1" applyAlignment="1">
      <alignment horizontal="center"/>
    </xf>
    <xf numFmtId="0" fontId="0" fillId="4" borderId="23" xfId="0" applyFill="1" applyBorder="1" applyAlignment="1">
      <alignment horizontal="center"/>
    </xf>
    <xf numFmtId="0" fontId="0" fillId="4" borderId="27" xfId="0" applyFill="1" applyBorder="1" applyAlignment="1">
      <alignment horizontal="center"/>
    </xf>
    <xf numFmtId="0" fontId="0" fillId="4" borderId="21" xfId="0" applyFill="1" applyBorder="1" applyAlignment="1">
      <alignment horizontal="center"/>
    </xf>
    <xf numFmtId="0" fontId="0" fillId="4" borderId="25" xfId="0" applyFill="1" applyBorder="1" applyAlignment="1">
      <alignment horizontal="center"/>
    </xf>
    <xf numFmtId="0" fontId="0" fillId="4" borderId="26" xfId="0" applyFill="1" applyBorder="1" applyAlignment="1">
      <alignment horizontal="center"/>
    </xf>
    <xf numFmtId="0" fontId="0" fillId="4" borderId="28" xfId="0" applyFill="1" applyBorder="1" applyAlignment="1">
      <alignment horizontal="center"/>
    </xf>
    <xf numFmtId="0" fontId="2" fillId="3" borderId="15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0" fillId="3" borderId="18" xfId="0" applyFont="1" applyFill="1" applyBorder="1" applyAlignment="1">
      <alignment horizontal="center"/>
    </xf>
    <xf numFmtId="0" fontId="15" fillId="0" borderId="0" xfId="0" applyFont="1" applyAlignment="1">
      <alignment horizontal="center"/>
    </xf>
    <xf numFmtId="2" fontId="11" fillId="0" borderId="0" xfId="0" applyNumberFormat="1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0" fillId="0" borderId="1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3" xfId="0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2" fontId="0" fillId="0" borderId="7" xfId="0" applyNumberFormat="1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2" fontId="0" fillId="0" borderId="2" xfId="0" applyNumberFormat="1" applyFont="1" applyFill="1" applyBorder="1" applyAlignment="1">
      <alignment horizontal="center"/>
    </xf>
    <xf numFmtId="2" fontId="0" fillId="0" borderId="0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1" fontId="5" fillId="0" borderId="16" xfId="0" applyNumberFormat="1" applyFont="1" applyFill="1" applyBorder="1" applyAlignment="1">
      <alignment horizontal="center"/>
    </xf>
    <xf numFmtId="1" fontId="5" fillId="0" borderId="15" xfId="0" applyNumberFormat="1" applyFont="1" applyFill="1" applyBorder="1" applyAlignment="1">
      <alignment horizontal="center"/>
    </xf>
    <xf numFmtId="1" fontId="5" fillId="0" borderId="19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/>
    </xf>
    <xf numFmtId="1" fontId="0" fillId="0" borderId="2" xfId="0" applyNumberFormat="1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/>
    </xf>
    <xf numFmtId="164" fontId="0" fillId="0" borderId="3" xfId="0" applyNumberFormat="1" applyFont="1" applyFill="1" applyBorder="1" applyAlignment="1">
      <alignment horizontal="center"/>
    </xf>
    <xf numFmtId="0" fontId="2" fillId="0" borderId="9" xfId="0" applyFont="1" applyFill="1" applyBorder="1" applyAlignment="1">
      <alignment horizontal="center"/>
    </xf>
    <xf numFmtId="1" fontId="0" fillId="0" borderId="13" xfId="0" applyNumberFormat="1" applyFont="1" applyFill="1" applyBorder="1" applyAlignment="1">
      <alignment horizontal="center"/>
    </xf>
    <xf numFmtId="1" fontId="0" fillId="0" borderId="0" xfId="0" applyNumberFormat="1" applyFont="1" applyFill="1" applyBorder="1" applyAlignment="1">
      <alignment horizontal="center"/>
    </xf>
    <xf numFmtId="164" fontId="0" fillId="0" borderId="17" xfId="0" applyNumberFormat="1" applyFont="1" applyFill="1" applyBorder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1" fontId="0" fillId="0" borderId="16" xfId="0" applyNumberFormat="1" applyFont="1" applyFill="1" applyBorder="1" applyAlignment="1">
      <alignment horizontal="center"/>
    </xf>
    <xf numFmtId="1" fontId="0" fillId="0" borderId="15" xfId="0" applyNumberFormat="1" applyFont="1" applyFill="1" applyBorder="1" applyAlignment="1">
      <alignment horizontal="center"/>
    </xf>
    <xf numFmtId="164" fontId="0" fillId="0" borderId="16" xfId="0" applyNumberFormat="1" applyFont="1" applyFill="1" applyBorder="1" applyAlignment="1">
      <alignment horizontal="center"/>
    </xf>
    <xf numFmtId="164" fontId="0" fillId="0" borderId="19" xfId="0" applyNumberFormat="1" applyFont="1" applyFill="1" applyBorder="1" applyAlignment="1">
      <alignment horizontal="center"/>
    </xf>
    <xf numFmtId="0" fontId="0" fillId="0" borderId="15" xfId="0" applyFont="1" applyFill="1" applyBorder="1"/>
    <xf numFmtId="166" fontId="0" fillId="0" borderId="0" xfId="0" applyNumberFormat="1" applyFont="1" applyFill="1" applyBorder="1" applyAlignment="1">
      <alignment horizontal="center"/>
    </xf>
    <xf numFmtId="166" fontId="0" fillId="0" borderId="15" xfId="0" applyNumberFormat="1" applyFont="1" applyFill="1" applyBorder="1" applyAlignment="1">
      <alignment horizontal="center"/>
    </xf>
    <xf numFmtId="0" fontId="2" fillId="0" borderId="14" xfId="0" applyFont="1" applyFill="1" applyBorder="1" applyAlignment="1">
      <alignment horizontal="center"/>
    </xf>
    <xf numFmtId="1" fontId="0" fillId="0" borderId="6" xfId="0" applyNumberFormat="1" applyFont="1" applyFill="1" applyBorder="1" applyAlignment="1">
      <alignment horizontal="center"/>
    </xf>
    <xf numFmtId="1" fontId="0" fillId="0" borderId="7" xfId="0" applyNumberFormat="1" applyFont="1" applyFill="1" applyBorder="1" applyAlignment="1">
      <alignment horizontal="center"/>
    </xf>
    <xf numFmtId="2" fontId="9" fillId="0" borderId="7" xfId="0" applyNumberFormat="1" applyFont="1" applyFill="1" applyBorder="1"/>
    <xf numFmtId="0" fontId="2" fillId="0" borderId="5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13" xfId="0" applyFont="1" applyBorder="1" applyAlignment="1">
      <alignment horizontal="center"/>
    </xf>
    <xf numFmtId="0" fontId="2" fillId="0" borderId="17" xfId="0" applyFont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13" xfId="0" applyFont="1" applyBorder="1" applyAlignment="1">
      <alignment horizontal="center" vertical="center"/>
    </xf>
    <xf numFmtId="0" fontId="2" fillId="0" borderId="17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0" fillId="0" borderId="8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0" xfId="0" applyFill="1" applyBorder="1"/>
    <xf numFmtId="0" fontId="0" fillId="0" borderId="0" xfId="0" applyFill="1" applyBorder="1" applyAlignment="1"/>
    <xf numFmtId="0" fontId="2" fillId="0" borderId="0" xfId="0" applyFont="1" applyFill="1" applyBorder="1" applyAlignment="1"/>
    <xf numFmtId="2" fontId="2" fillId="0" borderId="1" xfId="0" applyNumberFormat="1" applyFont="1" applyFill="1" applyBorder="1" applyAlignment="1">
      <alignment horizontal="center"/>
    </xf>
    <xf numFmtId="1" fontId="2" fillId="0" borderId="0" xfId="0" applyNumberFormat="1" applyFont="1" applyFill="1" applyBorder="1" applyAlignment="1">
      <alignment horizontal="center"/>
    </xf>
    <xf numFmtId="2" fontId="0" fillId="0" borderId="1" xfId="0" applyNumberFormat="1" applyFill="1" applyBorder="1" applyAlignment="1">
      <alignment horizontal="center"/>
    </xf>
    <xf numFmtId="2" fontId="0" fillId="0" borderId="13" xfId="0" applyNumberFormat="1" applyFill="1" applyBorder="1" applyAlignment="1">
      <alignment horizontal="center"/>
    </xf>
    <xf numFmtId="2" fontId="0" fillId="0" borderId="16" xfId="0" applyNumberFormat="1" applyFill="1" applyBorder="1" applyAlignment="1">
      <alignment horizontal="center"/>
    </xf>
    <xf numFmtId="2" fontId="0" fillId="0" borderId="6" xfId="0" applyNumberFormat="1" applyFill="1" applyBorder="1" applyAlignment="1">
      <alignment horizontal="center"/>
    </xf>
    <xf numFmtId="2" fontId="7" fillId="0" borderId="13" xfId="0" applyNumberFormat="1" applyFont="1" applyFill="1" applyBorder="1" applyAlignment="1">
      <alignment horizontal="center"/>
    </xf>
    <xf numFmtId="0" fontId="0" fillId="0" borderId="5" xfId="0" applyFill="1" applyBorder="1"/>
    <xf numFmtId="0" fontId="0" fillId="0" borderId="9" xfId="0" applyFill="1" applyBorder="1"/>
    <xf numFmtId="2" fontId="7" fillId="0" borderId="1" xfId="0" applyNumberFormat="1" applyFont="1" applyFill="1" applyBorder="1" applyAlignment="1">
      <alignment horizontal="center"/>
    </xf>
    <xf numFmtId="2" fontId="7" fillId="0" borderId="16" xfId="0" applyNumberFormat="1" applyFont="1" applyFill="1" applyBorder="1" applyAlignment="1">
      <alignment horizontal="center"/>
    </xf>
    <xf numFmtId="2" fontId="1" fillId="0" borderId="13" xfId="0" applyNumberFormat="1" applyFont="1" applyFill="1" applyBorder="1" applyAlignment="1">
      <alignment horizontal="center"/>
    </xf>
    <xf numFmtId="2" fontId="12" fillId="0" borderId="0" xfId="0" applyNumberFormat="1" applyFont="1" applyFill="1" applyBorder="1" applyAlignment="1">
      <alignment horizontal="center"/>
    </xf>
    <xf numFmtId="2" fontId="13" fillId="0" borderId="0" xfId="0" applyNumberFormat="1" applyFont="1" applyFill="1" applyBorder="1" applyAlignment="1">
      <alignment horizontal="center"/>
    </xf>
    <xf numFmtId="2" fontId="14" fillId="0" borderId="0" xfId="0" applyNumberFormat="1" applyFont="1" applyFill="1" applyBorder="1" applyAlignment="1">
      <alignment horizontal="center"/>
    </xf>
    <xf numFmtId="2" fontId="14" fillId="0" borderId="13" xfId="0" applyNumberFormat="1" applyFont="1" applyFill="1" applyBorder="1" applyAlignment="1">
      <alignment horizontal="center"/>
    </xf>
    <xf numFmtId="0" fontId="8" fillId="0" borderId="9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1" fontId="0" fillId="0" borderId="3" xfId="0" applyNumberForma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0" fontId="5" fillId="0" borderId="13" xfId="0" applyFont="1" applyFill="1" applyBorder="1" applyAlignment="1">
      <alignment horizontal="center"/>
    </xf>
    <xf numFmtId="1" fontId="5" fillId="0" borderId="17" xfId="0" applyNumberFormat="1" applyFont="1" applyFill="1" applyBorder="1" applyAlignment="1">
      <alignment horizontal="center"/>
    </xf>
    <xf numFmtId="1" fontId="5" fillId="0" borderId="13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2" fontId="0" fillId="0" borderId="14" xfId="0" applyNumberFormat="1" applyFill="1" applyBorder="1" applyAlignment="1">
      <alignment horizontal="center"/>
    </xf>
    <xf numFmtId="2" fontId="0" fillId="0" borderId="5" xfId="0" applyNumberFormat="1" applyFill="1" applyBorder="1" applyAlignment="1">
      <alignment horizontal="center"/>
    </xf>
    <xf numFmtId="2" fontId="0" fillId="0" borderId="9" xfId="0" applyNumberFormat="1" applyFill="1" applyBorder="1" applyAlignment="1">
      <alignment horizontal="center"/>
    </xf>
    <xf numFmtId="2" fontId="0" fillId="0" borderId="18" xfId="0" applyNumberForma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2" fontId="17" fillId="0" borderId="17" xfId="0" applyNumberFormat="1" applyFont="1" applyFill="1" applyBorder="1" applyAlignment="1">
      <alignment horizontal="center"/>
    </xf>
    <xf numFmtId="0" fontId="17" fillId="0" borderId="13" xfId="0" applyFont="1" applyFill="1" applyBorder="1" applyAlignment="1">
      <alignment horizontal="center"/>
    </xf>
    <xf numFmtId="0" fontId="17" fillId="0" borderId="17" xfId="0" applyFont="1" applyFill="1" applyBorder="1" applyAlignment="1">
      <alignment horizontal="center"/>
    </xf>
    <xf numFmtId="0" fontId="17" fillId="0" borderId="9" xfId="0" applyFont="1" applyFill="1" applyBorder="1" applyAlignment="1">
      <alignment horizontal="center"/>
    </xf>
    <xf numFmtId="2" fontId="17" fillId="0" borderId="13" xfId="0" applyNumberFormat="1" applyFont="1" applyFill="1" applyBorder="1" applyAlignment="1">
      <alignment horizontal="center"/>
    </xf>
    <xf numFmtId="2" fontId="17" fillId="0" borderId="0" xfId="0" applyNumberFormat="1" applyFont="1" applyFill="1" applyBorder="1" applyAlignment="1">
      <alignment horizontal="center"/>
    </xf>
    <xf numFmtId="2" fontId="17" fillId="0" borderId="9" xfId="0" applyNumberFormat="1" applyFont="1" applyFill="1" applyBorder="1" applyAlignment="1">
      <alignment horizontal="center"/>
    </xf>
    <xf numFmtId="2" fontId="1" fillId="0" borderId="0" xfId="0" applyNumberFormat="1" applyFont="1" applyFill="1" applyBorder="1" applyAlignment="1">
      <alignment horizontal="center"/>
    </xf>
    <xf numFmtId="2" fontId="1" fillId="0" borderId="17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2" fontId="7" fillId="0" borderId="17" xfId="0" applyNumberFormat="1" applyFont="1" applyFill="1" applyBorder="1" applyAlignment="1">
      <alignment horizontal="center"/>
    </xf>
    <xf numFmtId="2" fontId="7" fillId="0" borderId="9" xfId="0" applyNumberFormat="1" applyFont="1" applyFill="1" applyBorder="1" applyAlignment="1">
      <alignment horizontal="center"/>
    </xf>
    <xf numFmtId="0" fontId="1" fillId="0" borderId="13" xfId="0" applyFont="1" applyFill="1" applyBorder="1" applyAlignment="1">
      <alignment horizontal="center"/>
    </xf>
    <xf numFmtId="0" fontId="1" fillId="0" borderId="0" xfId="0" applyFont="1" applyFill="1" applyBorder="1" applyAlignment="1">
      <alignment horizontal="center"/>
    </xf>
    <xf numFmtId="0" fontId="1" fillId="0" borderId="17" xfId="0" applyFont="1" applyFill="1" applyBorder="1" applyAlignment="1">
      <alignment horizontal="center"/>
    </xf>
    <xf numFmtId="0" fontId="17" fillId="0" borderId="16" xfId="0" applyFont="1" applyFill="1" applyBorder="1" applyAlignment="1">
      <alignment horizontal="center"/>
    </xf>
    <xf numFmtId="9" fontId="0" fillId="0" borderId="0" xfId="0" applyNumberFormat="1" applyFill="1" applyBorder="1" applyAlignment="1">
      <alignment horizontal="center"/>
    </xf>
    <xf numFmtId="0" fontId="0" fillId="5" borderId="13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2" fontId="0" fillId="0" borderId="0" xfId="0" applyNumberFormat="1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14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14" xfId="0" applyBorder="1" applyAlignment="1">
      <alignment horizontal="center" vertical="center" wrapText="1"/>
    </xf>
    <xf numFmtId="0" fontId="0" fillId="0" borderId="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7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0" fillId="0" borderId="16" xfId="0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1" fontId="0" fillId="0" borderId="9" xfId="0" applyNumberFormat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6" fontId="0" fillId="0" borderId="13" xfId="0" applyNumberFormat="1" applyBorder="1" applyAlignment="1">
      <alignment horizontal="center" vertical="center"/>
    </xf>
    <xf numFmtId="166" fontId="0" fillId="0" borderId="0" xfId="0" applyNumberFormat="1" applyBorder="1" applyAlignment="1">
      <alignment horizontal="center" vertical="center"/>
    </xf>
    <xf numFmtId="166" fontId="0" fillId="0" borderId="17" xfId="0" applyNumberFormat="1" applyBorder="1" applyAlignment="1">
      <alignment horizontal="center" vertical="center"/>
    </xf>
    <xf numFmtId="166" fontId="0" fillId="0" borderId="9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2" fontId="0" fillId="0" borderId="15" xfId="0" applyNumberFormat="1" applyBorder="1" applyAlignment="1">
      <alignment horizontal="center" vertical="center"/>
    </xf>
    <xf numFmtId="164" fontId="20" fillId="0" borderId="36" xfId="0" applyNumberFormat="1" applyFont="1" applyBorder="1" applyAlignment="1">
      <alignment horizontal="center"/>
    </xf>
    <xf numFmtId="164" fontId="20" fillId="0" borderId="37" xfId="0" applyNumberFormat="1" applyFont="1" applyBorder="1" applyAlignment="1">
      <alignment horizontal="center"/>
    </xf>
    <xf numFmtId="164" fontId="6" fillId="0" borderId="36" xfId="0" applyNumberFormat="1" applyFont="1" applyBorder="1" applyAlignment="1">
      <alignment horizontal="center"/>
    </xf>
    <xf numFmtId="164" fontId="6" fillId="0" borderId="37" xfId="0" applyNumberFormat="1" applyFont="1" applyBorder="1" applyAlignment="1">
      <alignment horizontal="center"/>
    </xf>
    <xf numFmtId="164" fontId="6" fillId="0" borderId="38" xfId="0" applyNumberFormat="1" applyFont="1" applyBorder="1" applyAlignment="1">
      <alignment horizontal="center"/>
    </xf>
    <xf numFmtId="164" fontId="6" fillId="0" borderId="39" xfId="0" applyNumberFormat="1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164" fontId="6" fillId="0" borderId="3" xfId="0" applyNumberFormat="1" applyFont="1" applyBorder="1" applyAlignment="1">
      <alignment horizontal="center"/>
    </xf>
    <xf numFmtId="164" fontId="6" fillId="0" borderId="13" xfId="0" applyNumberFormat="1" applyFont="1" applyBorder="1" applyAlignment="1">
      <alignment horizontal="center"/>
    </xf>
    <xf numFmtId="164" fontId="6" fillId="0" borderId="17" xfId="0" applyNumberFormat="1" applyFont="1" applyBorder="1" applyAlignment="1">
      <alignment horizontal="center"/>
    </xf>
    <xf numFmtId="164" fontId="6" fillId="0" borderId="16" xfId="0" applyNumberFormat="1" applyFont="1" applyBorder="1" applyAlignment="1">
      <alignment horizontal="center"/>
    </xf>
    <xf numFmtId="164" fontId="6" fillId="0" borderId="19" xfId="0" applyNumberFormat="1" applyFont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2" fontId="5" fillId="0" borderId="1" xfId="0" applyNumberFormat="1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2" fontId="5" fillId="0" borderId="3" xfId="0" applyNumberFormat="1" applyFont="1" applyFill="1" applyBorder="1" applyAlignment="1">
      <alignment horizontal="center"/>
    </xf>
    <xf numFmtId="0" fontId="0" fillId="0" borderId="6" xfId="0" applyFont="1" applyFill="1" applyBorder="1" applyAlignment="1">
      <alignment horizontal="center"/>
    </xf>
    <xf numFmtId="0" fontId="0" fillId="0" borderId="7" xfId="0" applyFont="1" applyFill="1" applyBorder="1" applyAlignment="1">
      <alignment horizontal="center"/>
    </xf>
    <xf numFmtId="0" fontId="0" fillId="0" borderId="8" xfId="0" applyFont="1" applyFill="1" applyBorder="1" applyAlignment="1">
      <alignment horizontal="center"/>
    </xf>
    <xf numFmtId="0" fontId="2" fillId="0" borderId="6" xfId="0" applyFont="1" applyFill="1" applyBorder="1" applyAlignment="1">
      <alignment horizontal="center"/>
    </xf>
    <xf numFmtId="0" fontId="2" fillId="0" borderId="7" xfId="0" applyFont="1" applyFill="1" applyBorder="1" applyAlignment="1">
      <alignment horizontal="center"/>
    </xf>
    <xf numFmtId="0" fontId="2" fillId="0" borderId="8" xfId="0" applyFont="1" applyFill="1" applyBorder="1" applyAlignment="1">
      <alignment horizontal="center"/>
    </xf>
    <xf numFmtId="0" fontId="15" fillId="0" borderId="13" xfId="0" applyFont="1" applyFill="1" applyBorder="1" applyAlignment="1">
      <alignment horizontal="center"/>
    </xf>
    <xf numFmtId="0" fontId="15" fillId="0" borderId="0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center"/>
    </xf>
    <xf numFmtId="0" fontId="2" fillId="0" borderId="3" xfId="0" applyFont="1" applyFill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13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15" fillId="0" borderId="0" xfId="0" applyFont="1" applyAlignment="1">
      <alignment horizontal="center"/>
    </xf>
    <xf numFmtId="0" fontId="2" fillId="0" borderId="6" xfId="0" applyFont="1" applyBorder="1" applyAlignment="1">
      <alignment horizontal="center"/>
    </xf>
    <xf numFmtId="0" fontId="2" fillId="0" borderId="7" xfId="0" applyFont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5" xfId="0" applyFont="1" applyBorder="1" applyAlignment="1">
      <alignment horizontal="center"/>
    </xf>
    <xf numFmtId="2" fontId="2" fillId="0" borderId="1" xfId="0" applyNumberFormat="1" applyFont="1" applyFill="1" applyBorder="1" applyAlignment="1">
      <alignment horizontal="center"/>
    </xf>
    <xf numFmtId="2" fontId="2" fillId="0" borderId="2" xfId="0" applyNumberFormat="1" applyFont="1" applyFill="1" applyBorder="1" applyAlignment="1">
      <alignment horizontal="center"/>
    </xf>
    <xf numFmtId="2" fontId="2" fillId="0" borderId="3" xfId="0" applyNumberFormat="1" applyFont="1" applyFill="1" applyBorder="1" applyAlignment="1">
      <alignment horizontal="center"/>
    </xf>
    <xf numFmtId="0" fontId="2" fillId="0" borderId="13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1" fontId="5" fillId="0" borderId="1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/>
    </xf>
    <xf numFmtId="1" fontId="5" fillId="0" borderId="3" xfId="0" applyNumberFormat="1" applyFont="1" applyFill="1" applyBorder="1" applyAlignment="1">
      <alignment horizontal="center"/>
    </xf>
    <xf numFmtId="1" fontId="2" fillId="0" borderId="1" xfId="0" applyNumberFormat="1" applyFont="1" applyFill="1" applyBorder="1" applyAlignment="1">
      <alignment horizontal="center"/>
    </xf>
    <xf numFmtId="1" fontId="2" fillId="0" borderId="2" xfId="0" applyNumberFormat="1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4" borderId="33" xfId="0" applyFill="1" applyBorder="1" applyAlignment="1">
      <alignment horizontal="center"/>
    </xf>
    <xf numFmtId="0" fontId="0" fillId="4" borderId="29" xfId="0" applyFill="1" applyBorder="1" applyAlignment="1">
      <alignment horizontal="center"/>
    </xf>
    <xf numFmtId="0" fontId="0" fillId="4" borderId="30" xfId="0" applyFill="1" applyBorder="1" applyAlignment="1">
      <alignment horizontal="center"/>
    </xf>
    <xf numFmtId="0" fontId="3" fillId="4" borderId="6" xfId="0" applyFont="1" applyFill="1" applyBorder="1" applyAlignment="1">
      <alignment horizontal="center"/>
    </xf>
    <xf numFmtId="0" fontId="3" fillId="4" borderId="8" xfId="0" applyFont="1" applyFill="1" applyBorder="1" applyAlignment="1">
      <alignment horizontal="center"/>
    </xf>
    <xf numFmtId="0" fontId="2" fillId="4" borderId="6" xfId="0" applyFont="1" applyFill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4" xfId="0" applyFont="1" applyFill="1" applyBorder="1" applyAlignment="1">
      <alignment horizontal="center" vertical="center"/>
    </xf>
    <xf numFmtId="0" fontId="2" fillId="4" borderId="35" xfId="0" applyFont="1" applyFill="1" applyBorder="1" applyAlignment="1">
      <alignment horizontal="center" vertical="center"/>
    </xf>
    <xf numFmtId="0" fontId="2" fillId="4" borderId="34" xfId="0" applyFont="1" applyFill="1" applyBorder="1" applyAlignment="1">
      <alignment horizontal="center" vertical="center"/>
    </xf>
    <xf numFmtId="0" fontId="2" fillId="2" borderId="6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3" borderId="6" xfId="0" applyFont="1" applyFill="1" applyBorder="1" applyAlignment="1">
      <alignment horizontal="center"/>
    </xf>
    <xf numFmtId="0" fontId="2" fillId="3" borderId="7" xfId="0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0" fontId="3" fillId="2" borderId="8" xfId="0" applyFont="1" applyFill="1" applyBorder="1" applyAlignment="1">
      <alignment horizontal="center"/>
    </xf>
    <xf numFmtId="0" fontId="2" fillId="3" borderId="1" xfId="0" applyFont="1" applyFill="1" applyBorder="1" applyAlignment="1">
      <alignment horizontal="center" vertical="center"/>
    </xf>
    <xf numFmtId="0" fontId="2" fillId="3" borderId="13" xfId="0" applyFont="1" applyFill="1" applyBorder="1" applyAlignment="1">
      <alignment horizontal="center" vertical="center"/>
    </xf>
    <xf numFmtId="0" fontId="2" fillId="3" borderId="16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13" xfId="0" applyFont="1" applyFill="1" applyBorder="1" applyAlignment="1">
      <alignment horizontal="center" vertical="center"/>
    </xf>
    <xf numFmtId="0" fontId="2" fillId="2" borderId="16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 vertical="center"/>
    </xf>
    <xf numFmtId="0" fontId="2" fillId="3" borderId="0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164" fontId="6" fillId="0" borderId="5" xfId="0" applyNumberFormat="1" applyFont="1" applyBorder="1" applyAlignment="1">
      <alignment horizontal="center"/>
    </xf>
    <xf numFmtId="164" fontId="6" fillId="0" borderId="18" xfId="0" applyNumberFormat="1" applyFont="1" applyBorder="1" applyAlignment="1">
      <alignment horizontal="center"/>
    </xf>
    <xf numFmtId="164" fontId="6" fillId="0" borderId="9" xfId="0" applyNumberFormat="1" applyFont="1" applyBorder="1" applyAlignment="1">
      <alignment horizontal="center"/>
    </xf>
    <xf numFmtId="164" fontId="20" fillId="0" borderId="14" xfId="0" applyNumberFormat="1" applyFont="1" applyBorder="1" applyAlignment="1">
      <alignment horizontal="center"/>
    </xf>
    <xf numFmtId="164" fontId="20" fillId="0" borderId="18" xfId="0" applyNumberFormat="1" applyFont="1" applyBorder="1" applyAlignment="1">
      <alignment horizontal="center"/>
    </xf>
    <xf numFmtId="164" fontId="20" fillId="0" borderId="5" xfId="0" applyNumberFormat="1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6" fillId="0" borderId="14" xfId="0" applyNumberFormat="1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emmabennett/Dropbox/Gakkel_Ridge/CRYSTAL%20CARGO/Crystal_Cargo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@PlagALL"/>
      <sheetName val="@Olivine"/>
      <sheetName val="@Mono-mineralic"/>
      <sheetName val="@Poly-mineralic"/>
      <sheetName val="Combined_glom"/>
      <sheetName val="PlagAN"/>
      <sheetName val="PlagGlomAN"/>
      <sheetName val="Plag Glom original "/>
      <sheetName val="@Classification"/>
      <sheetName val="CoreAnRange (2)"/>
      <sheetName val="Samplep discard"/>
      <sheetName val="Depth-Warren_MattDB"/>
      <sheetName val="Reclassify"/>
    </sheetNames>
    <sheetDataSet>
      <sheetData sheetId="0"/>
      <sheetData sheetId="1">
        <row r="1357">
          <cell r="J1357">
            <v>132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mma Bennett" id="{9E175F71-B0E7-504C-824F-954D02D3AE98}" userId="S::bennette7@cardiff.ac.uk::923bb869-b536-4366-9789-55ceb6e64565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3" dT="2019-03-25T18:09:51.79" personId="{9E175F71-B0E7-504C-824F-954D02D3AE98}" id="{8E02EBBF-88E9-FE48-8FFC-5C1A0FD49FAB}">
    <text>Apparent maximum crystal dimension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AH3" dT="2019-03-25T18:53:45.52" personId="{9E175F71-B0E7-504C-824F-954D02D3AE98}" id="{3CF4174B-3525-E848-A57D-D352526AF288}">
    <text>Present/absent (1/0)</text>
  </threadedComment>
</ThreadedComments>
</file>

<file path=xl/worksheets/_rels/sheet2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.xml"/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F22F9-5E7E-9C42-AD43-1DA70694C66C}">
  <dimension ref="F2:F6"/>
  <sheetViews>
    <sheetView workbookViewId="0">
      <selection activeCell="F16" sqref="F16"/>
    </sheetView>
  </sheetViews>
  <sheetFormatPr baseColWidth="10" defaultRowHeight="16"/>
  <sheetData>
    <row r="2" spans="6:6">
      <c r="F2" s="194" t="s">
        <v>607</v>
      </c>
    </row>
    <row r="3" spans="6:6">
      <c r="F3" s="6" t="s">
        <v>486</v>
      </c>
    </row>
    <row r="4" spans="6:6">
      <c r="F4" s="6" t="s">
        <v>604</v>
      </c>
    </row>
    <row r="5" spans="6:6">
      <c r="F5" s="6" t="s">
        <v>605</v>
      </c>
    </row>
    <row r="6" spans="6:6">
      <c r="F6" s="6" t="s">
        <v>606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49BEF-1005-5B45-B369-ACFB62D1CAEE}">
  <dimension ref="A1:HA1255"/>
  <sheetViews>
    <sheetView zoomScale="69" zoomScaleNormal="69" workbookViewId="0">
      <selection activeCell="D54" sqref="D54"/>
    </sheetView>
  </sheetViews>
  <sheetFormatPr baseColWidth="10" defaultRowHeight="16"/>
  <cols>
    <col min="1" max="1" width="21" style="49" bestFit="1" customWidth="1"/>
    <col min="2" max="2" width="19.5" style="151" bestFit="1" customWidth="1"/>
    <col min="3" max="3" width="19.5" style="151" customWidth="1"/>
    <col min="4" max="4" width="9.5" style="49" bestFit="1" customWidth="1"/>
    <col min="5" max="5" width="11.1640625" style="49" bestFit="1" customWidth="1"/>
    <col min="6" max="6" width="12.5" style="49" bestFit="1" customWidth="1"/>
    <col min="7" max="7" width="10" style="151" bestFit="1" customWidth="1"/>
    <col min="8" max="8" width="15.6640625" style="49" bestFit="1" customWidth="1"/>
    <col min="9" max="9" width="9" style="49" bestFit="1" customWidth="1"/>
    <col min="10" max="10" width="11.33203125" style="159" bestFit="1" customWidth="1"/>
    <col min="11" max="11" width="8.33203125" style="49" bestFit="1" customWidth="1"/>
    <col min="12" max="12" width="7.6640625" style="49" customWidth="1"/>
    <col min="13" max="14" width="10.6640625" style="49" bestFit="1" customWidth="1"/>
    <col min="15" max="15" width="14.33203125" style="49" bestFit="1" customWidth="1"/>
    <col min="16" max="16" width="13" style="49" bestFit="1" customWidth="1"/>
    <col min="17" max="17" width="12.6640625" style="49" bestFit="1" customWidth="1"/>
    <col min="18" max="18" width="8.83203125" style="49" bestFit="1" customWidth="1"/>
    <col min="19" max="19" width="14.5" style="49" bestFit="1" customWidth="1"/>
    <col min="20" max="20" width="10.83203125" style="49"/>
    <col min="21" max="21" width="8.5" style="49" bestFit="1" customWidth="1"/>
    <col min="22" max="22" width="7" style="49" bestFit="1" customWidth="1"/>
    <col min="23" max="23" width="9.1640625" style="49" bestFit="1" customWidth="1"/>
    <col min="24" max="24" width="12.33203125" style="49" bestFit="1" customWidth="1"/>
    <col min="25" max="25" width="5.6640625" style="49" bestFit="1" customWidth="1"/>
    <col min="26" max="26" width="5.5" style="49" bestFit="1" customWidth="1"/>
    <col min="27" max="27" width="6.1640625" style="49" bestFit="1" customWidth="1"/>
    <col min="28" max="28" width="5.1640625" style="49" bestFit="1" customWidth="1"/>
    <col min="29" max="29" width="6.33203125" style="49" customWidth="1"/>
    <col min="30" max="30" width="4.83203125" style="49" bestFit="1" customWidth="1"/>
    <col min="31" max="33" width="6" style="49" bestFit="1" customWidth="1"/>
    <col min="34" max="34" width="6.1640625" style="49" customWidth="1"/>
    <col min="35" max="35" width="5.33203125" style="49" customWidth="1"/>
    <col min="36" max="36" width="6.33203125" style="49" bestFit="1" customWidth="1"/>
    <col min="37" max="37" width="4.5" style="49" customWidth="1"/>
    <col min="38" max="38" width="5.1640625" style="49" customWidth="1"/>
    <col min="39" max="39" width="3.83203125" style="49" customWidth="1"/>
    <col min="40" max="40" width="4.1640625" style="49" customWidth="1"/>
    <col min="41" max="41" width="3.5" style="49" customWidth="1"/>
    <col min="42" max="42" width="7.6640625" style="49" bestFit="1" customWidth="1"/>
    <col min="43" max="43" width="5.33203125" style="49" bestFit="1" customWidth="1"/>
    <col min="44" max="45" width="7.6640625" style="49" bestFit="1" customWidth="1"/>
    <col min="46" max="46" width="6.6640625" style="49" bestFit="1" customWidth="1"/>
    <col min="47" max="47" width="7.6640625" style="49" bestFit="1" customWidth="1"/>
    <col min="48" max="49" width="6" style="49" customWidth="1"/>
    <col min="50" max="51" width="2.83203125" style="49" bestFit="1" customWidth="1"/>
    <col min="52" max="52" width="6.1640625" style="49" bestFit="1" customWidth="1"/>
    <col min="53" max="53" width="2.83203125" style="49" bestFit="1" customWidth="1"/>
    <col min="54" max="54" width="10.5" style="49" bestFit="1" customWidth="1"/>
    <col min="55" max="55" width="16.5" style="49" bestFit="1" customWidth="1"/>
    <col min="56" max="56" width="8.33203125" style="49" customWidth="1"/>
    <col min="57" max="57" width="5.83203125" style="159" bestFit="1" customWidth="1"/>
    <col min="58" max="71" width="3.83203125" style="49" customWidth="1"/>
    <col min="72" max="82" width="4.5" style="49" customWidth="1"/>
    <col min="83" max="89" width="3.83203125" style="49" customWidth="1"/>
    <col min="90" max="93" width="4.1640625" style="49" customWidth="1"/>
    <col min="94" max="95" width="6.33203125" style="49" bestFit="1" customWidth="1"/>
    <col min="96" max="96" width="6.33203125" style="49" customWidth="1"/>
    <col min="97" max="102" width="6.1640625" style="49" customWidth="1"/>
    <col min="103" max="103" width="7.6640625" style="49" bestFit="1" customWidth="1"/>
    <col min="104" max="111" width="7.5" style="49" bestFit="1" customWidth="1"/>
    <col min="112" max="112" width="8.1640625" style="49" bestFit="1" customWidth="1"/>
    <col min="113" max="113" width="6.5" style="49" bestFit="1" customWidth="1"/>
    <col min="114" max="120" width="3.1640625" style="49" customWidth="1"/>
    <col min="121" max="121" width="3.83203125" style="49" customWidth="1"/>
    <col min="122" max="123" width="3.83203125" style="49" bestFit="1" customWidth="1"/>
    <col min="124" max="124" width="6.83203125" style="49" bestFit="1" customWidth="1"/>
    <col min="125" max="135" width="6.83203125" style="49" customWidth="1"/>
    <col min="136" max="136" width="6.1640625" style="49" bestFit="1" customWidth="1"/>
    <col min="137" max="138" width="3.5" style="49" customWidth="1"/>
    <col min="139" max="16384" width="10.83203125" style="49"/>
  </cols>
  <sheetData>
    <row r="1" spans="1:151" ht="22" thickBot="1">
      <c r="A1" s="320" t="s">
        <v>437</v>
      </c>
      <c r="B1" s="321"/>
      <c r="C1" s="321"/>
      <c r="D1" s="321"/>
      <c r="G1" s="59"/>
      <c r="Y1" s="322" t="s">
        <v>290</v>
      </c>
      <c r="Z1" s="323"/>
      <c r="AA1" s="323"/>
      <c r="AB1" s="323"/>
      <c r="AC1" s="323"/>
      <c r="AD1" s="323"/>
      <c r="AE1" s="323"/>
      <c r="AF1" s="323"/>
      <c r="AG1" s="323"/>
      <c r="AH1" s="323"/>
      <c r="AI1" s="323"/>
      <c r="AJ1" s="324"/>
      <c r="AP1" s="308" t="s">
        <v>9</v>
      </c>
      <c r="AQ1" s="309"/>
      <c r="AR1" s="309"/>
      <c r="AS1" s="309"/>
      <c r="AT1" s="309"/>
      <c r="AU1" s="309"/>
      <c r="AV1" s="309"/>
      <c r="AW1" s="310"/>
      <c r="AX1" s="322" t="s">
        <v>10</v>
      </c>
      <c r="AY1" s="323"/>
      <c r="AZ1" s="323"/>
      <c r="BA1" s="323"/>
      <c r="BB1" s="324"/>
      <c r="BD1" s="314" t="s">
        <v>329</v>
      </c>
      <c r="BE1" s="315"/>
      <c r="BF1" s="315"/>
      <c r="BG1" s="315"/>
      <c r="BH1" s="315"/>
      <c r="BI1" s="315"/>
      <c r="BJ1" s="315"/>
      <c r="BK1" s="315"/>
      <c r="BL1" s="315"/>
      <c r="BM1" s="315"/>
      <c r="BN1" s="315"/>
      <c r="BO1" s="315"/>
      <c r="BP1" s="315"/>
      <c r="BQ1" s="315"/>
      <c r="BR1" s="315"/>
      <c r="BS1" s="315"/>
      <c r="BT1" s="315"/>
      <c r="BU1" s="315"/>
      <c r="BV1" s="315"/>
      <c r="BW1" s="315"/>
      <c r="BX1" s="315"/>
      <c r="BY1" s="315"/>
      <c r="BZ1" s="315"/>
      <c r="CA1" s="315"/>
      <c r="CB1" s="315"/>
      <c r="CC1" s="315"/>
      <c r="CD1" s="315"/>
      <c r="CE1" s="315"/>
      <c r="CF1" s="315"/>
      <c r="CG1" s="315"/>
      <c r="CH1" s="315"/>
      <c r="CI1" s="315"/>
      <c r="CJ1" s="315"/>
      <c r="CK1" s="315"/>
      <c r="CL1" s="315"/>
      <c r="CM1" s="315"/>
      <c r="CN1" s="315"/>
      <c r="CO1" s="315"/>
      <c r="CP1" s="315"/>
      <c r="CQ1" s="315"/>
      <c r="CR1" s="315"/>
      <c r="CS1" s="315"/>
      <c r="CT1" s="315"/>
      <c r="CU1" s="315"/>
      <c r="CV1" s="315"/>
      <c r="CW1" s="315"/>
      <c r="CX1" s="315"/>
      <c r="CY1" s="315"/>
      <c r="CZ1" s="315"/>
      <c r="DA1" s="315"/>
      <c r="DB1" s="315"/>
      <c r="DC1" s="315"/>
      <c r="DD1" s="315"/>
      <c r="DE1" s="315"/>
      <c r="DF1" s="315"/>
      <c r="DG1" s="315"/>
      <c r="DH1" s="315"/>
      <c r="DI1" s="315"/>
      <c r="DJ1" s="315"/>
      <c r="DK1" s="315"/>
      <c r="DL1" s="315"/>
      <c r="DM1" s="315"/>
      <c r="DN1" s="315"/>
      <c r="DO1" s="315"/>
      <c r="DP1" s="315"/>
      <c r="DQ1" s="315"/>
      <c r="DR1" s="315"/>
      <c r="DS1" s="315"/>
      <c r="DT1" s="315"/>
      <c r="DU1" s="315"/>
      <c r="DV1" s="315"/>
      <c r="DW1" s="315"/>
      <c r="DX1" s="315"/>
      <c r="DY1" s="315"/>
      <c r="DZ1" s="315"/>
      <c r="EA1" s="315"/>
      <c r="EB1" s="315"/>
      <c r="EC1" s="315"/>
      <c r="ED1" s="315"/>
      <c r="EE1" s="316"/>
      <c r="EF1" s="69"/>
      <c r="EI1" s="317" t="s">
        <v>291</v>
      </c>
      <c r="EJ1" s="318"/>
      <c r="EK1" s="318"/>
      <c r="EL1" s="318"/>
      <c r="EM1" s="318"/>
      <c r="EN1" s="318"/>
      <c r="EO1" s="318"/>
      <c r="EP1" s="318"/>
      <c r="EQ1" s="318"/>
      <c r="ER1" s="318"/>
      <c r="ES1" s="318"/>
      <c r="ET1" s="318"/>
      <c r="EU1" s="319"/>
    </row>
    <row r="2" spans="1:151" s="4" customFormat="1" ht="17" thickBot="1">
      <c r="A2" s="325" t="s">
        <v>438</v>
      </c>
      <c r="B2" s="325"/>
      <c r="C2" s="325"/>
      <c r="D2" s="325"/>
      <c r="G2" s="153"/>
      <c r="J2" s="5"/>
      <c r="M2" s="308" t="s">
        <v>11</v>
      </c>
      <c r="N2" s="309"/>
      <c r="O2" s="309"/>
      <c r="P2" s="309"/>
      <c r="Q2" s="310"/>
      <c r="R2" s="67" t="s">
        <v>11</v>
      </c>
      <c r="S2" s="308" t="s">
        <v>12</v>
      </c>
      <c r="T2" s="310"/>
      <c r="U2" s="308" t="s">
        <v>13</v>
      </c>
      <c r="V2" s="309"/>
      <c r="W2" s="309"/>
      <c r="X2" s="309"/>
      <c r="Y2" s="64"/>
      <c r="Z2" s="308">
        <v>1</v>
      </c>
      <c r="AA2" s="310"/>
      <c r="AB2" s="308">
        <v>2</v>
      </c>
      <c r="AC2" s="310"/>
      <c r="AD2" s="308">
        <v>3</v>
      </c>
      <c r="AE2" s="310"/>
      <c r="AF2" s="308">
        <v>4</v>
      </c>
      <c r="AG2" s="310"/>
      <c r="AH2" s="308">
        <v>5</v>
      </c>
      <c r="AI2" s="310"/>
      <c r="AJ2" s="65"/>
      <c r="AK2" s="308" t="s">
        <v>14</v>
      </c>
      <c r="AL2" s="309"/>
      <c r="AM2" s="309"/>
      <c r="AN2" s="309"/>
      <c r="AO2" s="309"/>
      <c r="AP2" s="308" t="s">
        <v>15</v>
      </c>
      <c r="AQ2" s="310"/>
      <c r="AR2" s="308" t="s">
        <v>16</v>
      </c>
      <c r="AS2" s="310"/>
      <c r="AT2" s="308" t="s">
        <v>17</v>
      </c>
      <c r="AU2" s="310"/>
      <c r="AV2" s="308" t="s">
        <v>18</v>
      </c>
      <c r="AW2" s="310"/>
      <c r="AX2" s="308" t="s">
        <v>19</v>
      </c>
      <c r="AY2" s="309"/>
      <c r="AZ2" s="309"/>
      <c r="BA2" s="310"/>
      <c r="BB2" s="154"/>
      <c r="BD2" s="311" t="s">
        <v>20</v>
      </c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3"/>
      <c r="BT2" s="308" t="s">
        <v>21</v>
      </c>
      <c r="BU2" s="309"/>
      <c r="BV2" s="309"/>
      <c r="BW2" s="309"/>
      <c r="BX2" s="309"/>
      <c r="BY2" s="309"/>
      <c r="BZ2" s="309"/>
      <c r="CA2" s="309"/>
      <c r="CB2" s="309"/>
      <c r="CC2" s="309"/>
      <c r="CD2" s="310"/>
      <c r="CE2" s="308" t="s">
        <v>24</v>
      </c>
      <c r="CF2" s="309"/>
      <c r="CG2" s="309"/>
      <c r="CH2" s="309"/>
      <c r="CI2" s="309"/>
      <c r="CJ2" s="309"/>
      <c r="CK2" s="310"/>
      <c r="CL2" s="308" t="s">
        <v>25</v>
      </c>
      <c r="CM2" s="309"/>
      <c r="CN2" s="309"/>
      <c r="CO2" s="310"/>
      <c r="CP2" s="308" t="s">
        <v>26</v>
      </c>
      <c r="CQ2" s="309"/>
      <c r="CR2" s="310"/>
      <c r="CS2" s="308" t="s">
        <v>27</v>
      </c>
      <c r="CT2" s="309"/>
      <c r="CU2" s="309"/>
      <c r="CV2" s="309"/>
      <c r="CW2" s="309"/>
      <c r="CX2" s="310"/>
      <c r="CY2" s="308" t="s">
        <v>28</v>
      </c>
      <c r="CZ2" s="309"/>
      <c r="DA2" s="309"/>
      <c r="DB2" s="309"/>
      <c r="DC2" s="309"/>
      <c r="DD2" s="309"/>
      <c r="DE2" s="309"/>
      <c r="DF2" s="309"/>
      <c r="DG2" s="310"/>
      <c r="DH2" s="308" t="s">
        <v>29</v>
      </c>
      <c r="DI2" s="309"/>
      <c r="DJ2" s="309"/>
      <c r="DK2" s="309"/>
      <c r="DL2" s="309"/>
      <c r="DM2" s="309"/>
      <c r="DN2" s="309"/>
      <c r="DO2" s="309"/>
      <c r="DP2" s="310"/>
      <c r="DQ2" s="308" t="s">
        <v>30</v>
      </c>
      <c r="DR2" s="309"/>
      <c r="DS2" s="309"/>
      <c r="DT2" s="309"/>
      <c r="DU2" s="309"/>
      <c r="DV2" s="309"/>
      <c r="DW2" s="309"/>
      <c r="DX2" s="309"/>
      <c r="DY2" s="309"/>
      <c r="DZ2" s="309"/>
      <c r="EA2" s="309"/>
      <c r="EB2" s="309"/>
      <c r="EC2" s="309"/>
      <c r="ED2" s="309"/>
      <c r="EE2" s="310"/>
      <c r="EF2" s="308" t="s">
        <v>31</v>
      </c>
      <c r="EG2" s="309"/>
      <c r="EH2" s="310"/>
      <c r="EI2" s="308" t="s">
        <v>20</v>
      </c>
      <c r="EJ2" s="309"/>
      <c r="EK2" s="310"/>
      <c r="EL2" s="308" t="s">
        <v>21</v>
      </c>
      <c r="EM2" s="309"/>
      <c r="EN2" s="309"/>
      <c r="EO2" s="309"/>
      <c r="EP2" s="308" t="s">
        <v>24</v>
      </c>
      <c r="EQ2" s="310"/>
      <c r="ER2" s="308" t="s">
        <v>25</v>
      </c>
      <c r="ES2" s="310"/>
      <c r="ET2" s="308" t="s">
        <v>30</v>
      </c>
      <c r="EU2" s="310"/>
    </row>
    <row r="3" spans="1:151" s="4" customFormat="1" ht="17" thickBot="1">
      <c r="A3" s="68" t="s">
        <v>32</v>
      </c>
      <c r="B3" s="68" t="s">
        <v>33</v>
      </c>
      <c r="C3" s="68" t="s">
        <v>487</v>
      </c>
      <c r="D3" s="156" t="s">
        <v>34</v>
      </c>
      <c r="E3" s="157" t="s">
        <v>35</v>
      </c>
      <c r="F3" s="157" t="s">
        <v>285</v>
      </c>
      <c r="G3" s="157" t="s">
        <v>36</v>
      </c>
      <c r="H3" s="157" t="s">
        <v>39</v>
      </c>
      <c r="I3" s="157" t="s">
        <v>40</v>
      </c>
      <c r="J3" s="63" t="s">
        <v>41</v>
      </c>
      <c r="K3" s="157" t="s">
        <v>37</v>
      </c>
      <c r="L3" s="157" t="s">
        <v>42</v>
      </c>
      <c r="M3" s="164" t="s">
        <v>43</v>
      </c>
      <c r="N3" s="61" t="s">
        <v>44</v>
      </c>
      <c r="O3" s="61" t="s">
        <v>45</v>
      </c>
      <c r="P3" s="61" t="s">
        <v>46</v>
      </c>
      <c r="Q3" s="165" t="s">
        <v>47</v>
      </c>
      <c r="R3" s="62" t="s">
        <v>488</v>
      </c>
      <c r="S3" s="164" t="s">
        <v>364</v>
      </c>
      <c r="T3" s="165" t="s">
        <v>365</v>
      </c>
      <c r="U3" s="164" t="s">
        <v>49</v>
      </c>
      <c r="V3" s="61" t="s">
        <v>50</v>
      </c>
      <c r="W3" s="61" t="s">
        <v>489</v>
      </c>
      <c r="X3" s="61" t="s">
        <v>51</v>
      </c>
      <c r="Y3" s="164" t="s">
        <v>52</v>
      </c>
      <c r="Z3" s="164" t="s">
        <v>53</v>
      </c>
      <c r="AA3" s="165" t="s">
        <v>54</v>
      </c>
      <c r="AB3" s="164" t="s">
        <v>55</v>
      </c>
      <c r="AC3" s="165" t="s">
        <v>54</v>
      </c>
      <c r="AD3" s="164" t="s">
        <v>55</v>
      </c>
      <c r="AE3" s="165" t="s">
        <v>54</v>
      </c>
      <c r="AF3" s="164" t="s">
        <v>55</v>
      </c>
      <c r="AG3" s="165" t="s">
        <v>54</v>
      </c>
      <c r="AH3" s="164" t="s">
        <v>55</v>
      </c>
      <c r="AI3" s="165" t="s">
        <v>54</v>
      </c>
      <c r="AJ3" s="165" t="s">
        <v>56</v>
      </c>
      <c r="AK3" s="164">
        <v>0</v>
      </c>
      <c r="AL3" s="61">
        <v>1</v>
      </c>
      <c r="AM3" s="61">
        <v>2</v>
      </c>
      <c r="AN3" s="61">
        <v>3</v>
      </c>
      <c r="AO3" s="61">
        <v>4</v>
      </c>
      <c r="AP3" s="164" t="s">
        <v>55</v>
      </c>
      <c r="AQ3" s="165" t="s">
        <v>54</v>
      </c>
      <c r="AR3" s="164" t="s">
        <v>55</v>
      </c>
      <c r="AS3" s="165" t="s">
        <v>54</v>
      </c>
      <c r="AT3" s="164" t="s">
        <v>55</v>
      </c>
      <c r="AU3" s="165" t="s">
        <v>54</v>
      </c>
      <c r="AV3" s="164" t="s">
        <v>55</v>
      </c>
      <c r="AW3" s="165" t="s">
        <v>54</v>
      </c>
      <c r="AX3" s="164">
        <v>1</v>
      </c>
      <c r="AY3" s="61">
        <v>2</v>
      </c>
      <c r="AZ3" s="61">
        <v>3</v>
      </c>
      <c r="BA3" s="165">
        <v>4</v>
      </c>
      <c r="BB3" s="165" t="s">
        <v>57</v>
      </c>
      <c r="BC3" s="156" t="s">
        <v>58</v>
      </c>
      <c r="BD3" s="166">
        <v>1</v>
      </c>
      <c r="BE3" s="167">
        <v>2</v>
      </c>
      <c r="BF3" s="167">
        <v>3</v>
      </c>
      <c r="BG3" s="167">
        <v>4</v>
      </c>
      <c r="BH3" s="167">
        <v>5</v>
      </c>
      <c r="BI3" s="167">
        <v>6</v>
      </c>
      <c r="BJ3" s="167">
        <v>7</v>
      </c>
      <c r="BK3" s="167">
        <v>8</v>
      </c>
      <c r="BL3" s="167">
        <v>9</v>
      </c>
      <c r="BM3" s="167">
        <v>10</v>
      </c>
      <c r="BN3" s="167">
        <v>11</v>
      </c>
      <c r="BO3" s="167">
        <v>12</v>
      </c>
      <c r="BP3" s="167">
        <v>13</v>
      </c>
      <c r="BQ3" s="167">
        <v>14</v>
      </c>
      <c r="BR3" s="167">
        <v>15</v>
      </c>
      <c r="BS3" s="168">
        <v>16</v>
      </c>
      <c r="BT3" s="164">
        <v>1</v>
      </c>
      <c r="BU3" s="61">
        <v>2</v>
      </c>
      <c r="BV3" s="61">
        <v>3</v>
      </c>
      <c r="BW3" s="61">
        <v>4</v>
      </c>
      <c r="BX3" s="61">
        <v>5</v>
      </c>
      <c r="BY3" s="61">
        <v>6</v>
      </c>
      <c r="BZ3" s="61">
        <v>7</v>
      </c>
      <c r="CA3" s="61">
        <v>8</v>
      </c>
      <c r="CB3" s="61">
        <v>9</v>
      </c>
      <c r="CC3" s="61">
        <v>10</v>
      </c>
      <c r="CD3" s="165">
        <v>11</v>
      </c>
      <c r="CE3" s="164">
        <v>1</v>
      </c>
      <c r="CF3" s="61">
        <v>2</v>
      </c>
      <c r="CG3" s="61">
        <v>3</v>
      </c>
      <c r="CH3" s="61">
        <v>4</v>
      </c>
      <c r="CI3" s="61">
        <v>5</v>
      </c>
      <c r="CJ3" s="61">
        <v>6</v>
      </c>
      <c r="CK3" s="165">
        <v>7</v>
      </c>
      <c r="CL3" s="164">
        <v>1</v>
      </c>
      <c r="CM3" s="66">
        <v>2</v>
      </c>
      <c r="CN3" s="61">
        <v>3</v>
      </c>
      <c r="CO3" s="165">
        <v>4</v>
      </c>
      <c r="CP3" s="164">
        <v>1</v>
      </c>
      <c r="CQ3" s="61">
        <v>2</v>
      </c>
      <c r="CR3" s="165">
        <v>3</v>
      </c>
      <c r="CS3" s="164">
        <v>1</v>
      </c>
      <c r="CT3" s="61">
        <v>2</v>
      </c>
      <c r="CU3" s="61">
        <v>3</v>
      </c>
      <c r="CV3" s="61">
        <v>4</v>
      </c>
      <c r="CW3" s="61">
        <v>5</v>
      </c>
      <c r="CX3" s="165">
        <v>6</v>
      </c>
      <c r="CY3" s="164">
        <v>1</v>
      </c>
      <c r="CZ3" s="61">
        <v>2</v>
      </c>
      <c r="DA3" s="61">
        <v>3</v>
      </c>
      <c r="DB3" s="61">
        <v>4</v>
      </c>
      <c r="DC3" s="61">
        <v>5</v>
      </c>
      <c r="DD3" s="61">
        <v>6</v>
      </c>
      <c r="DE3" s="61">
        <v>7</v>
      </c>
      <c r="DF3" s="61">
        <v>8</v>
      </c>
      <c r="DG3" s="165">
        <v>9</v>
      </c>
      <c r="DH3" s="164">
        <v>1</v>
      </c>
      <c r="DI3" s="61">
        <v>2</v>
      </c>
      <c r="DJ3" s="61">
        <v>3</v>
      </c>
      <c r="DK3" s="61">
        <v>4</v>
      </c>
      <c r="DL3" s="61">
        <v>5</v>
      </c>
      <c r="DM3" s="61">
        <v>6</v>
      </c>
      <c r="DN3" s="61">
        <v>7</v>
      </c>
      <c r="DO3" s="61">
        <v>8</v>
      </c>
      <c r="DP3" s="165">
        <v>9</v>
      </c>
      <c r="DQ3" s="164">
        <v>1</v>
      </c>
      <c r="DR3" s="61">
        <v>2</v>
      </c>
      <c r="DS3" s="61">
        <v>3</v>
      </c>
      <c r="DT3" s="61">
        <v>4</v>
      </c>
      <c r="DU3" s="61">
        <v>5</v>
      </c>
      <c r="DV3" s="61">
        <v>6</v>
      </c>
      <c r="DW3" s="61">
        <v>7</v>
      </c>
      <c r="DX3" s="61">
        <v>8</v>
      </c>
      <c r="DY3" s="61">
        <v>9</v>
      </c>
      <c r="DZ3" s="61">
        <v>10</v>
      </c>
      <c r="EA3" s="61">
        <v>11</v>
      </c>
      <c r="EB3" s="61">
        <v>12</v>
      </c>
      <c r="EC3" s="61">
        <v>13</v>
      </c>
      <c r="ED3" s="61">
        <v>14</v>
      </c>
      <c r="EE3" s="165">
        <v>15</v>
      </c>
      <c r="EF3" s="164" t="s">
        <v>70</v>
      </c>
      <c r="EG3" s="61" t="s">
        <v>71</v>
      </c>
      <c r="EH3" s="165" t="s">
        <v>72</v>
      </c>
      <c r="EI3" s="164" t="s">
        <v>59</v>
      </c>
      <c r="EJ3" s="61" t="s">
        <v>60</v>
      </c>
      <c r="EK3" s="165" t="s">
        <v>61</v>
      </c>
      <c r="EL3" s="164" t="s">
        <v>22</v>
      </c>
      <c r="EM3" s="61" t="s">
        <v>23</v>
      </c>
      <c r="EN3" s="61" t="s">
        <v>490</v>
      </c>
      <c r="EO3" s="61" t="s">
        <v>491</v>
      </c>
      <c r="EP3" s="164" t="s">
        <v>492</v>
      </c>
      <c r="EQ3" s="165" t="s">
        <v>63</v>
      </c>
      <c r="ER3" s="164" t="s">
        <v>493</v>
      </c>
      <c r="ES3" s="165" t="s">
        <v>494</v>
      </c>
      <c r="ET3" s="164" t="s">
        <v>64</v>
      </c>
      <c r="EU3" s="165" t="s">
        <v>65</v>
      </c>
    </row>
    <row r="4" spans="1:151">
      <c r="A4" s="83" t="s">
        <v>319</v>
      </c>
      <c r="B4" s="7" t="s">
        <v>495</v>
      </c>
      <c r="C4" s="7" t="s">
        <v>496</v>
      </c>
      <c r="D4" s="147" t="s">
        <v>73</v>
      </c>
      <c r="E4" s="148"/>
      <c r="F4" s="148" t="s">
        <v>286</v>
      </c>
      <c r="G4" s="73">
        <v>-4.9978333333333333</v>
      </c>
      <c r="H4" s="148">
        <v>3028</v>
      </c>
      <c r="I4" s="148">
        <v>2835</v>
      </c>
      <c r="J4" s="158">
        <v>2.2113884555382217</v>
      </c>
      <c r="K4" s="148">
        <v>4</v>
      </c>
      <c r="L4" s="148">
        <v>3</v>
      </c>
      <c r="M4" s="147">
        <v>0</v>
      </c>
      <c r="N4" s="148">
        <v>5</v>
      </c>
      <c r="O4" s="148">
        <v>0</v>
      </c>
      <c r="P4" s="148">
        <v>0</v>
      </c>
      <c r="Q4" s="149">
        <v>0</v>
      </c>
      <c r="R4" s="87">
        <v>5</v>
      </c>
      <c r="S4" s="147" t="s">
        <v>283</v>
      </c>
      <c r="T4" s="148">
        <v>30</v>
      </c>
      <c r="U4" s="147">
        <v>1</v>
      </c>
      <c r="V4" s="148">
        <v>4</v>
      </c>
      <c r="W4" s="148">
        <v>2</v>
      </c>
      <c r="X4" s="149"/>
      <c r="Y4" s="147">
        <v>5</v>
      </c>
      <c r="Z4" s="148">
        <v>8</v>
      </c>
      <c r="AA4" s="148">
        <v>32</v>
      </c>
      <c r="AB4" s="148"/>
      <c r="AC4" s="148"/>
      <c r="AD4" s="148">
        <v>28</v>
      </c>
      <c r="AE4" s="148">
        <v>149</v>
      </c>
      <c r="AF4" s="148">
        <v>65</v>
      </c>
      <c r="AG4" s="148">
        <v>298</v>
      </c>
      <c r="AH4" s="148"/>
      <c r="AI4" s="148"/>
      <c r="AJ4" s="148">
        <v>0</v>
      </c>
      <c r="AK4" s="147">
        <v>0</v>
      </c>
      <c r="AL4" s="148">
        <v>0</v>
      </c>
      <c r="AM4" s="148">
        <v>0</v>
      </c>
      <c r="AN4" s="148">
        <v>0</v>
      </c>
      <c r="AO4" s="149">
        <v>0</v>
      </c>
      <c r="AP4" s="169"/>
      <c r="AQ4" s="170"/>
      <c r="AR4" s="170"/>
      <c r="AS4" s="170"/>
      <c r="AT4" s="170"/>
      <c r="AU4" s="170"/>
      <c r="AV4" s="170"/>
      <c r="AW4" s="170"/>
      <c r="AX4" s="147">
        <v>0</v>
      </c>
      <c r="AY4" s="148">
        <v>0</v>
      </c>
      <c r="AZ4" s="148">
        <v>0</v>
      </c>
      <c r="BA4" s="148">
        <v>0</v>
      </c>
      <c r="BB4" s="149">
        <v>0</v>
      </c>
      <c r="BC4" s="87">
        <v>129</v>
      </c>
      <c r="BD4" s="148">
        <v>78.8</v>
      </c>
      <c r="BE4" s="15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9"/>
      <c r="BT4" s="147"/>
      <c r="BU4" s="148"/>
      <c r="BV4" s="148"/>
      <c r="BW4" s="148"/>
      <c r="BX4" s="148"/>
      <c r="BY4" s="148"/>
      <c r="BZ4" s="148"/>
      <c r="CA4" s="148"/>
      <c r="CB4" s="148"/>
      <c r="CC4" s="148"/>
      <c r="CD4" s="148"/>
      <c r="CE4" s="147"/>
      <c r="CF4" s="148"/>
      <c r="CG4" s="148"/>
      <c r="CH4" s="148"/>
      <c r="CI4" s="148"/>
      <c r="CJ4" s="148"/>
      <c r="CK4" s="149"/>
      <c r="CL4" s="147">
        <v>63.35</v>
      </c>
      <c r="CM4" s="148">
        <v>63.47</v>
      </c>
      <c r="CN4" s="148">
        <v>65.180000000000007</v>
      </c>
      <c r="CO4" s="149"/>
      <c r="CP4" s="147">
        <v>61.73</v>
      </c>
      <c r="CQ4" s="148"/>
      <c r="CR4" s="149"/>
      <c r="CS4" s="147">
        <v>79.099999999999994</v>
      </c>
      <c r="CT4" s="148">
        <v>80.989999999999995</v>
      </c>
      <c r="CU4" s="148">
        <v>80.13</v>
      </c>
      <c r="CV4" s="148"/>
      <c r="CW4" s="148"/>
      <c r="CX4" s="148"/>
      <c r="CY4" s="171">
        <v>80.31</v>
      </c>
      <c r="CZ4" s="78">
        <v>76.510000000000005</v>
      </c>
      <c r="DA4" s="78">
        <v>76.41</v>
      </c>
      <c r="DB4" s="78">
        <v>77.62</v>
      </c>
      <c r="DC4" s="78">
        <v>79.52</v>
      </c>
      <c r="DD4" s="78">
        <v>77.709999999999994</v>
      </c>
      <c r="DE4" s="78">
        <v>77.31</v>
      </c>
      <c r="DF4" s="78">
        <v>79.709999999999994</v>
      </c>
      <c r="DG4" s="172">
        <v>79.209999999999994</v>
      </c>
      <c r="DH4" s="147"/>
      <c r="DI4" s="148"/>
      <c r="DJ4" s="148"/>
      <c r="DK4" s="148"/>
      <c r="DL4" s="148"/>
      <c r="DM4" s="148"/>
      <c r="DN4" s="148"/>
      <c r="DO4" s="148"/>
      <c r="DP4" s="148"/>
      <c r="DQ4" s="147"/>
      <c r="DR4" s="148"/>
      <c r="DS4" s="148"/>
      <c r="DT4" s="148"/>
      <c r="DU4" s="148"/>
      <c r="DV4" s="148"/>
      <c r="DW4" s="148"/>
      <c r="DX4" s="148"/>
      <c r="DY4" s="148"/>
      <c r="DZ4" s="148"/>
      <c r="EA4" s="148"/>
      <c r="EB4" s="148"/>
      <c r="EC4" s="148"/>
      <c r="ED4" s="148"/>
      <c r="EE4" s="149"/>
      <c r="EF4" s="147"/>
      <c r="EG4" s="148"/>
      <c r="EH4" s="148"/>
      <c r="EI4" s="147"/>
      <c r="EJ4" s="148"/>
      <c r="EK4" s="149"/>
      <c r="EL4" s="147"/>
      <c r="EM4" s="148"/>
      <c r="EN4" s="148"/>
      <c r="EO4" s="149"/>
      <c r="EP4" s="147"/>
      <c r="EQ4" s="149"/>
      <c r="ER4" s="147"/>
      <c r="ES4" s="149"/>
      <c r="ET4" s="147"/>
      <c r="EU4" s="149"/>
    </row>
    <row r="5" spans="1:151">
      <c r="A5" s="83" t="s">
        <v>319</v>
      </c>
      <c r="B5" s="173" t="s">
        <v>495</v>
      </c>
      <c r="C5" s="173" t="s">
        <v>496</v>
      </c>
      <c r="D5" s="83" t="s">
        <v>64</v>
      </c>
      <c r="F5" s="49" t="s">
        <v>286</v>
      </c>
      <c r="G5" s="60">
        <v>-4.9978333333333333</v>
      </c>
      <c r="H5" s="49">
        <v>3028</v>
      </c>
      <c r="I5" s="49">
        <v>2252</v>
      </c>
      <c r="J5" s="159">
        <v>1.0780277644806127</v>
      </c>
      <c r="K5" s="49">
        <v>4</v>
      </c>
      <c r="L5" s="49">
        <v>4</v>
      </c>
      <c r="M5" s="83">
        <v>1</v>
      </c>
      <c r="N5" s="49">
        <v>3</v>
      </c>
      <c r="O5" s="49">
        <v>1</v>
      </c>
      <c r="P5" s="49">
        <v>1</v>
      </c>
      <c r="Q5" s="58">
        <v>0</v>
      </c>
      <c r="R5" s="42">
        <v>6</v>
      </c>
      <c r="S5" s="83">
        <v>1</v>
      </c>
      <c r="U5" s="83">
        <v>3</v>
      </c>
      <c r="V5" s="49">
        <v>3</v>
      </c>
      <c r="W5" s="49">
        <v>3</v>
      </c>
      <c r="X5" s="58">
        <v>1</v>
      </c>
      <c r="Y5" s="83">
        <v>10</v>
      </c>
      <c r="Z5" s="49">
        <v>6</v>
      </c>
      <c r="AA5" s="49">
        <v>24</v>
      </c>
      <c r="AD5" s="49">
        <v>190</v>
      </c>
      <c r="AE5" s="49">
        <v>352</v>
      </c>
      <c r="AF5" s="49">
        <v>95</v>
      </c>
      <c r="AG5" s="49">
        <v>104</v>
      </c>
      <c r="AJ5" s="49">
        <v>0</v>
      </c>
      <c r="AK5" s="83">
        <v>0</v>
      </c>
      <c r="AL5" s="49">
        <v>1</v>
      </c>
      <c r="AM5" s="49">
        <v>0</v>
      </c>
      <c r="AN5" s="49">
        <v>0</v>
      </c>
      <c r="AO5" s="58">
        <v>0</v>
      </c>
      <c r="AP5" s="174">
        <v>618</v>
      </c>
      <c r="AQ5" s="175">
        <v>689</v>
      </c>
      <c r="AR5" s="175">
        <v>0</v>
      </c>
      <c r="AS5" s="175">
        <v>0</v>
      </c>
      <c r="AT5" s="175">
        <v>0</v>
      </c>
      <c r="AU5" s="175">
        <v>0</v>
      </c>
      <c r="AV5" s="175">
        <v>0</v>
      </c>
      <c r="AW5" s="175">
        <v>0</v>
      </c>
      <c r="AX5" s="83">
        <v>0</v>
      </c>
      <c r="AY5" s="49">
        <v>0</v>
      </c>
      <c r="AZ5" s="49">
        <v>0</v>
      </c>
      <c r="BA5" s="49">
        <v>0</v>
      </c>
      <c r="BB5" s="58">
        <v>0</v>
      </c>
      <c r="BC5" s="42">
        <v>87</v>
      </c>
      <c r="BS5" s="58"/>
      <c r="BT5" s="83">
        <v>83.23</v>
      </c>
      <c r="BU5" s="49">
        <v>81.73</v>
      </c>
      <c r="BV5" s="49">
        <v>83.53</v>
      </c>
      <c r="CE5" s="83"/>
      <c r="CK5" s="58"/>
      <c r="CL5" s="83">
        <v>62.47</v>
      </c>
      <c r="CO5" s="58"/>
      <c r="CP5" s="83"/>
      <c r="CR5" s="58"/>
      <c r="CS5" s="83"/>
      <c r="CY5" s="93">
        <v>79.849999999999994</v>
      </c>
      <c r="CZ5" s="70">
        <v>77.37</v>
      </c>
      <c r="DA5" s="70">
        <v>78.83</v>
      </c>
      <c r="DB5" s="70"/>
      <c r="DC5" s="70"/>
      <c r="DD5" s="70"/>
      <c r="DE5" s="70"/>
      <c r="DF5" s="70"/>
      <c r="DG5" s="176"/>
      <c r="DH5" s="83"/>
      <c r="DQ5" s="83"/>
      <c r="EE5" s="58"/>
      <c r="EF5" s="83"/>
      <c r="EI5" s="83"/>
      <c r="EK5" s="58"/>
      <c r="EL5" s="83"/>
      <c r="EO5" s="58"/>
      <c r="EP5" s="83"/>
      <c r="EQ5" s="58"/>
      <c r="ER5" s="83"/>
      <c r="ES5" s="58"/>
      <c r="ET5" s="83"/>
      <c r="EU5" s="58"/>
    </row>
    <row r="6" spans="1:151">
      <c r="A6" s="83" t="s">
        <v>319</v>
      </c>
      <c r="B6" s="173" t="s">
        <v>495</v>
      </c>
      <c r="C6" s="173" t="s">
        <v>496</v>
      </c>
      <c r="D6" s="83" t="s">
        <v>65</v>
      </c>
      <c r="F6" s="49" t="s">
        <v>286</v>
      </c>
      <c r="G6" s="60">
        <v>-4.9978333333333333</v>
      </c>
      <c r="H6" s="49">
        <v>3028</v>
      </c>
      <c r="I6" s="49">
        <v>1389</v>
      </c>
      <c r="J6" s="159">
        <v>1.3945783132530121</v>
      </c>
      <c r="K6" s="49">
        <v>4</v>
      </c>
      <c r="L6" s="49">
        <v>3</v>
      </c>
      <c r="M6" s="83">
        <v>0</v>
      </c>
      <c r="N6" s="49">
        <v>0</v>
      </c>
      <c r="O6" s="49">
        <v>1</v>
      </c>
      <c r="P6" s="49">
        <v>1</v>
      </c>
      <c r="Q6" s="58">
        <v>0</v>
      </c>
      <c r="R6" s="42">
        <v>2</v>
      </c>
      <c r="S6" s="83" t="s">
        <v>283</v>
      </c>
      <c r="T6" s="49">
        <v>14</v>
      </c>
      <c r="U6" s="83">
        <v>3</v>
      </c>
      <c r="V6" s="49">
        <v>4</v>
      </c>
      <c r="W6" s="49">
        <v>3</v>
      </c>
      <c r="X6" s="58">
        <v>3</v>
      </c>
      <c r="Y6" s="83">
        <v>1</v>
      </c>
      <c r="Z6" s="49">
        <v>6</v>
      </c>
      <c r="AA6" s="49">
        <v>45</v>
      </c>
      <c r="AJ6" s="49">
        <v>0</v>
      </c>
      <c r="AK6" s="83">
        <v>0</v>
      </c>
      <c r="AL6" s="49">
        <v>0</v>
      </c>
      <c r="AM6" s="49">
        <v>0</v>
      </c>
      <c r="AN6" s="49">
        <v>0</v>
      </c>
      <c r="AO6" s="58">
        <v>0</v>
      </c>
      <c r="AP6" s="174"/>
      <c r="AQ6" s="175"/>
      <c r="AR6" s="175"/>
      <c r="AS6" s="175"/>
      <c r="AT6" s="175"/>
      <c r="AU6" s="175"/>
      <c r="AV6" s="175"/>
      <c r="AW6" s="175"/>
      <c r="AX6" s="83">
        <v>0</v>
      </c>
      <c r="AY6" s="49">
        <v>0</v>
      </c>
      <c r="AZ6" s="49">
        <v>0</v>
      </c>
      <c r="BA6" s="49">
        <v>0</v>
      </c>
      <c r="BB6" s="58">
        <v>0</v>
      </c>
      <c r="BC6" s="42">
        <v>100</v>
      </c>
      <c r="BS6" s="58"/>
      <c r="BT6" s="83"/>
      <c r="CE6" s="83"/>
      <c r="CK6" s="58"/>
      <c r="CL6" s="83"/>
      <c r="CO6" s="58"/>
      <c r="CP6" s="83"/>
      <c r="CR6" s="58"/>
      <c r="CS6" s="83"/>
      <c r="CY6" s="93"/>
      <c r="CZ6" s="70"/>
      <c r="DA6" s="70"/>
      <c r="DB6" s="70"/>
      <c r="DC6" s="70"/>
      <c r="DD6" s="70"/>
      <c r="DE6" s="70"/>
      <c r="DF6" s="70"/>
      <c r="DG6" s="176"/>
      <c r="DH6" s="83"/>
      <c r="DQ6" s="83"/>
      <c r="EE6" s="58"/>
      <c r="EF6" s="83"/>
      <c r="EI6" s="83"/>
      <c r="EK6" s="58"/>
      <c r="EL6" s="83"/>
      <c r="EO6" s="58"/>
      <c r="EP6" s="83"/>
      <c r="EQ6" s="58"/>
      <c r="ER6" s="83"/>
      <c r="ES6" s="58"/>
      <c r="ET6" s="83"/>
      <c r="EU6" s="58"/>
    </row>
    <row r="7" spans="1:151">
      <c r="A7" s="83" t="s">
        <v>319</v>
      </c>
      <c r="B7" s="173" t="s">
        <v>495</v>
      </c>
      <c r="C7" s="173" t="s">
        <v>496</v>
      </c>
      <c r="D7" s="83" t="s">
        <v>66</v>
      </c>
      <c r="F7" s="49" t="s">
        <v>286</v>
      </c>
      <c r="G7" s="60">
        <v>-4.9978333333333333</v>
      </c>
      <c r="H7" s="49">
        <v>3028</v>
      </c>
      <c r="I7" s="49">
        <v>5932</v>
      </c>
      <c r="J7" s="159">
        <v>3.0656330749354006</v>
      </c>
      <c r="K7" s="49">
        <v>4</v>
      </c>
      <c r="L7" s="49">
        <v>3</v>
      </c>
      <c r="M7" s="83">
        <v>0</v>
      </c>
      <c r="N7" s="49">
        <v>5</v>
      </c>
      <c r="O7" s="49">
        <v>0</v>
      </c>
      <c r="P7" s="49">
        <v>0</v>
      </c>
      <c r="Q7" s="58">
        <v>0</v>
      </c>
      <c r="R7" s="42">
        <v>5</v>
      </c>
      <c r="S7" s="83" t="s">
        <v>283</v>
      </c>
      <c r="T7" s="49">
        <v>16</v>
      </c>
      <c r="U7" s="83">
        <v>2</v>
      </c>
      <c r="V7" s="49">
        <v>4</v>
      </c>
      <c r="W7" s="49">
        <v>3</v>
      </c>
      <c r="X7" s="58">
        <v>1</v>
      </c>
      <c r="Y7" s="83">
        <v>5</v>
      </c>
      <c r="Z7" s="49">
        <v>6</v>
      </c>
      <c r="AA7" s="49">
        <v>89</v>
      </c>
      <c r="AD7" s="49">
        <v>62</v>
      </c>
      <c r="AE7" s="49">
        <v>121</v>
      </c>
      <c r="AH7" s="49">
        <v>119</v>
      </c>
      <c r="AI7" s="49">
        <v>485</v>
      </c>
      <c r="AJ7" s="49">
        <v>0</v>
      </c>
      <c r="AK7" s="83">
        <v>0</v>
      </c>
      <c r="AL7" s="49">
        <v>1</v>
      </c>
      <c r="AM7" s="49">
        <v>0</v>
      </c>
      <c r="AN7" s="49">
        <v>0</v>
      </c>
      <c r="AO7" s="58">
        <v>0</v>
      </c>
      <c r="AP7" s="174">
        <v>643</v>
      </c>
      <c r="AQ7" s="175">
        <v>896</v>
      </c>
      <c r="AR7" s="175">
        <v>0</v>
      </c>
      <c r="AS7" s="175">
        <v>0</v>
      </c>
      <c r="AT7" s="175">
        <v>0</v>
      </c>
      <c r="AU7" s="175">
        <v>0</v>
      </c>
      <c r="AV7" s="175">
        <v>0</v>
      </c>
      <c r="AW7" s="175">
        <v>0</v>
      </c>
      <c r="AX7" s="83">
        <v>1</v>
      </c>
      <c r="AY7" s="49">
        <v>0</v>
      </c>
      <c r="AZ7" s="49">
        <v>0</v>
      </c>
      <c r="BA7" s="49">
        <v>0</v>
      </c>
      <c r="BB7" s="58">
        <v>2</v>
      </c>
      <c r="BC7" s="42">
        <v>144</v>
      </c>
      <c r="BD7" s="49">
        <v>80.86</v>
      </c>
      <c r="BE7" s="159">
        <v>80.349999999999994</v>
      </c>
      <c r="BF7" s="49">
        <v>79.64</v>
      </c>
      <c r="BG7" s="49">
        <v>79.03</v>
      </c>
      <c r="BH7" s="49">
        <v>79.95</v>
      </c>
      <c r="BS7" s="58"/>
      <c r="BT7" s="83"/>
      <c r="CE7" s="83"/>
      <c r="CK7" s="58"/>
      <c r="CL7" s="83">
        <v>63.2</v>
      </c>
      <c r="CO7" s="58"/>
      <c r="CP7" s="83"/>
      <c r="CR7" s="58"/>
      <c r="CS7" s="83"/>
      <c r="CY7" s="93"/>
      <c r="CZ7" s="70"/>
      <c r="DA7" s="70"/>
      <c r="DB7" s="70"/>
      <c r="DC7" s="70"/>
      <c r="DD7" s="70"/>
      <c r="DE7" s="70"/>
      <c r="DF7" s="70"/>
      <c r="DG7" s="176"/>
      <c r="DH7" s="83"/>
      <c r="DQ7" s="83">
        <v>75.64</v>
      </c>
      <c r="DR7" s="49">
        <v>78.94</v>
      </c>
      <c r="DS7" s="49">
        <v>77.92</v>
      </c>
      <c r="DT7" s="49">
        <v>75.040000000000006</v>
      </c>
      <c r="DU7" s="49">
        <v>77.31</v>
      </c>
      <c r="DV7" s="49">
        <v>77.78</v>
      </c>
      <c r="DW7" s="49">
        <v>76.22</v>
      </c>
      <c r="EE7" s="58"/>
      <c r="EF7" s="83"/>
      <c r="EI7" s="83"/>
      <c r="EK7" s="58"/>
      <c r="EL7" s="83"/>
      <c r="EO7" s="58"/>
      <c r="EP7" s="83"/>
      <c r="EQ7" s="58"/>
      <c r="ER7" s="83"/>
      <c r="ES7" s="58"/>
      <c r="ET7" s="83"/>
      <c r="EU7" s="58"/>
    </row>
    <row r="8" spans="1:151">
      <c r="A8" s="83" t="s">
        <v>319</v>
      </c>
      <c r="B8" s="173" t="s">
        <v>495</v>
      </c>
      <c r="C8" s="173" t="s">
        <v>496</v>
      </c>
      <c r="D8" s="83" t="s">
        <v>67</v>
      </c>
      <c r="F8" s="49" t="s">
        <v>286</v>
      </c>
      <c r="G8" s="60">
        <v>-4.9978333333333333</v>
      </c>
      <c r="H8" s="49">
        <v>3028</v>
      </c>
      <c r="I8" s="49">
        <v>5746</v>
      </c>
      <c r="J8" s="159">
        <v>1.379591836734694</v>
      </c>
      <c r="K8" s="49">
        <v>4</v>
      </c>
      <c r="L8" s="49">
        <v>5</v>
      </c>
      <c r="M8" s="83">
        <v>0</v>
      </c>
      <c r="N8" s="49">
        <v>2</v>
      </c>
      <c r="O8" s="49">
        <v>1</v>
      </c>
      <c r="P8" s="49">
        <v>1</v>
      </c>
      <c r="Q8" s="58">
        <v>0</v>
      </c>
      <c r="R8" s="42">
        <v>4</v>
      </c>
      <c r="S8" s="83">
        <v>1</v>
      </c>
      <c r="U8" s="83">
        <v>3</v>
      </c>
      <c r="V8" s="49">
        <v>5</v>
      </c>
      <c r="W8" s="49">
        <v>1</v>
      </c>
      <c r="X8" s="58">
        <v>3</v>
      </c>
      <c r="Y8" s="83">
        <v>5</v>
      </c>
      <c r="Z8" s="49">
        <v>7</v>
      </c>
      <c r="AA8" s="49">
        <v>36</v>
      </c>
      <c r="AD8" s="49">
        <v>1</v>
      </c>
      <c r="AE8" s="49">
        <v>4</v>
      </c>
      <c r="AF8" s="49">
        <v>36</v>
      </c>
      <c r="AG8" s="49">
        <v>229</v>
      </c>
      <c r="AH8" s="49">
        <v>108</v>
      </c>
      <c r="AI8" s="49">
        <v>193</v>
      </c>
      <c r="AJ8" s="49">
        <v>0</v>
      </c>
      <c r="AK8" s="83">
        <v>0</v>
      </c>
      <c r="AL8" s="49">
        <v>1</v>
      </c>
      <c r="AM8" s="49">
        <v>0</v>
      </c>
      <c r="AN8" s="49">
        <v>0</v>
      </c>
      <c r="AO8" s="58">
        <v>0</v>
      </c>
      <c r="AP8" s="174">
        <v>0</v>
      </c>
      <c r="AQ8" s="175">
        <v>1765</v>
      </c>
      <c r="AR8" s="175">
        <v>0</v>
      </c>
      <c r="AS8" s="175">
        <v>0</v>
      </c>
      <c r="AT8" s="175">
        <v>0</v>
      </c>
      <c r="AU8" s="175">
        <v>0</v>
      </c>
      <c r="AV8" s="175">
        <v>0</v>
      </c>
      <c r="AW8" s="175">
        <v>0</v>
      </c>
      <c r="AX8" s="83">
        <v>0</v>
      </c>
      <c r="AY8" s="49">
        <v>0</v>
      </c>
      <c r="AZ8" s="49">
        <v>0</v>
      </c>
      <c r="BA8" s="49">
        <v>0</v>
      </c>
      <c r="BB8" s="58">
        <v>0</v>
      </c>
      <c r="BC8" s="42">
        <v>129</v>
      </c>
      <c r="BS8" s="58"/>
      <c r="BT8" s="83"/>
      <c r="CE8" s="83"/>
      <c r="CK8" s="58"/>
      <c r="CL8" s="83"/>
      <c r="CO8" s="58"/>
      <c r="CP8" s="83"/>
      <c r="CR8" s="58"/>
      <c r="CS8" s="83"/>
      <c r="CY8" s="93"/>
      <c r="CZ8" s="70"/>
      <c r="DA8" s="70"/>
      <c r="DB8" s="70"/>
      <c r="DC8" s="70"/>
      <c r="DD8" s="70"/>
      <c r="DE8" s="70"/>
      <c r="DF8" s="70"/>
      <c r="DG8" s="176"/>
      <c r="DH8" s="83"/>
      <c r="DQ8" s="83"/>
      <c r="EE8" s="58"/>
      <c r="EF8" s="83"/>
      <c r="EI8" s="83"/>
      <c r="EK8" s="58"/>
      <c r="EL8" s="83"/>
      <c r="EO8" s="58"/>
      <c r="EP8" s="83"/>
      <c r="EQ8" s="58"/>
      <c r="ER8" s="83"/>
      <c r="ES8" s="58"/>
      <c r="ET8" s="83"/>
      <c r="EU8" s="58"/>
    </row>
    <row r="9" spans="1:151">
      <c r="A9" s="83" t="s">
        <v>319</v>
      </c>
      <c r="B9" s="173" t="s">
        <v>495</v>
      </c>
      <c r="C9" s="173" t="s">
        <v>496</v>
      </c>
      <c r="D9" s="83" t="s">
        <v>68</v>
      </c>
      <c r="F9" s="49" t="s">
        <v>286</v>
      </c>
      <c r="G9" s="60">
        <v>-4.9978333333333333</v>
      </c>
      <c r="H9" s="49">
        <v>3028</v>
      </c>
      <c r="I9" s="49">
        <v>3779</v>
      </c>
      <c r="J9" s="159">
        <v>1.4385230300723257</v>
      </c>
      <c r="K9" s="49">
        <v>4</v>
      </c>
      <c r="L9" s="49">
        <v>4</v>
      </c>
      <c r="M9" s="83">
        <v>0</v>
      </c>
      <c r="N9" s="49">
        <v>4</v>
      </c>
      <c r="O9" s="49">
        <v>0</v>
      </c>
      <c r="P9" s="49">
        <v>0</v>
      </c>
      <c r="Q9" s="58">
        <v>0</v>
      </c>
      <c r="R9" s="42">
        <v>4</v>
      </c>
      <c r="S9" s="83" t="s">
        <v>283</v>
      </c>
      <c r="T9" s="49">
        <v>24</v>
      </c>
      <c r="U9" s="83">
        <v>2</v>
      </c>
      <c r="V9" s="49">
        <v>4</v>
      </c>
      <c r="W9" s="49">
        <v>3</v>
      </c>
      <c r="X9" s="58">
        <v>1</v>
      </c>
      <c r="Y9" s="83">
        <v>10</v>
      </c>
      <c r="Z9" s="49">
        <v>12</v>
      </c>
      <c r="AA9" s="49">
        <v>34</v>
      </c>
      <c r="AF9" s="49">
        <v>53</v>
      </c>
      <c r="AG9" s="49">
        <v>287</v>
      </c>
      <c r="AH9" s="49">
        <v>122</v>
      </c>
      <c r="AI9" s="49">
        <v>539</v>
      </c>
      <c r="AJ9" s="49">
        <v>0</v>
      </c>
      <c r="AK9" s="83">
        <v>0</v>
      </c>
      <c r="AL9" s="49">
        <v>0</v>
      </c>
      <c r="AM9" s="49">
        <v>0</v>
      </c>
      <c r="AN9" s="49">
        <v>0</v>
      </c>
      <c r="AO9" s="58">
        <v>0</v>
      </c>
      <c r="AP9" s="174" t="s">
        <v>284</v>
      </c>
      <c r="AQ9" s="175" t="s">
        <v>284</v>
      </c>
      <c r="AR9" s="175" t="s">
        <v>284</v>
      </c>
      <c r="AS9" s="177">
        <v>0</v>
      </c>
      <c r="AT9" s="175" t="s">
        <v>284</v>
      </c>
      <c r="AU9" s="175" t="s">
        <v>284</v>
      </c>
      <c r="AV9" s="175" t="s">
        <v>284</v>
      </c>
      <c r="AW9" s="175" t="s">
        <v>284</v>
      </c>
      <c r="AX9" s="83">
        <v>0</v>
      </c>
      <c r="AY9" s="49">
        <v>0</v>
      </c>
      <c r="AZ9" s="49">
        <v>0</v>
      </c>
      <c r="BA9" s="49">
        <v>0</v>
      </c>
      <c r="BB9" s="58">
        <v>0</v>
      </c>
      <c r="BC9" s="42">
        <v>141</v>
      </c>
      <c r="BD9" s="49">
        <v>75.11</v>
      </c>
      <c r="BE9" s="159">
        <v>75.19</v>
      </c>
      <c r="BF9" s="49">
        <v>75.08</v>
      </c>
      <c r="BG9" s="49">
        <v>75.400000000000006</v>
      </c>
      <c r="BH9" s="49">
        <v>77.77</v>
      </c>
      <c r="BI9" s="49">
        <v>77.290000000000006</v>
      </c>
      <c r="BJ9" s="49">
        <v>74.569999999999993</v>
      </c>
      <c r="BS9" s="58"/>
      <c r="BT9" s="83"/>
      <c r="CE9" s="83">
        <v>60.27</v>
      </c>
      <c r="CK9" s="58"/>
      <c r="CL9" s="83">
        <v>63.78</v>
      </c>
      <c r="CM9" s="49">
        <v>57.82</v>
      </c>
      <c r="CO9" s="58"/>
      <c r="CP9" s="83">
        <v>60.32</v>
      </c>
      <c r="CQ9" s="49">
        <v>48.49</v>
      </c>
      <c r="CR9" s="58"/>
      <c r="CS9" s="83">
        <v>72.239999999999995</v>
      </c>
      <c r="CT9" s="49">
        <v>58.29</v>
      </c>
      <c r="CU9" s="49">
        <v>71.86</v>
      </c>
      <c r="CV9" s="49">
        <v>71.23</v>
      </c>
      <c r="CY9" s="93"/>
      <c r="CZ9" s="70"/>
      <c r="DA9" s="70"/>
      <c r="DB9" s="70"/>
      <c r="DC9" s="70"/>
      <c r="DD9" s="70"/>
      <c r="DE9" s="70"/>
      <c r="DF9" s="70"/>
      <c r="DG9" s="176"/>
      <c r="DH9" s="83"/>
      <c r="DQ9" s="83"/>
      <c r="EE9" s="58"/>
      <c r="EF9" s="83"/>
      <c r="EI9" s="83"/>
      <c r="EK9" s="58"/>
      <c r="EL9" s="83"/>
      <c r="EO9" s="58"/>
      <c r="EP9" s="83"/>
      <c r="EQ9" s="58"/>
      <c r="ER9" s="83"/>
      <c r="ES9" s="58"/>
      <c r="ET9" s="83"/>
      <c r="EU9" s="58"/>
    </row>
    <row r="10" spans="1:151">
      <c r="A10" s="83" t="s">
        <v>319</v>
      </c>
      <c r="B10" s="173" t="s">
        <v>495</v>
      </c>
      <c r="C10" s="173" t="s">
        <v>496</v>
      </c>
      <c r="D10" s="83" t="s">
        <v>69</v>
      </c>
      <c r="F10" s="49" t="s">
        <v>286</v>
      </c>
      <c r="G10" s="60">
        <v>-4.9978333333333333</v>
      </c>
      <c r="H10" s="49">
        <v>3028</v>
      </c>
      <c r="I10" s="49">
        <v>3533</v>
      </c>
      <c r="J10" s="159">
        <v>2.578832116788321</v>
      </c>
      <c r="K10" s="49">
        <v>4</v>
      </c>
      <c r="L10" s="49">
        <v>3</v>
      </c>
      <c r="M10" s="83">
        <v>1</v>
      </c>
      <c r="N10" s="49">
        <v>4</v>
      </c>
      <c r="O10" s="49">
        <v>0</v>
      </c>
      <c r="P10" s="49">
        <v>1</v>
      </c>
      <c r="Q10" s="58">
        <v>0</v>
      </c>
      <c r="R10" s="42">
        <v>6</v>
      </c>
      <c r="S10" s="83">
        <v>1</v>
      </c>
      <c r="U10" s="83">
        <v>3</v>
      </c>
      <c r="V10" s="49">
        <v>3</v>
      </c>
      <c r="W10" s="49">
        <v>3</v>
      </c>
      <c r="X10" s="58">
        <v>2</v>
      </c>
      <c r="Y10" s="83">
        <v>2</v>
      </c>
      <c r="Z10" s="49">
        <v>6</v>
      </c>
      <c r="AA10" s="49">
        <v>10</v>
      </c>
      <c r="AD10" s="49">
        <v>199</v>
      </c>
      <c r="AE10" s="49">
        <v>297</v>
      </c>
      <c r="AF10" s="49">
        <v>47</v>
      </c>
      <c r="AG10" s="49">
        <v>472</v>
      </c>
      <c r="AJ10" s="49">
        <v>0</v>
      </c>
      <c r="AK10" s="83">
        <v>0</v>
      </c>
      <c r="AL10" s="49">
        <v>1</v>
      </c>
      <c r="AM10" s="49">
        <v>0</v>
      </c>
      <c r="AN10" s="49">
        <v>0</v>
      </c>
      <c r="AO10" s="58">
        <v>0</v>
      </c>
      <c r="AP10" s="174">
        <v>1101</v>
      </c>
      <c r="AQ10" s="175">
        <v>1120</v>
      </c>
      <c r="AR10" s="175">
        <v>0</v>
      </c>
      <c r="AS10" s="175">
        <v>0</v>
      </c>
      <c r="AT10" s="175">
        <v>0</v>
      </c>
      <c r="AU10" s="175">
        <v>0</v>
      </c>
      <c r="AV10" s="175">
        <v>0</v>
      </c>
      <c r="AW10" s="175">
        <v>0</v>
      </c>
      <c r="AX10" s="83">
        <v>0</v>
      </c>
      <c r="AY10" s="49">
        <v>0</v>
      </c>
      <c r="AZ10" s="49">
        <v>0</v>
      </c>
      <c r="BA10" s="49">
        <v>0</v>
      </c>
      <c r="BB10" s="58">
        <v>0</v>
      </c>
      <c r="BC10" s="42">
        <v>127</v>
      </c>
      <c r="BD10" s="49">
        <v>75.930000000000007</v>
      </c>
      <c r="BS10" s="58"/>
      <c r="BT10" s="83">
        <v>78.98</v>
      </c>
      <c r="CE10" s="83"/>
      <c r="CK10" s="58"/>
      <c r="CL10" s="83">
        <v>60.03</v>
      </c>
      <c r="CO10" s="58"/>
      <c r="CP10" s="83"/>
      <c r="CR10" s="58"/>
      <c r="CS10" s="83"/>
      <c r="CY10" s="93"/>
      <c r="CZ10" s="70"/>
      <c r="DA10" s="70"/>
      <c r="DB10" s="70"/>
      <c r="DC10" s="70"/>
      <c r="DD10" s="70"/>
      <c r="DE10" s="70"/>
      <c r="DF10" s="70"/>
      <c r="DG10" s="176"/>
      <c r="DH10" s="83"/>
      <c r="DQ10" s="83">
        <v>80.760000000000005</v>
      </c>
      <c r="DR10" s="49">
        <v>79.989999999999995</v>
      </c>
      <c r="EE10" s="58"/>
      <c r="EF10" s="83"/>
      <c r="EI10" s="83"/>
      <c r="EK10" s="58"/>
      <c r="EL10" s="83"/>
      <c r="EO10" s="58"/>
      <c r="EP10" s="83"/>
      <c r="EQ10" s="58"/>
      <c r="ER10" s="83"/>
      <c r="ES10" s="58"/>
      <c r="ET10" s="83"/>
      <c r="EU10" s="58"/>
    </row>
    <row r="11" spans="1:151">
      <c r="A11" s="83" t="s">
        <v>319</v>
      </c>
      <c r="B11" s="173" t="s">
        <v>495</v>
      </c>
      <c r="C11" s="173" t="s">
        <v>496</v>
      </c>
      <c r="D11" s="83" t="s">
        <v>74</v>
      </c>
      <c r="F11" s="49" t="s">
        <v>286</v>
      </c>
      <c r="G11" s="60">
        <v>-4.9978333333333333</v>
      </c>
      <c r="H11" s="49">
        <v>3028</v>
      </c>
      <c r="I11" s="49">
        <v>4544</v>
      </c>
      <c r="J11" s="159">
        <v>1.8024593415311385</v>
      </c>
      <c r="K11" s="49">
        <v>4</v>
      </c>
      <c r="L11" s="49">
        <v>3</v>
      </c>
      <c r="M11" s="83">
        <v>0</v>
      </c>
      <c r="N11" s="49">
        <v>3</v>
      </c>
      <c r="O11" s="49">
        <v>0</v>
      </c>
      <c r="P11" s="49">
        <v>0</v>
      </c>
      <c r="Q11" s="58">
        <v>0</v>
      </c>
      <c r="R11" s="42">
        <v>3</v>
      </c>
      <c r="S11" s="83" t="s">
        <v>283</v>
      </c>
      <c r="T11" s="49">
        <v>15</v>
      </c>
      <c r="U11" s="83">
        <v>1</v>
      </c>
      <c r="V11" s="49">
        <v>3</v>
      </c>
      <c r="W11" s="49">
        <v>2</v>
      </c>
      <c r="X11" s="58"/>
      <c r="Y11" s="83">
        <v>10</v>
      </c>
      <c r="Z11" s="49">
        <v>9</v>
      </c>
      <c r="AA11" s="49">
        <v>20</v>
      </c>
      <c r="AD11" s="49">
        <v>61</v>
      </c>
      <c r="AE11" s="49">
        <v>552</v>
      </c>
      <c r="AF11" s="49">
        <v>37</v>
      </c>
      <c r="AG11" s="49">
        <v>1045</v>
      </c>
      <c r="AI11" s="49">
        <v>464</v>
      </c>
      <c r="AJ11" s="49">
        <v>0</v>
      </c>
      <c r="AK11" s="83">
        <v>0</v>
      </c>
      <c r="AL11" s="49">
        <v>0</v>
      </c>
      <c r="AM11" s="49">
        <v>0</v>
      </c>
      <c r="AN11" s="49">
        <v>0</v>
      </c>
      <c r="AO11" s="58">
        <v>0</v>
      </c>
      <c r="AP11" s="174" t="s">
        <v>284</v>
      </c>
      <c r="AQ11" s="175" t="s">
        <v>284</v>
      </c>
      <c r="AR11" s="175" t="s">
        <v>284</v>
      </c>
      <c r="AS11" s="175" t="s">
        <v>284</v>
      </c>
      <c r="AT11" s="175" t="s">
        <v>284</v>
      </c>
      <c r="AU11" s="175" t="s">
        <v>284</v>
      </c>
      <c r="AV11" s="175" t="s">
        <v>284</v>
      </c>
      <c r="AW11" s="175" t="s">
        <v>284</v>
      </c>
      <c r="AX11" s="83">
        <v>0</v>
      </c>
      <c r="AY11" s="49">
        <v>0</v>
      </c>
      <c r="AZ11" s="49">
        <v>0</v>
      </c>
      <c r="BA11" s="49">
        <v>0</v>
      </c>
      <c r="BB11" s="58">
        <v>0</v>
      </c>
      <c r="BC11" s="42">
        <v>146</v>
      </c>
      <c r="BS11" s="58"/>
      <c r="BT11" s="83"/>
      <c r="CE11" s="83"/>
      <c r="CK11" s="58"/>
      <c r="CL11" s="83"/>
      <c r="CO11" s="58"/>
      <c r="CP11" s="83"/>
      <c r="CR11" s="58"/>
      <c r="CS11" s="83"/>
      <c r="CY11" s="93"/>
      <c r="CZ11" s="70"/>
      <c r="DA11" s="70"/>
      <c r="DB11" s="70"/>
      <c r="DC11" s="70"/>
      <c r="DD11" s="70"/>
      <c r="DE11" s="70"/>
      <c r="DF11" s="70"/>
      <c r="DG11" s="176"/>
      <c r="DH11" s="83"/>
      <c r="DQ11" s="83"/>
      <c r="EE11" s="58"/>
      <c r="EF11" s="83"/>
      <c r="EI11" s="83"/>
      <c r="EK11" s="58"/>
      <c r="EL11" s="83"/>
      <c r="EO11" s="58"/>
      <c r="EP11" s="83"/>
      <c r="EQ11" s="58"/>
      <c r="ER11" s="83"/>
      <c r="ES11" s="58"/>
      <c r="ET11" s="83"/>
      <c r="EU11" s="58"/>
    </row>
    <row r="12" spans="1:151">
      <c r="A12" s="83" t="s">
        <v>319</v>
      </c>
      <c r="B12" s="173" t="s">
        <v>495</v>
      </c>
      <c r="C12" s="173" t="s">
        <v>496</v>
      </c>
      <c r="D12" s="83" t="s">
        <v>75</v>
      </c>
      <c r="F12" s="49" t="s">
        <v>286</v>
      </c>
      <c r="G12" s="60">
        <v>-4.9978333333333333</v>
      </c>
      <c r="H12" s="49">
        <v>3028</v>
      </c>
      <c r="I12" s="49">
        <v>1054</v>
      </c>
      <c r="J12" s="159">
        <v>1.8654867256637169</v>
      </c>
      <c r="K12" s="49">
        <v>4</v>
      </c>
      <c r="L12" s="49">
        <v>4</v>
      </c>
      <c r="M12" s="83">
        <v>0</v>
      </c>
      <c r="N12" s="49">
        <v>0</v>
      </c>
      <c r="O12" s="49">
        <v>0</v>
      </c>
      <c r="P12" s="49">
        <v>1</v>
      </c>
      <c r="Q12" s="58">
        <v>0</v>
      </c>
      <c r="R12" s="42">
        <v>1</v>
      </c>
      <c r="S12" s="83" t="s">
        <v>283</v>
      </c>
      <c r="T12" s="49">
        <v>27</v>
      </c>
      <c r="U12" s="83">
        <v>1</v>
      </c>
      <c r="V12" s="49">
        <v>4</v>
      </c>
      <c r="W12" s="49">
        <v>2</v>
      </c>
      <c r="X12" s="58"/>
      <c r="Y12" s="83">
        <v>5</v>
      </c>
      <c r="Z12" s="49">
        <v>8</v>
      </c>
      <c r="AA12" s="49">
        <v>15</v>
      </c>
      <c r="AF12" s="49">
        <v>12</v>
      </c>
      <c r="AG12" s="49">
        <v>30</v>
      </c>
      <c r="AJ12" s="49">
        <v>0</v>
      </c>
      <c r="AK12" s="83">
        <v>0</v>
      </c>
      <c r="AL12" s="49">
        <v>0</v>
      </c>
      <c r="AM12" s="49">
        <v>0</v>
      </c>
      <c r="AN12" s="49">
        <v>0</v>
      </c>
      <c r="AO12" s="58">
        <v>0</v>
      </c>
      <c r="AP12" s="174" t="s">
        <v>284</v>
      </c>
      <c r="AQ12" s="175" t="s">
        <v>284</v>
      </c>
      <c r="AR12" s="175" t="s">
        <v>284</v>
      </c>
      <c r="AS12" s="175" t="s">
        <v>284</v>
      </c>
      <c r="AT12" s="175" t="s">
        <v>284</v>
      </c>
      <c r="AU12" s="175" t="s">
        <v>284</v>
      </c>
      <c r="AV12" s="175" t="s">
        <v>284</v>
      </c>
      <c r="AW12" s="175" t="s">
        <v>284</v>
      </c>
      <c r="AX12" s="83">
        <v>0</v>
      </c>
      <c r="AY12" s="49">
        <v>0</v>
      </c>
      <c r="AZ12" s="49">
        <v>0</v>
      </c>
      <c r="BA12" s="49">
        <v>0</v>
      </c>
      <c r="BB12" s="58">
        <v>0</v>
      </c>
      <c r="BC12" s="42">
        <v>62</v>
      </c>
      <c r="BS12" s="58"/>
      <c r="BT12" s="83"/>
      <c r="CE12" s="83"/>
      <c r="CK12" s="58"/>
      <c r="CL12" s="83"/>
      <c r="CO12" s="58"/>
      <c r="CP12" s="83"/>
      <c r="CR12" s="58"/>
      <c r="CS12" s="83"/>
      <c r="CY12" s="93"/>
      <c r="CZ12" s="70"/>
      <c r="DA12" s="70"/>
      <c r="DB12" s="70"/>
      <c r="DC12" s="70"/>
      <c r="DD12" s="70"/>
      <c r="DE12" s="70"/>
      <c r="DF12" s="70"/>
      <c r="DG12" s="176"/>
      <c r="DH12" s="83"/>
      <c r="DQ12" s="83"/>
      <c r="EE12" s="58"/>
      <c r="EF12" s="83"/>
      <c r="EI12" s="83"/>
      <c r="EK12" s="58"/>
      <c r="EL12" s="83"/>
      <c r="EO12" s="58"/>
      <c r="EP12" s="83"/>
      <c r="EQ12" s="58"/>
      <c r="ER12" s="83"/>
      <c r="ES12" s="58"/>
      <c r="ET12" s="83"/>
      <c r="EU12" s="58"/>
    </row>
    <row r="13" spans="1:151" ht="17" thickBot="1">
      <c r="A13" s="83" t="s">
        <v>319</v>
      </c>
      <c r="B13" s="47" t="s">
        <v>495</v>
      </c>
      <c r="C13" s="47" t="s">
        <v>496</v>
      </c>
      <c r="D13" s="84" t="s">
        <v>76</v>
      </c>
      <c r="E13" s="57"/>
      <c r="F13" s="57" t="s">
        <v>286</v>
      </c>
      <c r="G13" s="74">
        <v>-4.9978333333333333</v>
      </c>
      <c r="H13" s="57">
        <v>3028</v>
      </c>
      <c r="I13" s="57">
        <v>3249</v>
      </c>
      <c r="J13" s="75">
        <v>1.4414374445430347</v>
      </c>
      <c r="K13" s="57">
        <v>4</v>
      </c>
      <c r="L13" s="57">
        <v>4</v>
      </c>
      <c r="M13" s="84">
        <v>0</v>
      </c>
      <c r="N13" s="57">
        <v>3</v>
      </c>
      <c r="O13" s="57">
        <v>0</v>
      </c>
      <c r="P13" s="57">
        <v>0</v>
      </c>
      <c r="Q13" s="56">
        <v>0</v>
      </c>
      <c r="R13" s="55">
        <v>3</v>
      </c>
      <c r="S13" s="84" t="s">
        <v>283</v>
      </c>
      <c r="T13" s="57">
        <v>15</v>
      </c>
      <c r="U13" s="84">
        <v>1</v>
      </c>
      <c r="V13" s="57">
        <v>3</v>
      </c>
      <c r="W13" s="57">
        <v>2</v>
      </c>
      <c r="X13" s="56"/>
      <c r="Y13" s="84">
        <v>10</v>
      </c>
      <c r="Z13" s="57">
        <v>16</v>
      </c>
      <c r="AA13" s="57">
        <v>110</v>
      </c>
      <c r="AB13" s="57"/>
      <c r="AC13" s="57"/>
      <c r="AD13" s="57">
        <v>71</v>
      </c>
      <c r="AE13" s="57">
        <v>108</v>
      </c>
      <c r="AF13" s="57">
        <v>35</v>
      </c>
      <c r="AG13" s="57">
        <v>344</v>
      </c>
      <c r="AH13" s="57"/>
      <c r="AI13" s="57">
        <v>1128</v>
      </c>
      <c r="AJ13" s="57">
        <v>0</v>
      </c>
      <c r="AK13" s="84">
        <v>0</v>
      </c>
      <c r="AL13" s="57">
        <v>0</v>
      </c>
      <c r="AM13" s="57">
        <v>0</v>
      </c>
      <c r="AN13" s="57">
        <v>0</v>
      </c>
      <c r="AO13" s="56">
        <v>0</v>
      </c>
      <c r="AP13" s="178" t="s">
        <v>284</v>
      </c>
      <c r="AQ13" s="179" t="s">
        <v>284</v>
      </c>
      <c r="AR13" s="179" t="s">
        <v>284</v>
      </c>
      <c r="AS13" s="179" t="s">
        <v>284</v>
      </c>
      <c r="AT13" s="179" t="s">
        <v>284</v>
      </c>
      <c r="AU13" s="179" t="s">
        <v>284</v>
      </c>
      <c r="AV13" s="179" t="s">
        <v>284</v>
      </c>
      <c r="AW13" s="179" t="s">
        <v>284</v>
      </c>
      <c r="AX13" s="84">
        <v>0</v>
      </c>
      <c r="AY13" s="57">
        <v>0</v>
      </c>
      <c r="AZ13" s="57">
        <v>0</v>
      </c>
      <c r="BA13" s="57">
        <v>0</v>
      </c>
      <c r="BB13" s="56">
        <v>0</v>
      </c>
      <c r="BC13" s="55">
        <v>102</v>
      </c>
      <c r="BD13" s="57"/>
      <c r="BE13" s="75"/>
      <c r="BF13" s="57"/>
      <c r="BG13" s="57"/>
      <c r="BH13" s="57"/>
      <c r="BI13" s="57"/>
      <c r="BJ13" s="57"/>
      <c r="BK13" s="57"/>
      <c r="BL13" s="57"/>
      <c r="BM13" s="57"/>
      <c r="BN13" s="57"/>
      <c r="BO13" s="57"/>
      <c r="BP13" s="57"/>
      <c r="BQ13" s="57"/>
      <c r="BR13" s="57"/>
      <c r="BS13" s="56"/>
      <c r="BT13" s="84"/>
      <c r="BU13" s="57"/>
      <c r="BV13" s="57"/>
      <c r="BW13" s="57"/>
      <c r="BX13" s="57"/>
      <c r="BY13" s="57"/>
      <c r="BZ13" s="57"/>
      <c r="CA13" s="57"/>
      <c r="CB13" s="57"/>
      <c r="CC13" s="57"/>
      <c r="CD13" s="57"/>
      <c r="CE13" s="84"/>
      <c r="CF13" s="57"/>
      <c r="CG13" s="57"/>
      <c r="CH13" s="57"/>
      <c r="CI13" s="57"/>
      <c r="CJ13" s="57"/>
      <c r="CK13" s="56"/>
      <c r="CL13" s="84">
        <v>62.56</v>
      </c>
      <c r="CM13" s="57"/>
      <c r="CN13" s="57"/>
      <c r="CO13" s="56"/>
      <c r="CP13" s="84"/>
      <c r="CQ13" s="57"/>
      <c r="CR13" s="56"/>
      <c r="CS13" s="84"/>
      <c r="CT13" s="57"/>
      <c r="CU13" s="57"/>
      <c r="CV13" s="57"/>
      <c r="CW13" s="57"/>
      <c r="CX13" s="57"/>
      <c r="CY13" s="180">
        <v>81.06</v>
      </c>
      <c r="CZ13" s="79">
        <v>77.040000000000006</v>
      </c>
      <c r="DA13" s="79">
        <v>78.680000000000007</v>
      </c>
      <c r="DB13" s="79"/>
      <c r="DC13" s="79"/>
      <c r="DD13" s="79"/>
      <c r="DE13" s="79"/>
      <c r="DF13" s="79"/>
      <c r="DG13" s="181"/>
      <c r="DH13" s="84"/>
      <c r="DI13" s="57"/>
      <c r="DJ13" s="57"/>
      <c r="DK13" s="57"/>
      <c r="DL13" s="57"/>
      <c r="DM13" s="57"/>
      <c r="DN13" s="57"/>
      <c r="DO13" s="57"/>
      <c r="DP13" s="57"/>
      <c r="DQ13" s="84"/>
      <c r="DR13" s="57"/>
      <c r="DS13" s="57"/>
      <c r="DT13" s="57"/>
      <c r="DU13" s="57"/>
      <c r="DV13" s="57"/>
      <c r="DW13" s="57"/>
      <c r="DX13" s="57"/>
      <c r="DY13" s="57"/>
      <c r="DZ13" s="57"/>
      <c r="EA13" s="57"/>
      <c r="EB13" s="57"/>
      <c r="EC13" s="57"/>
      <c r="ED13" s="57"/>
      <c r="EE13" s="56"/>
      <c r="EF13" s="84"/>
      <c r="EG13" s="57"/>
      <c r="EH13" s="57"/>
      <c r="EI13" s="84"/>
      <c r="EJ13" s="57"/>
      <c r="EK13" s="56"/>
      <c r="EL13" s="84"/>
      <c r="EM13" s="57"/>
      <c r="EN13" s="57"/>
      <c r="EO13" s="56"/>
      <c r="EP13" s="84"/>
      <c r="EQ13" s="56"/>
      <c r="ER13" s="84"/>
      <c r="ES13" s="56"/>
      <c r="ET13" s="84"/>
      <c r="EU13" s="56"/>
    </row>
    <row r="14" spans="1:151">
      <c r="A14" s="87" t="s">
        <v>319</v>
      </c>
      <c r="B14" s="7" t="s">
        <v>77</v>
      </c>
      <c r="C14" s="7" t="s">
        <v>496</v>
      </c>
      <c r="D14" s="147" t="s">
        <v>64</v>
      </c>
      <c r="E14" s="148"/>
      <c r="F14" s="148" t="s">
        <v>286</v>
      </c>
      <c r="G14" s="73">
        <v>-4.9978333333333333</v>
      </c>
      <c r="H14" s="148">
        <v>3028</v>
      </c>
      <c r="I14" s="148">
        <v>2799</v>
      </c>
      <c r="J14" s="158">
        <v>1.3835887296094909</v>
      </c>
      <c r="K14" s="148">
        <v>4</v>
      </c>
      <c r="L14" s="148">
        <v>2</v>
      </c>
      <c r="M14" s="147">
        <v>0</v>
      </c>
      <c r="N14" s="148">
        <v>5</v>
      </c>
      <c r="O14" s="148">
        <v>0</v>
      </c>
      <c r="P14" s="148">
        <v>0</v>
      </c>
      <c r="Q14" s="149">
        <v>0</v>
      </c>
      <c r="R14" s="87">
        <v>5</v>
      </c>
      <c r="S14" s="147" t="s">
        <v>283</v>
      </c>
      <c r="T14" s="148">
        <v>16</v>
      </c>
      <c r="U14" s="147">
        <v>1</v>
      </c>
      <c r="V14" s="148">
        <v>3</v>
      </c>
      <c r="W14" s="148">
        <v>2</v>
      </c>
      <c r="X14" s="149"/>
      <c r="Y14" s="147">
        <v>20</v>
      </c>
      <c r="Z14" s="148">
        <v>8</v>
      </c>
      <c r="AA14" s="148">
        <v>15</v>
      </c>
      <c r="AB14" s="148"/>
      <c r="AC14" s="148"/>
      <c r="AD14" s="148">
        <v>68</v>
      </c>
      <c r="AE14" s="148">
        <v>819</v>
      </c>
      <c r="AF14" s="148">
        <v>137</v>
      </c>
      <c r="AG14" s="148">
        <v>445</v>
      </c>
      <c r="AH14" s="148"/>
      <c r="AI14" s="148"/>
      <c r="AJ14" s="148">
        <v>0</v>
      </c>
      <c r="AK14" s="147">
        <v>0</v>
      </c>
      <c r="AL14" s="148">
        <v>0</v>
      </c>
      <c r="AM14" s="148">
        <v>0</v>
      </c>
      <c r="AN14" s="148">
        <v>0</v>
      </c>
      <c r="AO14" s="149">
        <v>0</v>
      </c>
      <c r="AP14" s="169" t="s">
        <v>284</v>
      </c>
      <c r="AQ14" s="170" t="s">
        <v>284</v>
      </c>
      <c r="AR14" s="170" t="s">
        <v>284</v>
      </c>
      <c r="AS14" s="170" t="s">
        <v>284</v>
      </c>
      <c r="AT14" s="170" t="s">
        <v>284</v>
      </c>
      <c r="AU14" s="170" t="s">
        <v>284</v>
      </c>
      <c r="AV14" s="170" t="s">
        <v>284</v>
      </c>
      <c r="AW14" s="170" t="s">
        <v>284</v>
      </c>
      <c r="AX14" s="147">
        <v>0</v>
      </c>
      <c r="AY14" s="148">
        <v>0</v>
      </c>
      <c r="AZ14" s="148">
        <v>0</v>
      </c>
      <c r="BA14" s="148">
        <v>0</v>
      </c>
      <c r="BB14" s="149">
        <v>0</v>
      </c>
      <c r="BC14" s="87">
        <v>105</v>
      </c>
      <c r="BD14" s="148"/>
      <c r="BE14" s="158"/>
      <c r="BF14" s="148"/>
      <c r="BG14" s="148"/>
      <c r="BH14" s="148"/>
      <c r="BI14" s="148"/>
      <c r="BJ14" s="148"/>
      <c r="BK14" s="148"/>
      <c r="BL14" s="148"/>
      <c r="BM14" s="148"/>
      <c r="BN14" s="148"/>
      <c r="BO14" s="148"/>
      <c r="BP14" s="148"/>
      <c r="BQ14" s="148"/>
      <c r="BR14" s="148"/>
      <c r="BS14" s="149"/>
      <c r="BT14" s="147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7"/>
      <c r="CF14" s="148"/>
      <c r="CG14" s="148"/>
      <c r="CH14" s="148"/>
      <c r="CI14" s="148"/>
      <c r="CJ14" s="148"/>
      <c r="CK14" s="149"/>
      <c r="CL14" s="147"/>
      <c r="CM14" s="148"/>
      <c r="CN14" s="148"/>
      <c r="CO14" s="149"/>
      <c r="CP14" s="147"/>
      <c r="CQ14" s="148"/>
      <c r="CR14" s="149"/>
      <c r="CS14" s="147"/>
      <c r="CT14" s="148"/>
      <c r="CU14" s="148"/>
      <c r="CV14" s="148"/>
      <c r="CW14" s="148"/>
      <c r="CX14" s="148"/>
      <c r="CY14" s="171"/>
      <c r="CZ14" s="78"/>
      <c r="DA14" s="78"/>
      <c r="DB14" s="78"/>
      <c r="DC14" s="78"/>
      <c r="DD14" s="78"/>
      <c r="DE14" s="78"/>
      <c r="DF14" s="78"/>
      <c r="DG14" s="172"/>
      <c r="DH14" s="147"/>
      <c r="DI14" s="148"/>
      <c r="DJ14" s="148"/>
      <c r="DK14" s="148"/>
      <c r="DL14" s="148"/>
      <c r="DM14" s="148"/>
      <c r="DN14" s="148"/>
      <c r="DO14" s="148"/>
      <c r="DP14" s="148"/>
      <c r="DQ14" s="147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9"/>
      <c r="EF14" s="147"/>
      <c r="EG14" s="148"/>
      <c r="EH14" s="148"/>
      <c r="EI14" s="147"/>
      <c r="EJ14" s="148"/>
      <c r="EK14" s="149"/>
      <c r="EL14" s="147"/>
      <c r="EM14" s="148"/>
      <c r="EN14" s="148"/>
      <c r="EO14" s="149"/>
      <c r="EP14" s="147"/>
      <c r="EQ14" s="149"/>
      <c r="ER14" s="147"/>
      <c r="ES14" s="149"/>
      <c r="ET14" s="147"/>
      <c r="EU14" s="149"/>
    </row>
    <row r="15" spans="1:151">
      <c r="A15" s="42" t="s">
        <v>319</v>
      </c>
      <c r="B15" s="173" t="s">
        <v>77</v>
      </c>
      <c r="C15" s="173" t="s">
        <v>496</v>
      </c>
      <c r="D15" s="83" t="s">
        <v>65</v>
      </c>
      <c r="F15" s="49" t="s">
        <v>286</v>
      </c>
      <c r="G15" s="60">
        <v>-4.9978333333333333</v>
      </c>
      <c r="H15" s="49">
        <v>3028</v>
      </c>
      <c r="I15" s="49">
        <v>1050</v>
      </c>
      <c r="J15" s="159">
        <v>1.6483516483516483</v>
      </c>
      <c r="K15" s="49">
        <v>4</v>
      </c>
      <c r="L15" s="49">
        <v>3</v>
      </c>
      <c r="M15" s="83">
        <v>0</v>
      </c>
      <c r="N15" s="49">
        <v>0</v>
      </c>
      <c r="O15" s="49">
        <v>1</v>
      </c>
      <c r="P15" s="49">
        <v>0</v>
      </c>
      <c r="Q15" s="58">
        <v>0</v>
      </c>
      <c r="R15" s="42">
        <v>1</v>
      </c>
      <c r="S15" s="83" t="s">
        <v>283</v>
      </c>
      <c r="T15" s="49">
        <v>10</v>
      </c>
      <c r="U15" s="83">
        <v>2</v>
      </c>
      <c r="V15" s="49">
        <v>3</v>
      </c>
      <c r="W15" s="49">
        <v>3</v>
      </c>
      <c r="X15" s="58">
        <v>1</v>
      </c>
      <c r="Y15" s="83" t="s">
        <v>78</v>
      </c>
      <c r="Z15" s="49">
        <v>7</v>
      </c>
      <c r="AA15" s="49">
        <v>17</v>
      </c>
      <c r="AJ15" s="49">
        <v>0</v>
      </c>
      <c r="AK15" s="83">
        <v>0</v>
      </c>
      <c r="AL15" s="49">
        <v>0</v>
      </c>
      <c r="AM15" s="49">
        <v>0</v>
      </c>
      <c r="AN15" s="49">
        <v>0</v>
      </c>
      <c r="AO15" s="58">
        <v>0</v>
      </c>
      <c r="AP15" s="174" t="s">
        <v>284</v>
      </c>
      <c r="AQ15" s="175" t="s">
        <v>284</v>
      </c>
      <c r="AR15" s="175" t="s">
        <v>284</v>
      </c>
      <c r="AS15" s="175" t="s">
        <v>284</v>
      </c>
      <c r="AT15" s="175" t="s">
        <v>284</v>
      </c>
      <c r="AU15" s="175" t="s">
        <v>284</v>
      </c>
      <c r="AV15" s="175" t="s">
        <v>284</v>
      </c>
      <c r="AW15" s="175" t="s">
        <v>284</v>
      </c>
      <c r="AX15" s="83">
        <v>0</v>
      </c>
      <c r="AY15" s="49">
        <v>0</v>
      </c>
      <c r="AZ15" s="49">
        <v>0</v>
      </c>
      <c r="BA15" s="49">
        <v>0</v>
      </c>
      <c r="BB15" s="58">
        <v>0</v>
      </c>
      <c r="BC15" s="42">
        <v>116</v>
      </c>
      <c r="BS15" s="58"/>
      <c r="BT15" s="83"/>
      <c r="CE15" s="83"/>
      <c r="CK15" s="58"/>
      <c r="CL15" s="83"/>
      <c r="CO15" s="58"/>
      <c r="CP15" s="83"/>
      <c r="CR15" s="58"/>
      <c r="CS15" s="83"/>
      <c r="CY15" s="93"/>
      <c r="CZ15" s="70"/>
      <c r="DA15" s="70"/>
      <c r="DB15" s="70"/>
      <c r="DC15" s="70"/>
      <c r="DD15" s="70"/>
      <c r="DE15" s="70"/>
      <c r="DF15" s="70"/>
      <c r="DG15" s="176"/>
      <c r="DH15" s="83"/>
      <c r="DQ15" s="83"/>
      <c r="EE15" s="58"/>
      <c r="EF15" s="83"/>
      <c r="EI15" s="83"/>
      <c r="EK15" s="58"/>
      <c r="EL15" s="83"/>
      <c r="EO15" s="58"/>
      <c r="EP15" s="83"/>
      <c r="EQ15" s="58"/>
      <c r="ER15" s="83"/>
      <c r="ES15" s="58"/>
      <c r="ET15" s="83"/>
      <c r="EU15" s="58"/>
    </row>
    <row r="16" spans="1:151">
      <c r="A16" s="42" t="s">
        <v>319</v>
      </c>
      <c r="B16" s="173" t="s">
        <v>77</v>
      </c>
      <c r="C16" s="173" t="s">
        <v>496</v>
      </c>
      <c r="D16" s="83" t="s">
        <v>66</v>
      </c>
      <c r="F16" s="49" t="s">
        <v>287</v>
      </c>
      <c r="G16" s="60">
        <v>-4.9978333333333333</v>
      </c>
      <c r="H16" s="49">
        <v>3028</v>
      </c>
      <c r="I16" s="49">
        <v>958</v>
      </c>
      <c r="J16" s="159">
        <v>1.1178529754959159</v>
      </c>
      <c r="K16" s="49">
        <v>4</v>
      </c>
      <c r="L16" s="49">
        <v>5</v>
      </c>
      <c r="M16" s="83">
        <v>0</v>
      </c>
      <c r="N16" s="49">
        <v>3</v>
      </c>
      <c r="O16" s="49">
        <v>0</v>
      </c>
      <c r="P16" s="49">
        <v>0</v>
      </c>
      <c r="Q16" s="58">
        <v>0</v>
      </c>
      <c r="R16" s="42">
        <v>3</v>
      </c>
      <c r="S16" s="83" t="s">
        <v>283</v>
      </c>
      <c r="T16" s="49">
        <v>21</v>
      </c>
      <c r="U16" s="83">
        <v>1</v>
      </c>
      <c r="V16" s="49">
        <v>4</v>
      </c>
      <c r="W16" s="49">
        <v>2</v>
      </c>
      <c r="X16" s="58"/>
      <c r="Y16" s="83">
        <v>15</v>
      </c>
      <c r="Z16" s="49">
        <v>5</v>
      </c>
      <c r="AA16" s="49">
        <v>8</v>
      </c>
      <c r="AD16" s="49">
        <v>77</v>
      </c>
      <c r="AE16" s="49">
        <v>110</v>
      </c>
      <c r="AF16" s="49">
        <v>38</v>
      </c>
      <c r="AG16" s="49">
        <v>254</v>
      </c>
      <c r="AJ16" s="49">
        <v>0</v>
      </c>
      <c r="AK16" s="83">
        <v>0</v>
      </c>
      <c r="AL16" s="49">
        <v>0</v>
      </c>
      <c r="AM16" s="49">
        <v>0</v>
      </c>
      <c r="AN16" s="49">
        <v>0</v>
      </c>
      <c r="AO16" s="58">
        <v>0</v>
      </c>
      <c r="AP16" s="174" t="s">
        <v>284</v>
      </c>
      <c r="AQ16" s="175" t="s">
        <v>284</v>
      </c>
      <c r="AR16" s="175" t="s">
        <v>284</v>
      </c>
      <c r="AS16" s="175" t="s">
        <v>284</v>
      </c>
      <c r="AT16" s="175" t="s">
        <v>284</v>
      </c>
      <c r="AU16" s="175" t="s">
        <v>284</v>
      </c>
      <c r="AV16" s="175" t="s">
        <v>284</v>
      </c>
      <c r="AW16" s="175" t="s">
        <v>284</v>
      </c>
      <c r="AX16" s="83">
        <v>0</v>
      </c>
      <c r="AY16" s="49">
        <v>0</v>
      </c>
      <c r="AZ16" s="49">
        <v>0</v>
      </c>
      <c r="BA16" s="49">
        <v>0</v>
      </c>
      <c r="BB16" s="58">
        <v>0</v>
      </c>
      <c r="BC16" s="42">
        <v>82</v>
      </c>
      <c r="BS16" s="58"/>
      <c r="BT16" s="83"/>
      <c r="CE16" s="83"/>
      <c r="CK16" s="58"/>
      <c r="CL16" s="83"/>
      <c r="CO16" s="58"/>
      <c r="CP16" s="83"/>
      <c r="CR16" s="58"/>
      <c r="CS16" s="83"/>
      <c r="CY16" s="93"/>
      <c r="CZ16" s="70"/>
      <c r="DA16" s="70"/>
      <c r="DB16" s="70"/>
      <c r="DC16" s="70"/>
      <c r="DD16" s="70"/>
      <c r="DE16" s="70"/>
      <c r="DF16" s="70"/>
      <c r="DG16" s="176"/>
      <c r="DH16" s="83"/>
      <c r="DQ16" s="83"/>
      <c r="EE16" s="58"/>
      <c r="EF16" s="83"/>
      <c r="EI16" s="83"/>
      <c r="EK16" s="58"/>
      <c r="EL16" s="83"/>
      <c r="EO16" s="58"/>
      <c r="EP16" s="83"/>
      <c r="EQ16" s="58"/>
      <c r="ER16" s="83"/>
      <c r="ES16" s="58"/>
      <c r="ET16" s="83"/>
      <c r="EU16" s="58"/>
    </row>
    <row r="17" spans="1:151" ht="17" thickBot="1">
      <c r="A17" s="55" t="s">
        <v>319</v>
      </c>
      <c r="B17" s="173" t="s">
        <v>77</v>
      </c>
      <c r="C17" s="173" t="s">
        <v>496</v>
      </c>
      <c r="D17" s="83" t="s">
        <v>67</v>
      </c>
      <c r="F17" s="49" t="s">
        <v>286</v>
      </c>
      <c r="G17" s="60">
        <v>-4.9978333333333333</v>
      </c>
      <c r="H17" s="49">
        <v>3028</v>
      </c>
      <c r="I17" s="49">
        <v>1709</v>
      </c>
      <c r="J17" s="159">
        <v>1.3176561295296838</v>
      </c>
      <c r="K17" s="49">
        <v>4</v>
      </c>
      <c r="L17" s="49">
        <v>4</v>
      </c>
      <c r="M17" s="83">
        <v>0</v>
      </c>
      <c r="N17" s="49">
        <v>3</v>
      </c>
      <c r="O17" s="49">
        <v>0</v>
      </c>
      <c r="P17" s="49">
        <v>0</v>
      </c>
      <c r="Q17" s="58">
        <v>0</v>
      </c>
      <c r="R17" s="42">
        <v>3</v>
      </c>
      <c r="S17" s="83" t="s">
        <v>283</v>
      </c>
      <c r="T17" s="49">
        <v>36</v>
      </c>
      <c r="U17" s="83">
        <v>1</v>
      </c>
      <c r="V17" s="49">
        <v>4</v>
      </c>
      <c r="W17" s="49">
        <v>2</v>
      </c>
      <c r="X17" s="58"/>
      <c r="Y17" s="83">
        <v>2</v>
      </c>
      <c r="Z17" s="49">
        <v>15</v>
      </c>
      <c r="AA17" s="49">
        <v>24</v>
      </c>
      <c r="AD17" s="49">
        <v>57</v>
      </c>
      <c r="AE17" s="49">
        <v>204</v>
      </c>
      <c r="AF17" s="49">
        <v>72</v>
      </c>
      <c r="AG17" s="49">
        <v>86</v>
      </c>
      <c r="AJ17" s="49">
        <v>0</v>
      </c>
      <c r="AK17" s="83">
        <v>0</v>
      </c>
      <c r="AL17" s="49">
        <v>0</v>
      </c>
      <c r="AM17" s="49">
        <v>0</v>
      </c>
      <c r="AN17" s="49">
        <v>0</v>
      </c>
      <c r="AO17" s="58">
        <v>0</v>
      </c>
      <c r="AP17" s="174" t="s">
        <v>284</v>
      </c>
      <c r="AQ17" s="175" t="s">
        <v>284</v>
      </c>
      <c r="AR17" s="175" t="s">
        <v>284</v>
      </c>
      <c r="AS17" s="175" t="s">
        <v>284</v>
      </c>
      <c r="AT17" s="175" t="s">
        <v>284</v>
      </c>
      <c r="AU17" s="175" t="s">
        <v>284</v>
      </c>
      <c r="AV17" s="175" t="s">
        <v>284</v>
      </c>
      <c r="AW17" s="175" t="s">
        <v>284</v>
      </c>
      <c r="AX17" s="83">
        <v>0</v>
      </c>
      <c r="AY17" s="49">
        <v>0</v>
      </c>
      <c r="AZ17" s="49">
        <v>0</v>
      </c>
      <c r="BA17" s="49">
        <v>0</v>
      </c>
      <c r="BB17" s="58">
        <v>0</v>
      </c>
      <c r="BC17" s="42">
        <v>103</v>
      </c>
      <c r="BD17" s="49">
        <v>83.01</v>
      </c>
      <c r="BS17" s="58"/>
      <c r="BT17" s="83"/>
      <c r="CE17" s="83"/>
      <c r="CK17" s="58"/>
      <c r="CL17" s="83">
        <v>56.74</v>
      </c>
      <c r="CO17" s="58"/>
      <c r="CP17" s="83"/>
      <c r="CR17" s="58"/>
      <c r="CS17" s="83"/>
      <c r="CY17" s="93"/>
      <c r="CZ17" s="70"/>
      <c r="DA17" s="70"/>
      <c r="DB17" s="70"/>
      <c r="DC17" s="70"/>
      <c r="DD17" s="70"/>
      <c r="DE17" s="70"/>
      <c r="DF17" s="70"/>
      <c r="DG17" s="176"/>
      <c r="DH17" s="83"/>
      <c r="DQ17" s="83">
        <v>76.900000000000006</v>
      </c>
      <c r="EE17" s="58"/>
      <c r="EF17" s="83"/>
      <c r="EI17" s="83"/>
      <c r="EK17" s="58"/>
      <c r="EL17" s="83"/>
      <c r="EO17" s="58"/>
      <c r="EP17" s="83"/>
      <c r="EQ17" s="58"/>
      <c r="ER17" s="83"/>
      <c r="ES17" s="58"/>
      <c r="ET17" s="83"/>
      <c r="EU17" s="58"/>
    </row>
    <row r="18" spans="1:151">
      <c r="A18" s="83" t="s">
        <v>319</v>
      </c>
      <c r="B18" s="7" t="s">
        <v>79</v>
      </c>
      <c r="C18" s="7" t="s">
        <v>496</v>
      </c>
      <c r="D18" s="147" t="s">
        <v>64</v>
      </c>
      <c r="E18" s="148"/>
      <c r="F18" s="148" t="s">
        <v>286</v>
      </c>
      <c r="G18" s="73">
        <v>-4.9978333333333333</v>
      </c>
      <c r="H18" s="148">
        <v>3028</v>
      </c>
      <c r="I18" s="148">
        <v>1278</v>
      </c>
      <c r="J18" s="158">
        <v>1.2090823084200568</v>
      </c>
      <c r="K18" s="148">
        <v>4</v>
      </c>
      <c r="L18" s="148">
        <v>4</v>
      </c>
      <c r="M18" s="147">
        <v>0</v>
      </c>
      <c r="N18" s="148">
        <v>1</v>
      </c>
      <c r="O18" s="148">
        <v>0</v>
      </c>
      <c r="P18" s="148">
        <v>0</v>
      </c>
      <c r="Q18" s="149">
        <v>0</v>
      </c>
      <c r="R18" s="87">
        <v>1</v>
      </c>
      <c r="S18" s="147" t="s">
        <v>283</v>
      </c>
      <c r="T18" s="148">
        <v>26</v>
      </c>
      <c r="U18" s="147">
        <v>1</v>
      </c>
      <c r="V18" s="148">
        <v>5</v>
      </c>
      <c r="W18" s="148">
        <v>2</v>
      </c>
      <c r="X18" s="149"/>
      <c r="Y18" s="147">
        <v>2</v>
      </c>
      <c r="Z18" s="148"/>
      <c r="AA18" s="148"/>
      <c r="AB18" s="148"/>
      <c r="AC18" s="148"/>
      <c r="AD18" s="148"/>
      <c r="AE18" s="148"/>
      <c r="AF18" s="148">
        <v>79</v>
      </c>
      <c r="AG18" s="148">
        <v>208</v>
      </c>
      <c r="AH18" s="148"/>
      <c r="AI18" s="148"/>
      <c r="AJ18" s="148">
        <v>0</v>
      </c>
      <c r="AK18" s="147">
        <v>0</v>
      </c>
      <c r="AL18" s="148">
        <v>0</v>
      </c>
      <c r="AM18" s="148">
        <v>0</v>
      </c>
      <c r="AN18" s="148">
        <v>0</v>
      </c>
      <c r="AO18" s="149">
        <v>0</v>
      </c>
      <c r="AP18" s="169" t="s">
        <v>284</v>
      </c>
      <c r="AQ18" s="170" t="s">
        <v>284</v>
      </c>
      <c r="AR18" s="170" t="s">
        <v>284</v>
      </c>
      <c r="AS18" s="170" t="s">
        <v>284</v>
      </c>
      <c r="AT18" s="170" t="s">
        <v>284</v>
      </c>
      <c r="AU18" s="170" t="s">
        <v>284</v>
      </c>
      <c r="AV18" s="170" t="s">
        <v>284</v>
      </c>
      <c r="AW18" s="170" t="s">
        <v>284</v>
      </c>
      <c r="AX18" s="147">
        <v>0</v>
      </c>
      <c r="AY18" s="148">
        <v>0</v>
      </c>
      <c r="AZ18" s="148">
        <v>0</v>
      </c>
      <c r="BA18" s="148">
        <v>0</v>
      </c>
      <c r="BB18" s="149">
        <v>0</v>
      </c>
      <c r="BC18" s="87">
        <v>77</v>
      </c>
      <c r="BD18" s="148"/>
      <c r="BE18" s="158"/>
      <c r="BF18" s="148"/>
      <c r="BG18" s="148"/>
      <c r="BH18" s="148"/>
      <c r="BI18" s="148"/>
      <c r="BJ18" s="148"/>
      <c r="BK18" s="148"/>
      <c r="BL18" s="148"/>
      <c r="BM18" s="148"/>
      <c r="BN18" s="148"/>
      <c r="BO18" s="148"/>
      <c r="BP18" s="148"/>
      <c r="BQ18" s="148"/>
      <c r="BR18" s="148"/>
      <c r="BS18" s="149"/>
      <c r="BT18" s="147"/>
      <c r="BU18" s="148"/>
      <c r="BV18" s="148"/>
      <c r="BW18" s="148"/>
      <c r="BX18" s="148"/>
      <c r="BY18" s="148"/>
      <c r="BZ18" s="148"/>
      <c r="CA18" s="148"/>
      <c r="CB18" s="148"/>
      <c r="CC18" s="148"/>
      <c r="CD18" s="148"/>
      <c r="CE18" s="147"/>
      <c r="CF18" s="148"/>
      <c r="CG18" s="148"/>
      <c r="CH18" s="148"/>
      <c r="CI18" s="148"/>
      <c r="CJ18" s="148"/>
      <c r="CK18" s="149"/>
      <c r="CL18" s="147"/>
      <c r="CM18" s="148"/>
      <c r="CN18" s="148"/>
      <c r="CO18" s="149"/>
      <c r="CP18" s="147"/>
      <c r="CQ18" s="148"/>
      <c r="CR18" s="149"/>
      <c r="CS18" s="147"/>
      <c r="CT18" s="148"/>
      <c r="CU18" s="148"/>
      <c r="CV18" s="148"/>
      <c r="CW18" s="148"/>
      <c r="CX18" s="148"/>
      <c r="CY18" s="171"/>
      <c r="CZ18" s="78"/>
      <c r="DA18" s="78"/>
      <c r="DB18" s="78"/>
      <c r="DC18" s="78"/>
      <c r="DD18" s="78"/>
      <c r="DE18" s="78"/>
      <c r="DF18" s="78"/>
      <c r="DG18" s="172"/>
      <c r="DH18" s="147"/>
      <c r="DI18" s="148"/>
      <c r="DJ18" s="148"/>
      <c r="DK18" s="148"/>
      <c r="DL18" s="148"/>
      <c r="DM18" s="148"/>
      <c r="DN18" s="148"/>
      <c r="DO18" s="148"/>
      <c r="DP18" s="148"/>
      <c r="DQ18" s="147"/>
      <c r="DR18" s="148"/>
      <c r="DS18" s="148"/>
      <c r="DT18" s="148"/>
      <c r="DU18" s="148"/>
      <c r="DV18" s="148"/>
      <c r="DW18" s="148"/>
      <c r="DX18" s="148"/>
      <c r="DY18" s="148"/>
      <c r="DZ18" s="148"/>
      <c r="EA18" s="148"/>
      <c r="EB18" s="148"/>
      <c r="EC18" s="148"/>
      <c r="ED18" s="148"/>
      <c r="EE18" s="149"/>
      <c r="EF18" s="147"/>
      <c r="EG18" s="148"/>
      <c r="EH18" s="148"/>
      <c r="EI18" s="147"/>
      <c r="EJ18" s="148"/>
      <c r="EK18" s="149"/>
      <c r="EL18" s="147"/>
      <c r="EM18" s="148"/>
      <c r="EN18" s="148"/>
      <c r="EO18" s="149"/>
      <c r="EP18" s="147"/>
      <c r="EQ18" s="149"/>
      <c r="ER18" s="147"/>
      <c r="ES18" s="149"/>
      <c r="ET18" s="147"/>
      <c r="EU18" s="149"/>
    </row>
    <row r="19" spans="1:151">
      <c r="A19" s="83" t="s">
        <v>319</v>
      </c>
      <c r="B19" s="173" t="s">
        <v>79</v>
      </c>
      <c r="C19" s="173" t="s">
        <v>496</v>
      </c>
      <c r="D19" s="83" t="s">
        <v>80</v>
      </c>
      <c r="F19" s="49" t="s">
        <v>286</v>
      </c>
      <c r="G19" s="60">
        <v>-4.9978333333333333</v>
      </c>
      <c r="H19" s="49">
        <v>3028</v>
      </c>
      <c r="I19" s="49">
        <v>6210</v>
      </c>
      <c r="J19" s="159">
        <v>1.9528301886792452</v>
      </c>
      <c r="K19" s="49">
        <v>4</v>
      </c>
      <c r="L19" s="49">
        <v>3</v>
      </c>
      <c r="M19" s="83">
        <v>0</v>
      </c>
      <c r="N19" s="49">
        <v>0</v>
      </c>
      <c r="O19" s="49">
        <v>0</v>
      </c>
      <c r="P19" s="49">
        <v>1</v>
      </c>
      <c r="Q19" s="58">
        <v>0</v>
      </c>
      <c r="R19" s="42">
        <v>1</v>
      </c>
      <c r="S19" s="83" t="s">
        <v>283</v>
      </c>
      <c r="T19" s="49">
        <v>18</v>
      </c>
      <c r="U19" s="83">
        <v>1</v>
      </c>
      <c r="V19" s="49">
        <v>4</v>
      </c>
      <c r="W19" s="49">
        <v>2</v>
      </c>
      <c r="X19" s="58"/>
      <c r="Y19" s="83">
        <v>10</v>
      </c>
      <c r="Z19" s="49">
        <v>10</v>
      </c>
      <c r="AA19" s="49">
        <v>90</v>
      </c>
      <c r="AD19" s="49">
        <v>70</v>
      </c>
      <c r="AE19" s="49">
        <v>420</v>
      </c>
      <c r="AF19" s="49">
        <v>30</v>
      </c>
      <c r="AG19" s="49">
        <v>1140</v>
      </c>
      <c r="AJ19" s="49">
        <v>0</v>
      </c>
      <c r="AK19" s="83">
        <v>0</v>
      </c>
      <c r="AL19" s="49">
        <v>0</v>
      </c>
      <c r="AM19" s="49">
        <v>0</v>
      </c>
      <c r="AN19" s="49">
        <v>0</v>
      </c>
      <c r="AO19" s="58">
        <v>0</v>
      </c>
      <c r="AP19" s="174" t="s">
        <v>284</v>
      </c>
      <c r="AQ19" s="175" t="s">
        <v>284</v>
      </c>
      <c r="AR19" s="175" t="s">
        <v>284</v>
      </c>
      <c r="AS19" s="175" t="s">
        <v>284</v>
      </c>
      <c r="AT19" s="175" t="s">
        <v>284</v>
      </c>
      <c r="AU19" s="175" t="s">
        <v>284</v>
      </c>
      <c r="AV19" s="175" t="s">
        <v>284</v>
      </c>
      <c r="AW19" s="175" t="s">
        <v>284</v>
      </c>
      <c r="AX19" s="83">
        <v>0</v>
      </c>
      <c r="AY19" s="49">
        <v>0</v>
      </c>
      <c r="AZ19" s="49">
        <v>0</v>
      </c>
      <c r="BA19" s="49">
        <v>0</v>
      </c>
      <c r="BB19" s="58">
        <v>0</v>
      </c>
      <c r="BC19" s="42">
        <v>182</v>
      </c>
      <c r="BD19" s="49">
        <v>79.83</v>
      </c>
      <c r="BS19" s="58"/>
      <c r="BT19" s="83">
        <v>82.48</v>
      </c>
      <c r="CE19" s="83"/>
      <c r="CK19" s="58"/>
      <c r="CL19" s="83">
        <v>65.349999999999994</v>
      </c>
      <c r="CO19" s="58"/>
      <c r="CP19" s="83"/>
      <c r="CR19" s="58"/>
      <c r="CS19" s="83">
        <v>82.64</v>
      </c>
      <c r="CY19" s="93"/>
      <c r="CZ19" s="70"/>
      <c r="DA19" s="70"/>
      <c r="DB19" s="70"/>
      <c r="DC19" s="70"/>
      <c r="DD19" s="70"/>
      <c r="DE19" s="70"/>
      <c r="DF19" s="70"/>
      <c r="DG19" s="176"/>
      <c r="DH19" s="83"/>
      <c r="DQ19" s="83"/>
      <c r="EE19" s="58"/>
      <c r="EF19" s="83"/>
      <c r="EI19" s="83"/>
      <c r="EK19" s="58"/>
      <c r="EL19" s="83"/>
      <c r="EO19" s="58"/>
      <c r="EP19" s="83"/>
      <c r="EQ19" s="58"/>
      <c r="ER19" s="83"/>
      <c r="ES19" s="58"/>
      <c r="ET19" s="83"/>
      <c r="EU19" s="58"/>
    </row>
    <row r="20" spans="1:151">
      <c r="A20" s="83" t="s">
        <v>319</v>
      </c>
      <c r="B20" s="173" t="s">
        <v>79</v>
      </c>
      <c r="C20" s="173" t="s">
        <v>496</v>
      </c>
      <c r="D20" s="83" t="s">
        <v>81</v>
      </c>
      <c r="F20" s="49" t="s">
        <v>286</v>
      </c>
      <c r="G20" s="60">
        <v>-4.9978333333333333</v>
      </c>
      <c r="H20" s="49">
        <v>3028</v>
      </c>
      <c r="I20" s="49">
        <v>10980</v>
      </c>
      <c r="J20" s="159">
        <v>3.6478405315614619</v>
      </c>
      <c r="K20" s="49">
        <v>4</v>
      </c>
      <c r="L20" s="49">
        <v>5</v>
      </c>
      <c r="M20" s="83">
        <v>0</v>
      </c>
      <c r="N20" s="49">
        <v>5</v>
      </c>
      <c r="O20" s="49">
        <v>0</v>
      </c>
      <c r="P20" s="49">
        <v>0</v>
      </c>
      <c r="Q20" s="58">
        <v>0</v>
      </c>
      <c r="R20" s="42">
        <v>5</v>
      </c>
      <c r="S20" s="83" t="s">
        <v>283</v>
      </c>
      <c r="T20" s="49">
        <v>23</v>
      </c>
      <c r="U20" s="83">
        <v>2</v>
      </c>
      <c r="V20" s="49">
        <v>4</v>
      </c>
      <c r="W20" s="49">
        <v>3</v>
      </c>
      <c r="X20" s="58">
        <v>2</v>
      </c>
      <c r="Y20" s="83">
        <v>50</v>
      </c>
      <c r="Z20" s="49">
        <v>30</v>
      </c>
      <c r="AA20" s="49">
        <v>70</v>
      </c>
      <c r="AD20" s="49">
        <v>40</v>
      </c>
      <c r="AE20" s="49">
        <v>170</v>
      </c>
      <c r="AF20" s="49">
        <v>30</v>
      </c>
      <c r="AG20" s="49">
        <v>250</v>
      </c>
      <c r="AH20" s="49">
        <v>160</v>
      </c>
      <c r="AI20" s="49">
        <v>1100</v>
      </c>
      <c r="AJ20" s="49">
        <v>0</v>
      </c>
      <c r="AK20" s="83">
        <v>0</v>
      </c>
      <c r="AL20" s="49">
        <v>0</v>
      </c>
      <c r="AM20" s="49">
        <v>0</v>
      </c>
      <c r="AN20" s="49">
        <v>0</v>
      </c>
      <c r="AO20" s="58">
        <v>0</v>
      </c>
      <c r="AP20" s="174" t="s">
        <v>284</v>
      </c>
      <c r="AQ20" s="175" t="s">
        <v>284</v>
      </c>
      <c r="AR20" s="175" t="s">
        <v>284</v>
      </c>
      <c r="AS20" s="175" t="s">
        <v>284</v>
      </c>
      <c r="AT20" s="175" t="s">
        <v>284</v>
      </c>
      <c r="AU20" s="175" t="s">
        <v>284</v>
      </c>
      <c r="AV20" s="175" t="s">
        <v>284</v>
      </c>
      <c r="AW20" s="175" t="s">
        <v>284</v>
      </c>
      <c r="AX20" s="83">
        <v>0</v>
      </c>
      <c r="AY20" s="49">
        <v>0</v>
      </c>
      <c r="AZ20" s="49">
        <v>0</v>
      </c>
      <c r="BA20" s="49">
        <v>0</v>
      </c>
      <c r="BB20" s="58">
        <v>0</v>
      </c>
      <c r="BC20" s="42">
        <v>172</v>
      </c>
      <c r="BD20" s="49">
        <v>77.92</v>
      </c>
      <c r="BE20" s="159">
        <v>75.45</v>
      </c>
      <c r="BF20" s="49">
        <v>74.86</v>
      </c>
      <c r="BG20" s="49">
        <v>74.069999999999993</v>
      </c>
      <c r="BH20" s="49">
        <v>75.98</v>
      </c>
      <c r="BS20" s="58"/>
      <c r="BT20" s="83">
        <v>81.08</v>
      </c>
      <c r="BU20" s="49">
        <v>81.7</v>
      </c>
      <c r="BV20" s="49">
        <v>81.19</v>
      </c>
      <c r="CE20" s="83"/>
      <c r="CK20" s="58"/>
      <c r="CL20" s="83"/>
      <c r="CO20" s="58"/>
      <c r="CP20" s="83">
        <v>62.97</v>
      </c>
      <c r="CQ20" s="49">
        <v>64.7</v>
      </c>
      <c r="CR20" s="58">
        <v>58.57</v>
      </c>
      <c r="CS20" s="83"/>
      <c r="CY20" s="93"/>
      <c r="CZ20" s="70"/>
      <c r="DA20" s="70"/>
      <c r="DB20" s="70"/>
      <c r="DC20" s="70"/>
      <c r="DD20" s="70"/>
      <c r="DE20" s="70"/>
      <c r="DF20" s="70"/>
      <c r="DG20" s="176"/>
      <c r="DH20" s="83"/>
      <c r="DQ20" s="83">
        <v>59.43</v>
      </c>
      <c r="EE20" s="58"/>
      <c r="EF20" s="83"/>
      <c r="EI20" s="83"/>
      <c r="EK20" s="58"/>
      <c r="EL20" s="83"/>
      <c r="EO20" s="58"/>
      <c r="EP20" s="83"/>
      <c r="EQ20" s="58"/>
      <c r="ER20" s="83"/>
      <c r="ES20" s="58"/>
      <c r="ET20" s="83"/>
      <c r="EU20" s="58"/>
    </row>
    <row r="21" spans="1:151">
      <c r="A21" s="83" t="s">
        <v>319</v>
      </c>
      <c r="B21" s="173" t="s">
        <v>79</v>
      </c>
      <c r="C21" s="173" t="s">
        <v>496</v>
      </c>
      <c r="D21" s="83" t="s">
        <v>65</v>
      </c>
      <c r="F21" s="49" t="s">
        <v>286</v>
      </c>
      <c r="G21" s="60">
        <v>-4.9978333333333333</v>
      </c>
      <c r="H21" s="49">
        <v>3028</v>
      </c>
      <c r="I21" s="49">
        <v>1335</v>
      </c>
      <c r="J21" s="159">
        <v>1.1275337837837838</v>
      </c>
      <c r="K21" s="49">
        <v>4</v>
      </c>
      <c r="L21" s="49">
        <v>4</v>
      </c>
      <c r="M21" s="83">
        <v>0</v>
      </c>
      <c r="N21" s="49">
        <v>1</v>
      </c>
      <c r="O21" s="49">
        <v>0</v>
      </c>
      <c r="P21" s="49">
        <v>0</v>
      </c>
      <c r="Q21" s="58">
        <v>0</v>
      </c>
      <c r="R21" s="42">
        <v>1</v>
      </c>
      <c r="S21" s="83" t="s">
        <v>283</v>
      </c>
      <c r="T21" s="49">
        <v>20</v>
      </c>
      <c r="U21" s="83">
        <v>1</v>
      </c>
      <c r="V21" s="49">
        <v>4</v>
      </c>
      <c r="W21" s="49">
        <v>2</v>
      </c>
      <c r="X21" s="58"/>
      <c r="Y21" s="83">
        <v>5</v>
      </c>
      <c r="Z21" s="49">
        <v>7</v>
      </c>
      <c r="AA21" s="49">
        <v>80</v>
      </c>
      <c r="AE21" s="49">
        <v>102</v>
      </c>
      <c r="AF21" s="49">
        <v>38</v>
      </c>
      <c r="AG21" s="49">
        <v>104</v>
      </c>
      <c r="AI21" s="49">
        <v>379</v>
      </c>
      <c r="AJ21" s="49">
        <v>0</v>
      </c>
      <c r="AK21" s="83">
        <v>0</v>
      </c>
      <c r="AL21" s="49">
        <v>0</v>
      </c>
      <c r="AM21" s="49">
        <v>0</v>
      </c>
      <c r="AN21" s="49">
        <v>0</v>
      </c>
      <c r="AO21" s="58">
        <v>0</v>
      </c>
      <c r="AP21" s="174" t="s">
        <v>284</v>
      </c>
      <c r="AQ21" s="175" t="s">
        <v>284</v>
      </c>
      <c r="AR21" s="175" t="s">
        <v>284</v>
      </c>
      <c r="AS21" s="175" t="s">
        <v>284</v>
      </c>
      <c r="AT21" s="175" t="s">
        <v>284</v>
      </c>
      <c r="AU21" s="175" t="s">
        <v>284</v>
      </c>
      <c r="AV21" s="175" t="s">
        <v>284</v>
      </c>
      <c r="AW21" s="175" t="s">
        <v>284</v>
      </c>
      <c r="AX21" s="83">
        <v>0</v>
      </c>
      <c r="AY21" s="49">
        <v>0</v>
      </c>
      <c r="AZ21" s="49">
        <v>0</v>
      </c>
      <c r="BA21" s="49">
        <v>0</v>
      </c>
      <c r="BB21" s="58">
        <v>0</v>
      </c>
      <c r="BC21" s="42">
        <v>105</v>
      </c>
      <c r="BD21" s="49">
        <v>82.98</v>
      </c>
      <c r="BE21" s="159">
        <v>80.790000000000006</v>
      </c>
      <c r="BS21" s="58"/>
      <c r="BT21" s="83"/>
      <c r="CE21" s="83"/>
      <c r="CK21" s="58"/>
      <c r="CL21" s="83">
        <v>66.97</v>
      </c>
      <c r="CO21" s="58"/>
      <c r="CP21" s="83"/>
      <c r="CR21" s="58"/>
      <c r="CS21" s="83"/>
      <c r="CY21" s="93"/>
      <c r="CZ21" s="70"/>
      <c r="DA21" s="70"/>
      <c r="DB21" s="70"/>
      <c r="DC21" s="70"/>
      <c r="DD21" s="70"/>
      <c r="DE21" s="70"/>
      <c r="DF21" s="70"/>
      <c r="DG21" s="176"/>
      <c r="DH21" s="83"/>
      <c r="DQ21" s="83"/>
      <c r="EE21" s="58"/>
      <c r="EF21" s="83"/>
      <c r="EI21" s="83"/>
      <c r="EK21" s="58"/>
      <c r="EL21" s="83"/>
      <c r="EO21" s="58"/>
      <c r="EP21" s="83"/>
      <c r="EQ21" s="58"/>
      <c r="ER21" s="83"/>
      <c r="ES21" s="58"/>
      <c r="ET21" s="83"/>
      <c r="EU21" s="58"/>
    </row>
    <row r="22" spans="1:151">
      <c r="A22" s="83" t="s">
        <v>319</v>
      </c>
      <c r="B22" s="173" t="s">
        <v>79</v>
      </c>
      <c r="C22" s="173" t="s">
        <v>496</v>
      </c>
      <c r="D22" s="83" t="s">
        <v>66</v>
      </c>
      <c r="F22" s="49" t="s">
        <v>286</v>
      </c>
      <c r="G22" s="60">
        <v>-4.9978333333333333</v>
      </c>
      <c r="H22" s="49">
        <v>3028</v>
      </c>
      <c r="I22" s="49">
        <v>3310</v>
      </c>
      <c r="J22" s="159">
        <v>1.5913461538461537</v>
      </c>
      <c r="K22" s="49">
        <v>4</v>
      </c>
      <c r="L22" s="49">
        <v>3</v>
      </c>
      <c r="M22" s="83">
        <v>0</v>
      </c>
      <c r="N22" s="49">
        <v>5</v>
      </c>
      <c r="O22" s="49">
        <v>0</v>
      </c>
      <c r="P22" s="49">
        <v>0</v>
      </c>
      <c r="Q22" s="58">
        <v>0</v>
      </c>
      <c r="R22" s="42">
        <v>5</v>
      </c>
      <c r="S22" s="83" t="s">
        <v>283</v>
      </c>
      <c r="T22" s="49">
        <v>22</v>
      </c>
      <c r="U22" s="83">
        <v>2</v>
      </c>
      <c r="V22" s="49">
        <v>3</v>
      </c>
      <c r="W22" s="49">
        <v>3</v>
      </c>
      <c r="X22" s="58">
        <v>2</v>
      </c>
      <c r="Y22" s="83">
        <v>10</v>
      </c>
      <c r="AF22" s="49">
        <v>30</v>
      </c>
      <c r="AG22" s="49">
        <v>230</v>
      </c>
      <c r="AH22" s="49">
        <v>90</v>
      </c>
      <c r="AI22" s="49">
        <v>410</v>
      </c>
      <c r="AJ22" s="49">
        <v>0</v>
      </c>
      <c r="AK22" s="83">
        <v>0</v>
      </c>
      <c r="AL22" s="49">
        <v>0</v>
      </c>
      <c r="AM22" s="49">
        <v>0</v>
      </c>
      <c r="AN22" s="49">
        <v>0</v>
      </c>
      <c r="AO22" s="58">
        <v>0</v>
      </c>
      <c r="AP22" s="174" t="s">
        <v>284</v>
      </c>
      <c r="AQ22" s="175" t="s">
        <v>284</v>
      </c>
      <c r="AR22" s="175" t="s">
        <v>284</v>
      </c>
      <c r="AS22" s="175" t="s">
        <v>284</v>
      </c>
      <c r="AT22" s="175" t="s">
        <v>284</v>
      </c>
      <c r="AU22" s="175" t="s">
        <v>284</v>
      </c>
      <c r="AV22" s="175" t="s">
        <v>284</v>
      </c>
      <c r="AW22" s="175" t="s">
        <v>284</v>
      </c>
      <c r="AX22" s="83">
        <v>0</v>
      </c>
      <c r="AY22" s="49">
        <v>0</v>
      </c>
      <c r="AZ22" s="49">
        <v>0</v>
      </c>
      <c r="BA22" s="49">
        <v>0</v>
      </c>
      <c r="BB22" s="58">
        <v>0</v>
      </c>
      <c r="BC22" s="42">
        <v>122</v>
      </c>
      <c r="BS22" s="58"/>
      <c r="BT22" s="83">
        <v>79.45</v>
      </c>
      <c r="BU22" s="49">
        <v>80.430000000000007</v>
      </c>
      <c r="CE22" s="83">
        <v>64.52</v>
      </c>
      <c r="CK22" s="58"/>
      <c r="CL22" s="83">
        <v>55.22</v>
      </c>
      <c r="CO22" s="58"/>
      <c r="CP22" s="83"/>
      <c r="CR22" s="58"/>
      <c r="CS22" s="83"/>
      <c r="CY22" s="93"/>
      <c r="CZ22" s="70"/>
      <c r="DA22" s="70"/>
      <c r="DB22" s="70"/>
      <c r="DC22" s="70"/>
      <c r="DD22" s="70"/>
      <c r="DE22" s="70"/>
      <c r="DF22" s="70"/>
      <c r="DG22" s="176"/>
      <c r="DH22" s="83"/>
      <c r="DQ22" s="83">
        <v>73.81</v>
      </c>
      <c r="EE22" s="58"/>
      <c r="EF22" s="83"/>
      <c r="EI22" s="83"/>
      <c r="EK22" s="58"/>
      <c r="EL22" s="83"/>
      <c r="EO22" s="58"/>
      <c r="EP22" s="83"/>
      <c r="EQ22" s="58"/>
      <c r="ER22" s="83"/>
      <c r="ES22" s="58"/>
      <c r="ET22" s="83"/>
      <c r="EU22" s="58"/>
    </row>
    <row r="23" spans="1:151">
      <c r="A23" s="83" t="s">
        <v>319</v>
      </c>
      <c r="B23" s="173" t="s">
        <v>79</v>
      </c>
      <c r="C23" s="173" t="s">
        <v>496</v>
      </c>
      <c r="D23" s="83" t="s">
        <v>67</v>
      </c>
      <c r="F23" s="49" t="s">
        <v>286</v>
      </c>
      <c r="G23" s="60">
        <v>-4.9978333333333333</v>
      </c>
      <c r="H23" s="49">
        <v>3028</v>
      </c>
      <c r="I23" s="49">
        <v>1075</v>
      </c>
      <c r="J23" s="159">
        <v>1.1025641025641026</v>
      </c>
      <c r="K23" s="49">
        <v>4</v>
      </c>
      <c r="L23" s="49">
        <v>5</v>
      </c>
      <c r="M23" s="83">
        <v>0</v>
      </c>
      <c r="N23" s="49">
        <v>1</v>
      </c>
      <c r="O23" s="49">
        <v>0</v>
      </c>
      <c r="P23" s="49">
        <v>0</v>
      </c>
      <c r="Q23" s="58">
        <v>0</v>
      </c>
      <c r="R23" s="42">
        <v>1</v>
      </c>
      <c r="S23" s="83" t="s">
        <v>283</v>
      </c>
      <c r="T23" s="49">
        <v>13</v>
      </c>
      <c r="U23" s="83">
        <v>1</v>
      </c>
      <c r="V23" s="49">
        <v>5</v>
      </c>
      <c r="W23" s="49">
        <v>2</v>
      </c>
      <c r="X23" s="58"/>
      <c r="Y23" s="83">
        <v>0</v>
      </c>
      <c r="AJ23" s="49">
        <v>0</v>
      </c>
      <c r="AK23" s="83">
        <v>0</v>
      </c>
      <c r="AL23" s="49">
        <v>0</v>
      </c>
      <c r="AM23" s="49">
        <v>0</v>
      </c>
      <c r="AN23" s="49">
        <v>0</v>
      </c>
      <c r="AO23" s="58">
        <v>0</v>
      </c>
      <c r="AP23" s="174" t="s">
        <v>284</v>
      </c>
      <c r="AQ23" s="175" t="s">
        <v>284</v>
      </c>
      <c r="AR23" s="175" t="s">
        <v>284</v>
      </c>
      <c r="AS23" s="175" t="s">
        <v>284</v>
      </c>
      <c r="AT23" s="175" t="s">
        <v>284</v>
      </c>
      <c r="AU23" s="175" t="s">
        <v>284</v>
      </c>
      <c r="AV23" s="175" t="s">
        <v>284</v>
      </c>
      <c r="AW23" s="175" t="s">
        <v>284</v>
      </c>
      <c r="AX23" s="83">
        <v>0</v>
      </c>
      <c r="AY23" s="49">
        <v>0</v>
      </c>
      <c r="AZ23" s="49">
        <v>0</v>
      </c>
      <c r="BA23" s="49">
        <v>0</v>
      </c>
      <c r="BB23" s="58">
        <v>0</v>
      </c>
      <c r="BC23" s="42">
        <v>106</v>
      </c>
      <c r="BS23" s="58"/>
      <c r="BT23" s="83"/>
      <c r="CE23" s="83"/>
      <c r="CK23" s="58"/>
      <c r="CL23" s="83">
        <v>59.87</v>
      </c>
      <c r="CM23" s="49">
        <v>59.98</v>
      </c>
      <c r="CO23" s="58"/>
      <c r="CP23" s="83"/>
      <c r="CR23" s="58"/>
      <c r="CS23" s="83"/>
      <c r="CY23" s="93">
        <v>80.77</v>
      </c>
      <c r="CZ23" s="70">
        <v>76.91</v>
      </c>
      <c r="DA23" s="70"/>
      <c r="DB23" s="70"/>
      <c r="DC23" s="70"/>
      <c r="DD23" s="70"/>
      <c r="DE23" s="70"/>
      <c r="DF23" s="70"/>
      <c r="DG23" s="176"/>
      <c r="DH23" s="83"/>
      <c r="DQ23" s="83"/>
      <c r="EE23" s="58"/>
      <c r="EF23" s="83"/>
      <c r="EI23" s="83"/>
      <c r="EK23" s="58"/>
      <c r="EL23" s="83"/>
      <c r="EO23" s="58"/>
      <c r="EP23" s="83"/>
      <c r="EQ23" s="58"/>
      <c r="ER23" s="83"/>
      <c r="ES23" s="58"/>
      <c r="ET23" s="83"/>
      <c r="EU23" s="58"/>
    </row>
    <row r="24" spans="1:151">
      <c r="A24" s="83" t="s">
        <v>319</v>
      </c>
      <c r="B24" s="173" t="s">
        <v>79</v>
      </c>
      <c r="C24" s="173" t="s">
        <v>496</v>
      </c>
      <c r="D24" s="83" t="s">
        <v>68</v>
      </c>
      <c r="F24" s="49" t="s">
        <v>286</v>
      </c>
      <c r="G24" s="60">
        <v>-4.9978333333333333</v>
      </c>
      <c r="H24" s="49">
        <v>3028</v>
      </c>
      <c r="I24" s="49">
        <v>1622</v>
      </c>
      <c r="J24" s="159">
        <v>2.6677631578947367</v>
      </c>
      <c r="K24" s="49">
        <v>4</v>
      </c>
      <c r="L24" s="49">
        <v>5</v>
      </c>
      <c r="M24" s="83">
        <v>0</v>
      </c>
      <c r="N24" s="49">
        <v>1</v>
      </c>
      <c r="O24" s="49">
        <v>0</v>
      </c>
      <c r="P24" s="49">
        <v>0</v>
      </c>
      <c r="Q24" s="58">
        <v>0</v>
      </c>
      <c r="R24" s="42">
        <v>1</v>
      </c>
      <c r="S24" s="83" t="s">
        <v>283</v>
      </c>
      <c r="T24" s="49">
        <v>24</v>
      </c>
      <c r="U24" s="83">
        <v>1</v>
      </c>
      <c r="V24" s="49">
        <v>4</v>
      </c>
      <c r="W24" s="49">
        <v>2</v>
      </c>
      <c r="X24" s="58"/>
      <c r="Y24" s="83">
        <v>10</v>
      </c>
      <c r="Z24" s="49">
        <v>13</v>
      </c>
      <c r="AA24" s="49">
        <v>16</v>
      </c>
      <c r="AG24" s="49">
        <v>207</v>
      </c>
      <c r="AJ24" s="49">
        <v>0</v>
      </c>
      <c r="AK24" s="83">
        <v>0</v>
      </c>
      <c r="AL24" s="49">
        <v>0</v>
      </c>
      <c r="AM24" s="49">
        <v>0</v>
      </c>
      <c r="AN24" s="49">
        <v>0</v>
      </c>
      <c r="AO24" s="58">
        <v>0</v>
      </c>
      <c r="AP24" s="174" t="s">
        <v>284</v>
      </c>
      <c r="AQ24" s="175" t="s">
        <v>284</v>
      </c>
      <c r="AR24" s="175" t="s">
        <v>284</v>
      </c>
      <c r="AS24" s="175" t="s">
        <v>284</v>
      </c>
      <c r="AT24" s="175" t="s">
        <v>284</v>
      </c>
      <c r="AU24" s="175" t="s">
        <v>284</v>
      </c>
      <c r="AV24" s="175" t="s">
        <v>284</v>
      </c>
      <c r="AW24" s="175" t="s">
        <v>284</v>
      </c>
      <c r="AX24" s="83">
        <v>0</v>
      </c>
      <c r="AY24" s="49">
        <v>0</v>
      </c>
      <c r="AZ24" s="49">
        <v>0</v>
      </c>
      <c r="BA24" s="49">
        <v>0</v>
      </c>
      <c r="BB24" s="58">
        <v>0</v>
      </c>
      <c r="BC24" s="42">
        <v>115</v>
      </c>
      <c r="BS24" s="58"/>
      <c r="BT24" s="83">
        <v>80.2</v>
      </c>
      <c r="CE24" s="83">
        <v>66.91</v>
      </c>
      <c r="CK24" s="58"/>
      <c r="CL24" s="83">
        <v>63.64</v>
      </c>
      <c r="CO24" s="58"/>
      <c r="CP24" s="83"/>
      <c r="CR24" s="58"/>
      <c r="CS24" s="83"/>
      <c r="CY24" s="93"/>
      <c r="CZ24" s="70"/>
      <c r="DA24" s="70"/>
      <c r="DB24" s="70"/>
      <c r="DC24" s="70"/>
      <c r="DD24" s="70"/>
      <c r="DE24" s="70"/>
      <c r="DF24" s="70"/>
      <c r="DG24" s="176"/>
      <c r="DH24" s="83"/>
      <c r="DQ24" s="83"/>
      <c r="EE24" s="58"/>
      <c r="EF24" s="83"/>
      <c r="EI24" s="83"/>
      <c r="EK24" s="58"/>
      <c r="EL24" s="83"/>
      <c r="EO24" s="58"/>
      <c r="EP24" s="83"/>
      <c r="EQ24" s="58"/>
      <c r="ER24" s="83"/>
      <c r="ES24" s="58"/>
      <c r="ET24" s="83"/>
      <c r="EU24" s="58"/>
    </row>
    <row r="25" spans="1:151">
      <c r="A25" s="83" t="s">
        <v>319</v>
      </c>
      <c r="B25" s="173" t="s">
        <v>79</v>
      </c>
      <c r="C25" s="173" t="s">
        <v>496</v>
      </c>
      <c r="D25" s="83" t="s">
        <v>69</v>
      </c>
      <c r="F25" s="49" t="s">
        <v>286</v>
      </c>
      <c r="G25" s="60">
        <v>-4.9978333333333333</v>
      </c>
      <c r="H25" s="49">
        <v>3028</v>
      </c>
      <c r="I25" s="49">
        <v>3040</v>
      </c>
      <c r="J25" s="159">
        <v>1.558974358974359</v>
      </c>
      <c r="K25" s="49">
        <v>4</v>
      </c>
      <c r="L25" s="49">
        <v>3</v>
      </c>
      <c r="M25" s="83">
        <v>0</v>
      </c>
      <c r="N25" s="49">
        <v>1</v>
      </c>
      <c r="O25" s="49">
        <v>0</v>
      </c>
      <c r="P25" s="49">
        <v>0</v>
      </c>
      <c r="Q25" s="58">
        <v>0</v>
      </c>
      <c r="R25" s="42">
        <v>1</v>
      </c>
      <c r="S25" s="83" t="s">
        <v>283</v>
      </c>
      <c r="T25" s="49">
        <v>16</v>
      </c>
      <c r="U25" s="83">
        <v>1</v>
      </c>
      <c r="V25" s="49">
        <v>3</v>
      </c>
      <c r="W25" s="49">
        <v>2</v>
      </c>
      <c r="X25" s="58"/>
      <c r="Y25" s="83">
        <v>2</v>
      </c>
      <c r="Z25" s="49">
        <v>10</v>
      </c>
      <c r="AA25" s="49">
        <v>40</v>
      </c>
      <c r="AD25" s="49">
        <v>40</v>
      </c>
      <c r="AE25" s="49">
        <v>160</v>
      </c>
      <c r="AF25" s="49">
        <v>20</v>
      </c>
      <c r="AG25" s="49">
        <v>270</v>
      </c>
      <c r="AJ25" s="49">
        <v>0</v>
      </c>
      <c r="AK25" s="83">
        <v>0</v>
      </c>
      <c r="AL25" s="49">
        <v>0</v>
      </c>
      <c r="AM25" s="49">
        <v>0</v>
      </c>
      <c r="AN25" s="49">
        <v>0</v>
      </c>
      <c r="AO25" s="58">
        <v>0</v>
      </c>
      <c r="AP25" s="174" t="s">
        <v>284</v>
      </c>
      <c r="AQ25" s="175" t="s">
        <v>284</v>
      </c>
      <c r="AR25" s="175" t="s">
        <v>284</v>
      </c>
      <c r="AS25" s="175" t="s">
        <v>284</v>
      </c>
      <c r="AT25" s="175" t="s">
        <v>284</v>
      </c>
      <c r="AU25" s="175" t="s">
        <v>284</v>
      </c>
      <c r="AV25" s="175" t="s">
        <v>284</v>
      </c>
      <c r="AW25" s="175" t="s">
        <v>284</v>
      </c>
      <c r="AX25" s="83">
        <v>0</v>
      </c>
      <c r="AY25" s="49">
        <v>0</v>
      </c>
      <c r="AZ25" s="49">
        <v>0</v>
      </c>
      <c r="BA25" s="49">
        <v>0</v>
      </c>
      <c r="BB25" s="58">
        <v>0</v>
      </c>
      <c r="BC25" s="42">
        <v>98</v>
      </c>
      <c r="BS25" s="58"/>
      <c r="BT25" s="83"/>
      <c r="CE25" s="83"/>
      <c r="CK25" s="58"/>
      <c r="CL25" s="83"/>
      <c r="CO25" s="58"/>
      <c r="CP25" s="83"/>
      <c r="CR25" s="58"/>
      <c r="CS25" s="83"/>
      <c r="CY25" s="93"/>
      <c r="CZ25" s="70"/>
      <c r="DA25" s="70"/>
      <c r="DB25" s="70"/>
      <c r="DC25" s="70"/>
      <c r="DD25" s="70"/>
      <c r="DE25" s="70"/>
      <c r="DF25" s="70"/>
      <c r="DG25" s="176"/>
      <c r="DH25" s="83"/>
      <c r="DQ25" s="83"/>
      <c r="EE25" s="58"/>
      <c r="EF25" s="83"/>
      <c r="EI25" s="83"/>
      <c r="EK25" s="58"/>
      <c r="EL25" s="83"/>
      <c r="EO25" s="58"/>
      <c r="EP25" s="83"/>
      <c r="EQ25" s="58"/>
      <c r="ER25" s="83"/>
      <c r="ES25" s="58"/>
      <c r="ET25" s="83"/>
      <c r="EU25" s="58"/>
    </row>
    <row r="26" spans="1:151" ht="17" thickBot="1">
      <c r="A26" s="83" t="s">
        <v>319</v>
      </c>
      <c r="B26" s="47" t="s">
        <v>79</v>
      </c>
      <c r="C26" s="47" t="s">
        <v>496</v>
      </c>
      <c r="D26" s="84" t="s">
        <v>75</v>
      </c>
      <c r="E26" s="57"/>
      <c r="F26" s="57" t="s">
        <v>286</v>
      </c>
      <c r="G26" s="74">
        <v>-4.9978333333333333</v>
      </c>
      <c r="H26" s="57">
        <v>3028</v>
      </c>
      <c r="I26" s="57">
        <v>4630</v>
      </c>
      <c r="J26" s="75">
        <v>1.4115853658536586</v>
      </c>
      <c r="K26" s="57">
        <v>4</v>
      </c>
      <c r="L26" s="57">
        <v>3</v>
      </c>
      <c r="M26" s="84">
        <v>0</v>
      </c>
      <c r="N26" s="57">
        <v>1</v>
      </c>
      <c r="O26" s="57">
        <v>0</v>
      </c>
      <c r="P26" s="57">
        <v>0</v>
      </c>
      <c r="Q26" s="56">
        <v>0</v>
      </c>
      <c r="R26" s="55">
        <v>1</v>
      </c>
      <c r="S26" s="84" t="s">
        <v>283</v>
      </c>
      <c r="T26" s="57">
        <v>22</v>
      </c>
      <c r="U26" s="84">
        <v>1</v>
      </c>
      <c r="V26" s="57">
        <v>3</v>
      </c>
      <c r="W26" s="57">
        <v>2</v>
      </c>
      <c r="X26" s="56"/>
      <c r="Y26" s="84">
        <v>20</v>
      </c>
      <c r="Z26" s="57">
        <v>20</v>
      </c>
      <c r="AA26" s="57">
        <v>60</v>
      </c>
      <c r="AB26" s="57"/>
      <c r="AC26" s="57"/>
      <c r="AD26" s="57"/>
      <c r="AE26" s="57"/>
      <c r="AF26" s="57">
        <v>30</v>
      </c>
      <c r="AG26" s="57">
        <v>170</v>
      </c>
      <c r="AH26" s="57">
        <v>240</v>
      </c>
      <c r="AI26" s="57">
        <v>2470</v>
      </c>
      <c r="AJ26" s="57">
        <v>0</v>
      </c>
      <c r="AK26" s="84">
        <v>0</v>
      </c>
      <c r="AL26" s="57">
        <v>0</v>
      </c>
      <c r="AM26" s="57">
        <v>0</v>
      </c>
      <c r="AN26" s="57">
        <v>0</v>
      </c>
      <c r="AO26" s="56">
        <v>0</v>
      </c>
      <c r="AP26" s="178" t="s">
        <v>284</v>
      </c>
      <c r="AQ26" s="179" t="s">
        <v>284</v>
      </c>
      <c r="AR26" s="179" t="s">
        <v>284</v>
      </c>
      <c r="AS26" s="179" t="s">
        <v>284</v>
      </c>
      <c r="AT26" s="179" t="s">
        <v>284</v>
      </c>
      <c r="AU26" s="179" t="s">
        <v>284</v>
      </c>
      <c r="AV26" s="179" t="s">
        <v>284</v>
      </c>
      <c r="AW26" s="179" t="s">
        <v>284</v>
      </c>
      <c r="AX26" s="84">
        <v>0</v>
      </c>
      <c r="AY26" s="57">
        <v>0</v>
      </c>
      <c r="AZ26" s="57">
        <v>0</v>
      </c>
      <c r="BA26" s="57">
        <v>0</v>
      </c>
      <c r="BB26" s="56">
        <v>0</v>
      </c>
      <c r="BC26" s="55">
        <v>130</v>
      </c>
      <c r="BD26" s="57"/>
      <c r="BE26" s="75"/>
      <c r="BF26" s="57"/>
      <c r="BG26" s="57"/>
      <c r="BH26" s="57"/>
      <c r="BI26" s="57"/>
      <c r="BJ26" s="57"/>
      <c r="BK26" s="57"/>
      <c r="BL26" s="57"/>
      <c r="BM26" s="57"/>
      <c r="BN26" s="57"/>
      <c r="BO26" s="57"/>
      <c r="BP26" s="57"/>
      <c r="BQ26" s="57"/>
      <c r="BR26" s="57"/>
      <c r="BS26" s="56"/>
      <c r="BT26" s="84">
        <v>82.82</v>
      </c>
      <c r="BU26" s="57"/>
      <c r="BV26" s="57"/>
      <c r="BW26" s="57"/>
      <c r="BX26" s="57"/>
      <c r="BY26" s="57"/>
      <c r="BZ26" s="57"/>
      <c r="CA26" s="57"/>
      <c r="CB26" s="57"/>
      <c r="CC26" s="57"/>
      <c r="CD26" s="57"/>
      <c r="CE26" s="84"/>
      <c r="CF26" s="57"/>
      <c r="CG26" s="57"/>
      <c r="CH26" s="57"/>
      <c r="CI26" s="57"/>
      <c r="CJ26" s="57"/>
      <c r="CK26" s="56"/>
      <c r="CL26" s="84">
        <v>62.64</v>
      </c>
      <c r="CM26" s="57"/>
      <c r="CN26" s="57"/>
      <c r="CO26" s="56"/>
      <c r="CP26" s="84"/>
      <c r="CQ26" s="57"/>
      <c r="CR26" s="56"/>
      <c r="CS26" s="84"/>
      <c r="CT26" s="57"/>
      <c r="CU26" s="57"/>
      <c r="CV26" s="57"/>
      <c r="CW26" s="57"/>
      <c r="CX26" s="57"/>
      <c r="CY26" s="180">
        <v>77.97</v>
      </c>
      <c r="CZ26" s="79">
        <v>77.84</v>
      </c>
      <c r="DA26" s="79">
        <v>80.94</v>
      </c>
      <c r="DB26" s="79"/>
      <c r="DC26" s="79"/>
      <c r="DD26" s="79"/>
      <c r="DE26" s="79"/>
      <c r="DF26" s="79"/>
      <c r="DG26" s="181"/>
      <c r="DH26" s="84"/>
      <c r="DI26" s="57"/>
      <c r="DJ26" s="57"/>
      <c r="DK26" s="57"/>
      <c r="DL26" s="57"/>
      <c r="DM26" s="57"/>
      <c r="DN26" s="57"/>
      <c r="DO26" s="57"/>
      <c r="DP26" s="57"/>
      <c r="DQ26" s="84"/>
      <c r="DR26" s="57"/>
      <c r="DS26" s="57"/>
      <c r="DT26" s="57"/>
      <c r="DU26" s="57"/>
      <c r="DV26" s="57"/>
      <c r="DW26" s="57"/>
      <c r="DX26" s="57"/>
      <c r="DY26" s="57"/>
      <c r="DZ26" s="57"/>
      <c r="EA26" s="57"/>
      <c r="EB26" s="57"/>
      <c r="EC26" s="57"/>
      <c r="ED26" s="57"/>
      <c r="EE26" s="56"/>
      <c r="EF26" s="84"/>
      <c r="EG26" s="57"/>
      <c r="EH26" s="57"/>
      <c r="EI26" s="84"/>
      <c r="EJ26" s="57"/>
      <c r="EK26" s="56"/>
      <c r="EL26" s="84"/>
      <c r="EM26" s="57"/>
      <c r="EN26" s="57"/>
      <c r="EO26" s="56"/>
      <c r="EP26" s="84"/>
      <c r="EQ26" s="56"/>
      <c r="ER26" s="84"/>
      <c r="ES26" s="56"/>
      <c r="ET26" s="84"/>
      <c r="EU26" s="56"/>
    </row>
    <row r="27" spans="1:151">
      <c r="A27" s="87" t="s">
        <v>319</v>
      </c>
      <c r="B27" s="7" t="s">
        <v>82</v>
      </c>
      <c r="C27" s="7" t="s">
        <v>496</v>
      </c>
      <c r="D27" s="147" t="s">
        <v>64</v>
      </c>
      <c r="E27" s="148"/>
      <c r="F27" s="148" t="s">
        <v>286</v>
      </c>
      <c r="G27" s="73">
        <v>-4.9978333333333333</v>
      </c>
      <c r="H27" s="148">
        <v>3028</v>
      </c>
      <c r="I27" s="148">
        <v>8747</v>
      </c>
      <c r="J27" s="158">
        <v>1.7490501899620077</v>
      </c>
      <c r="K27" s="148">
        <v>1</v>
      </c>
      <c r="L27" s="148">
        <v>3</v>
      </c>
      <c r="M27" s="147">
        <v>0</v>
      </c>
      <c r="N27" s="148">
        <v>3</v>
      </c>
      <c r="O27" s="148">
        <v>1</v>
      </c>
      <c r="P27" s="148">
        <v>0</v>
      </c>
      <c r="Q27" s="149">
        <v>0</v>
      </c>
      <c r="R27" s="87">
        <v>4</v>
      </c>
      <c r="S27" s="147" t="s">
        <v>283</v>
      </c>
      <c r="T27" s="148">
        <v>9</v>
      </c>
      <c r="U27" s="147">
        <v>2</v>
      </c>
      <c r="V27" s="148">
        <v>2</v>
      </c>
      <c r="W27" s="148">
        <v>3</v>
      </c>
      <c r="X27" s="149">
        <v>1</v>
      </c>
      <c r="Y27" s="147">
        <v>20</v>
      </c>
      <c r="Z27" s="148">
        <v>10</v>
      </c>
      <c r="AA27" s="148">
        <v>68</v>
      </c>
      <c r="AB27" s="148"/>
      <c r="AC27" s="148"/>
      <c r="AD27" s="148">
        <v>86</v>
      </c>
      <c r="AE27" s="148">
        <v>249</v>
      </c>
      <c r="AF27" s="148"/>
      <c r="AG27" s="148">
        <v>436</v>
      </c>
      <c r="AH27" s="148">
        <v>509</v>
      </c>
      <c r="AI27" s="148">
        <v>1517</v>
      </c>
      <c r="AJ27" s="148">
        <v>0</v>
      </c>
      <c r="AK27" s="147">
        <v>0</v>
      </c>
      <c r="AL27" s="148">
        <v>0</v>
      </c>
      <c r="AM27" s="148">
        <v>0</v>
      </c>
      <c r="AN27" s="148">
        <v>0</v>
      </c>
      <c r="AO27" s="149">
        <v>0</v>
      </c>
      <c r="AP27" s="169" t="s">
        <v>284</v>
      </c>
      <c r="AQ27" s="170" t="s">
        <v>284</v>
      </c>
      <c r="AR27" s="170" t="s">
        <v>284</v>
      </c>
      <c r="AS27" s="170" t="s">
        <v>284</v>
      </c>
      <c r="AT27" s="170" t="s">
        <v>284</v>
      </c>
      <c r="AU27" s="170" t="s">
        <v>284</v>
      </c>
      <c r="AV27" s="170" t="s">
        <v>284</v>
      </c>
      <c r="AW27" s="170" t="s">
        <v>284</v>
      </c>
      <c r="AX27" s="147">
        <v>0</v>
      </c>
      <c r="AY27" s="148">
        <v>0</v>
      </c>
      <c r="AZ27" s="148">
        <v>0</v>
      </c>
      <c r="BA27" s="148">
        <v>0</v>
      </c>
      <c r="BB27" s="149">
        <v>0</v>
      </c>
      <c r="BC27" s="87">
        <v>115</v>
      </c>
      <c r="BD27" s="148">
        <v>81.64</v>
      </c>
      <c r="BE27" s="158">
        <v>81.02</v>
      </c>
      <c r="BF27" s="148">
        <v>79.14</v>
      </c>
      <c r="BG27" s="148">
        <v>80.790000000000006</v>
      </c>
      <c r="BH27" s="148">
        <v>81.650000000000006</v>
      </c>
      <c r="BI27" s="148">
        <v>80.099999999999994</v>
      </c>
      <c r="BJ27" s="148">
        <v>80.599999999999994</v>
      </c>
      <c r="BK27" s="148">
        <v>80.34</v>
      </c>
      <c r="BL27" s="148"/>
      <c r="BM27" s="148"/>
      <c r="BN27" s="148"/>
      <c r="BO27" s="148"/>
      <c r="BP27" s="148"/>
      <c r="BQ27" s="148"/>
      <c r="BR27" s="148"/>
      <c r="BS27" s="149"/>
      <c r="BT27" s="147">
        <v>77</v>
      </c>
      <c r="BU27" s="148"/>
      <c r="BV27" s="148"/>
      <c r="BW27" s="148"/>
      <c r="BX27" s="148"/>
      <c r="BY27" s="148"/>
      <c r="BZ27" s="148"/>
      <c r="CA27" s="148"/>
      <c r="CB27" s="148"/>
      <c r="CC27" s="148"/>
      <c r="CD27" s="148"/>
      <c r="CE27" s="147">
        <v>74.59</v>
      </c>
      <c r="CF27" s="148"/>
      <c r="CG27" s="148"/>
      <c r="CH27" s="148"/>
      <c r="CI27" s="148"/>
      <c r="CJ27" s="148"/>
      <c r="CK27" s="149"/>
      <c r="CL27" s="147">
        <v>61.84</v>
      </c>
      <c r="CM27" s="148">
        <v>62.24</v>
      </c>
      <c r="CN27" s="148"/>
      <c r="CO27" s="149"/>
      <c r="CP27" s="147"/>
      <c r="CQ27" s="148"/>
      <c r="CR27" s="149"/>
      <c r="CS27" s="147">
        <v>78.459999999999994</v>
      </c>
      <c r="CT27" s="148">
        <v>74.27</v>
      </c>
      <c r="CU27" s="148">
        <v>78.290000000000006</v>
      </c>
      <c r="CV27" s="148">
        <v>73.52</v>
      </c>
      <c r="CW27" s="148"/>
      <c r="CX27" s="148"/>
      <c r="CY27" s="171"/>
      <c r="CZ27" s="78"/>
      <c r="DA27" s="78"/>
      <c r="DB27" s="78"/>
      <c r="DC27" s="78"/>
      <c r="DD27" s="78"/>
      <c r="DE27" s="78"/>
      <c r="DF27" s="78"/>
      <c r="DG27" s="172"/>
      <c r="DH27" s="147"/>
      <c r="DI27" s="148"/>
      <c r="DJ27" s="148"/>
      <c r="DK27" s="148"/>
      <c r="DL27" s="148"/>
      <c r="DM27" s="148"/>
      <c r="DN27" s="148"/>
      <c r="DO27" s="148"/>
      <c r="DP27" s="148"/>
      <c r="DQ27" s="147">
        <v>74.66</v>
      </c>
      <c r="DR27" s="148">
        <v>77.73</v>
      </c>
      <c r="DS27" s="148">
        <v>76.03</v>
      </c>
      <c r="DT27" s="148">
        <v>77.23</v>
      </c>
      <c r="DU27" s="148">
        <v>75.180000000000007</v>
      </c>
      <c r="DV27" s="148">
        <v>73.430000000000007</v>
      </c>
      <c r="DW27" s="148"/>
      <c r="DX27" s="148"/>
      <c r="DY27" s="148"/>
      <c r="DZ27" s="148"/>
      <c r="EA27" s="148"/>
      <c r="EB27" s="148"/>
      <c r="EC27" s="148"/>
      <c r="ED27" s="148"/>
      <c r="EE27" s="149"/>
      <c r="EF27" s="147"/>
      <c r="EG27" s="148"/>
      <c r="EH27" s="148"/>
      <c r="EI27" s="147"/>
      <c r="EJ27" s="148"/>
      <c r="EK27" s="149"/>
      <c r="EL27" s="147"/>
      <c r="EM27" s="148"/>
      <c r="EN27" s="148"/>
      <c r="EO27" s="149"/>
      <c r="EP27" s="147"/>
      <c r="EQ27" s="149"/>
      <c r="ER27" s="147"/>
      <c r="ES27" s="149"/>
      <c r="ET27" s="147"/>
      <c r="EU27" s="149"/>
    </row>
    <row r="28" spans="1:151">
      <c r="A28" s="42" t="s">
        <v>319</v>
      </c>
      <c r="B28" s="173" t="s">
        <v>82</v>
      </c>
      <c r="C28" s="173" t="s">
        <v>496</v>
      </c>
      <c r="D28" s="83" t="s">
        <v>73</v>
      </c>
      <c r="E28" s="49" t="s">
        <v>0</v>
      </c>
      <c r="F28" s="49" t="s">
        <v>286</v>
      </c>
      <c r="G28" s="60">
        <v>-4.9978333333333333</v>
      </c>
      <c r="H28" s="49">
        <v>3028</v>
      </c>
      <c r="I28" s="49">
        <v>1206</v>
      </c>
      <c r="J28" s="159">
        <v>1.6703601108033241</v>
      </c>
      <c r="K28" s="49">
        <v>4</v>
      </c>
      <c r="L28" s="49">
        <v>5</v>
      </c>
      <c r="M28" s="83">
        <v>0</v>
      </c>
      <c r="N28" s="49">
        <v>2</v>
      </c>
      <c r="O28" s="49">
        <v>0</v>
      </c>
      <c r="P28" s="49">
        <v>0</v>
      </c>
      <c r="Q28" s="58">
        <v>0</v>
      </c>
      <c r="R28" s="42">
        <v>2</v>
      </c>
      <c r="S28" s="83" t="s">
        <v>283</v>
      </c>
      <c r="T28" s="49">
        <v>12</v>
      </c>
      <c r="U28" s="83">
        <v>1</v>
      </c>
      <c r="V28" s="49">
        <v>5</v>
      </c>
      <c r="W28" s="49">
        <v>2</v>
      </c>
      <c r="X28" s="58"/>
      <c r="Y28" s="83">
        <v>1</v>
      </c>
      <c r="AF28" s="49">
        <v>13</v>
      </c>
      <c r="AG28" s="49">
        <v>170</v>
      </c>
      <c r="AJ28" s="49">
        <v>0</v>
      </c>
      <c r="AK28" s="83">
        <v>0</v>
      </c>
      <c r="AL28" s="49">
        <v>0</v>
      </c>
      <c r="AM28" s="49">
        <v>0</v>
      </c>
      <c r="AN28" s="49">
        <v>0</v>
      </c>
      <c r="AO28" s="58">
        <v>0</v>
      </c>
      <c r="AP28" s="174" t="s">
        <v>284</v>
      </c>
      <c r="AQ28" s="175" t="s">
        <v>284</v>
      </c>
      <c r="AR28" s="175" t="s">
        <v>284</v>
      </c>
      <c r="AS28" s="175" t="s">
        <v>284</v>
      </c>
      <c r="AT28" s="175" t="s">
        <v>284</v>
      </c>
      <c r="AU28" s="175" t="s">
        <v>284</v>
      </c>
      <c r="AV28" s="175" t="s">
        <v>284</v>
      </c>
      <c r="AW28" s="175" t="s">
        <v>284</v>
      </c>
      <c r="AX28" s="83">
        <v>0</v>
      </c>
      <c r="AY28" s="49">
        <v>0</v>
      </c>
      <c r="AZ28" s="49">
        <v>0</v>
      </c>
      <c r="BA28" s="49">
        <v>0</v>
      </c>
      <c r="BB28" s="58">
        <v>0</v>
      </c>
      <c r="BC28" s="42">
        <v>121</v>
      </c>
      <c r="BS28" s="58"/>
      <c r="BT28" s="83"/>
      <c r="CE28" s="83"/>
      <c r="CK28" s="58"/>
      <c r="CL28" s="83"/>
      <c r="CO28" s="58"/>
      <c r="CP28" s="83"/>
      <c r="CR28" s="58"/>
      <c r="CS28" s="83"/>
      <c r="CY28" s="93"/>
      <c r="CZ28" s="70"/>
      <c r="DA28" s="70"/>
      <c r="DB28" s="70"/>
      <c r="DC28" s="70"/>
      <c r="DD28" s="70"/>
      <c r="DE28" s="70"/>
      <c r="DF28" s="70"/>
      <c r="DG28" s="176"/>
      <c r="DH28" s="83"/>
      <c r="DQ28" s="83"/>
      <c r="EE28" s="58"/>
      <c r="EF28" s="83"/>
      <c r="EI28" s="83"/>
      <c r="EK28" s="58"/>
      <c r="EL28" s="83"/>
      <c r="EO28" s="58"/>
      <c r="EP28" s="83"/>
      <c r="EQ28" s="58"/>
      <c r="ER28" s="83"/>
      <c r="ES28" s="58"/>
      <c r="ET28" s="83"/>
      <c r="EU28" s="58"/>
    </row>
    <row r="29" spans="1:151">
      <c r="A29" s="42" t="s">
        <v>319</v>
      </c>
      <c r="B29" s="173" t="s">
        <v>82</v>
      </c>
      <c r="C29" s="173" t="s">
        <v>496</v>
      </c>
      <c r="D29" s="83" t="s">
        <v>65</v>
      </c>
      <c r="F29" s="49" t="s">
        <v>286</v>
      </c>
      <c r="G29" s="60">
        <v>-4.9978333333333333</v>
      </c>
      <c r="H29" s="49">
        <v>3028</v>
      </c>
      <c r="I29" s="49">
        <v>3158</v>
      </c>
      <c r="J29" s="159">
        <v>1.1674676524953789</v>
      </c>
      <c r="K29" s="49">
        <v>4</v>
      </c>
      <c r="L29" s="49">
        <v>4</v>
      </c>
      <c r="M29" s="83">
        <v>0</v>
      </c>
      <c r="N29" s="49">
        <v>2</v>
      </c>
      <c r="O29" s="49">
        <v>0</v>
      </c>
      <c r="P29" s="49">
        <v>0</v>
      </c>
      <c r="Q29" s="58">
        <v>0</v>
      </c>
      <c r="R29" s="42">
        <v>2</v>
      </c>
      <c r="S29" s="83" t="s">
        <v>283</v>
      </c>
      <c r="T29" s="49">
        <v>41</v>
      </c>
      <c r="U29" s="83">
        <v>1</v>
      </c>
      <c r="V29" s="49">
        <v>4</v>
      </c>
      <c r="W29" s="49">
        <v>2</v>
      </c>
      <c r="X29" s="58"/>
      <c r="Y29" s="83">
        <v>20</v>
      </c>
      <c r="Z29" s="49">
        <v>9</v>
      </c>
      <c r="AA29" s="49">
        <v>106</v>
      </c>
      <c r="AD29" s="49">
        <v>27</v>
      </c>
      <c r="AE29" s="49">
        <v>240</v>
      </c>
      <c r="AF29" s="49">
        <v>39</v>
      </c>
      <c r="AG29" s="49">
        <v>177</v>
      </c>
      <c r="AH29" s="49">
        <v>162</v>
      </c>
      <c r="AI29" s="49">
        <v>500</v>
      </c>
      <c r="AJ29" s="49">
        <v>0</v>
      </c>
      <c r="AK29" s="83">
        <v>0</v>
      </c>
      <c r="AL29" s="49">
        <v>0</v>
      </c>
      <c r="AM29" s="49">
        <v>0</v>
      </c>
      <c r="AN29" s="49">
        <v>0</v>
      </c>
      <c r="AO29" s="58">
        <v>0</v>
      </c>
      <c r="AP29" s="174" t="s">
        <v>284</v>
      </c>
      <c r="AQ29" s="175" t="s">
        <v>284</v>
      </c>
      <c r="AR29" s="175" t="s">
        <v>284</v>
      </c>
      <c r="AS29" s="175" t="s">
        <v>284</v>
      </c>
      <c r="AT29" s="175" t="s">
        <v>284</v>
      </c>
      <c r="AU29" s="175" t="s">
        <v>284</v>
      </c>
      <c r="AV29" s="175" t="s">
        <v>284</v>
      </c>
      <c r="AW29" s="175" t="s">
        <v>284</v>
      </c>
      <c r="AX29" s="83">
        <v>0</v>
      </c>
      <c r="AY29" s="49">
        <v>0</v>
      </c>
      <c r="AZ29" s="49">
        <v>0</v>
      </c>
      <c r="BA29" s="49">
        <v>0</v>
      </c>
      <c r="BB29" s="58">
        <v>0</v>
      </c>
      <c r="BC29" s="42">
        <v>139</v>
      </c>
      <c r="BD29" s="49">
        <v>80.8</v>
      </c>
      <c r="BE29" s="159">
        <v>80.89</v>
      </c>
      <c r="BF29" s="49">
        <v>79.06</v>
      </c>
      <c r="BS29" s="58"/>
      <c r="BT29" s="83"/>
      <c r="CE29" s="83"/>
      <c r="CK29" s="58"/>
      <c r="CL29" s="83">
        <v>66.52</v>
      </c>
      <c r="CO29" s="58"/>
      <c r="CP29" s="83"/>
      <c r="CR29" s="58"/>
      <c r="CS29" s="83">
        <v>77.52</v>
      </c>
      <c r="CY29" s="93"/>
      <c r="CZ29" s="70"/>
      <c r="DA29" s="70"/>
      <c r="DB29" s="70"/>
      <c r="DC29" s="70"/>
      <c r="DD29" s="70"/>
      <c r="DE29" s="70"/>
      <c r="DF29" s="70"/>
      <c r="DG29" s="176"/>
      <c r="DH29" s="83"/>
      <c r="DQ29" s="83"/>
      <c r="EE29" s="58"/>
      <c r="EF29" s="83"/>
      <c r="EI29" s="83"/>
      <c r="EK29" s="58"/>
      <c r="EL29" s="83"/>
      <c r="EO29" s="58"/>
      <c r="EP29" s="83"/>
      <c r="EQ29" s="58"/>
      <c r="ER29" s="83"/>
      <c r="ES29" s="58"/>
      <c r="ET29" s="83"/>
      <c r="EU29" s="58"/>
    </row>
    <row r="30" spans="1:151">
      <c r="A30" s="42" t="s">
        <v>319</v>
      </c>
      <c r="B30" s="173" t="s">
        <v>82</v>
      </c>
      <c r="C30" s="173" t="s">
        <v>496</v>
      </c>
      <c r="D30" s="83" t="s">
        <v>66</v>
      </c>
      <c r="F30" s="49" t="s">
        <v>286</v>
      </c>
      <c r="G30" s="60">
        <v>-4.9978333333333333</v>
      </c>
      <c r="H30" s="49">
        <v>3028</v>
      </c>
      <c r="I30" s="49">
        <v>1598</v>
      </c>
      <c r="J30" s="159">
        <v>1.3283458021612635</v>
      </c>
      <c r="K30" s="49">
        <v>4</v>
      </c>
      <c r="L30" s="49">
        <v>4</v>
      </c>
      <c r="M30" s="83">
        <v>0</v>
      </c>
      <c r="N30" s="49">
        <v>3</v>
      </c>
      <c r="O30" s="49">
        <v>0</v>
      </c>
      <c r="P30" s="49">
        <v>0</v>
      </c>
      <c r="Q30" s="58">
        <v>0</v>
      </c>
      <c r="R30" s="42">
        <v>3</v>
      </c>
      <c r="S30" s="83" t="s">
        <v>284</v>
      </c>
      <c r="T30" s="49">
        <v>16</v>
      </c>
      <c r="U30" s="83">
        <v>1</v>
      </c>
      <c r="V30" s="49">
        <v>4</v>
      </c>
      <c r="W30" s="49">
        <v>2</v>
      </c>
      <c r="X30" s="58"/>
      <c r="Y30" s="83">
        <v>10</v>
      </c>
      <c r="Z30" s="49">
        <v>8</v>
      </c>
      <c r="AA30" s="49">
        <v>30</v>
      </c>
      <c r="AD30" s="49">
        <v>60</v>
      </c>
      <c r="AE30" s="49">
        <v>158</v>
      </c>
      <c r="AF30" s="49">
        <v>22</v>
      </c>
      <c r="AG30" s="49">
        <v>490</v>
      </c>
      <c r="AJ30" s="49">
        <v>0</v>
      </c>
      <c r="AK30" s="83">
        <v>0</v>
      </c>
      <c r="AL30" s="49">
        <v>0</v>
      </c>
      <c r="AM30" s="49">
        <v>0</v>
      </c>
      <c r="AN30" s="49">
        <v>0</v>
      </c>
      <c r="AO30" s="58">
        <v>0</v>
      </c>
      <c r="AP30" s="174" t="s">
        <v>284</v>
      </c>
      <c r="AQ30" s="175" t="s">
        <v>284</v>
      </c>
      <c r="AR30" s="175" t="s">
        <v>284</v>
      </c>
      <c r="AS30" s="175" t="s">
        <v>284</v>
      </c>
      <c r="AT30" s="175" t="s">
        <v>284</v>
      </c>
      <c r="AU30" s="175" t="s">
        <v>284</v>
      </c>
      <c r="AV30" s="175" t="s">
        <v>284</v>
      </c>
      <c r="AW30" s="175" t="s">
        <v>284</v>
      </c>
      <c r="AX30" s="83">
        <v>0</v>
      </c>
      <c r="AY30" s="49">
        <v>0</v>
      </c>
      <c r="AZ30" s="49">
        <v>0</v>
      </c>
      <c r="BA30" s="49">
        <v>0</v>
      </c>
      <c r="BB30" s="58">
        <v>0</v>
      </c>
      <c r="BC30" s="42">
        <v>103</v>
      </c>
      <c r="BS30" s="58"/>
      <c r="BT30" s="83"/>
      <c r="CE30" s="83"/>
      <c r="CK30" s="58"/>
      <c r="CL30" s="83"/>
      <c r="CO30" s="58"/>
      <c r="CP30" s="83"/>
      <c r="CR30" s="58"/>
      <c r="CS30" s="83"/>
      <c r="CY30" s="93"/>
      <c r="CZ30" s="70"/>
      <c r="DA30" s="70"/>
      <c r="DB30" s="70"/>
      <c r="DC30" s="70"/>
      <c r="DD30" s="70"/>
      <c r="DE30" s="70"/>
      <c r="DF30" s="70"/>
      <c r="DG30" s="176"/>
      <c r="DH30" s="83"/>
      <c r="DQ30" s="83"/>
      <c r="EE30" s="58"/>
      <c r="EF30" s="83"/>
      <c r="EI30" s="83"/>
      <c r="EK30" s="58"/>
      <c r="EL30" s="83"/>
      <c r="EO30" s="58"/>
      <c r="EP30" s="83"/>
      <c r="EQ30" s="58"/>
      <c r="ER30" s="83"/>
      <c r="ES30" s="58"/>
      <c r="ET30" s="83"/>
      <c r="EU30" s="58"/>
    </row>
    <row r="31" spans="1:151">
      <c r="A31" s="42" t="s">
        <v>319</v>
      </c>
      <c r="B31" s="173" t="s">
        <v>82</v>
      </c>
      <c r="C31" s="173" t="s">
        <v>496</v>
      </c>
      <c r="D31" s="83" t="s">
        <v>67</v>
      </c>
      <c r="F31" s="49" t="s">
        <v>286</v>
      </c>
      <c r="G31" s="60">
        <v>-4.9978333333333333</v>
      </c>
      <c r="H31" s="49">
        <v>3028</v>
      </c>
      <c r="I31" s="49">
        <v>4985</v>
      </c>
      <c r="J31" s="159">
        <v>1.5686274509803921E-3</v>
      </c>
      <c r="K31" s="49">
        <v>4</v>
      </c>
      <c r="L31" s="49">
        <v>5</v>
      </c>
      <c r="M31" s="83">
        <v>0</v>
      </c>
      <c r="N31" s="49">
        <v>5</v>
      </c>
      <c r="O31" s="49">
        <v>0</v>
      </c>
      <c r="P31" s="49">
        <v>0</v>
      </c>
      <c r="Q31" s="58">
        <v>0</v>
      </c>
      <c r="R31" s="42">
        <v>5</v>
      </c>
      <c r="S31" s="83">
        <v>1</v>
      </c>
      <c r="U31" s="83">
        <v>1</v>
      </c>
      <c r="V31" s="49">
        <v>5</v>
      </c>
      <c r="W31" s="49">
        <v>2</v>
      </c>
      <c r="X31" s="58"/>
      <c r="Y31" s="83">
        <v>10</v>
      </c>
      <c r="Z31" s="49">
        <v>10</v>
      </c>
      <c r="AA31" s="49">
        <v>37</v>
      </c>
      <c r="AB31" s="49">
        <v>0</v>
      </c>
      <c r="AC31" s="49">
        <v>0</v>
      </c>
      <c r="AD31" s="49">
        <v>51</v>
      </c>
      <c r="AE31" s="49">
        <v>116</v>
      </c>
      <c r="AF31" s="49">
        <v>24</v>
      </c>
      <c r="AG31" s="49">
        <v>200</v>
      </c>
      <c r="AH31" s="49">
        <v>59</v>
      </c>
      <c r="AI31" s="49">
        <v>506</v>
      </c>
      <c r="AJ31" s="49">
        <v>0</v>
      </c>
      <c r="AK31" s="83">
        <v>0</v>
      </c>
      <c r="AL31" s="49">
        <v>1</v>
      </c>
      <c r="AM31" s="49">
        <v>0</v>
      </c>
      <c r="AN31" s="49">
        <v>0</v>
      </c>
      <c r="AO31" s="58">
        <v>0</v>
      </c>
      <c r="AP31" s="174">
        <v>0</v>
      </c>
      <c r="AQ31" s="175">
        <v>176</v>
      </c>
      <c r="AR31" s="175">
        <v>0</v>
      </c>
      <c r="AS31" s="175">
        <v>0</v>
      </c>
      <c r="AT31" s="175">
        <v>0</v>
      </c>
      <c r="AU31" s="175">
        <v>0</v>
      </c>
      <c r="AV31" s="175" t="s">
        <v>284</v>
      </c>
      <c r="AW31" s="175" t="s">
        <v>284</v>
      </c>
      <c r="AX31" s="83">
        <v>0</v>
      </c>
      <c r="AY31" s="49">
        <v>0</v>
      </c>
      <c r="AZ31" s="49">
        <v>0</v>
      </c>
      <c r="BA31" s="49">
        <v>0</v>
      </c>
      <c r="BB31" s="58">
        <v>0</v>
      </c>
      <c r="BC31" s="42">
        <v>147</v>
      </c>
      <c r="BS31" s="58"/>
      <c r="BT31" s="83">
        <v>80.62</v>
      </c>
      <c r="BU31" s="49">
        <v>81</v>
      </c>
      <c r="CE31" s="83"/>
      <c r="CK31" s="58"/>
      <c r="CL31" s="83">
        <v>64.83</v>
      </c>
      <c r="CO31" s="58"/>
      <c r="CP31" s="83"/>
      <c r="CR31" s="58"/>
      <c r="CS31" s="83">
        <v>83.09</v>
      </c>
      <c r="CY31" s="93">
        <v>76.540000000000006</v>
      </c>
      <c r="CZ31" s="70"/>
      <c r="DA31" s="70"/>
      <c r="DB31" s="70"/>
      <c r="DC31" s="70"/>
      <c r="DD31" s="70"/>
      <c r="DE31" s="70"/>
      <c r="DF31" s="70"/>
      <c r="DG31" s="176"/>
      <c r="DH31" s="83"/>
      <c r="DQ31" s="83"/>
      <c r="EE31" s="58"/>
      <c r="EF31" s="83"/>
      <c r="EI31" s="83"/>
      <c r="EK31" s="58"/>
      <c r="EL31" s="83"/>
      <c r="EO31" s="58"/>
      <c r="EP31" s="83"/>
      <c r="EQ31" s="58"/>
      <c r="ER31" s="83"/>
      <c r="ES31" s="58"/>
      <c r="ET31" s="83"/>
      <c r="EU31" s="58"/>
    </row>
    <row r="32" spans="1:151">
      <c r="A32" s="42" t="s">
        <v>319</v>
      </c>
      <c r="B32" s="173" t="s">
        <v>82</v>
      </c>
      <c r="C32" s="173" t="s">
        <v>496</v>
      </c>
      <c r="D32" s="83" t="s">
        <v>68</v>
      </c>
      <c r="F32" s="49" t="s">
        <v>286</v>
      </c>
      <c r="G32" s="60">
        <v>-4.9978333333333333</v>
      </c>
      <c r="H32" s="49">
        <v>3028</v>
      </c>
      <c r="I32" s="49">
        <v>3990</v>
      </c>
      <c r="J32" s="159">
        <v>2.0284697508896796</v>
      </c>
      <c r="K32" s="49">
        <v>4</v>
      </c>
      <c r="L32" s="49">
        <v>5</v>
      </c>
      <c r="M32" s="83">
        <v>0</v>
      </c>
      <c r="N32" s="49">
        <v>3</v>
      </c>
      <c r="O32" s="49">
        <v>1</v>
      </c>
      <c r="P32" s="49">
        <v>0</v>
      </c>
      <c r="Q32" s="58">
        <v>0</v>
      </c>
      <c r="R32" s="42">
        <v>4</v>
      </c>
      <c r="S32" s="83" t="s">
        <v>283</v>
      </c>
      <c r="T32" s="49">
        <v>15</v>
      </c>
      <c r="U32" s="83">
        <v>2</v>
      </c>
      <c r="V32" s="49">
        <v>5</v>
      </c>
      <c r="W32" s="49">
        <v>1</v>
      </c>
      <c r="X32" s="58">
        <v>1</v>
      </c>
      <c r="Y32" s="83">
        <v>15</v>
      </c>
      <c r="Z32" s="49">
        <v>11</v>
      </c>
      <c r="AA32" s="49">
        <v>19</v>
      </c>
      <c r="AD32" s="49">
        <v>45</v>
      </c>
      <c r="AE32" s="49">
        <v>150</v>
      </c>
      <c r="AF32" s="49">
        <v>35</v>
      </c>
      <c r="AG32" s="49">
        <v>462</v>
      </c>
      <c r="AI32" s="49">
        <v>212</v>
      </c>
      <c r="AJ32" s="49">
        <v>0</v>
      </c>
      <c r="AK32" s="83">
        <v>0</v>
      </c>
      <c r="AL32" s="49">
        <v>0</v>
      </c>
      <c r="AM32" s="49">
        <v>0</v>
      </c>
      <c r="AN32" s="49">
        <v>0</v>
      </c>
      <c r="AO32" s="58">
        <v>0</v>
      </c>
      <c r="AP32" s="174" t="s">
        <v>284</v>
      </c>
      <c r="AQ32" s="175" t="s">
        <v>284</v>
      </c>
      <c r="AR32" s="175" t="s">
        <v>284</v>
      </c>
      <c r="AS32" s="175" t="s">
        <v>284</v>
      </c>
      <c r="AT32" s="175" t="s">
        <v>284</v>
      </c>
      <c r="AU32" s="175" t="s">
        <v>284</v>
      </c>
      <c r="AV32" s="175" t="s">
        <v>284</v>
      </c>
      <c r="AW32" s="175" t="s">
        <v>284</v>
      </c>
      <c r="AX32" s="83">
        <v>0</v>
      </c>
      <c r="AY32" s="49">
        <v>0</v>
      </c>
      <c r="AZ32" s="49">
        <v>0</v>
      </c>
      <c r="BA32" s="49">
        <v>0</v>
      </c>
      <c r="BB32" s="58">
        <v>0</v>
      </c>
      <c r="BC32" s="42">
        <v>119</v>
      </c>
      <c r="BS32" s="58"/>
      <c r="BT32" s="83">
        <v>82.36</v>
      </c>
      <c r="CE32" s="83">
        <v>68.39</v>
      </c>
      <c r="CK32" s="58"/>
      <c r="CL32" s="83"/>
      <c r="CO32" s="58"/>
      <c r="CP32" s="83"/>
      <c r="CR32" s="58"/>
      <c r="CS32" s="83"/>
      <c r="CY32" s="83"/>
      <c r="DG32" s="58"/>
      <c r="DH32" s="83">
        <v>67.739999999999995</v>
      </c>
      <c r="DQ32" s="83"/>
      <c r="EE32" s="58"/>
      <c r="EF32" s="83"/>
      <c r="EI32" s="83"/>
      <c r="EK32" s="58"/>
      <c r="EL32" s="83"/>
      <c r="EO32" s="58"/>
      <c r="EP32" s="83"/>
      <c r="EQ32" s="58"/>
      <c r="ER32" s="83"/>
      <c r="ES32" s="58"/>
      <c r="ET32" s="83"/>
      <c r="EU32" s="58"/>
    </row>
    <row r="33" spans="1:151">
      <c r="A33" s="42" t="s">
        <v>319</v>
      </c>
      <c r="B33" s="173" t="s">
        <v>82</v>
      </c>
      <c r="C33" s="173" t="s">
        <v>496</v>
      </c>
      <c r="D33" s="83" t="s">
        <v>69</v>
      </c>
      <c r="F33" s="49" t="s">
        <v>286</v>
      </c>
      <c r="G33" s="60">
        <v>-4.9978333333333333</v>
      </c>
      <c r="H33" s="49">
        <v>3028</v>
      </c>
      <c r="I33" s="49">
        <v>2382</v>
      </c>
      <c r="J33" s="159">
        <v>1.0183839247541684</v>
      </c>
      <c r="K33" s="49">
        <v>4</v>
      </c>
      <c r="L33" s="49">
        <v>4</v>
      </c>
      <c r="M33" s="83">
        <v>0</v>
      </c>
      <c r="N33" s="49">
        <v>0</v>
      </c>
      <c r="O33" s="49">
        <v>1</v>
      </c>
      <c r="P33" s="49">
        <v>1</v>
      </c>
      <c r="Q33" s="58">
        <v>0</v>
      </c>
      <c r="R33" s="42">
        <v>2</v>
      </c>
      <c r="S33" s="83" t="s">
        <v>283</v>
      </c>
      <c r="T33" s="49">
        <v>18</v>
      </c>
      <c r="U33" s="83">
        <v>2</v>
      </c>
      <c r="V33" s="49">
        <v>4</v>
      </c>
      <c r="W33" s="49">
        <v>2</v>
      </c>
      <c r="X33" s="58"/>
      <c r="Y33" s="83" t="s">
        <v>78</v>
      </c>
      <c r="Z33" s="49">
        <v>8</v>
      </c>
      <c r="AA33" s="49">
        <v>20</v>
      </c>
      <c r="AD33" s="49">
        <v>17</v>
      </c>
      <c r="AE33" s="49">
        <v>21</v>
      </c>
      <c r="AJ33" s="49">
        <v>0</v>
      </c>
      <c r="AK33" s="83">
        <v>0</v>
      </c>
      <c r="AL33" s="49">
        <v>1</v>
      </c>
      <c r="AM33" s="49">
        <v>0</v>
      </c>
      <c r="AN33" s="49">
        <v>0</v>
      </c>
      <c r="AO33" s="58">
        <v>0</v>
      </c>
      <c r="AP33" s="174">
        <v>0</v>
      </c>
      <c r="AQ33" s="175">
        <v>760</v>
      </c>
      <c r="AR33" s="175" t="s">
        <v>284</v>
      </c>
      <c r="AS33" s="175" t="s">
        <v>284</v>
      </c>
      <c r="AT33" s="175" t="s">
        <v>284</v>
      </c>
      <c r="AU33" s="175" t="s">
        <v>284</v>
      </c>
      <c r="AV33" s="175" t="s">
        <v>284</v>
      </c>
      <c r="AW33" s="175" t="s">
        <v>284</v>
      </c>
      <c r="AX33" s="83">
        <v>0</v>
      </c>
      <c r="AY33" s="49">
        <v>0</v>
      </c>
      <c r="AZ33" s="49">
        <v>0</v>
      </c>
      <c r="BA33" s="49">
        <v>0</v>
      </c>
      <c r="BB33" s="58">
        <v>0</v>
      </c>
      <c r="BC33" s="42">
        <v>162</v>
      </c>
      <c r="BD33" s="49">
        <v>81.11</v>
      </c>
      <c r="BS33" s="58"/>
      <c r="BT33" s="83">
        <v>83.49</v>
      </c>
      <c r="BU33" s="49">
        <v>80.930000000000007</v>
      </c>
      <c r="CE33" s="83"/>
      <c r="CK33" s="58"/>
      <c r="CL33" s="83">
        <v>64.150000000000006</v>
      </c>
      <c r="CO33" s="58"/>
      <c r="CP33" s="83"/>
      <c r="CR33" s="58"/>
      <c r="CS33" s="83"/>
      <c r="CY33" s="83"/>
      <c r="DG33" s="58"/>
      <c r="DH33" s="83"/>
      <c r="DQ33" s="83"/>
      <c r="EE33" s="58"/>
      <c r="EF33" s="83"/>
      <c r="EI33" s="83"/>
      <c r="EK33" s="58"/>
      <c r="EL33" s="83"/>
      <c r="EO33" s="58"/>
      <c r="EP33" s="83"/>
      <c r="EQ33" s="58"/>
      <c r="ER33" s="83"/>
      <c r="ES33" s="58"/>
      <c r="ET33" s="83"/>
      <c r="EU33" s="58"/>
    </row>
    <row r="34" spans="1:151">
      <c r="A34" s="42" t="s">
        <v>319</v>
      </c>
      <c r="B34" s="173" t="s">
        <v>82</v>
      </c>
      <c r="C34" s="173" t="s">
        <v>496</v>
      </c>
      <c r="D34" s="83" t="s">
        <v>74</v>
      </c>
      <c r="F34" s="49" t="s">
        <v>286</v>
      </c>
      <c r="G34" s="60">
        <v>-4.9978333333333333</v>
      </c>
      <c r="H34" s="49">
        <v>3028</v>
      </c>
      <c r="I34" s="49">
        <v>2410</v>
      </c>
      <c r="J34" s="159">
        <v>1.5006226650062267</v>
      </c>
      <c r="K34" s="49">
        <v>4</v>
      </c>
      <c r="L34" s="49">
        <v>4</v>
      </c>
      <c r="M34" s="83">
        <v>0</v>
      </c>
      <c r="N34" s="49">
        <v>4</v>
      </c>
      <c r="O34" s="49">
        <v>0</v>
      </c>
      <c r="P34" s="49">
        <v>0</v>
      </c>
      <c r="Q34" s="58">
        <v>0</v>
      </c>
      <c r="R34" s="42">
        <v>4</v>
      </c>
      <c r="S34" s="83" t="s">
        <v>283</v>
      </c>
      <c r="T34" s="49">
        <v>23</v>
      </c>
      <c r="U34" s="83">
        <v>1</v>
      </c>
      <c r="V34" s="49">
        <v>3</v>
      </c>
      <c r="W34" s="49">
        <v>2</v>
      </c>
      <c r="X34" s="58"/>
      <c r="Y34" s="83" t="s">
        <v>78</v>
      </c>
      <c r="Z34" s="49">
        <v>22</v>
      </c>
      <c r="AA34" s="49">
        <v>27</v>
      </c>
      <c r="AD34" s="49">
        <v>22</v>
      </c>
      <c r="AE34" s="49">
        <v>110</v>
      </c>
      <c r="AJ34" s="49">
        <v>0</v>
      </c>
      <c r="AK34" s="83">
        <v>0</v>
      </c>
      <c r="AL34" s="49">
        <v>0</v>
      </c>
      <c r="AM34" s="49">
        <v>0</v>
      </c>
      <c r="AN34" s="49">
        <v>0</v>
      </c>
      <c r="AO34" s="58">
        <v>0</v>
      </c>
      <c r="AP34" s="174" t="s">
        <v>284</v>
      </c>
      <c r="AQ34" s="175" t="s">
        <v>284</v>
      </c>
      <c r="AR34" s="175" t="s">
        <v>284</v>
      </c>
      <c r="AS34" s="175" t="s">
        <v>284</v>
      </c>
      <c r="AT34" s="175" t="s">
        <v>284</v>
      </c>
      <c r="AU34" s="175" t="s">
        <v>284</v>
      </c>
      <c r="AV34" s="175" t="s">
        <v>284</v>
      </c>
      <c r="AW34" s="175" t="s">
        <v>284</v>
      </c>
      <c r="AX34" s="83">
        <v>0</v>
      </c>
      <c r="AY34" s="49">
        <v>0</v>
      </c>
      <c r="AZ34" s="49">
        <v>0</v>
      </c>
      <c r="BA34" s="49">
        <v>0</v>
      </c>
      <c r="BB34" s="58">
        <v>0</v>
      </c>
      <c r="BC34" s="42">
        <v>118</v>
      </c>
      <c r="BS34" s="58"/>
      <c r="BT34" s="83"/>
      <c r="CE34" s="83"/>
      <c r="CK34" s="58"/>
      <c r="CL34" s="83"/>
      <c r="CO34" s="58"/>
      <c r="CP34" s="83"/>
      <c r="CR34" s="58"/>
      <c r="CS34" s="83"/>
      <c r="CY34" s="83"/>
      <c r="DG34" s="58"/>
      <c r="DH34" s="83"/>
      <c r="DQ34" s="83"/>
      <c r="EE34" s="58"/>
      <c r="EF34" s="83"/>
      <c r="EI34" s="83"/>
      <c r="EK34" s="58"/>
      <c r="EL34" s="83"/>
      <c r="EO34" s="58"/>
      <c r="EP34" s="83"/>
      <c r="EQ34" s="58"/>
      <c r="ER34" s="83"/>
      <c r="ES34" s="58"/>
      <c r="ET34" s="83"/>
      <c r="EU34" s="58"/>
    </row>
    <row r="35" spans="1:151" ht="17" thickBot="1">
      <c r="A35" s="55" t="s">
        <v>319</v>
      </c>
      <c r="B35" s="47" t="s">
        <v>82</v>
      </c>
      <c r="C35" s="47" t="s">
        <v>496</v>
      </c>
      <c r="D35" s="84" t="s">
        <v>76</v>
      </c>
      <c r="E35" s="57"/>
      <c r="F35" s="57" t="s">
        <v>286</v>
      </c>
      <c r="G35" s="74">
        <v>-4.9978333333333333</v>
      </c>
      <c r="H35" s="57">
        <v>3028</v>
      </c>
      <c r="I35" s="57">
        <v>5157</v>
      </c>
      <c r="J35" s="75">
        <v>2.6678737713398863</v>
      </c>
      <c r="K35" s="57">
        <v>1</v>
      </c>
      <c r="L35" s="57">
        <v>2</v>
      </c>
      <c r="M35" s="84">
        <v>0</v>
      </c>
      <c r="N35" s="57">
        <v>4</v>
      </c>
      <c r="O35" s="57">
        <v>0</v>
      </c>
      <c r="P35" s="57">
        <v>0</v>
      </c>
      <c r="Q35" s="56">
        <v>0</v>
      </c>
      <c r="R35" s="55">
        <v>4</v>
      </c>
      <c r="S35" s="84" t="s">
        <v>283</v>
      </c>
      <c r="T35" s="57">
        <v>13</v>
      </c>
      <c r="U35" s="84">
        <v>1</v>
      </c>
      <c r="V35" s="57">
        <v>3</v>
      </c>
      <c r="W35" s="57">
        <v>2</v>
      </c>
      <c r="X35" s="56"/>
      <c r="Y35" s="84">
        <v>10</v>
      </c>
      <c r="Z35" s="57">
        <v>12</v>
      </c>
      <c r="AA35" s="57">
        <v>28</v>
      </c>
      <c r="AB35" s="57"/>
      <c r="AC35" s="57"/>
      <c r="AD35" s="57">
        <v>28</v>
      </c>
      <c r="AE35" s="57">
        <v>82</v>
      </c>
      <c r="AF35" s="57">
        <v>12</v>
      </c>
      <c r="AG35" s="57">
        <v>160</v>
      </c>
      <c r="AH35" s="57">
        <v>415</v>
      </c>
      <c r="AI35" s="57">
        <v>932</v>
      </c>
      <c r="AJ35" s="57">
        <v>0</v>
      </c>
      <c r="AK35" s="84">
        <v>0</v>
      </c>
      <c r="AL35" s="57">
        <v>0</v>
      </c>
      <c r="AM35" s="57">
        <v>0</v>
      </c>
      <c r="AN35" s="57">
        <v>0</v>
      </c>
      <c r="AO35" s="56">
        <v>0</v>
      </c>
      <c r="AP35" s="178" t="s">
        <v>284</v>
      </c>
      <c r="AQ35" s="179" t="s">
        <v>284</v>
      </c>
      <c r="AR35" s="179" t="s">
        <v>284</v>
      </c>
      <c r="AS35" s="179" t="s">
        <v>284</v>
      </c>
      <c r="AT35" s="179" t="s">
        <v>284</v>
      </c>
      <c r="AU35" s="179" t="s">
        <v>284</v>
      </c>
      <c r="AV35" s="179" t="s">
        <v>284</v>
      </c>
      <c r="AW35" s="179" t="s">
        <v>284</v>
      </c>
      <c r="AX35" s="84">
        <v>0</v>
      </c>
      <c r="AY35" s="57">
        <v>0</v>
      </c>
      <c r="AZ35" s="57">
        <v>0</v>
      </c>
      <c r="BA35" s="57">
        <v>0</v>
      </c>
      <c r="BB35" s="56">
        <v>0</v>
      </c>
      <c r="BC35" s="55">
        <v>122</v>
      </c>
      <c r="BD35" s="57">
        <v>79.95</v>
      </c>
      <c r="BE35" s="75"/>
      <c r="BF35" s="57"/>
      <c r="BG35" s="57"/>
      <c r="BH35" s="57"/>
      <c r="BI35" s="57"/>
      <c r="BJ35" s="57"/>
      <c r="BK35" s="57"/>
      <c r="BL35" s="57"/>
      <c r="BM35" s="57"/>
      <c r="BN35" s="57"/>
      <c r="BO35" s="57"/>
      <c r="BP35" s="57"/>
      <c r="BQ35" s="57"/>
      <c r="BR35" s="57"/>
      <c r="BS35" s="56"/>
      <c r="BT35" s="84">
        <v>82.45</v>
      </c>
      <c r="BU35" s="57"/>
      <c r="BV35" s="57"/>
      <c r="BW35" s="57"/>
      <c r="BX35" s="57"/>
      <c r="BY35" s="57"/>
      <c r="BZ35" s="57"/>
      <c r="CA35" s="57"/>
      <c r="CB35" s="57"/>
      <c r="CC35" s="57"/>
      <c r="CD35" s="57"/>
      <c r="CE35" s="84"/>
      <c r="CF35" s="57"/>
      <c r="CG35" s="57"/>
      <c r="CH35" s="57"/>
      <c r="CI35" s="57"/>
      <c r="CJ35" s="57"/>
      <c r="CK35" s="56"/>
      <c r="CL35" s="84">
        <v>58.65</v>
      </c>
      <c r="CM35" s="57"/>
      <c r="CN35" s="57"/>
      <c r="CO35" s="56"/>
      <c r="CP35" s="84"/>
      <c r="CQ35" s="57"/>
      <c r="CR35" s="56"/>
      <c r="CS35" s="84"/>
      <c r="CT35" s="57"/>
      <c r="CU35" s="57"/>
      <c r="CV35" s="57"/>
      <c r="CW35" s="57"/>
      <c r="CX35" s="57"/>
      <c r="CY35" s="84"/>
      <c r="CZ35" s="57"/>
      <c r="DA35" s="57"/>
      <c r="DB35" s="57"/>
      <c r="DC35" s="57"/>
      <c r="DD35" s="57"/>
      <c r="DE35" s="57"/>
      <c r="DF35" s="57"/>
      <c r="DG35" s="56"/>
      <c r="DH35" s="84"/>
      <c r="DI35" s="57"/>
      <c r="DJ35" s="57"/>
      <c r="DK35" s="57"/>
      <c r="DL35" s="57"/>
      <c r="DM35" s="57"/>
      <c r="DN35" s="57"/>
      <c r="DO35" s="57"/>
      <c r="DP35" s="57"/>
      <c r="DQ35" s="84">
        <v>76.78</v>
      </c>
      <c r="DR35" s="57"/>
      <c r="DS35" s="57"/>
      <c r="DT35" s="57"/>
      <c r="DU35" s="57"/>
      <c r="DV35" s="57"/>
      <c r="DW35" s="57"/>
      <c r="DX35" s="57"/>
      <c r="DY35" s="57"/>
      <c r="DZ35" s="57"/>
      <c r="EA35" s="57"/>
      <c r="EB35" s="57"/>
      <c r="EC35" s="57"/>
      <c r="ED35" s="57"/>
      <c r="EE35" s="56"/>
      <c r="EF35" s="84"/>
      <c r="EG35" s="57"/>
      <c r="EH35" s="57"/>
      <c r="EI35" s="84"/>
      <c r="EJ35" s="57"/>
      <c r="EK35" s="56"/>
      <c r="EL35" s="84"/>
      <c r="EM35" s="57"/>
      <c r="EN35" s="57"/>
      <c r="EO35" s="56"/>
      <c r="EP35" s="84"/>
      <c r="EQ35" s="56"/>
      <c r="ER35" s="84"/>
      <c r="ES35" s="56"/>
      <c r="ET35" s="84"/>
      <c r="EU35" s="56"/>
    </row>
    <row r="36" spans="1:151">
      <c r="A36" s="83" t="s">
        <v>319</v>
      </c>
      <c r="B36" s="7" t="s">
        <v>83</v>
      </c>
      <c r="C36" s="7" t="s">
        <v>497</v>
      </c>
      <c r="D36" s="147" t="s">
        <v>64</v>
      </c>
      <c r="E36" s="148"/>
      <c r="F36" s="148" t="s">
        <v>286</v>
      </c>
      <c r="G36" s="73">
        <v>-5.7161666666666662</v>
      </c>
      <c r="H36" s="148">
        <v>3292</v>
      </c>
      <c r="I36" s="148">
        <v>1460</v>
      </c>
      <c r="J36" s="158">
        <v>8.1111111111111107</v>
      </c>
      <c r="K36" s="148">
        <v>1</v>
      </c>
      <c r="L36" s="148">
        <v>2</v>
      </c>
      <c r="M36" s="147">
        <v>0</v>
      </c>
      <c r="N36" s="148">
        <v>0</v>
      </c>
      <c r="O36" s="148">
        <v>0</v>
      </c>
      <c r="P36" s="148">
        <v>1</v>
      </c>
      <c r="Q36" s="149">
        <v>0</v>
      </c>
      <c r="R36" s="87">
        <v>1</v>
      </c>
      <c r="S36" s="147">
        <v>1</v>
      </c>
      <c r="T36" s="148"/>
      <c r="U36" s="147">
        <v>0</v>
      </c>
      <c r="V36" s="148">
        <v>0</v>
      </c>
      <c r="W36" s="148">
        <v>0</v>
      </c>
      <c r="X36" s="149"/>
      <c r="Y36" s="147">
        <v>5</v>
      </c>
      <c r="Z36" s="148"/>
      <c r="AA36" s="148"/>
      <c r="AB36" s="148"/>
      <c r="AC36" s="148"/>
      <c r="AD36" s="148"/>
      <c r="AE36" s="148"/>
      <c r="AF36" s="148">
        <v>50</v>
      </c>
      <c r="AG36" s="148">
        <v>360</v>
      </c>
      <c r="AH36" s="148"/>
      <c r="AI36" s="148"/>
      <c r="AJ36" s="148">
        <v>0</v>
      </c>
      <c r="AK36" s="147">
        <v>0</v>
      </c>
      <c r="AL36" s="148">
        <v>0</v>
      </c>
      <c r="AM36" s="148">
        <v>0</v>
      </c>
      <c r="AN36" s="148">
        <v>0</v>
      </c>
      <c r="AO36" s="149">
        <v>0</v>
      </c>
      <c r="AP36" s="169" t="s">
        <v>284</v>
      </c>
      <c r="AQ36" s="170" t="s">
        <v>284</v>
      </c>
      <c r="AR36" s="170" t="s">
        <v>284</v>
      </c>
      <c r="AS36" s="170" t="s">
        <v>284</v>
      </c>
      <c r="AT36" s="170" t="s">
        <v>284</v>
      </c>
      <c r="AU36" s="170" t="s">
        <v>284</v>
      </c>
      <c r="AV36" s="170" t="s">
        <v>284</v>
      </c>
      <c r="AW36" s="170" t="s">
        <v>284</v>
      </c>
      <c r="AX36" s="147">
        <v>0</v>
      </c>
      <c r="AY36" s="148">
        <v>0</v>
      </c>
      <c r="AZ36" s="148">
        <v>0</v>
      </c>
      <c r="BA36" s="148">
        <v>0</v>
      </c>
      <c r="BB36" s="149">
        <v>0</v>
      </c>
      <c r="BC36" s="87">
        <v>82</v>
      </c>
      <c r="BD36" s="148"/>
      <c r="BE36" s="158"/>
      <c r="BF36" s="148"/>
      <c r="BG36" s="148"/>
      <c r="BH36" s="148"/>
      <c r="BI36" s="148"/>
      <c r="BJ36" s="148"/>
      <c r="BK36" s="148"/>
      <c r="BL36" s="148"/>
      <c r="BM36" s="148"/>
      <c r="BN36" s="148"/>
      <c r="BO36" s="148"/>
      <c r="BP36" s="148"/>
      <c r="BQ36" s="148"/>
      <c r="BR36" s="148"/>
      <c r="BS36" s="149"/>
      <c r="BT36" s="147"/>
      <c r="BU36" s="148"/>
      <c r="BV36" s="148"/>
      <c r="BW36" s="148"/>
      <c r="BX36" s="148"/>
      <c r="BY36" s="148"/>
      <c r="BZ36" s="148"/>
      <c r="CA36" s="148"/>
      <c r="CB36" s="148"/>
      <c r="CC36" s="148"/>
      <c r="CD36" s="148"/>
      <c r="CE36" s="147"/>
      <c r="CF36" s="148"/>
      <c r="CG36" s="148"/>
      <c r="CH36" s="148"/>
      <c r="CI36" s="148"/>
      <c r="CJ36" s="148"/>
      <c r="CK36" s="149"/>
      <c r="CL36" s="147"/>
      <c r="CM36" s="148"/>
      <c r="CN36" s="148"/>
      <c r="CO36" s="149"/>
      <c r="CP36" s="147"/>
      <c r="CQ36" s="148"/>
      <c r="CR36" s="149"/>
      <c r="CS36" s="147"/>
      <c r="CT36" s="148"/>
      <c r="CU36" s="148"/>
      <c r="CV36" s="148"/>
      <c r="CW36" s="148"/>
      <c r="CX36" s="148"/>
      <c r="CY36" s="147"/>
      <c r="CZ36" s="148"/>
      <c r="DA36" s="148"/>
      <c r="DB36" s="148"/>
      <c r="DC36" s="148"/>
      <c r="DD36" s="148"/>
      <c r="DE36" s="148"/>
      <c r="DF36" s="148"/>
      <c r="DG36" s="149"/>
      <c r="DH36" s="147"/>
      <c r="DI36" s="148"/>
      <c r="DJ36" s="148"/>
      <c r="DK36" s="148"/>
      <c r="DL36" s="148"/>
      <c r="DM36" s="148"/>
      <c r="DN36" s="148"/>
      <c r="DO36" s="148"/>
      <c r="DP36" s="148"/>
      <c r="DQ36" s="147"/>
      <c r="DR36" s="148"/>
      <c r="DS36" s="148"/>
      <c r="DT36" s="148"/>
      <c r="DU36" s="148"/>
      <c r="DV36" s="148"/>
      <c r="DW36" s="148"/>
      <c r="DX36" s="148"/>
      <c r="DY36" s="148"/>
      <c r="DZ36" s="148"/>
      <c r="EA36" s="148"/>
      <c r="EB36" s="148"/>
      <c r="EC36" s="148"/>
      <c r="ED36" s="148"/>
      <c r="EE36" s="149"/>
      <c r="EF36" s="147"/>
      <c r="EG36" s="148"/>
      <c r="EH36" s="148"/>
      <c r="EI36" s="147"/>
      <c r="EJ36" s="148"/>
      <c r="EK36" s="149"/>
      <c r="EL36" s="147"/>
      <c r="EM36" s="148"/>
      <c r="EN36" s="148"/>
      <c r="EO36" s="149"/>
      <c r="EP36" s="147"/>
      <c r="EQ36" s="149"/>
      <c r="ER36" s="147"/>
      <c r="ES36" s="149"/>
      <c r="ET36" s="147"/>
      <c r="EU36" s="149"/>
    </row>
    <row r="37" spans="1:151">
      <c r="A37" s="83" t="s">
        <v>319</v>
      </c>
      <c r="B37" s="173" t="s">
        <v>83</v>
      </c>
      <c r="C37" s="173" t="s">
        <v>497</v>
      </c>
      <c r="D37" s="83" t="s">
        <v>74</v>
      </c>
      <c r="F37" s="49" t="s">
        <v>286</v>
      </c>
      <c r="G37" s="60">
        <v>-5.7161666666666662</v>
      </c>
      <c r="H37" s="49">
        <v>3292</v>
      </c>
      <c r="I37" s="49">
        <v>6715</v>
      </c>
      <c r="J37" s="159">
        <v>2.5225394440270472</v>
      </c>
      <c r="K37" s="49">
        <v>1</v>
      </c>
      <c r="L37" s="49">
        <v>2</v>
      </c>
      <c r="M37" s="83">
        <v>0</v>
      </c>
      <c r="N37" s="49">
        <v>0</v>
      </c>
      <c r="O37" s="49">
        <v>1</v>
      </c>
      <c r="P37" s="49">
        <v>1</v>
      </c>
      <c r="Q37" s="58">
        <v>0</v>
      </c>
      <c r="R37" s="42">
        <v>2</v>
      </c>
      <c r="S37" s="83">
        <v>1</v>
      </c>
      <c r="U37" s="83">
        <v>2</v>
      </c>
      <c r="V37" s="49">
        <v>3</v>
      </c>
      <c r="W37" s="49">
        <v>3</v>
      </c>
      <c r="X37" s="58"/>
      <c r="Y37" s="83">
        <v>2</v>
      </c>
      <c r="Z37" s="49">
        <v>30</v>
      </c>
      <c r="AA37" s="49">
        <v>80</v>
      </c>
      <c r="AD37" s="49">
        <v>190</v>
      </c>
      <c r="AE37" s="49">
        <v>980</v>
      </c>
      <c r="AF37" s="49">
        <v>110</v>
      </c>
      <c r="AG37" s="49">
        <v>250</v>
      </c>
      <c r="AI37" s="49">
        <v>140</v>
      </c>
      <c r="AJ37" s="49">
        <v>0</v>
      </c>
      <c r="AK37" s="83">
        <v>0</v>
      </c>
      <c r="AL37" s="49">
        <v>1</v>
      </c>
      <c r="AM37" s="49">
        <v>0</v>
      </c>
      <c r="AN37" s="49">
        <v>0</v>
      </c>
      <c r="AO37" s="58">
        <v>0</v>
      </c>
      <c r="AP37" s="174">
        <v>450</v>
      </c>
      <c r="AQ37" s="175">
        <v>1153</v>
      </c>
      <c r="AR37" s="175" t="s">
        <v>284</v>
      </c>
      <c r="AS37" s="175" t="s">
        <v>284</v>
      </c>
      <c r="AT37" s="175" t="s">
        <v>284</v>
      </c>
      <c r="AU37" s="175" t="s">
        <v>284</v>
      </c>
      <c r="AV37" s="175" t="s">
        <v>284</v>
      </c>
      <c r="AW37" s="175" t="s">
        <v>284</v>
      </c>
      <c r="AX37" s="83">
        <v>0</v>
      </c>
      <c r="AY37" s="49">
        <v>0</v>
      </c>
      <c r="AZ37" s="49">
        <v>0</v>
      </c>
      <c r="BA37" s="49">
        <v>0</v>
      </c>
      <c r="BB37" s="58">
        <v>0</v>
      </c>
      <c r="BC37" s="42">
        <v>100</v>
      </c>
      <c r="BD37" s="49">
        <v>80.72</v>
      </c>
      <c r="BS37" s="58"/>
      <c r="BT37" s="83">
        <v>79.36</v>
      </c>
      <c r="BU37" s="49">
        <v>77.709999999999994</v>
      </c>
      <c r="CE37" s="83">
        <v>78.25</v>
      </c>
      <c r="CK37" s="58"/>
      <c r="CL37" s="83"/>
      <c r="CO37" s="58"/>
      <c r="CP37" s="83">
        <v>62.76</v>
      </c>
      <c r="CR37" s="58"/>
      <c r="CS37" s="83"/>
      <c r="CY37" s="83"/>
      <c r="DG37" s="58"/>
      <c r="DH37" s="83"/>
      <c r="DQ37" s="83"/>
      <c r="EE37" s="58"/>
      <c r="EF37" s="83"/>
      <c r="EI37" s="83"/>
      <c r="EK37" s="58"/>
      <c r="EL37" s="83"/>
      <c r="EO37" s="58"/>
      <c r="EP37" s="83"/>
      <c r="EQ37" s="58"/>
      <c r="ER37" s="83"/>
      <c r="ES37" s="58"/>
      <c r="ET37" s="83"/>
      <c r="EU37" s="58"/>
    </row>
    <row r="38" spans="1:151">
      <c r="A38" s="83" t="s">
        <v>319</v>
      </c>
      <c r="B38" s="173" t="s">
        <v>83</v>
      </c>
      <c r="C38" s="173" t="s">
        <v>497</v>
      </c>
      <c r="D38" s="83" t="s">
        <v>76</v>
      </c>
      <c r="F38" s="49" t="s">
        <v>286</v>
      </c>
      <c r="G38" s="60">
        <v>-5.7161666666666662</v>
      </c>
      <c r="H38" s="49">
        <v>3292</v>
      </c>
      <c r="I38" s="49">
        <v>2720</v>
      </c>
      <c r="J38" s="159">
        <v>1.6415208207604104</v>
      </c>
      <c r="K38" s="49">
        <v>1</v>
      </c>
      <c r="L38" s="49">
        <v>2</v>
      </c>
      <c r="M38" s="83">
        <v>0</v>
      </c>
      <c r="N38" s="49">
        <v>2</v>
      </c>
      <c r="O38" s="49">
        <v>0</v>
      </c>
      <c r="P38" s="49">
        <v>0</v>
      </c>
      <c r="Q38" s="58">
        <v>0</v>
      </c>
      <c r="R38" s="42">
        <v>2</v>
      </c>
      <c r="S38" s="83">
        <v>1</v>
      </c>
      <c r="U38" s="83">
        <v>0</v>
      </c>
      <c r="V38" s="49">
        <v>0</v>
      </c>
      <c r="W38" s="49">
        <v>0</v>
      </c>
      <c r="X38" s="58"/>
      <c r="Y38" s="83">
        <v>10</v>
      </c>
      <c r="AE38" s="49">
        <v>190</v>
      </c>
      <c r="AF38" s="49">
        <v>50</v>
      </c>
      <c r="AG38" s="49">
        <v>150</v>
      </c>
      <c r="AH38" s="49">
        <v>580</v>
      </c>
      <c r="AI38" s="49">
        <v>800</v>
      </c>
      <c r="AJ38" s="49">
        <v>0</v>
      </c>
      <c r="AK38" s="83">
        <v>0</v>
      </c>
      <c r="AL38" s="49">
        <v>1</v>
      </c>
      <c r="AM38" s="49">
        <v>0</v>
      </c>
      <c r="AN38" s="49">
        <v>0</v>
      </c>
      <c r="AO38" s="58">
        <v>0</v>
      </c>
      <c r="AP38" s="174">
        <v>239</v>
      </c>
      <c r="AQ38" s="175">
        <v>969</v>
      </c>
      <c r="AR38" s="175" t="s">
        <v>284</v>
      </c>
      <c r="AS38" s="175" t="s">
        <v>284</v>
      </c>
      <c r="AT38" s="175" t="s">
        <v>284</v>
      </c>
      <c r="AU38" s="175" t="s">
        <v>284</v>
      </c>
      <c r="AV38" s="175" t="s">
        <v>284</v>
      </c>
      <c r="AW38" s="175" t="s">
        <v>284</v>
      </c>
      <c r="AX38" s="83">
        <v>0</v>
      </c>
      <c r="AY38" s="49">
        <v>0</v>
      </c>
      <c r="AZ38" s="49">
        <v>0</v>
      </c>
      <c r="BA38" s="49">
        <v>0</v>
      </c>
      <c r="BB38" s="58">
        <v>0</v>
      </c>
      <c r="BC38" s="42">
        <v>124</v>
      </c>
      <c r="BS38" s="58"/>
      <c r="BT38" s="83">
        <v>78.8</v>
      </c>
      <c r="CE38" s="83"/>
      <c r="CK38" s="58"/>
      <c r="CL38" s="83">
        <v>64.23</v>
      </c>
      <c r="CO38" s="58"/>
      <c r="CP38" s="83">
        <v>62.83</v>
      </c>
      <c r="CR38" s="58"/>
      <c r="CS38" s="83"/>
      <c r="CY38" s="83">
        <v>82.7</v>
      </c>
      <c r="CZ38" s="49">
        <v>81.489999999999995</v>
      </c>
      <c r="DG38" s="58"/>
      <c r="DH38" s="83"/>
      <c r="DQ38" s="83"/>
      <c r="EE38" s="58"/>
      <c r="EF38" s="83"/>
      <c r="EI38" s="83"/>
      <c r="EK38" s="58"/>
      <c r="EL38" s="83"/>
      <c r="EO38" s="58"/>
      <c r="EP38" s="83"/>
      <c r="EQ38" s="58"/>
      <c r="ER38" s="83"/>
      <c r="ES38" s="58"/>
      <c r="ET38" s="83"/>
      <c r="EU38" s="58"/>
    </row>
    <row r="39" spans="1:151" ht="15" customHeight="1">
      <c r="A39" s="83" t="s">
        <v>319</v>
      </c>
      <c r="B39" s="173" t="s">
        <v>83</v>
      </c>
      <c r="C39" s="173" t="s">
        <v>497</v>
      </c>
      <c r="D39" s="83" t="s">
        <v>73</v>
      </c>
      <c r="F39" s="49" t="s">
        <v>286</v>
      </c>
      <c r="G39" s="60">
        <v>-5.7161666666666662</v>
      </c>
      <c r="H39" s="49">
        <v>3292</v>
      </c>
      <c r="I39" s="49">
        <v>2840</v>
      </c>
      <c r="J39" s="159">
        <v>1.0479704797047971</v>
      </c>
      <c r="K39" s="49">
        <v>1</v>
      </c>
      <c r="L39" s="49">
        <v>2</v>
      </c>
      <c r="M39" s="83">
        <v>0</v>
      </c>
      <c r="N39" s="49">
        <v>0</v>
      </c>
      <c r="O39" s="49">
        <v>0</v>
      </c>
      <c r="P39" s="49">
        <v>0</v>
      </c>
      <c r="Q39" s="58">
        <v>0</v>
      </c>
      <c r="R39" s="42">
        <v>0</v>
      </c>
      <c r="S39" s="83" t="s">
        <v>284</v>
      </c>
      <c r="U39" s="83">
        <v>1</v>
      </c>
      <c r="V39" s="49">
        <v>1</v>
      </c>
      <c r="W39" s="49">
        <v>2</v>
      </c>
      <c r="X39" s="58"/>
      <c r="Y39" s="83">
        <v>0</v>
      </c>
      <c r="AJ39" s="49">
        <v>0</v>
      </c>
      <c r="AK39" s="83">
        <v>0</v>
      </c>
      <c r="AL39" s="49">
        <v>0</v>
      </c>
      <c r="AM39" s="49">
        <v>0</v>
      </c>
      <c r="AN39" s="49">
        <v>0</v>
      </c>
      <c r="AO39" s="58">
        <v>0</v>
      </c>
      <c r="AP39" s="174" t="s">
        <v>284</v>
      </c>
      <c r="AQ39" s="175" t="s">
        <v>284</v>
      </c>
      <c r="AR39" s="175" t="s">
        <v>284</v>
      </c>
      <c r="AS39" s="175" t="s">
        <v>284</v>
      </c>
      <c r="AT39" s="175" t="s">
        <v>284</v>
      </c>
      <c r="AU39" s="175" t="s">
        <v>284</v>
      </c>
      <c r="AV39" s="175" t="s">
        <v>284</v>
      </c>
      <c r="AW39" s="175" t="s">
        <v>284</v>
      </c>
      <c r="AX39" s="83">
        <v>0</v>
      </c>
      <c r="AY39" s="49">
        <v>0</v>
      </c>
      <c r="AZ39" s="49">
        <v>0</v>
      </c>
      <c r="BA39" s="49">
        <v>0</v>
      </c>
      <c r="BB39" s="58">
        <v>0</v>
      </c>
      <c r="BC39" s="42">
        <v>92</v>
      </c>
      <c r="BD39" s="49">
        <v>81.77</v>
      </c>
      <c r="BE39" s="159">
        <v>82.14</v>
      </c>
      <c r="BS39" s="58"/>
      <c r="BT39" s="83">
        <v>83.29</v>
      </c>
      <c r="CE39" s="83">
        <v>80.7</v>
      </c>
      <c r="CK39" s="58"/>
      <c r="CL39" s="83"/>
      <c r="CO39" s="58"/>
      <c r="CP39" s="83"/>
      <c r="CR39" s="58"/>
      <c r="CS39" s="83"/>
      <c r="CY39" s="83"/>
      <c r="DG39" s="58"/>
      <c r="DH39" s="83"/>
      <c r="DQ39" s="83"/>
      <c r="EE39" s="58"/>
      <c r="EF39" s="83"/>
      <c r="EI39" s="83"/>
      <c r="EK39" s="58"/>
      <c r="EL39" s="83"/>
      <c r="EO39" s="58"/>
      <c r="EP39" s="83"/>
      <c r="EQ39" s="58"/>
      <c r="ER39" s="83"/>
      <c r="ES39" s="58"/>
      <c r="ET39" s="83"/>
      <c r="EU39" s="58"/>
    </row>
    <row r="40" spans="1:151" ht="15" customHeight="1">
      <c r="A40" s="83" t="s">
        <v>319</v>
      </c>
      <c r="B40" s="173" t="s">
        <v>83</v>
      </c>
      <c r="C40" s="173" t="s">
        <v>497</v>
      </c>
      <c r="D40" s="83" t="s">
        <v>81</v>
      </c>
      <c r="F40" s="49" t="s">
        <v>286</v>
      </c>
      <c r="G40" s="60">
        <v>-5.7161666666666662</v>
      </c>
      <c r="H40" s="49">
        <v>3292</v>
      </c>
      <c r="I40" s="49">
        <v>2552</v>
      </c>
      <c r="J40" s="159">
        <v>1.217557251908397</v>
      </c>
      <c r="K40" s="49">
        <v>1</v>
      </c>
      <c r="L40" s="49">
        <v>3</v>
      </c>
      <c r="M40" s="83">
        <v>0</v>
      </c>
      <c r="N40" s="49">
        <v>0</v>
      </c>
      <c r="O40" s="49">
        <v>1</v>
      </c>
      <c r="P40" s="49">
        <v>1</v>
      </c>
      <c r="Q40" s="58"/>
      <c r="R40" s="42">
        <v>2</v>
      </c>
      <c r="S40" s="83">
        <v>1</v>
      </c>
      <c r="U40" s="83">
        <v>2</v>
      </c>
      <c r="V40" s="49">
        <v>3</v>
      </c>
      <c r="W40" s="49">
        <v>3</v>
      </c>
      <c r="X40" s="58"/>
      <c r="Y40" s="83">
        <v>5</v>
      </c>
      <c r="Z40" s="49">
        <v>0</v>
      </c>
      <c r="AA40" s="49">
        <v>0</v>
      </c>
      <c r="AB40" s="49">
        <v>0</v>
      </c>
      <c r="AC40" s="49">
        <v>0</v>
      </c>
      <c r="AD40" s="49">
        <v>11</v>
      </c>
      <c r="AE40" s="49">
        <v>81</v>
      </c>
      <c r="AF40" s="49">
        <v>21</v>
      </c>
      <c r="AG40" s="49">
        <v>212</v>
      </c>
      <c r="AH40" s="49">
        <v>143</v>
      </c>
      <c r="AI40" s="49">
        <v>255</v>
      </c>
      <c r="AK40" s="83">
        <v>0</v>
      </c>
      <c r="AL40" s="49">
        <v>1</v>
      </c>
      <c r="AM40" s="49">
        <v>0</v>
      </c>
      <c r="AN40" s="49">
        <v>0</v>
      </c>
      <c r="AO40" s="58">
        <v>0</v>
      </c>
      <c r="AP40" s="174">
        <v>1174</v>
      </c>
      <c r="AQ40" s="175">
        <v>1404</v>
      </c>
      <c r="AR40" s="175">
        <v>0</v>
      </c>
      <c r="AS40" s="175">
        <v>0</v>
      </c>
      <c r="AT40" s="175">
        <v>0</v>
      </c>
      <c r="AU40" s="175">
        <v>0</v>
      </c>
      <c r="AV40" s="175" t="s">
        <v>284</v>
      </c>
      <c r="AW40" s="175" t="s">
        <v>284</v>
      </c>
      <c r="AX40" s="83">
        <v>0</v>
      </c>
      <c r="AY40" s="49">
        <v>0</v>
      </c>
      <c r="AZ40" s="49">
        <v>0</v>
      </c>
      <c r="BA40" s="49">
        <v>0</v>
      </c>
      <c r="BB40" s="58">
        <v>0</v>
      </c>
      <c r="BC40" s="42">
        <v>172</v>
      </c>
      <c r="BS40" s="58"/>
      <c r="BT40" s="83"/>
      <c r="CE40" s="83"/>
      <c r="CK40" s="58"/>
      <c r="CL40" s="83"/>
      <c r="CO40" s="58"/>
      <c r="CP40" s="83"/>
      <c r="CR40" s="58"/>
      <c r="CS40" s="83"/>
      <c r="CY40" s="83"/>
      <c r="DG40" s="58"/>
      <c r="DH40" s="83"/>
      <c r="DQ40" s="83"/>
      <c r="EE40" s="58"/>
      <c r="EF40" s="83"/>
      <c r="EI40" s="83"/>
      <c r="EK40" s="58"/>
      <c r="EL40" s="83"/>
      <c r="EO40" s="58"/>
      <c r="EP40" s="83"/>
      <c r="EQ40" s="58"/>
      <c r="ER40" s="83"/>
      <c r="ES40" s="58"/>
      <c r="ET40" s="83"/>
      <c r="EU40" s="58"/>
    </row>
    <row r="41" spans="1:151" ht="14" customHeight="1">
      <c r="A41" s="83" t="s">
        <v>319</v>
      </c>
      <c r="B41" s="173" t="s">
        <v>83</v>
      </c>
      <c r="C41" s="173" t="s">
        <v>497</v>
      </c>
      <c r="D41" s="83" t="s">
        <v>67</v>
      </c>
      <c r="F41" s="49" t="s">
        <v>286</v>
      </c>
      <c r="G41" s="60">
        <v>-5.7161666666666662</v>
      </c>
      <c r="H41" s="49">
        <v>3292</v>
      </c>
      <c r="I41" s="49">
        <v>2020</v>
      </c>
      <c r="J41" s="159">
        <v>1.1160220994475138</v>
      </c>
      <c r="K41" s="49">
        <v>4</v>
      </c>
      <c r="L41" s="49">
        <v>3</v>
      </c>
      <c r="M41" s="83">
        <v>0</v>
      </c>
      <c r="N41" s="49">
        <v>2</v>
      </c>
      <c r="O41" s="49">
        <v>0</v>
      </c>
      <c r="P41" s="49">
        <v>0</v>
      </c>
      <c r="Q41" s="58">
        <v>0</v>
      </c>
      <c r="R41" s="42">
        <v>2</v>
      </c>
      <c r="S41" s="83" t="s">
        <v>284</v>
      </c>
      <c r="U41" s="83">
        <v>1</v>
      </c>
      <c r="V41" s="49">
        <v>3</v>
      </c>
      <c r="W41" s="49">
        <v>2</v>
      </c>
      <c r="X41" s="58"/>
      <c r="Y41" s="83">
        <v>40</v>
      </c>
      <c r="Z41" s="49">
        <v>10</v>
      </c>
      <c r="AA41" s="49">
        <v>50</v>
      </c>
      <c r="AD41" s="49">
        <v>60</v>
      </c>
      <c r="AE41" s="49">
        <v>240</v>
      </c>
      <c r="AF41" s="49">
        <v>40</v>
      </c>
      <c r="AG41" s="49">
        <v>90</v>
      </c>
      <c r="AH41" s="49">
        <v>160</v>
      </c>
      <c r="AI41" s="49">
        <v>570</v>
      </c>
      <c r="AJ41" s="49">
        <v>0</v>
      </c>
      <c r="AK41" s="83">
        <v>0</v>
      </c>
      <c r="AL41" s="49">
        <v>0</v>
      </c>
      <c r="AM41" s="49">
        <v>0</v>
      </c>
      <c r="AN41" s="49">
        <v>0</v>
      </c>
      <c r="AO41" s="58">
        <v>0</v>
      </c>
      <c r="AP41" s="174" t="s">
        <v>284</v>
      </c>
      <c r="AQ41" s="175" t="s">
        <v>284</v>
      </c>
      <c r="AR41" s="175" t="s">
        <v>284</v>
      </c>
      <c r="AS41" s="175" t="s">
        <v>284</v>
      </c>
      <c r="AT41" s="175" t="s">
        <v>284</v>
      </c>
      <c r="AU41" s="175" t="s">
        <v>284</v>
      </c>
      <c r="AV41" s="175" t="s">
        <v>284</v>
      </c>
      <c r="AW41" s="175" t="s">
        <v>284</v>
      </c>
      <c r="AX41" s="83">
        <v>0</v>
      </c>
      <c r="AY41" s="49">
        <v>0</v>
      </c>
      <c r="AZ41" s="49">
        <v>0</v>
      </c>
      <c r="BA41" s="49">
        <v>0</v>
      </c>
      <c r="BB41" s="58">
        <v>0</v>
      </c>
      <c r="BC41" s="42">
        <v>122</v>
      </c>
      <c r="BS41" s="58"/>
      <c r="BT41" s="83">
        <v>79.64</v>
      </c>
      <c r="BU41" s="49">
        <v>81.03</v>
      </c>
      <c r="BV41" s="49">
        <v>80.36</v>
      </c>
      <c r="CE41" s="83"/>
      <c r="CK41" s="58"/>
      <c r="CL41" s="83"/>
      <c r="CO41" s="58"/>
      <c r="CP41" s="83">
        <v>65.12</v>
      </c>
      <c r="CR41" s="58"/>
      <c r="CS41" s="83"/>
      <c r="CY41" s="83">
        <v>79.819999999999993</v>
      </c>
      <c r="CZ41" s="49">
        <v>80.31</v>
      </c>
      <c r="DA41" s="49">
        <v>78.64</v>
      </c>
      <c r="DG41" s="58"/>
      <c r="DH41" s="83"/>
      <c r="DQ41" s="83"/>
      <c r="EE41" s="58"/>
      <c r="EF41" s="83"/>
      <c r="EI41" s="83"/>
      <c r="EK41" s="58"/>
      <c r="EL41" s="83"/>
      <c r="EO41" s="58"/>
      <c r="EP41" s="83"/>
      <c r="EQ41" s="58"/>
      <c r="ER41" s="83"/>
      <c r="ES41" s="58"/>
      <c r="ET41" s="83"/>
      <c r="EU41" s="58"/>
    </row>
    <row r="42" spans="1:151">
      <c r="A42" s="83" t="s">
        <v>319</v>
      </c>
      <c r="B42" s="173" t="s">
        <v>83</v>
      </c>
      <c r="C42" s="173" t="s">
        <v>497</v>
      </c>
      <c r="D42" s="83" t="s">
        <v>68</v>
      </c>
      <c r="F42" s="49" t="s">
        <v>286</v>
      </c>
      <c r="G42" s="60">
        <v>-5.7161666666666662</v>
      </c>
      <c r="H42" s="49">
        <v>3292</v>
      </c>
      <c r="I42" s="49">
        <v>7960</v>
      </c>
      <c r="J42" s="159">
        <v>1.5669291338582678</v>
      </c>
      <c r="K42" s="49">
        <v>1</v>
      </c>
      <c r="L42" s="49">
        <v>2</v>
      </c>
      <c r="M42" s="83">
        <v>0</v>
      </c>
      <c r="N42" s="49">
        <v>0</v>
      </c>
      <c r="O42" s="49">
        <v>1</v>
      </c>
      <c r="P42" s="49">
        <v>1</v>
      </c>
      <c r="Q42" s="58">
        <v>0</v>
      </c>
      <c r="R42" s="42">
        <v>2</v>
      </c>
      <c r="S42" s="83" t="s">
        <v>284</v>
      </c>
      <c r="U42" s="83">
        <v>3</v>
      </c>
      <c r="V42" s="49">
        <v>2</v>
      </c>
      <c r="W42" s="49">
        <v>3</v>
      </c>
      <c r="X42" s="58"/>
      <c r="Y42" s="83">
        <v>1</v>
      </c>
      <c r="Z42" s="49">
        <v>10</v>
      </c>
      <c r="AA42" s="49">
        <v>90</v>
      </c>
      <c r="AD42" s="49">
        <v>50</v>
      </c>
      <c r="AE42" s="49">
        <v>280</v>
      </c>
      <c r="AF42" s="49">
        <v>30</v>
      </c>
      <c r="AG42" s="49">
        <v>160</v>
      </c>
      <c r="AJ42" s="49">
        <v>0</v>
      </c>
      <c r="AK42" s="83">
        <v>0</v>
      </c>
      <c r="AL42" s="49">
        <v>0</v>
      </c>
      <c r="AM42" s="49">
        <v>1</v>
      </c>
      <c r="AN42" s="49">
        <v>0</v>
      </c>
      <c r="AO42" s="58">
        <v>0</v>
      </c>
      <c r="AP42" s="174">
        <v>0</v>
      </c>
      <c r="AQ42" s="175">
        <v>0</v>
      </c>
      <c r="AR42" s="175">
        <v>746</v>
      </c>
      <c r="AS42" s="175">
        <v>1341</v>
      </c>
      <c r="AT42" s="175">
        <v>0</v>
      </c>
      <c r="AU42" s="175">
        <v>0</v>
      </c>
      <c r="AV42" s="175">
        <v>0</v>
      </c>
      <c r="AW42" s="175">
        <v>0</v>
      </c>
      <c r="AX42" s="83">
        <v>0</v>
      </c>
      <c r="AY42" s="49">
        <v>0</v>
      </c>
      <c r="AZ42" s="49">
        <v>0</v>
      </c>
      <c r="BA42" s="49">
        <v>0</v>
      </c>
      <c r="BB42" s="58">
        <v>0</v>
      </c>
      <c r="BC42" s="42">
        <v>112</v>
      </c>
      <c r="BS42" s="58"/>
      <c r="BT42" s="83">
        <v>80.209999999999994</v>
      </c>
      <c r="BU42" s="49">
        <v>78.52</v>
      </c>
      <c r="CE42" s="83"/>
      <c r="CK42" s="58"/>
      <c r="CL42" s="83">
        <v>75.78</v>
      </c>
      <c r="CO42" s="58"/>
      <c r="CP42" s="83"/>
      <c r="CR42" s="58"/>
      <c r="CS42" s="83"/>
      <c r="CY42" s="83"/>
      <c r="DG42" s="58"/>
      <c r="DH42" s="83"/>
      <c r="DQ42" s="83"/>
      <c r="EE42" s="58"/>
      <c r="EF42" s="83"/>
      <c r="EI42" s="83"/>
      <c r="EK42" s="58"/>
      <c r="EL42" s="83"/>
      <c r="EO42" s="58"/>
      <c r="EP42" s="83"/>
      <c r="EQ42" s="58"/>
      <c r="ER42" s="83"/>
      <c r="ES42" s="58"/>
      <c r="ET42" s="83"/>
      <c r="EU42" s="58"/>
    </row>
    <row r="43" spans="1:151">
      <c r="A43" s="83" t="s">
        <v>319</v>
      </c>
      <c r="B43" s="173" t="s">
        <v>83</v>
      </c>
      <c r="C43" s="173" t="s">
        <v>497</v>
      </c>
      <c r="D43" s="83" t="s">
        <v>69</v>
      </c>
      <c r="F43" s="49" t="s">
        <v>286</v>
      </c>
      <c r="G43" s="60">
        <v>-5.7161666666666662</v>
      </c>
      <c r="H43" s="49">
        <v>3292</v>
      </c>
      <c r="I43" s="49">
        <v>3630</v>
      </c>
      <c r="J43" s="159">
        <v>1.1523809523809523</v>
      </c>
      <c r="K43" s="49">
        <v>4</v>
      </c>
      <c r="L43" s="49">
        <v>3</v>
      </c>
      <c r="M43" s="83">
        <v>0</v>
      </c>
      <c r="N43" s="49">
        <v>0</v>
      </c>
      <c r="O43" s="49">
        <v>0</v>
      </c>
      <c r="P43" s="49">
        <v>0</v>
      </c>
      <c r="Q43" s="58">
        <v>0</v>
      </c>
      <c r="R43" s="42">
        <v>0</v>
      </c>
      <c r="S43" s="83" t="s">
        <v>283</v>
      </c>
      <c r="T43" s="49">
        <v>28</v>
      </c>
      <c r="U43" s="83">
        <v>1</v>
      </c>
      <c r="V43" s="49">
        <v>3</v>
      </c>
      <c r="W43" s="49">
        <v>2</v>
      </c>
      <c r="X43" s="58"/>
      <c r="Y43" s="83">
        <v>10</v>
      </c>
      <c r="Z43" s="49">
        <v>10</v>
      </c>
      <c r="AA43" s="49">
        <v>70</v>
      </c>
      <c r="AD43" s="49">
        <v>70</v>
      </c>
      <c r="AE43" s="49">
        <v>240</v>
      </c>
      <c r="AF43" s="49">
        <v>30</v>
      </c>
      <c r="AG43" s="49">
        <v>660</v>
      </c>
      <c r="AH43" s="49">
        <v>220</v>
      </c>
      <c r="AI43" s="49">
        <v>400</v>
      </c>
      <c r="AJ43" s="49">
        <v>0</v>
      </c>
      <c r="AK43" s="83">
        <v>0</v>
      </c>
      <c r="AL43" s="49">
        <v>0</v>
      </c>
      <c r="AM43" s="49">
        <v>0</v>
      </c>
      <c r="AN43" s="49">
        <v>0</v>
      </c>
      <c r="AO43" s="58">
        <v>0</v>
      </c>
      <c r="AP43" s="174" t="s">
        <v>284</v>
      </c>
      <c r="AQ43" s="175" t="s">
        <v>284</v>
      </c>
      <c r="AR43" s="175" t="s">
        <v>284</v>
      </c>
      <c r="AS43" s="175" t="s">
        <v>284</v>
      </c>
      <c r="AT43" s="175" t="s">
        <v>284</v>
      </c>
      <c r="AU43" s="175" t="s">
        <v>284</v>
      </c>
      <c r="AV43" s="175" t="s">
        <v>284</v>
      </c>
      <c r="AW43" s="175" t="s">
        <v>284</v>
      </c>
      <c r="AX43" s="83">
        <v>0</v>
      </c>
      <c r="AY43" s="49">
        <v>0</v>
      </c>
      <c r="AZ43" s="49">
        <v>0</v>
      </c>
      <c r="BA43" s="49">
        <v>0</v>
      </c>
      <c r="BB43" s="58">
        <v>0</v>
      </c>
      <c r="BC43" s="42">
        <v>82</v>
      </c>
      <c r="BD43" s="49">
        <v>83.59</v>
      </c>
      <c r="BE43" s="159">
        <v>83.37</v>
      </c>
      <c r="BF43" s="49">
        <v>83.23</v>
      </c>
      <c r="BS43" s="58"/>
      <c r="BT43" s="83">
        <v>84.28</v>
      </c>
      <c r="CE43" s="83">
        <v>79.59</v>
      </c>
      <c r="CK43" s="58"/>
      <c r="CL43" s="83">
        <v>67.91</v>
      </c>
      <c r="CO43" s="58"/>
      <c r="CP43" s="83"/>
      <c r="CR43" s="58"/>
      <c r="CS43" s="83"/>
      <c r="CY43" s="83"/>
      <c r="DG43" s="58"/>
      <c r="DH43" s="83"/>
      <c r="DQ43" s="83"/>
      <c r="EE43" s="58"/>
      <c r="EF43" s="83"/>
      <c r="EI43" s="83"/>
      <c r="EK43" s="58"/>
      <c r="EL43" s="83"/>
      <c r="EO43" s="58"/>
      <c r="EP43" s="83"/>
      <c r="EQ43" s="58"/>
      <c r="ER43" s="83"/>
      <c r="ES43" s="58"/>
      <c r="ET43" s="83"/>
      <c r="EU43" s="58"/>
    </row>
    <row r="44" spans="1:151" ht="17" thickBot="1">
      <c r="A44" s="83" t="s">
        <v>319</v>
      </c>
      <c r="B44" s="47" t="s">
        <v>83</v>
      </c>
      <c r="C44" s="47" t="s">
        <v>497</v>
      </c>
      <c r="D44" s="84" t="s">
        <v>75</v>
      </c>
      <c r="E44" s="57"/>
      <c r="F44" s="57" t="s">
        <v>286</v>
      </c>
      <c r="G44" s="74">
        <v>-5.7161666666666662</v>
      </c>
      <c r="H44" s="57">
        <v>3292</v>
      </c>
      <c r="I44" s="57">
        <v>2830</v>
      </c>
      <c r="J44" s="75">
        <v>14.15</v>
      </c>
      <c r="K44" s="57">
        <v>2</v>
      </c>
      <c r="L44" s="57">
        <v>2</v>
      </c>
      <c r="M44" s="84">
        <v>0</v>
      </c>
      <c r="N44" s="57">
        <v>0</v>
      </c>
      <c r="O44" s="57">
        <v>0</v>
      </c>
      <c r="P44" s="57">
        <v>1</v>
      </c>
      <c r="Q44" s="56">
        <v>0</v>
      </c>
      <c r="R44" s="55">
        <v>1</v>
      </c>
      <c r="S44" s="84">
        <v>1</v>
      </c>
      <c r="T44" s="57"/>
      <c r="U44" s="84">
        <v>0</v>
      </c>
      <c r="V44" s="57">
        <v>0</v>
      </c>
      <c r="W44" s="57">
        <v>0</v>
      </c>
      <c r="X44" s="56"/>
      <c r="Y44" s="84">
        <v>5</v>
      </c>
      <c r="Z44" s="57"/>
      <c r="AA44" s="57"/>
      <c r="AB44" s="57"/>
      <c r="AC44" s="57"/>
      <c r="AD44" s="57"/>
      <c r="AE44" s="57"/>
      <c r="AF44" s="57">
        <v>40</v>
      </c>
      <c r="AG44" s="57">
        <v>280</v>
      </c>
      <c r="AH44" s="57"/>
      <c r="AI44" s="57"/>
      <c r="AJ44" s="57">
        <v>0</v>
      </c>
      <c r="AK44" s="84">
        <v>0</v>
      </c>
      <c r="AL44" s="57">
        <v>0</v>
      </c>
      <c r="AM44" s="57">
        <v>0</v>
      </c>
      <c r="AN44" s="57">
        <v>0</v>
      </c>
      <c r="AO44" s="56">
        <v>0</v>
      </c>
      <c r="AP44" s="178" t="s">
        <v>284</v>
      </c>
      <c r="AQ44" s="179" t="s">
        <v>284</v>
      </c>
      <c r="AR44" s="179" t="s">
        <v>284</v>
      </c>
      <c r="AS44" s="179" t="s">
        <v>284</v>
      </c>
      <c r="AT44" s="179" t="s">
        <v>284</v>
      </c>
      <c r="AU44" s="179" t="s">
        <v>284</v>
      </c>
      <c r="AV44" s="179" t="s">
        <v>284</v>
      </c>
      <c r="AW44" s="179" t="s">
        <v>284</v>
      </c>
      <c r="AX44" s="84">
        <v>0</v>
      </c>
      <c r="AY44" s="57">
        <v>0</v>
      </c>
      <c r="AZ44" s="57">
        <v>0</v>
      </c>
      <c r="BA44" s="57">
        <v>0</v>
      </c>
      <c r="BB44" s="56">
        <v>0</v>
      </c>
      <c r="BC44" s="55">
        <v>118</v>
      </c>
      <c r="BD44" s="57">
        <v>72.08</v>
      </c>
      <c r="BE44" s="75"/>
      <c r="BF44" s="57"/>
      <c r="BG44" s="57"/>
      <c r="BH44" s="57"/>
      <c r="BI44" s="57"/>
      <c r="BJ44" s="57"/>
      <c r="BK44" s="57"/>
      <c r="BL44" s="57"/>
      <c r="BM44" s="57"/>
      <c r="BN44" s="57"/>
      <c r="BO44" s="57"/>
      <c r="BP44" s="57"/>
      <c r="BQ44" s="57"/>
      <c r="BR44" s="57"/>
      <c r="BS44" s="56"/>
      <c r="BT44" s="84">
        <v>74.87</v>
      </c>
      <c r="BU44" s="57">
        <v>72.78</v>
      </c>
      <c r="BV44" s="57"/>
      <c r="BW44" s="57"/>
      <c r="BX44" s="57"/>
      <c r="BY44" s="57"/>
      <c r="BZ44" s="57"/>
      <c r="CA44" s="57"/>
      <c r="CB44" s="57"/>
      <c r="CC44" s="57"/>
      <c r="CD44" s="57"/>
      <c r="CE44" s="84"/>
      <c r="CF44" s="57"/>
      <c r="CG44" s="57"/>
      <c r="CH44" s="57"/>
      <c r="CI44" s="57"/>
      <c r="CJ44" s="57"/>
      <c r="CK44" s="56"/>
      <c r="CL44" s="84"/>
      <c r="CM44" s="57"/>
      <c r="CN44" s="57"/>
      <c r="CO44" s="56"/>
      <c r="CP44" s="84"/>
      <c r="CQ44" s="57"/>
      <c r="CR44" s="56"/>
      <c r="CS44" s="84"/>
      <c r="CT44" s="57"/>
      <c r="CU44" s="57"/>
      <c r="CV44" s="57"/>
      <c r="CW44" s="57"/>
      <c r="CX44" s="57"/>
      <c r="CY44" s="84"/>
      <c r="CZ44" s="57"/>
      <c r="DA44" s="57"/>
      <c r="DB44" s="57"/>
      <c r="DC44" s="57"/>
      <c r="DD44" s="57"/>
      <c r="DE44" s="57"/>
      <c r="DF44" s="57"/>
      <c r="DG44" s="56"/>
      <c r="DH44" s="84"/>
      <c r="DI44" s="57"/>
      <c r="DJ44" s="57"/>
      <c r="DK44" s="57"/>
      <c r="DL44" s="57"/>
      <c r="DM44" s="57"/>
      <c r="DN44" s="57"/>
      <c r="DO44" s="57"/>
      <c r="DP44" s="57"/>
      <c r="DQ44" s="84">
        <v>78.150000000000006</v>
      </c>
      <c r="DR44" s="57"/>
      <c r="DS44" s="57"/>
      <c r="DT44" s="57"/>
      <c r="DU44" s="57"/>
      <c r="DV44" s="57"/>
      <c r="DW44" s="57"/>
      <c r="DX44" s="57"/>
      <c r="DY44" s="57"/>
      <c r="DZ44" s="57"/>
      <c r="EA44" s="57"/>
      <c r="EB44" s="57"/>
      <c r="EC44" s="57"/>
      <c r="ED44" s="57"/>
      <c r="EE44" s="56"/>
      <c r="EF44" s="84"/>
      <c r="EG44" s="57"/>
      <c r="EH44" s="57"/>
      <c r="EI44" s="84"/>
      <c r="EJ44" s="57"/>
      <c r="EK44" s="56"/>
      <c r="EL44" s="84"/>
      <c r="EM44" s="57"/>
      <c r="EN44" s="57"/>
      <c r="EO44" s="56"/>
      <c r="EP44" s="84"/>
      <c r="EQ44" s="56"/>
      <c r="ER44" s="84"/>
      <c r="ES44" s="56"/>
      <c r="ET44" s="84"/>
      <c r="EU44" s="56"/>
    </row>
    <row r="45" spans="1:151">
      <c r="A45" s="87" t="s">
        <v>319</v>
      </c>
      <c r="B45" s="7" t="s">
        <v>84</v>
      </c>
      <c r="C45" s="7" t="s">
        <v>498</v>
      </c>
      <c r="D45" s="147" t="s">
        <v>64</v>
      </c>
      <c r="E45" s="148"/>
      <c r="F45" s="148" t="s">
        <v>286</v>
      </c>
      <c r="G45" s="73">
        <v>-4.4379999999999997</v>
      </c>
      <c r="H45" s="148">
        <v>3249</v>
      </c>
      <c r="I45" s="148">
        <v>3090</v>
      </c>
      <c r="J45" s="158">
        <v>1.7861271676300579</v>
      </c>
      <c r="K45" s="148">
        <v>1</v>
      </c>
      <c r="L45" s="148">
        <v>3</v>
      </c>
      <c r="M45" s="147">
        <v>0</v>
      </c>
      <c r="N45" s="148">
        <v>5</v>
      </c>
      <c r="O45" s="148">
        <v>0</v>
      </c>
      <c r="P45" s="148">
        <v>0</v>
      </c>
      <c r="Q45" s="149">
        <v>0</v>
      </c>
      <c r="R45" s="87">
        <v>5</v>
      </c>
      <c r="S45" s="147" t="s">
        <v>283</v>
      </c>
      <c r="T45" s="148">
        <v>34</v>
      </c>
      <c r="U45" s="147">
        <v>1</v>
      </c>
      <c r="V45" s="148">
        <v>3</v>
      </c>
      <c r="W45" s="148">
        <v>2</v>
      </c>
      <c r="X45" s="149"/>
      <c r="Y45" s="147">
        <v>25</v>
      </c>
      <c r="Z45" s="148">
        <v>10</v>
      </c>
      <c r="AA45" s="148">
        <v>20</v>
      </c>
      <c r="AB45" s="148"/>
      <c r="AC45" s="148"/>
      <c r="AD45" s="148">
        <v>10</v>
      </c>
      <c r="AE45" s="148">
        <v>1610</v>
      </c>
      <c r="AF45" s="148">
        <v>20</v>
      </c>
      <c r="AG45" s="148">
        <v>670</v>
      </c>
      <c r="AH45" s="148">
        <v>60</v>
      </c>
      <c r="AI45" s="148">
        <v>760</v>
      </c>
      <c r="AJ45" s="148">
        <v>0</v>
      </c>
      <c r="AK45" s="147">
        <v>0</v>
      </c>
      <c r="AL45" s="148">
        <v>0</v>
      </c>
      <c r="AM45" s="148">
        <v>0</v>
      </c>
      <c r="AN45" s="148">
        <v>0</v>
      </c>
      <c r="AO45" s="149">
        <v>0</v>
      </c>
      <c r="AP45" s="169" t="s">
        <v>284</v>
      </c>
      <c r="AQ45" s="170" t="s">
        <v>284</v>
      </c>
      <c r="AR45" s="170" t="s">
        <v>284</v>
      </c>
      <c r="AS45" s="170" t="s">
        <v>284</v>
      </c>
      <c r="AT45" s="170" t="s">
        <v>284</v>
      </c>
      <c r="AU45" s="170" t="s">
        <v>284</v>
      </c>
      <c r="AV45" s="170" t="s">
        <v>284</v>
      </c>
      <c r="AW45" s="170" t="s">
        <v>284</v>
      </c>
      <c r="AX45" s="147">
        <v>0</v>
      </c>
      <c r="AY45" s="148">
        <v>0</v>
      </c>
      <c r="AZ45" s="148">
        <v>0</v>
      </c>
      <c r="BA45" s="148">
        <v>0</v>
      </c>
      <c r="BB45" s="149">
        <v>0</v>
      </c>
      <c r="BC45" s="87">
        <v>60</v>
      </c>
      <c r="BD45" s="148"/>
      <c r="BE45" s="158"/>
      <c r="BF45" s="148"/>
      <c r="BG45" s="148"/>
      <c r="BH45" s="148"/>
      <c r="BI45" s="148"/>
      <c r="BJ45" s="148"/>
      <c r="BK45" s="148"/>
      <c r="BL45" s="148"/>
      <c r="BM45" s="148"/>
      <c r="BN45" s="148"/>
      <c r="BO45" s="148"/>
      <c r="BP45" s="148"/>
      <c r="BQ45" s="148"/>
      <c r="BR45" s="148"/>
      <c r="BS45" s="149"/>
      <c r="BT45" s="147">
        <v>78.03</v>
      </c>
      <c r="BU45" s="148">
        <v>82.38</v>
      </c>
      <c r="BV45" s="148">
        <v>80.14</v>
      </c>
      <c r="BW45" s="148"/>
      <c r="BX45" s="148"/>
      <c r="BY45" s="148"/>
      <c r="BZ45" s="148"/>
      <c r="CA45" s="148"/>
      <c r="CB45" s="148"/>
      <c r="CC45" s="148"/>
      <c r="CD45" s="148"/>
      <c r="CE45" s="147"/>
      <c r="CF45" s="148"/>
      <c r="CG45" s="148"/>
      <c r="CH45" s="148"/>
      <c r="CI45" s="148"/>
      <c r="CJ45" s="148"/>
      <c r="CK45" s="149"/>
      <c r="CL45" s="147">
        <v>64.37</v>
      </c>
      <c r="CM45" s="148"/>
      <c r="CN45" s="148"/>
      <c r="CO45" s="149"/>
      <c r="CP45" s="147"/>
      <c r="CQ45" s="148"/>
      <c r="CR45" s="149"/>
      <c r="CS45" s="147"/>
      <c r="CT45" s="148"/>
      <c r="CU45" s="148"/>
      <c r="CV45" s="148"/>
      <c r="CW45" s="148"/>
      <c r="CX45" s="148"/>
      <c r="CY45" s="147"/>
      <c r="CZ45" s="148"/>
      <c r="DA45" s="148"/>
      <c r="DB45" s="148"/>
      <c r="DC45" s="148"/>
      <c r="DD45" s="148"/>
      <c r="DE45" s="148"/>
      <c r="DF45" s="148"/>
      <c r="DG45" s="149"/>
      <c r="DH45" s="147">
        <v>73.680000000000007</v>
      </c>
      <c r="DI45" s="148">
        <v>70.66</v>
      </c>
      <c r="DJ45" s="148">
        <v>70.77</v>
      </c>
      <c r="DK45" s="148"/>
      <c r="DL45" s="148"/>
      <c r="DM45" s="148"/>
      <c r="DN45" s="148"/>
      <c r="DO45" s="148"/>
      <c r="DP45" s="148"/>
      <c r="DQ45" s="147"/>
      <c r="DR45" s="148"/>
      <c r="DS45" s="148"/>
      <c r="DT45" s="148"/>
      <c r="DU45" s="148"/>
      <c r="DV45" s="148"/>
      <c r="DW45" s="148"/>
      <c r="DX45" s="148"/>
      <c r="DY45" s="148"/>
      <c r="DZ45" s="148"/>
      <c r="EA45" s="148"/>
      <c r="EB45" s="148"/>
      <c r="EC45" s="148"/>
      <c r="ED45" s="148"/>
      <c r="EE45" s="149"/>
      <c r="EF45" s="147"/>
      <c r="EG45" s="148"/>
      <c r="EH45" s="148"/>
      <c r="EI45" s="147"/>
      <c r="EJ45" s="148"/>
      <c r="EK45" s="149"/>
      <c r="EL45" s="147"/>
      <c r="EM45" s="148"/>
      <c r="EN45" s="148"/>
      <c r="EO45" s="149"/>
      <c r="EP45" s="147"/>
      <c r="EQ45" s="149"/>
      <c r="ER45" s="147"/>
      <c r="ES45" s="149"/>
      <c r="ET45" s="147"/>
      <c r="EU45" s="149"/>
    </row>
    <row r="46" spans="1:151" ht="17" thickBot="1">
      <c r="A46" s="55" t="s">
        <v>319</v>
      </c>
      <c r="B46" s="47" t="s">
        <v>84</v>
      </c>
      <c r="C46" s="47" t="s">
        <v>498</v>
      </c>
      <c r="D46" s="84" t="s">
        <v>65</v>
      </c>
      <c r="E46" s="57"/>
      <c r="F46" s="57" t="s">
        <v>287</v>
      </c>
      <c r="G46" s="74">
        <v>-4.4379999999999997</v>
      </c>
      <c r="H46" s="57">
        <v>3249</v>
      </c>
      <c r="I46" s="57">
        <v>573</v>
      </c>
      <c r="J46" s="75">
        <v>4.8151260504201678</v>
      </c>
      <c r="K46" s="57">
        <v>1</v>
      </c>
      <c r="L46" s="57">
        <v>1</v>
      </c>
      <c r="M46" s="84">
        <v>0</v>
      </c>
      <c r="N46" s="57">
        <v>0</v>
      </c>
      <c r="O46" s="57">
        <v>0</v>
      </c>
      <c r="P46" s="57">
        <v>0</v>
      </c>
      <c r="Q46" s="56">
        <v>0</v>
      </c>
      <c r="R46" s="55">
        <v>0</v>
      </c>
      <c r="S46" s="84" t="s">
        <v>283</v>
      </c>
      <c r="T46" s="57">
        <v>0.8</v>
      </c>
      <c r="U46" s="84">
        <v>0</v>
      </c>
      <c r="V46" s="57">
        <v>0</v>
      </c>
      <c r="W46" s="57">
        <v>0</v>
      </c>
      <c r="X46" s="56"/>
      <c r="Y46" s="84">
        <v>5</v>
      </c>
      <c r="Z46" s="57"/>
      <c r="AA46" s="57"/>
      <c r="AB46" s="57"/>
      <c r="AC46" s="57"/>
      <c r="AD46" s="57">
        <v>12</v>
      </c>
      <c r="AE46" s="57">
        <v>110</v>
      </c>
      <c r="AF46" s="57">
        <v>12</v>
      </c>
      <c r="AG46" s="57">
        <v>46</v>
      </c>
      <c r="AH46" s="57">
        <v>7</v>
      </c>
      <c r="AI46" s="57">
        <v>18</v>
      </c>
      <c r="AJ46" s="57">
        <v>0</v>
      </c>
      <c r="AK46" s="84">
        <v>0</v>
      </c>
      <c r="AL46" s="57">
        <v>0</v>
      </c>
      <c r="AM46" s="57">
        <v>0</v>
      </c>
      <c r="AN46" s="57">
        <v>0</v>
      </c>
      <c r="AO46" s="56">
        <v>0</v>
      </c>
      <c r="AP46" s="178" t="s">
        <v>284</v>
      </c>
      <c r="AQ46" s="179" t="s">
        <v>284</v>
      </c>
      <c r="AR46" s="179" t="s">
        <v>284</v>
      </c>
      <c r="AS46" s="179" t="s">
        <v>284</v>
      </c>
      <c r="AT46" s="179" t="s">
        <v>284</v>
      </c>
      <c r="AU46" s="179" t="s">
        <v>284</v>
      </c>
      <c r="AV46" s="179" t="s">
        <v>284</v>
      </c>
      <c r="AW46" s="179" t="s">
        <v>284</v>
      </c>
      <c r="AX46" s="84">
        <v>0</v>
      </c>
      <c r="AY46" s="57">
        <v>0</v>
      </c>
      <c r="AZ46" s="57">
        <v>0</v>
      </c>
      <c r="BA46" s="57">
        <v>0</v>
      </c>
      <c r="BB46" s="56">
        <v>0</v>
      </c>
      <c r="BC46" s="55">
        <v>45</v>
      </c>
      <c r="BD46" s="57"/>
      <c r="BE46" s="75"/>
      <c r="BF46" s="57"/>
      <c r="BG46" s="57"/>
      <c r="BH46" s="57"/>
      <c r="BI46" s="57"/>
      <c r="BJ46" s="57"/>
      <c r="BK46" s="57"/>
      <c r="BL46" s="57"/>
      <c r="BM46" s="57"/>
      <c r="BN46" s="57"/>
      <c r="BO46" s="57"/>
      <c r="BP46" s="57"/>
      <c r="BQ46" s="57"/>
      <c r="BR46" s="57"/>
      <c r="BS46" s="56"/>
      <c r="BT46" s="84"/>
      <c r="BU46" s="57"/>
      <c r="BV46" s="57"/>
      <c r="BW46" s="57"/>
      <c r="BX46" s="57"/>
      <c r="BY46" s="57"/>
      <c r="BZ46" s="57"/>
      <c r="CA46" s="57"/>
      <c r="CB46" s="57"/>
      <c r="CC46" s="57"/>
      <c r="CD46" s="57"/>
      <c r="CE46" s="84"/>
      <c r="CF46" s="57"/>
      <c r="CG46" s="57"/>
      <c r="CH46" s="57"/>
      <c r="CI46" s="57"/>
      <c r="CJ46" s="57"/>
      <c r="CK46" s="56"/>
      <c r="CL46" s="84"/>
      <c r="CM46" s="57"/>
      <c r="CN46" s="57"/>
      <c r="CO46" s="56"/>
      <c r="CP46" s="84"/>
      <c r="CQ46" s="57"/>
      <c r="CR46" s="56"/>
      <c r="CS46" s="84"/>
      <c r="CT46" s="57"/>
      <c r="CU46" s="57"/>
      <c r="CV46" s="57"/>
      <c r="CW46" s="57"/>
      <c r="CX46" s="57"/>
      <c r="CY46" s="84"/>
      <c r="CZ46" s="57"/>
      <c r="DA46" s="57"/>
      <c r="DB46" s="57"/>
      <c r="DC46" s="57"/>
      <c r="DD46" s="57"/>
      <c r="DE46" s="57"/>
      <c r="DF46" s="57"/>
      <c r="DG46" s="56"/>
      <c r="DH46" s="84"/>
      <c r="DI46" s="57"/>
      <c r="DJ46" s="57"/>
      <c r="DK46" s="57"/>
      <c r="DL46" s="57"/>
      <c r="DM46" s="57"/>
      <c r="DN46" s="57"/>
      <c r="DO46" s="57"/>
      <c r="DP46" s="57"/>
      <c r="DQ46" s="84"/>
      <c r="DR46" s="57"/>
      <c r="DS46" s="57"/>
      <c r="DT46" s="57"/>
      <c r="DU46" s="57"/>
      <c r="DV46" s="57"/>
      <c r="DW46" s="57"/>
      <c r="DX46" s="57"/>
      <c r="DY46" s="57"/>
      <c r="DZ46" s="57"/>
      <c r="EA46" s="57"/>
      <c r="EB46" s="57"/>
      <c r="EC46" s="57"/>
      <c r="ED46" s="57"/>
      <c r="EE46" s="56"/>
      <c r="EF46" s="84"/>
      <c r="EG46" s="57"/>
      <c r="EH46" s="57"/>
      <c r="EI46" s="84"/>
      <c r="EJ46" s="57"/>
      <c r="EK46" s="56"/>
      <c r="EL46" s="84"/>
      <c r="EM46" s="57"/>
      <c r="EN46" s="57"/>
      <c r="EO46" s="56"/>
      <c r="EP46" s="84"/>
      <c r="EQ46" s="56"/>
      <c r="ER46" s="84"/>
      <c r="ES46" s="56"/>
      <c r="ET46" s="84"/>
      <c r="EU46" s="56"/>
    </row>
    <row r="47" spans="1:151">
      <c r="A47" s="83" t="s">
        <v>319</v>
      </c>
      <c r="B47" s="7" t="s">
        <v>85</v>
      </c>
      <c r="C47" s="7" t="s">
        <v>499</v>
      </c>
      <c r="D47" s="147" t="s">
        <v>81</v>
      </c>
      <c r="E47" s="148"/>
      <c r="F47" s="148" t="s">
        <v>286</v>
      </c>
      <c r="G47" s="73">
        <v>-4.3681666666666663</v>
      </c>
      <c r="H47" s="148">
        <v>3206</v>
      </c>
      <c r="I47" s="148">
        <v>1379</v>
      </c>
      <c r="J47" s="158">
        <v>1.7324120603015076</v>
      </c>
      <c r="K47" s="148">
        <v>4</v>
      </c>
      <c r="L47" s="148">
        <v>2</v>
      </c>
      <c r="M47" s="147">
        <v>0</v>
      </c>
      <c r="N47" s="148">
        <v>2</v>
      </c>
      <c r="O47" s="148">
        <v>0</v>
      </c>
      <c r="P47" s="148">
        <v>0</v>
      </c>
      <c r="Q47" s="149">
        <v>0</v>
      </c>
      <c r="R47" s="87">
        <v>2</v>
      </c>
      <c r="S47" s="147" t="s">
        <v>283</v>
      </c>
      <c r="T47" s="148">
        <v>14</v>
      </c>
      <c r="U47" s="147">
        <v>1</v>
      </c>
      <c r="V47" s="148">
        <v>3</v>
      </c>
      <c r="W47" s="148">
        <v>2</v>
      </c>
      <c r="X47" s="149"/>
      <c r="Y47" s="147">
        <v>1</v>
      </c>
      <c r="Z47" s="148">
        <v>6</v>
      </c>
      <c r="AA47" s="148">
        <v>76</v>
      </c>
      <c r="AB47" s="148"/>
      <c r="AC47" s="148"/>
      <c r="AD47" s="148"/>
      <c r="AE47" s="148"/>
      <c r="AF47" s="148"/>
      <c r="AG47" s="148"/>
      <c r="AH47" s="148"/>
      <c r="AI47" s="148"/>
      <c r="AJ47" s="148">
        <v>0</v>
      </c>
      <c r="AK47" s="147">
        <v>0</v>
      </c>
      <c r="AL47" s="148">
        <v>0</v>
      </c>
      <c r="AM47" s="148">
        <v>0</v>
      </c>
      <c r="AN47" s="148">
        <v>0</v>
      </c>
      <c r="AO47" s="149">
        <v>0</v>
      </c>
      <c r="AP47" s="169" t="s">
        <v>284</v>
      </c>
      <c r="AQ47" s="170" t="s">
        <v>284</v>
      </c>
      <c r="AR47" s="170" t="s">
        <v>284</v>
      </c>
      <c r="AS47" s="170" t="s">
        <v>284</v>
      </c>
      <c r="AT47" s="170" t="s">
        <v>284</v>
      </c>
      <c r="AU47" s="170" t="s">
        <v>284</v>
      </c>
      <c r="AV47" s="170" t="s">
        <v>284</v>
      </c>
      <c r="AW47" s="170" t="s">
        <v>284</v>
      </c>
      <c r="AX47" s="147">
        <v>0</v>
      </c>
      <c r="AY47" s="148">
        <v>0</v>
      </c>
      <c r="AZ47" s="148">
        <v>0</v>
      </c>
      <c r="BA47" s="148">
        <v>0</v>
      </c>
      <c r="BB47" s="149">
        <v>0</v>
      </c>
      <c r="BC47" s="87">
        <v>77</v>
      </c>
      <c r="BD47" s="148"/>
      <c r="BE47" s="158"/>
      <c r="BF47" s="148"/>
      <c r="BG47" s="148"/>
      <c r="BH47" s="148"/>
      <c r="BI47" s="148"/>
      <c r="BJ47" s="148"/>
      <c r="BK47" s="148"/>
      <c r="BL47" s="148"/>
      <c r="BM47" s="148"/>
      <c r="BN47" s="148"/>
      <c r="BO47" s="148"/>
      <c r="BP47" s="148"/>
      <c r="BQ47" s="148"/>
      <c r="BR47" s="148"/>
      <c r="BS47" s="149"/>
      <c r="BT47" s="147"/>
      <c r="BU47" s="148"/>
      <c r="BV47" s="148"/>
      <c r="BW47" s="148"/>
      <c r="BX47" s="148"/>
      <c r="BY47" s="148"/>
      <c r="BZ47" s="148"/>
      <c r="CA47" s="148"/>
      <c r="CB47" s="148"/>
      <c r="CC47" s="148"/>
      <c r="CD47" s="148"/>
      <c r="CE47" s="147"/>
      <c r="CF47" s="148"/>
      <c r="CG47" s="148"/>
      <c r="CH47" s="148"/>
      <c r="CI47" s="148"/>
      <c r="CJ47" s="148"/>
      <c r="CK47" s="149"/>
      <c r="CL47" s="147"/>
      <c r="CM47" s="148"/>
      <c r="CN47" s="148"/>
      <c r="CO47" s="149"/>
      <c r="CP47" s="147"/>
      <c r="CQ47" s="148"/>
      <c r="CR47" s="149"/>
      <c r="CS47" s="147"/>
      <c r="CT47" s="148"/>
      <c r="CU47" s="148"/>
      <c r="CV47" s="148"/>
      <c r="CW47" s="148"/>
      <c r="CX47" s="148"/>
      <c r="CY47" s="147"/>
      <c r="CZ47" s="148"/>
      <c r="DA47" s="148"/>
      <c r="DB47" s="148"/>
      <c r="DC47" s="148"/>
      <c r="DD47" s="148"/>
      <c r="DE47" s="148"/>
      <c r="DF47" s="148"/>
      <c r="DG47" s="149"/>
      <c r="DH47" s="147"/>
      <c r="DI47" s="148"/>
      <c r="DJ47" s="148"/>
      <c r="DK47" s="148"/>
      <c r="DL47" s="148"/>
      <c r="DM47" s="148"/>
      <c r="DN47" s="148"/>
      <c r="DO47" s="148"/>
      <c r="DP47" s="148"/>
      <c r="DQ47" s="147"/>
      <c r="DR47" s="148"/>
      <c r="DS47" s="148"/>
      <c r="DT47" s="148"/>
      <c r="DU47" s="148"/>
      <c r="DV47" s="148"/>
      <c r="DW47" s="148"/>
      <c r="DX47" s="148"/>
      <c r="DY47" s="148"/>
      <c r="DZ47" s="148"/>
      <c r="EA47" s="148"/>
      <c r="EB47" s="148"/>
      <c r="EC47" s="148"/>
      <c r="ED47" s="148"/>
      <c r="EE47" s="149"/>
      <c r="EF47" s="147"/>
      <c r="EG47" s="148"/>
      <c r="EH47" s="148"/>
      <c r="EI47" s="147"/>
      <c r="EJ47" s="148"/>
      <c r="EK47" s="149"/>
      <c r="EL47" s="147"/>
      <c r="EM47" s="148"/>
      <c r="EN47" s="148"/>
      <c r="EO47" s="149"/>
      <c r="EP47" s="147"/>
      <c r="EQ47" s="149"/>
      <c r="ER47" s="147"/>
      <c r="ES47" s="149"/>
      <c r="ET47" s="147"/>
      <c r="EU47" s="149"/>
    </row>
    <row r="48" spans="1:151">
      <c r="A48" s="83" t="s">
        <v>319</v>
      </c>
      <c r="B48" s="173" t="s">
        <v>85</v>
      </c>
      <c r="C48" s="173" t="s">
        <v>499</v>
      </c>
      <c r="D48" s="83" t="s">
        <v>64</v>
      </c>
      <c r="F48" s="49" t="s">
        <v>286</v>
      </c>
      <c r="G48" s="60">
        <v>-4.3681666666666663</v>
      </c>
      <c r="H48" s="49">
        <v>3206</v>
      </c>
      <c r="I48" s="49">
        <v>2070</v>
      </c>
      <c r="J48" s="159">
        <v>1.481746599856836</v>
      </c>
      <c r="K48" s="49">
        <v>1</v>
      </c>
      <c r="L48" s="49">
        <v>2</v>
      </c>
      <c r="M48" s="83">
        <v>0</v>
      </c>
      <c r="N48" s="49">
        <v>0</v>
      </c>
      <c r="O48" s="49">
        <v>1</v>
      </c>
      <c r="P48" s="49">
        <v>1</v>
      </c>
      <c r="Q48" s="58">
        <v>0</v>
      </c>
      <c r="R48" s="42">
        <v>2</v>
      </c>
      <c r="S48" s="83">
        <v>1</v>
      </c>
      <c r="U48" s="83">
        <v>3</v>
      </c>
      <c r="V48" s="49">
        <v>3</v>
      </c>
      <c r="W48" s="49">
        <v>3</v>
      </c>
      <c r="X48" s="58">
        <v>3</v>
      </c>
      <c r="Y48" s="83">
        <v>2</v>
      </c>
      <c r="Z48" s="49">
        <v>10</v>
      </c>
      <c r="AA48" s="49">
        <v>45</v>
      </c>
      <c r="AJ48" s="49">
        <v>0</v>
      </c>
      <c r="AK48" s="83">
        <v>0</v>
      </c>
      <c r="AL48" s="49">
        <v>1</v>
      </c>
      <c r="AM48" s="49">
        <v>0</v>
      </c>
      <c r="AN48" s="49">
        <v>0</v>
      </c>
      <c r="AO48" s="58">
        <v>0</v>
      </c>
      <c r="AP48" s="174">
        <v>0</v>
      </c>
      <c r="AQ48" s="175">
        <v>338</v>
      </c>
      <c r="AR48" s="175" t="s">
        <v>284</v>
      </c>
      <c r="AS48" s="175" t="s">
        <v>284</v>
      </c>
      <c r="AT48" s="175" t="s">
        <v>284</v>
      </c>
      <c r="AU48" s="175" t="s">
        <v>284</v>
      </c>
      <c r="AV48" s="175" t="s">
        <v>284</v>
      </c>
      <c r="AW48" s="175" t="s">
        <v>284</v>
      </c>
      <c r="AX48" s="83">
        <v>0</v>
      </c>
      <c r="AY48" s="49">
        <v>0</v>
      </c>
      <c r="AZ48" s="49">
        <v>0</v>
      </c>
      <c r="BA48" s="49">
        <v>0</v>
      </c>
      <c r="BB48" s="58">
        <v>0</v>
      </c>
      <c r="BC48" s="42">
        <v>88</v>
      </c>
      <c r="BS48" s="58"/>
      <c r="BT48" s="83">
        <v>79.58</v>
      </c>
      <c r="BU48" s="49">
        <v>77.08</v>
      </c>
      <c r="BV48" s="49">
        <v>77.739999999999995</v>
      </c>
      <c r="CE48" s="83"/>
      <c r="CK48" s="58"/>
      <c r="CL48" s="83">
        <v>62.58</v>
      </c>
      <c r="CO48" s="58"/>
      <c r="CP48" s="83"/>
      <c r="CR48" s="58"/>
      <c r="CS48" s="83"/>
      <c r="CY48" s="83"/>
      <c r="DG48" s="58"/>
      <c r="DH48" s="83"/>
      <c r="DQ48" s="83"/>
      <c r="EE48" s="58"/>
      <c r="EF48" s="83"/>
      <c r="EI48" s="83"/>
      <c r="EK48" s="58"/>
      <c r="EL48" s="83"/>
      <c r="EO48" s="58"/>
      <c r="EP48" s="83"/>
      <c r="EQ48" s="58"/>
      <c r="ER48" s="83"/>
      <c r="ES48" s="58"/>
      <c r="ET48" s="83"/>
      <c r="EU48" s="58"/>
    </row>
    <row r="49" spans="1:151">
      <c r="A49" s="83" t="s">
        <v>319</v>
      </c>
      <c r="B49" s="173" t="s">
        <v>85</v>
      </c>
      <c r="C49" s="173" t="s">
        <v>499</v>
      </c>
      <c r="D49" s="83" t="s">
        <v>65</v>
      </c>
      <c r="F49" s="49" t="s">
        <v>287</v>
      </c>
      <c r="G49" s="60">
        <v>-4.3681666666666663</v>
      </c>
      <c r="H49" s="49">
        <v>3206</v>
      </c>
      <c r="I49" s="49">
        <v>897</v>
      </c>
      <c r="J49" s="159">
        <v>1.1383248730964468</v>
      </c>
      <c r="K49" s="49">
        <v>4</v>
      </c>
      <c r="L49" s="49">
        <v>3</v>
      </c>
      <c r="M49" s="83">
        <v>0</v>
      </c>
      <c r="N49" s="49">
        <v>0</v>
      </c>
      <c r="O49" s="49">
        <v>0</v>
      </c>
      <c r="P49" s="49">
        <v>0</v>
      </c>
      <c r="Q49" s="58">
        <v>0</v>
      </c>
      <c r="R49" s="42">
        <v>0</v>
      </c>
      <c r="S49" s="83" t="s">
        <v>283</v>
      </c>
      <c r="T49" s="49">
        <v>11</v>
      </c>
      <c r="U49" s="83">
        <v>1</v>
      </c>
      <c r="V49" s="49">
        <v>2</v>
      </c>
      <c r="W49" s="49">
        <v>2</v>
      </c>
      <c r="X49" s="58"/>
      <c r="Y49" s="83" t="s">
        <v>78</v>
      </c>
      <c r="AA49" s="49">
        <v>14</v>
      </c>
      <c r="AG49" s="49">
        <v>78</v>
      </c>
      <c r="AJ49" s="49">
        <v>0</v>
      </c>
      <c r="AK49" s="83">
        <v>0</v>
      </c>
      <c r="AL49" s="49">
        <v>0</v>
      </c>
      <c r="AM49" s="49">
        <v>0</v>
      </c>
      <c r="AN49" s="49">
        <v>0</v>
      </c>
      <c r="AO49" s="58">
        <v>0</v>
      </c>
      <c r="AP49" s="174" t="s">
        <v>284</v>
      </c>
      <c r="AQ49" s="175" t="s">
        <v>284</v>
      </c>
      <c r="AR49" s="175" t="s">
        <v>284</v>
      </c>
      <c r="AS49" s="175" t="s">
        <v>284</v>
      </c>
      <c r="AT49" s="175" t="s">
        <v>284</v>
      </c>
      <c r="AU49" s="175" t="s">
        <v>284</v>
      </c>
      <c r="AV49" s="175" t="s">
        <v>284</v>
      </c>
      <c r="AW49" s="175" t="s">
        <v>284</v>
      </c>
      <c r="AX49" s="83">
        <v>0</v>
      </c>
      <c r="AY49" s="49">
        <v>0</v>
      </c>
      <c r="AZ49" s="49">
        <v>0</v>
      </c>
      <c r="BA49" s="49">
        <v>0</v>
      </c>
      <c r="BB49" s="58">
        <v>0</v>
      </c>
      <c r="BC49" s="42">
        <v>92</v>
      </c>
      <c r="BS49" s="58"/>
      <c r="BT49" s="83"/>
      <c r="CE49" s="83"/>
      <c r="CK49" s="58"/>
      <c r="CL49" s="83"/>
      <c r="CO49" s="58"/>
      <c r="CP49" s="83"/>
      <c r="CR49" s="58"/>
      <c r="CS49" s="83"/>
      <c r="CY49" s="83"/>
      <c r="DG49" s="58"/>
      <c r="DH49" s="83"/>
      <c r="DQ49" s="83"/>
      <c r="EE49" s="58"/>
      <c r="EF49" s="83"/>
      <c r="EI49" s="83"/>
      <c r="EK49" s="58"/>
      <c r="EL49" s="83"/>
      <c r="EO49" s="58"/>
      <c r="EP49" s="83"/>
      <c r="EQ49" s="58"/>
      <c r="ER49" s="83"/>
      <c r="ES49" s="58"/>
      <c r="ET49" s="83"/>
      <c r="EU49" s="58"/>
    </row>
    <row r="50" spans="1:151" ht="15" customHeight="1">
      <c r="A50" s="83" t="s">
        <v>319</v>
      </c>
      <c r="B50" s="173" t="s">
        <v>85</v>
      </c>
      <c r="C50" s="173" t="s">
        <v>499</v>
      </c>
      <c r="D50" s="83" t="s">
        <v>68</v>
      </c>
      <c r="F50" s="49" t="s">
        <v>286</v>
      </c>
      <c r="G50" s="60">
        <v>-4.3681666666666663</v>
      </c>
      <c r="H50" s="49">
        <v>3206</v>
      </c>
      <c r="I50" s="49">
        <v>5095</v>
      </c>
      <c r="J50" s="159">
        <v>2.4769081186193485</v>
      </c>
      <c r="K50" s="49">
        <v>4</v>
      </c>
      <c r="L50" s="49">
        <v>3</v>
      </c>
      <c r="M50" s="83">
        <v>0</v>
      </c>
      <c r="N50" s="49">
        <v>1</v>
      </c>
      <c r="O50" s="49">
        <v>1</v>
      </c>
      <c r="P50" s="49">
        <v>0</v>
      </c>
      <c r="Q50" s="58">
        <v>0</v>
      </c>
      <c r="R50" s="42">
        <v>2</v>
      </c>
      <c r="S50" s="83" t="s">
        <v>283</v>
      </c>
      <c r="T50" s="49">
        <v>14</v>
      </c>
      <c r="U50" s="83">
        <v>2</v>
      </c>
      <c r="V50" s="49">
        <v>3</v>
      </c>
      <c r="W50" s="49">
        <v>3</v>
      </c>
      <c r="X50" s="58">
        <v>1</v>
      </c>
      <c r="Y50" s="83">
        <v>2</v>
      </c>
      <c r="Z50" s="49">
        <v>12</v>
      </c>
      <c r="AA50" s="49">
        <v>55</v>
      </c>
      <c r="AJ50" s="49">
        <v>0</v>
      </c>
      <c r="AK50" s="83">
        <v>0</v>
      </c>
      <c r="AL50" s="49">
        <v>0</v>
      </c>
      <c r="AM50" s="49">
        <v>0</v>
      </c>
      <c r="AN50" s="49">
        <v>0</v>
      </c>
      <c r="AO50" s="58">
        <v>0</v>
      </c>
      <c r="AP50" s="174" t="s">
        <v>284</v>
      </c>
      <c r="AQ50" s="175" t="s">
        <v>284</v>
      </c>
      <c r="AR50" s="175" t="s">
        <v>284</v>
      </c>
      <c r="AS50" s="175" t="s">
        <v>284</v>
      </c>
      <c r="AT50" s="175" t="s">
        <v>284</v>
      </c>
      <c r="AU50" s="175" t="s">
        <v>284</v>
      </c>
      <c r="AV50" s="175" t="s">
        <v>284</v>
      </c>
      <c r="AW50" s="175" t="s">
        <v>284</v>
      </c>
      <c r="AX50" s="83">
        <v>0</v>
      </c>
      <c r="AY50" s="49">
        <v>0</v>
      </c>
      <c r="AZ50" s="49">
        <v>0</v>
      </c>
      <c r="BA50" s="49">
        <v>0</v>
      </c>
      <c r="BB50" s="58">
        <v>0</v>
      </c>
      <c r="BC50" s="42">
        <v>125</v>
      </c>
      <c r="BD50" s="49">
        <v>82.89</v>
      </c>
      <c r="BS50" s="58"/>
      <c r="BT50" s="83">
        <v>78.55</v>
      </c>
      <c r="BU50" s="49">
        <v>79.459999999999994</v>
      </c>
      <c r="CE50" s="83">
        <v>68.069999999999993</v>
      </c>
      <c r="CK50" s="58"/>
      <c r="CL50" s="83">
        <v>60.54</v>
      </c>
      <c r="CO50" s="58"/>
      <c r="CP50" s="83"/>
      <c r="CR50" s="58"/>
      <c r="CS50" s="83"/>
      <c r="CY50" s="83"/>
      <c r="DG50" s="58"/>
      <c r="DH50" s="83"/>
      <c r="DQ50" s="83"/>
      <c r="EE50" s="58"/>
      <c r="EF50" s="83"/>
      <c r="EI50" s="83"/>
      <c r="EK50" s="58"/>
      <c r="EL50" s="83"/>
      <c r="EO50" s="58"/>
      <c r="EP50" s="83"/>
      <c r="EQ50" s="58"/>
      <c r="ER50" s="83"/>
      <c r="ES50" s="58"/>
      <c r="ET50" s="83"/>
      <c r="EU50" s="58"/>
    </row>
    <row r="51" spans="1:151">
      <c r="A51" s="83" t="s">
        <v>319</v>
      </c>
      <c r="B51" s="173" t="s">
        <v>85</v>
      </c>
      <c r="C51" s="173" t="s">
        <v>499</v>
      </c>
      <c r="D51" s="83" t="s">
        <v>69</v>
      </c>
      <c r="F51" s="49" t="s">
        <v>286</v>
      </c>
      <c r="G51" s="60">
        <v>-4.3681666666666663</v>
      </c>
      <c r="H51" s="49">
        <v>3206</v>
      </c>
      <c r="I51" s="49">
        <v>7408</v>
      </c>
      <c r="J51" s="159">
        <v>2.3532401524777637</v>
      </c>
      <c r="K51" s="49">
        <v>1</v>
      </c>
      <c r="L51" s="49">
        <v>2</v>
      </c>
      <c r="M51" s="83">
        <v>0</v>
      </c>
      <c r="N51" s="49">
        <v>1</v>
      </c>
      <c r="O51" s="49">
        <v>1</v>
      </c>
      <c r="P51" s="49">
        <v>1</v>
      </c>
      <c r="Q51" s="58">
        <v>0</v>
      </c>
      <c r="R51" s="42">
        <v>3</v>
      </c>
      <c r="S51" s="83">
        <v>1</v>
      </c>
      <c r="U51" s="83">
        <v>4</v>
      </c>
      <c r="V51" s="49">
        <v>2</v>
      </c>
      <c r="W51" s="49">
        <v>3</v>
      </c>
      <c r="X51" s="58">
        <v>3</v>
      </c>
      <c r="Y51" s="83">
        <v>1</v>
      </c>
      <c r="Z51" s="49">
        <v>10</v>
      </c>
      <c r="AA51" s="49">
        <v>40</v>
      </c>
      <c r="AD51" s="49">
        <v>50</v>
      </c>
      <c r="AE51" s="49">
        <v>270</v>
      </c>
      <c r="AF51" s="49">
        <v>40</v>
      </c>
      <c r="AG51" s="49">
        <v>210</v>
      </c>
      <c r="AJ51" s="49">
        <v>0</v>
      </c>
      <c r="AK51" s="83">
        <v>0</v>
      </c>
      <c r="AL51" s="49">
        <v>1</v>
      </c>
      <c r="AM51" s="49">
        <v>0</v>
      </c>
      <c r="AN51" s="49">
        <v>0</v>
      </c>
      <c r="AO51" s="58">
        <v>0</v>
      </c>
      <c r="AP51" s="174">
        <v>350</v>
      </c>
      <c r="AQ51" s="175">
        <v>1449</v>
      </c>
      <c r="AR51" s="175" t="s">
        <v>284</v>
      </c>
      <c r="AS51" s="175" t="s">
        <v>284</v>
      </c>
      <c r="AT51" s="175" t="s">
        <v>284</v>
      </c>
      <c r="AU51" s="175" t="s">
        <v>284</v>
      </c>
      <c r="AV51" s="175" t="s">
        <v>284</v>
      </c>
      <c r="AW51" s="175" t="s">
        <v>284</v>
      </c>
      <c r="AX51" s="83">
        <v>0</v>
      </c>
      <c r="AY51" s="49">
        <v>0</v>
      </c>
      <c r="AZ51" s="49">
        <v>0</v>
      </c>
      <c r="BA51" s="49">
        <v>0</v>
      </c>
      <c r="BB51" s="58">
        <v>0</v>
      </c>
      <c r="BC51" s="42">
        <v>104</v>
      </c>
      <c r="BS51" s="58"/>
      <c r="BT51" s="83">
        <v>82.82</v>
      </c>
      <c r="BU51" s="49">
        <v>80.900000000000006</v>
      </c>
      <c r="BV51" s="49">
        <v>78.13</v>
      </c>
      <c r="CE51" s="83">
        <v>77.489999999999995</v>
      </c>
      <c r="CF51" s="49">
        <v>78.8</v>
      </c>
      <c r="CK51" s="58"/>
      <c r="CL51" s="83">
        <v>63.83</v>
      </c>
      <c r="CO51" s="58"/>
      <c r="CP51" s="83">
        <v>60.83</v>
      </c>
      <c r="CR51" s="58"/>
      <c r="CS51" s="83"/>
      <c r="CY51" s="83">
        <v>78.94</v>
      </c>
      <c r="DG51" s="58"/>
      <c r="DH51" s="83"/>
      <c r="DQ51" s="83"/>
      <c r="EE51" s="58"/>
      <c r="EF51" s="83"/>
      <c r="EI51" s="83"/>
      <c r="EK51" s="58"/>
      <c r="EL51" s="83"/>
      <c r="EO51" s="58"/>
      <c r="EP51" s="83"/>
      <c r="EQ51" s="58"/>
      <c r="ER51" s="83"/>
      <c r="ES51" s="58"/>
      <c r="ET51" s="83"/>
      <c r="EU51" s="58"/>
    </row>
    <row r="52" spans="1:151">
      <c r="A52" s="83" t="s">
        <v>319</v>
      </c>
      <c r="B52" s="173" t="s">
        <v>85</v>
      </c>
      <c r="C52" s="173" t="s">
        <v>499</v>
      </c>
      <c r="D52" s="83" t="s">
        <v>74</v>
      </c>
      <c r="F52" s="49" t="s">
        <v>286</v>
      </c>
      <c r="G52" s="60">
        <v>-4.3681666666666663</v>
      </c>
      <c r="H52" s="49">
        <v>3206</v>
      </c>
      <c r="I52" s="49">
        <v>3510</v>
      </c>
      <c r="J52" s="159">
        <v>1.1142857142857143</v>
      </c>
      <c r="K52" s="49">
        <v>4</v>
      </c>
      <c r="L52" s="49">
        <v>5</v>
      </c>
      <c r="M52" s="83">
        <v>0</v>
      </c>
      <c r="N52" s="49">
        <v>5</v>
      </c>
      <c r="O52" s="49">
        <v>0</v>
      </c>
      <c r="P52" s="49">
        <v>0</v>
      </c>
      <c r="Q52" s="58">
        <v>0</v>
      </c>
      <c r="R52" s="42">
        <v>5</v>
      </c>
      <c r="S52" s="83" t="s">
        <v>283</v>
      </c>
      <c r="T52" s="49">
        <v>10</v>
      </c>
      <c r="U52" s="83">
        <v>2</v>
      </c>
      <c r="V52" s="49">
        <v>4</v>
      </c>
      <c r="W52" s="49">
        <v>3</v>
      </c>
      <c r="X52" s="58">
        <v>2</v>
      </c>
      <c r="Y52" s="83">
        <v>30</v>
      </c>
      <c r="Z52" s="49">
        <v>10</v>
      </c>
      <c r="AA52" s="49">
        <v>20</v>
      </c>
      <c r="AD52" s="49">
        <v>30</v>
      </c>
      <c r="AE52" s="49">
        <v>910</v>
      </c>
      <c r="AF52" s="49">
        <v>30</v>
      </c>
      <c r="AG52" s="49">
        <v>370</v>
      </c>
      <c r="AH52" s="49">
        <v>150</v>
      </c>
      <c r="AI52" s="49">
        <v>770</v>
      </c>
      <c r="AJ52" s="49">
        <v>0</v>
      </c>
      <c r="AK52" s="83">
        <v>0</v>
      </c>
      <c r="AL52" s="49">
        <v>0</v>
      </c>
      <c r="AM52" s="49">
        <v>0</v>
      </c>
      <c r="AN52" s="49">
        <v>0</v>
      </c>
      <c r="AO52" s="58">
        <v>0</v>
      </c>
      <c r="AP52" s="174" t="s">
        <v>284</v>
      </c>
      <c r="AQ52" s="175" t="s">
        <v>284</v>
      </c>
      <c r="AR52" s="175" t="s">
        <v>284</v>
      </c>
      <c r="AS52" s="175" t="s">
        <v>284</v>
      </c>
      <c r="AT52" s="175" t="s">
        <v>284</v>
      </c>
      <c r="AU52" s="175" t="s">
        <v>284</v>
      </c>
      <c r="AV52" s="175" t="s">
        <v>284</v>
      </c>
      <c r="AW52" s="175" t="s">
        <v>284</v>
      </c>
      <c r="AX52" s="83">
        <v>0</v>
      </c>
      <c r="AY52" s="49">
        <v>0</v>
      </c>
      <c r="AZ52" s="49">
        <v>0</v>
      </c>
      <c r="BA52" s="49">
        <v>0</v>
      </c>
      <c r="BB52" s="58">
        <v>0</v>
      </c>
      <c r="BC52" s="42">
        <v>114</v>
      </c>
      <c r="BS52" s="58"/>
      <c r="BT52" s="83">
        <v>79.56</v>
      </c>
      <c r="BU52" s="49">
        <v>78.849999999999994</v>
      </c>
      <c r="CE52" s="83"/>
      <c r="CK52" s="58"/>
      <c r="CL52" s="83"/>
      <c r="CO52" s="58"/>
      <c r="CP52" s="83"/>
      <c r="CR52" s="58"/>
      <c r="CS52" s="83"/>
      <c r="CY52" s="83"/>
      <c r="DG52" s="58"/>
      <c r="DH52" s="83">
        <v>75.209999999999994</v>
      </c>
      <c r="DI52" s="49">
        <v>74.14</v>
      </c>
      <c r="DQ52" s="83">
        <v>79.67</v>
      </c>
      <c r="EE52" s="58"/>
      <c r="EF52" s="83"/>
      <c r="EI52" s="83"/>
      <c r="EK52" s="58"/>
      <c r="EL52" s="83"/>
      <c r="EO52" s="58"/>
      <c r="EP52" s="83"/>
      <c r="EQ52" s="58"/>
      <c r="ER52" s="83"/>
      <c r="ES52" s="58"/>
      <c r="ET52" s="83"/>
      <c r="EU52" s="58"/>
    </row>
    <row r="53" spans="1:151">
      <c r="A53" s="83" t="s">
        <v>319</v>
      </c>
      <c r="B53" s="173" t="s">
        <v>85</v>
      </c>
      <c r="C53" s="173" t="s">
        <v>499</v>
      </c>
      <c r="D53" s="83" t="s">
        <v>75</v>
      </c>
      <c r="F53" s="49" t="s">
        <v>286</v>
      </c>
      <c r="G53" s="60">
        <v>-4.3681666666666663</v>
      </c>
      <c r="H53" s="49">
        <v>3206</v>
      </c>
      <c r="I53" s="49">
        <v>1822</v>
      </c>
      <c r="J53" s="159">
        <v>1.9718614718614718</v>
      </c>
      <c r="K53" s="49">
        <v>4</v>
      </c>
      <c r="L53" s="49">
        <v>3</v>
      </c>
      <c r="M53" s="83">
        <v>0</v>
      </c>
      <c r="N53" s="49">
        <v>1</v>
      </c>
      <c r="O53" s="49">
        <v>1</v>
      </c>
      <c r="P53" s="49">
        <v>1</v>
      </c>
      <c r="Q53" s="58">
        <v>0</v>
      </c>
      <c r="R53" s="42">
        <v>3</v>
      </c>
      <c r="S53" s="83" t="s">
        <v>283</v>
      </c>
      <c r="T53" s="49">
        <v>21</v>
      </c>
      <c r="U53" s="83">
        <v>2</v>
      </c>
      <c r="V53" s="49">
        <v>2</v>
      </c>
      <c r="W53" s="49">
        <v>3</v>
      </c>
      <c r="X53" s="58">
        <v>2</v>
      </c>
      <c r="Y53" s="83">
        <v>0</v>
      </c>
      <c r="AJ53" s="49">
        <v>0</v>
      </c>
      <c r="AK53" s="83">
        <v>0</v>
      </c>
      <c r="AL53" s="49">
        <v>0</v>
      </c>
      <c r="AM53" s="49">
        <v>0</v>
      </c>
      <c r="AN53" s="49">
        <v>0</v>
      </c>
      <c r="AO53" s="58">
        <v>0</v>
      </c>
      <c r="AP53" s="174" t="s">
        <v>284</v>
      </c>
      <c r="AQ53" s="175" t="s">
        <v>284</v>
      </c>
      <c r="AR53" s="175" t="s">
        <v>284</v>
      </c>
      <c r="AS53" s="175" t="s">
        <v>284</v>
      </c>
      <c r="AT53" s="175" t="s">
        <v>284</v>
      </c>
      <c r="AU53" s="175" t="s">
        <v>284</v>
      </c>
      <c r="AV53" s="175" t="s">
        <v>284</v>
      </c>
      <c r="AW53" s="175" t="s">
        <v>284</v>
      </c>
      <c r="AX53" s="83">
        <v>0</v>
      </c>
      <c r="AY53" s="49">
        <v>0</v>
      </c>
      <c r="AZ53" s="49">
        <v>0</v>
      </c>
      <c r="BA53" s="49">
        <v>0</v>
      </c>
      <c r="BB53" s="58">
        <v>0</v>
      </c>
      <c r="BC53" s="42">
        <v>79</v>
      </c>
      <c r="BS53" s="58"/>
      <c r="BT53" s="83"/>
      <c r="CE53" s="83"/>
      <c r="CK53" s="58"/>
      <c r="CL53" s="83"/>
      <c r="CO53" s="58"/>
      <c r="CP53" s="83"/>
      <c r="CR53" s="58"/>
      <c r="CS53" s="83"/>
      <c r="CY53" s="83"/>
      <c r="DG53" s="58"/>
      <c r="DH53" s="83"/>
      <c r="DQ53" s="83"/>
      <c r="EE53" s="58"/>
      <c r="EF53" s="83"/>
      <c r="EI53" s="83"/>
      <c r="EK53" s="58"/>
      <c r="EL53" s="83"/>
      <c r="EO53" s="58"/>
      <c r="EP53" s="83"/>
      <c r="EQ53" s="58"/>
      <c r="ER53" s="83"/>
      <c r="ES53" s="58"/>
      <c r="ET53" s="83"/>
      <c r="EU53" s="58"/>
    </row>
    <row r="54" spans="1:151" ht="17" thickBot="1">
      <c r="A54" s="83" t="s">
        <v>319</v>
      </c>
      <c r="B54" s="173" t="s">
        <v>85</v>
      </c>
      <c r="C54" s="173" t="s">
        <v>499</v>
      </c>
      <c r="D54" s="83" t="s">
        <v>76</v>
      </c>
      <c r="F54" s="49" t="s">
        <v>287</v>
      </c>
      <c r="G54" s="60">
        <v>-4.3681666666666663</v>
      </c>
      <c r="H54" s="49">
        <v>3206</v>
      </c>
      <c r="I54" s="49">
        <v>919</v>
      </c>
      <c r="J54" s="159">
        <v>1.75717017208413</v>
      </c>
      <c r="K54" s="49">
        <v>1</v>
      </c>
      <c r="L54" s="49">
        <v>3</v>
      </c>
      <c r="M54" s="83">
        <v>0</v>
      </c>
      <c r="N54" s="49">
        <v>2</v>
      </c>
      <c r="O54" s="49">
        <v>0</v>
      </c>
      <c r="P54" s="49">
        <v>0</v>
      </c>
      <c r="Q54" s="58">
        <v>0</v>
      </c>
      <c r="R54" s="42">
        <v>2</v>
      </c>
      <c r="S54" s="83" t="s">
        <v>283</v>
      </c>
      <c r="T54" s="49">
        <v>11</v>
      </c>
      <c r="U54" s="83">
        <v>1</v>
      </c>
      <c r="V54" s="49">
        <v>3</v>
      </c>
      <c r="W54" s="49">
        <v>2</v>
      </c>
      <c r="X54" s="58"/>
      <c r="Y54" s="83" t="s">
        <v>78</v>
      </c>
      <c r="Z54" s="49">
        <v>35</v>
      </c>
      <c r="AA54" s="49">
        <v>36</v>
      </c>
      <c r="AJ54" s="49">
        <v>0</v>
      </c>
      <c r="AK54" s="83">
        <v>0</v>
      </c>
      <c r="AL54" s="49">
        <v>0</v>
      </c>
      <c r="AM54" s="49">
        <v>0</v>
      </c>
      <c r="AN54" s="49">
        <v>0</v>
      </c>
      <c r="AO54" s="58">
        <v>0</v>
      </c>
      <c r="AP54" s="174" t="s">
        <v>284</v>
      </c>
      <c r="AQ54" s="175" t="s">
        <v>284</v>
      </c>
      <c r="AR54" s="175" t="s">
        <v>284</v>
      </c>
      <c r="AS54" s="175" t="s">
        <v>284</v>
      </c>
      <c r="AT54" s="175" t="s">
        <v>284</v>
      </c>
      <c r="AU54" s="175" t="s">
        <v>284</v>
      </c>
      <c r="AV54" s="175" t="s">
        <v>284</v>
      </c>
      <c r="AW54" s="175" t="s">
        <v>284</v>
      </c>
      <c r="AX54" s="83">
        <v>0</v>
      </c>
      <c r="AY54" s="49">
        <v>0</v>
      </c>
      <c r="AZ54" s="49">
        <v>0</v>
      </c>
      <c r="BA54" s="49">
        <v>0</v>
      </c>
      <c r="BB54" s="58">
        <v>0</v>
      </c>
      <c r="BC54" s="42">
        <v>79</v>
      </c>
      <c r="BS54" s="58"/>
      <c r="BT54" s="83"/>
      <c r="CE54" s="83"/>
      <c r="CK54" s="58"/>
      <c r="CL54" s="83"/>
      <c r="CO54" s="58"/>
      <c r="CP54" s="83"/>
      <c r="CR54" s="58"/>
      <c r="CS54" s="83"/>
      <c r="CY54" s="83"/>
      <c r="DG54" s="58"/>
      <c r="DH54" s="83"/>
      <c r="DQ54" s="83"/>
      <c r="EE54" s="58"/>
      <c r="EF54" s="83"/>
      <c r="EI54" s="83"/>
      <c r="EK54" s="58"/>
      <c r="EL54" s="83"/>
      <c r="EO54" s="58"/>
      <c r="EP54" s="83"/>
      <c r="EQ54" s="58"/>
      <c r="ER54" s="83"/>
      <c r="ES54" s="58"/>
      <c r="ET54" s="83"/>
      <c r="EU54" s="58"/>
    </row>
    <row r="55" spans="1:151">
      <c r="A55" s="87" t="s">
        <v>319</v>
      </c>
      <c r="B55" s="7" t="s">
        <v>86</v>
      </c>
      <c r="C55" s="7" t="s">
        <v>499</v>
      </c>
      <c r="D55" s="147" t="s">
        <v>64</v>
      </c>
      <c r="E55" s="148"/>
      <c r="F55" s="148" t="s">
        <v>286</v>
      </c>
      <c r="G55" s="73">
        <v>-4.3681666666666663</v>
      </c>
      <c r="H55" s="148">
        <v>3206</v>
      </c>
      <c r="I55" s="148">
        <v>1308</v>
      </c>
      <c r="J55" s="158">
        <v>1.0234741784037558</v>
      </c>
      <c r="K55" s="148">
        <v>4</v>
      </c>
      <c r="L55" s="148">
        <v>5</v>
      </c>
      <c r="M55" s="147">
        <v>0</v>
      </c>
      <c r="N55" s="148">
        <v>0</v>
      </c>
      <c r="O55" s="148">
        <v>0</v>
      </c>
      <c r="P55" s="148">
        <v>0</v>
      </c>
      <c r="Q55" s="149">
        <v>0</v>
      </c>
      <c r="R55" s="87">
        <v>0</v>
      </c>
      <c r="S55" s="147" t="s">
        <v>283</v>
      </c>
      <c r="T55" s="148">
        <v>4</v>
      </c>
      <c r="U55" s="147">
        <v>1</v>
      </c>
      <c r="V55" s="148">
        <v>5</v>
      </c>
      <c r="W55" s="148">
        <v>2</v>
      </c>
      <c r="X55" s="149"/>
      <c r="Y55" s="147">
        <v>1</v>
      </c>
      <c r="Z55" s="148">
        <v>6</v>
      </c>
      <c r="AA55" s="148">
        <v>33</v>
      </c>
      <c r="AB55" s="148"/>
      <c r="AC55" s="148"/>
      <c r="AD55" s="148">
        <v>22</v>
      </c>
      <c r="AE55" s="148">
        <v>60</v>
      </c>
      <c r="AF55" s="148"/>
      <c r="AG55" s="148"/>
      <c r="AH55" s="148"/>
      <c r="AI55" s="148"/>
      <c r="AJ55" s="148">
        <v>0</v>
      </c>
      <c r="AK55" s="147">
        <v>0</v>
      </c>
      <c r="AL55" s="148">
        <v>0</v>
      </c>
      <c r="AM55" s="148">
        <v>0</v>
      </c>
      <c r="AN55" s="148">
        <v>0</v>
      </c>
      <c r="AO55" s="149">
        <v>0</v>
      </c>
      <c r="AP55" s="169" t="s">
        <v>284</v>
      </c>
      <c r="AQ55" s="170" t="s">
        <v>284</v>
      </c>
      <c r="AR55" s="170" t="s">
        <v>284</v>
      </c>
      <c r="AS55" s="170" t="s">
        <v>284</v>
      </c>
      <c r="AT55" s="170" t="s">
        <v>284</v>
      </c>
      <c r="AU55" s="170" t="s">
        <v>284</v>
      </c>
      <c r="AV55" s="170" t="s">
        <v>284</v>
      </c>
      <c r="AW55" s="170" t="s">
        <v>284</v>
      </c>
      <c r="AX55" s="147">
        <v>0</v>
      </c>
      <c r="AY55" s="148">
        <v>0</v>
      </c>
      <c r="AZ55" s="148">
        <v>0</v>
      </c>
      <c r="BA55" s="148">
        <v>0</v>
      </c>
      <c r="BB55" s="149">
        <v>0</v>
      </c>
      <c r="BC55" s="87">
        <v>43</v>
      </c>
      <c r="BD55" s="148"/>
      <c r="BE55" s="158"/>
      <c r="BF55" s="148"/>
      <c r="BG55" s="148"/>
      <c r="BH55" s="148"/>
      <c r="BI55" s="148"/>
      <c r="BJ55" s="148"/>
      <c r="BK55" s="148"/>
      <c r="BL55" s="148"/>
      <c r="BM55" s="148"/>
      <c r="BN55" s="148"/>
      <c r="BO55" s="148"/>
      <c r="BP55" s="148"/>
      <c r="BQ55" s="148"/>
      <c r="BR55" s="148"/>
      <c r="BS55" s="149"/>
      <c r="BT55" s="147"/>
      <c r="BU55" s="148"/>
      <c r="BV55" s="148"/>
      <c r="BW55" s="148"/>
      <c r="BX55" s="148"/>
      <c r="BY55" s="148"/>
      <c r="BZ55" s="148"/>
      <c r="CA55" s="148"/>
      <c r="CB55" s="148"/>
      <c r="CC55" s="148"/>
      <c r="CD55" s="148"/>
      <c r="CE55" s="147"/>
      <c r="CF55" s="148"/>
      <c r="CG55" s="148"/>
      <c r="CH55" s="148"/>
      <c r="CI55" s="148"/>
      <c r="CJ55" s="148"/>
      <c r="CK55" s="149"/>
      <c r="CL55" s="147"/>
      <c r="CM55" s="148"/>
      <c r="CN55" s="148"/>
      <c r="CO55" s="149"/>
      <c r="CP55" s="147"/>
      <c r="CQ55" s="148"/>
      <c r="CR55" s="149"/>
      <c r="CS55" s="147"/>
      <c r="CT55" s="148"/>
      <c r="CU55" s="148"/>
      <c r="CV55" s="148"/>
      <c r="CW55" s="148"/>
      <c r="CX55" s="148"/>
      <c r="CY55" s="147"/>
      <c r="CZ55" s="148"/>
      <c r="DA55" s="148"/>
      <c r="DB55" s="148"/>
      <c r="DC55" s="148"/>
      <c r="DD55" s="148"/>
      <c r="DE55" s="148"/>
      <c r="DF55" s="148"/>
      <c r="DG55" s="149"/>
      <c r="DH55" s="147"/>
      <c r="DI55" s="148"/>
      <c r="DJ55" s="148"/>
      <c r="DK55" s="148"/>
      <c r="DL55" s="148"/>
      <c r="DM55" s="148"/>
      <c r="DN55" s="148"/>
      <c r="DO55" s="148"/>
      <c r="DP55" s="148"/>
      <c r="DQ55" s="147"/>
      <c r="DR55" s="148"/>
      <c r="DS55" s="148"/>
      <c r="DT55" s="148"/>
      <c r="DU55" s="148"/>
      <c r="DV55" s="148"/>
      <c r="DW55" s="148"/>
      <c r="DX55" s="148"/>
      <c r="DY55" s="148"/>
      <c r="DZ55" s="148"/>
      <c r="EA55" s="148"/>
      <c r="EB55" s="148"/>
      <c r="EC55" s="148"/>
      <c r="ED55" s="148"/>
      <c r="EE55" s="149"/>
      <c r="EF55" s="147"/>
      <c r="EG55" s="148"/>
      <c r="EH55" s="148"/>
      <c r="EI55" s="147"/>
      <c r="EJ55" s="148"/>
      <c r="EK55" s="149"/>
      <c r="EL55" s="147"/>
      <c r="EM55" s="148"/>
      <c r="EN55" s="148"/>
      <c r="EO55" s="149"/>
      <c r="EP55" s="147"/>
      <c r="EQ55" s="149"/>
      <c r="ER55" s="147"/>
      <c r="ES55" s="149"/>
      <c r="ET55" s="147"/>
      <c r="EU55" s="149"/>
    </row>
    <row r="56" spans="1:151">
      <c r="A56" s="42" t="s">
        <v>319</v>
      </c>
      <c r="B56" s="173" t="s">
        <v>86</v>
      </c>
      <c r="C56" s="173" t="s">
        <v>499</v>
      </c>
      <c r="D56" s="83" t="s">
        <v>73</v>
      </c>
      <c r="E56" s="49" t="s">
        <v>0</v>
      </c>
      <c r="F56" s="49" t="s">
        <v>287</v>
      </c>
      <c r="G56" s="60">
        <v>-4.3681666666666663</v>
      </c>
      <c r="H56" s="49">
        <v>3206</v>
      </c>
      <c r="I56" s="49">
        <v>645</v>
      </c>
      <c r="J56" s="159">
        <v>1.4082969432314409</v>
      </c>
      <c r="K56" s="49">
        <v>4</v>
      </c>
      <c r="L56" s="49">
        <v>3</v>
      </c>
      <c r="M56" s="83">
        <v>0</v>
      </c>
      <c r="N56" s="49">
        <v>0</v>
      </c>
      <c r="O56" s="49">
        <v>1</v>
      </c>
      <c r="P56" s="49">
        <v>1</v>
      </c>
      <c r="Q56" s="58">
        <v>0</v>
      </c>
      <c r="R56" s="42">
        <v>2</v>
      </c>
      <c r="S56" s="83" t="s">
        <v>283</v>
      </c>
      <c r="T56" s="49">
        <v>5</v>
      </c>
      <c r="U56" s="83">
        <v>2</v>
      </c>
      <c r="V56" s="49">
        <v>3</v>
      </c>
      <c r="W56" s="49">
        <v>3</v>
      </c>
      <c r="X56" s="58">
        <v>1</v>
      </c>
      <c r="Y56" s="83">
        <v>0</v>
      </c>
      <c r="AJ56" s="49">
        <v>0</v>
      </c>
      <c r="AK56" s="83">
        <v>0</v>
      </c>
      <c r="AL56" s="49">
        <v>1</v>
      </c>
      <c r="AM56" s="49">
        <v>0</v>
      </c>
      <c r="AN56" s="49">
        <v>0</v>
      </c>
      <c r="AO56" s="58">
        <v>0</v>
      </c>
      <c r="AP56" s="174">
        <v>0</v>
      </c>
      <c r="AQ56" s="175">
        <v>286</v>
      </c>
      <c r="AR56" s="175" t="s">
        <v>284</v>
      </c>
      <c r="AS56" s="175" t="s">
        <v>284</v>
      </c>
      <c r="AT56" s="175" t="s">
        <v>284</v>
      </c>
      <c r="AU56" s="175" t="s">
        <v>284</v>
      </c>
      <c r="AV56" s="175" t="s">
        <v>284</v>
      </c>
      <c r="AW56" s="175" t="s">
        <v>284</v>
      </c>
      <c r="AX56" s="83">
        <v>0</v>
      </c>
      <c r="AY56" s="49">
        <v>0</v>
      </c>
      <c r="AZ56" s="49">
        <v>0</v>
      </c>
      <c r="BA56" s="49">
        <v>0</v>
      </c>
      <c r="BB56" s="58">
        <v>0</v>
      </c>
      <c r="BC56" s="42">
        <v>132</v>
      </c>
      <c r="BS56" s="58"/>
      <c r="BT56" s="83"/>
      <c r="CE56" s="83"/>
      <c r="CK56" s="58"/>
      <c r="CL56" s="83"/>
      <c r="CO56" s="58"/>
      <c r="CP56" s="83"/>
      <c r="CR56" s="58"/>
      <c r="CS56" s="83"/>
      <c r="CY56" s="83"/>
      <c r="DG56" s="58"/>
      <c r="DH56" s="83"/>
      <c r="DQ56" s="83"/>
      <c r="EE56" s="58"/>
      <c r="EF56" s="83"/>
      <c r="EI56" s="83"/>
      <c r="EK56" s="58"/>
      <c r="EL56" s="83"/>
      <c r="EO56" s="58"/>
      <c r="EP56" s="83"/>
      <c r="EQ56" s="58"/>
      <c r="ER56" s="83"/>
      <c r="ES56" s="58"/>
      <c r="ET56" s="83"/>
      <c r="EU56" s="58"/>
    </row>
    <row r="57" spans="1:151">
      <c r="A57" s="42" t="s">
        <v>319</v>
      </c>
      <c r="B57" s="173" t="s">
        <v>86</v>
      </c>
      <c r="C57" s="173" t="s">
        <v>499</v>
      </c>
      <c r="D57" s="83" t="s">
        <v>73</v>
      </c>
      <c r="E57" s="49" t="s">
        <v>1</v>
      </c>
      <c r="F57" s="49" t="s">
        <v>287</v>
      </c>
      <c r="G57" s="60">
        <v>-4.3681666666666663</v>
      </c>
      <c r="H57" s="49">
        <v>3206</v>
      </c>
      <c r="I57" s="49">
        <v>274</v>
      </c>
      <c r="J57" s="159">
        <v>1.2626728110599079</v>
      </c>
      <c r="K57" s="49">
        <v>4</v>
      </c>
      <c r="L57" s="49">
        <v>4</v>
      </c>
      <c r="M57" s="83">
        <v>0</v>
      </c>
      <c r="N57" s="49">
        <v>0</v>
      </c>
      <c r="O57" s="49">
        <v>0</v>
      </c>
      <c r="P57" s="49">
        <v>0</v>
      </c>
      <c r="Q57" s="58">
        <v>0</v>
      </c>
      <c r="R57" s="42">
        <v>0</v>
      </c>
      <c r="S57" s="83">
        <v>1</v>
      </c>
      <c r="U57" s="83">
        <v>1</v>
      </c>
      <c r="V57" s="49">
        <v>3</v>
      </c>
      <c r="W57" s="49">
        <v>2</v>
      </c>
      <c r="X57" s="58"/>
      <c r="Y57" s="83">
        <v>0</v>
      </c>
      <c r="AJ57" s="49">
        <v>0</v>
      </c>
      <c r="AK57" s="83">
        <v>0</v>
      </c>
      <c r="AL57" s="49">
        <v>0</v>
      </c>
      <c r="AM57" s="49">
        <v>0</v>
      </c>
      <c r="AN57" s="49">
        <v>0</v>
      </c>
      <c r="AO57" s="58">
        <v>0</v>
      </c>
      <c r="AP57" s="174" t="s">
        <v>284</v>
      </c>
      <c r="AQ57" s="175" t="s">
        <v>284</v>
      </c>
      <c r="AR57" s="175" t="s">
        <v>284</v>
      </c>
      <c r="AS57" s="175" t="s">
        <v>284</v>
      </c>
      <c r="AT57" s="175" t="s">
        <v>284</v>
      </c>
      <c r="AU57" s="175" t="s">
        <v>284</v>
      </c>
      <c r="AV57" s="175" t="s">
        <v>284</v>
      </c>
      <c r="AW57" s="175" t="s">
        <v>284</v>
      </c>
      <c r="AX57" s="83">
        <v>0</v>
      </c>
      <c r="AY57" s="49">
        <v>0</v>
      </c>
      <c r="AZ57" s="49">
        <v>0</v>
      </c>
      <c r="BA57" s="49">
        <v>0</v>
      </c>
      <c r="BB57" s="58"/>
      <c r="BC57" s="42">
        <v>132</v>
      </c>
      <c r="BS57" s="58"/>
      <c r="BT57" s="83"/>
      <c r="CE57" s="83"/>
      <c r="CK57" s="58"/>
      <c r="CL57" s="83"/>
      <c r="CO57" s="58"/>
      <c r="CP57" s="83"/>
      <c r="CR57" s="58"/>
      <c r="CS57" s="83"/>
      <c r="CY57" s="83"/>
      <c r="DG57" s="58"/>
      <c r="DH57" s="83"/>
      <c r="DQ57" s="83"/>
      <c r="EE57" s="58"/>
      <c r="EF57" s="83"/>
      <c r="EI57" s="83"/>
      <c r="EK57" s="58"/>
      <c r="EL57" s="83"/>
      <c r="EO57" s="58"/>
      <c r="EP57" s="83"/>
      <c r="EQ57" s="58"/>
      <c r="ER57" s="83"/>
      <c r="ES57" s="58"/>
      <c r="ET57" s="83"/>
      <c r="EU57" s="58"/>
    </row>
    <row r="58" spans="1:151">
      <c r="A58" s="42" t="s">
        <v>319</v>
      </c>
      <c r="B58" s="173" t="s">
        <v>86</v>
      </c>
      <c r="C58" s="173" t="s">
        <v>499</v>
      </c>
      <c r="D58" s="83" t="s">
        <v>87</v>
      </c>
      <c r="F58" s="49" t="s">
        <v>286</v>
      </c>
      <c r="G58" s="60">
        <v>-4.3681666666666663</v>
      </c>
      <c r="H58" s="49">
        <v>3206</v>
      </c>
      <c r="I58" s="49">
        <v>4270</v>
      </c>
      <c r="J58" s="159">
        <v>2.3854748603351954</v>
      </c>
      <c r="K58" s="49">
        <v>1</v>
      </c>
      <c r="L58" s="49">
        <v>2</v>
      </c>
      <c r="M58" s="83">
        <v>0</v>
      </c>
      <c r="N58" s="49">
        <v>0</v>
      </c>
      <c r="O58" s="49">
        <v>1</v>
      </c>
      <c r="P58" s="49">
        <v>0</v>
      </c>
      <c r="Q58" s="58">
        <v>0</v>
      </c>
      <c r="R58" s="42">
        <v>1</v>
      </c>
      <c r="S58" s="83" t="s">
        <v>283</v>
      </c>
      <c r="T58" s="49">
        <v>5</v>
      </c>
      <c r="U58" s="83">
        <v>2</v>
      </c>
      <c r="V58" s="49">
        <v>2</v>
      </c>
      <c r="W58" s="49">
        <v>3</v>
      </c>
      <c r="X58" s="58">
        <v>1</v>
      </c>
      <c r="Y58" s="83">
        <v>10</v>
      </c>
      <c r="Z58" s="49">
        <v>10</v>
      </c>
      <c r="AA58" s="49">
        <v>60</v>
      </c>
      <c r="AD58" s="49">
        <v>170</v>
      </c>
      <c r="AE58" s="49">
        <v>390</v>
      </c>
      <c r="AF58" s="49">
        <v>50</v>
      </c>
      <c r="AG58" s="49">
        <v>160</v>
      </c>
      <c r="AI58" s="49">
        <v>1590</v>
      </c>
      <c r="AJ58" s="49">
        <v>0</v>
      </c>
      <c r="AK58" s="83">
        <v>0</v>
      </c>
      <c r="AL58" s="49">
        <v>1</v>
      </c>
      <c r="AM58" s="49">
        <v>0</v>
      </c>
      <c r="AN58" s="49">
        <v>0</v>
      </c>
      <c r="AO58" s="58">
        <v>0</v>
      </c>
      <c r="AP58" s="174">
        <v>465</v>
      </c>
      <c r="AQ58" s="175">
        <v>1672</v>
      </c>
      <c r="AR58" s="175">
        <v>0</v>
      </c>
      <c r="AS58" s="175">
        <v>0</v>
      </c>
      <c r="AT58" s="175">
        <v>0</v>
      </c>
      <c r="AU58" s="175">
        <v>0</v>
      </c>
      <c r="AV58" s="175">
        <v>0</v>
      </c>
      <c r="AW58" s="175">
        <v>0</v>
      </c>
      <c r="AX58" s="83">
        <v>0</v>
      </c>
      <c r="AY58" s="49">
        <v>0</v>
      </c>
      <c r="AZ58" s="49">
        <v>0</v>
      </c>
      <c r="BA58" s="49">
        <v>0</v>
      </c>
      <c r="BB58" s="58">
        <v>0</v>
      </c>
      <c r="BC58" s="42">
        <v>88</v>
      </c>
      <c r="BS58" s="58"/>
      <c r="BT58" s="83"/>
      <c r="CE58" s="83"/>
      <c r="CK58" s="58"/>
      <c r="CL58" s="83"/>
      <c r="CO58" s="58"/>
      <c r="CP58" s="83"/>
      <c r="CR58" s="58"/>
      <c r="CS58" s="83"/>
      <c r="CY58" s="83"/>
      <c r="DG58" s="58"/>
      <c r="DH58" s="83"/>
      <c r="DQ58" s="83"/>
      <c r="EE58" s="58"/>
      <c r="EF58" s="83"/>
      <c r="EI58" s="83"/>
      <c r="EK58" s="58"/>
      <c r="EL58" s="83"/>
      <c r="EO58" s="58"/>
      <c r="EP58" s="83"/>
      <c r="EQ58" s="58"/>
      <c r="ER58" s="83"/>
      <c r="ES58" s="58"/>
      <c r="ET58" s="83"/>
      <c r="EU58" s="58"/>
    </row>
    <row r="59" spans="1:151">
      <c r="A59" s="42" t="s">
        <v>319</v>
      </c>
      <c r="B59" s="173" t="s">
        <v>86</v>
      </c>
      <c r="C59" s="173" t="s">
        <v>499</v>
      </c>
      <c r="D59" s="83" t="s">
        <v>88</v>
      </c>
      <c r="F59" s="49" t="s">
        <v>287</v>
      </c>
      <c r="G59" s="60">
        <v>-4.3681666666666663</v>
      </c>
      <c r="H59" s="49">
        <v>3206</v>
      </c>
      <c r="I59" s="49">
        <v>595</v>
      </c>
      <c r="J59" s="159">
        <v>1.162109375</v>
      </c>
      <c r="K59" s="49">
        <v>4</v>
      </c>
      <c r="L59" s="49">
        <v>5</v>
      </c>
      <c r="M59" s="83">
        <v>0</v>
      </c>
      <c r="N59" s="49">
        <v>2</v>
      </c>
      <c r="O59" s="49">
        <v>0</v>
      </c>
      <c r="P59" s="49">
        <v>0</v>
      </c>
      <c r="Q59" s="58">
        <v>0</v>
      </c>
      <c r="R59" s="42">
        <v>2</v>
      </c>
      <c r="S59" s="83" t="s">
        <v>283</v>
      </c>
      <c r="T59" s="49">
        <v>6</v>
      </c>
      <c r="U59" s="83">
        <v>1</v>
      </c>
      <c r="V59" s="49">
        <v>5</v>
      </c>
      <c r="W59" s="49">
        <v>2</v>
      </c>
      <c r="X59" s="58"/>
      <c r="Y59" s="83">
        <v>1</v>
      </c>
      <c r="AA59" s="49">
        <v>9</v>
      </c>
      <c r="AG59" s="49">
        <v>25</v>
      </c>
      <c r="AJ59" s="49">
        <v>0</v>
      </c>
      <c r="AK59" s="83">
        <v>0</v>
      </c>
      <c r="AL59" s="49">
        <v>0</v>
      </c>
      <c r="AM59" s="49">
        <v>0</v>
      </c>
      <c r="AN59" s="49">
        <v>0</v>
      </c>
      <c r="AO59" s="58"/>
      <c r="AP59" s="174" t="s">
        <v>284</v>
      </c>
      <c r="AQ59" s="175" t="s">
        <v>284</v>
      </c>
      <c r="AR59" s="175" t="s">
        <v>284</v>
      </c>
      <c r="AS59" s="175" t="s">
        <v>284</v>
      </c>
      <c r="AT59" s="175" t="s">
        <v>284</v>
      </c>
      <c r="AU59" s="175" t="s">
        <v>284</v>
      </c>
      <c r="AV59" s="175" t="s">
        <v>284</v>
      </c>
      <c r="AW59" s="175" t="s">
        <v>284</v>
      </c>
      <c r="AX59" s="83">
        <v>0</v>
      </c>
      <c r="AY59" s="49">
        <v>0</v>
      </c>
      <c r="AZ59" s="49">
        <v>0</v>
      </c>
      <c r="BA59" s="49">
        <v>0</v>
      </c>
      <c r="BB59" s="58">
        <v>0</v>
      </c>
      <c r="BC59" s="42">
        <v>58</v>
      </c>
      <c r="BS59" s="58"/>
      <c r="BT59" s="83"/>
      <c r="CE59" s="83"/>
      <c r="CK59" s="58"/>
      <c r="CL59" s="83"/>
      <c r="CO59" s="58"/>
      <c r="CP59" s="83"/>
      <c r="CR59" s="58"/>
      <c r="CS59" s="83"/>
      <c r="CY59" s="83"/>
      <c r="DG59" s="58"/>
      <c r="DH59" s="83"/>
      <c r="DQ59" s="83"/>
      <c r="EE59" s="58"/>
      <c r="EF59" s="83"/>
      <c r="EI59" s="83"/>
      <c r="EK59" s="58"/>
      <c r="EL59" s="83"/>
      <c r="EO59" s="58"/>
      <c r="EP59" s="83"/>
      <c r="EQ59" s="58"/>
      <c r="ER59" s="83"/>
      <c r="ES59" s="58"/>
      <c r="ET59" s="83"/>
      <c r="EU59" s="58"/>
    </row>
    <row r="60" spans="1:151">
      <c r="A60" s="42" t="s">
        <v>319</v>
      </c>
      <c r="B60" s="173" t="s">
        <v>86</v>
      </c>
      <c r="C60" s="173" t="s">
        <v>499</v>
      </c>
      <c r="D60" s="83" t="s">
        <v>65</v>
      </c>
      <c r="F60" s="49" t="s">
        <v>286</v>
      </c>
      <c r="G60" s="60">
        <v>-4.3681666666666663</v>
      </c>
      <c r="H60" s="49">
        <v>3206</v>
      </c>
      <c r="I60" s="49">
        <v>2560</v>
      </c>
      <c r="J60" s="159">
        <v>5.12</v>
      </c>
      <c r="K60" s="49">
        <v>1</v>
      </c>
      <c r="L60" s="49">
        <v>3</v>
      </c>
      <c r="M60" s="83">
        <v>0</v>
      </c>
      <c r="N60" s="49">
        <v>1</v>
      </c>
      <c r="O60" s="49">
        <v>0</v>
      </c>
      <c r="P60" s="49">
        <v>0</v>
      </c>
      <c r="Q60" s="58">
        <v>0</v>
      </c>
      <c r="R60" s="42">
        <v>1</v>
      </c>
      <c r="S60" s="83" t="s">
        <v>283</v>
      </c>
      <c r="T60" s="49">
        <v>11</v>
      </c>
      <c r="U60" s="83">
        <v>1</v>
      </c>
      <c r="V60" s="49">
        <v>2</v>
      </c>
      <c r="W60" s="49">
        <v>2</v>
      </c>
      <c r="X60" s="58"/>
      <c r="Y60" s="83">
        <v>10</v>
      </c>
      <c r="Z60" s="49">
        <v>10</v>
      </c>
      <c r="AA60" s="49">
        <v>90</v>
      </c>
      <c r="AB60" s="49">
        <v>0</v>
      </c>
      <c r="AC60" s="49">
        <v>0</v>
      </c>
      <c r="AD60" s="49">
        <v>40</v>
      </c>
      <c r="AE60" s="49">
        <v>100</v>
      </c>
      <c r="AF60" s="49">
        <v>20</v>
      </c>
      <c r="AG60" s="49">
        <v>120</v>
      </c>
      <c r="AI60" s="49">
        <v>590</v>
      </c>
      <c r="AJ60" s="49">
        <v>0</v>
      </c>
      <c r="AK60" s="83">
        <v>0</v>
      </c>
      <c r="AL60" s="49">
        <v>1</v>
      </c>
      <c r="AM60" s="49">
        <v>0</v>
      </c>
      <c r="AN60" s="49">
        <v>0</v>
      </c>
      <c r="AO60" s="58">
        <v>0</v>
      </c>
      <c r="AP60" s="174">
        <v>0</v>
      </c>
      <c r="AQ60" s="175">
        <v>847</v>
      </c>
      <c r="AR60" s="175">
        <v>0</v>
      </c>
      <c r="AS60" s="175">
        <v>0</v>
      </c>
      <c r="AT60" s="175">
        <v>0</v>
      </c>
      <c r="AU60" s="175">
        <v>0</v>
      </c>
      <c r="AV60" s="175">
        <v>0</v>
      </c>
      <c r="AW60" s="175">
        <v>0</v>
      </c>
      <c r="AX60" s="83">
        <v>0</v>
      </c>
      <c r="AY60" s="49">
        <v>0</v>
      </c>
      <c r="AZ60" s="49">
        <v>0</v>
      </c>
      <c r="BA60" s="49">
        <v>0</v>
      </c>
      <c r="BB60" s="58">
        <v>0</v>
      </c>
      <c r="BC60" s="42">
        <v>64</v>
      </c>
      <c r="BS60" s="58"/>
      <c r="BT60" s="83"/>
      <c r="CE60" s="83"/>
      <c r="CK60" s="58"/>
      <c r="CL60" s="83"/>
      <c r="CO60" s="58"/>
      <c r="CP60" s="83"/>
      <c r="CR60" s="58"/>
      <c r="CS60" s="83"/>
      <c r="CY60" s="83"/>
      <c r="DG60" s="58"/>
      <c r="DH60" s="83"/>
      <c r="DQ60" s="83"/>
      <c r="EE60" s="58"/>
      <c r="EF60" s="83"/>
      <c r="EI60" s="83"/>
      <c r="EK60" s="58"/>
      <c r="EL60" s="83"/>
      <c r="EO60" s="58"/>
      <c r="EP60" s="83"/>
      <c r="EQ60" s="58"/>
      <c r="ER60" s="83"/>
      <c r="ES60" s="58"/>
      <c r="ET60" s="83"/>
      <c r="EU60" s="58"/>
    </row>
    <row r="61" spans="1:151">
      <c r="A61" s="42" t="s">
        <v>319</v>
      </c>
      <c r="B61" s="173" t="s">
        <v>86</v>
      </c>
      <c r="C61" s="173" t="s">
        <v>499</v>
      </c>
      <c r="D61" s="83" t="s">
        <v>89</v>
      </c>
      <c r="E61" s="49" t="s">
        <v>0</v>
      </c>
      <c r="F61" s="49" t="s">
        <v>287</v>
      </c>
      <c r="G61" s="60">
        <v>-4.3681666666666663</v>
      </c>
      <c r="H61" s="49">
        <v>3206</v>
      </c>
      <c r="I61" s="49">
        <v>744</v>
      </c>
      <c r="J61" s="159">
        <v>2.0666666666666669</v>
      </c>
      <c r="K61" s="49">
        <v>4</v>
      </c>
      <c r="L61" s="49">
        <v>4</v>
      </c>
      <c r="M61" s="83">
        <v>0</v>
      </c>
      <c r="N61" s="49">
        <v>0</v>
      </c>
      <c r="O61" s="49">
        <v>0</v>
      </c>
      <c r="P61" s="49">
        <v>0</v>
      </c>
      <c r="Q61" s="58">
        <v>0</v>
      </c>
      <c r="R61" s="42">
        <v>0</v>
      </c>
      <c r="S61" s="83" t="s">
        <v>283</v>
      </c>
      <c r="T61" s="49">
        <v>4</v>
      </c>
      <c r="U61" s="83">
        <v>1</v>
      </c>
      <c r="V61" s="49">
        <v>4</v>
      </c>
      <c r="W61" s="49">
        <v>2</v>
      </c>
      <c r="X61" s="58"/>
      <c r="Y61" s="83">
        <v>0</v>
      </c>
      <c r="AJ61" s="49">
        <v>0</v>
      </c>
      <c r="AK61" s="83">
        <v>0</v>
      </c>
      <c r="AL61" s="49">
        <v>0</v>
      </c>
      <c r="AM61" s="49">
        <v>0</v>
      </c>
      <c r="AN61" s="49">
        <v>0</v>
      </c>
      <c r="AO61" s="58">
        <v>0</v>
      </c>
      <c r="AP61" s="174" t="s">
        <v>284</v>
      </c>
      <c r="AQ61" s="175" t="s">
        <v>284</v>
      </c>
      <c r="AR61" s="175" t="s">
        <v>284</v>
      </c>
      <c r="AS61" s="175" t="s">
        <v>284</v>
      </c>
      <c r="AT61" s="175" t="s">
        <v>284</v>
      </c>
      <c r="AU61" s="175" t="s">
        <v>284</v>
      </c>
      <c r="AV61" s="175" t="s">
        <v>284</v>
      </c>
      <c r="AW61" s="175" t="s">
        <v>284</v>
      </c>
      <c r="AX61" s="83">
        <v>0</v>
      </c>
      <c r="AY61" s="49">
        <v>0</v>
      </c>
      <c r="AZ61" s="49">
        <v>0</v>
      </c>
      <c r="BA61" s="49">
        <v>0</v>
      </c>
      <c r="BB61" s="58">
        <v>0</v>
      </c>
      <c r="BC61" s="42">
        <v>72</v>
      </c>
      <c r="BS61" s="58"/>
      <c r="BT61" s="83"/>
      <c r="CE61" s="83"/>
      <c r="CK61" s="58"/>
      <c r="CL61" s="83"/>
      <c r="CO61" s="58"/>
      <c r="CP61" s="83"/>
      <c r="CR61" s="58"/>
      <c r="CS61" s="83"/>
      <c r="CY61" s="83"/>
      <c r="DG61" s="58"/>
      <c r="DH61" s="83"/>
      <c r="DQ61" s="83"/>
      <c r="EE61" s="58"/>
      <c r="EF61" s="83"/>
      <c r="EI61" s="83"/>
      <c r="EK61" s="58"/>
      <c r="EL61" s="83"/>
      <c r="EO61" s="58"/>
      <c r="EP61" s="83"/>
      <c r="EQ61" s="58"/>
      <c r="ER61" s="83"/>
      <c r="ES61" s="58"/>
      <c r="ET61" s="83"/>
      <c r="EU61" s="58"/>
    </row>
    <row r="62" spans="1:151">
      <c r="A62" s="42" t="s">
        <v>319</v>
      </c>
      <c r="B62" s="173" t="s">
        <v>86</v>
      </c>
      <c r="C62" s="173" t="s">
        <v>499</v>
      </c>
      <c r="D62" s="83" t="s">
        <v>68</v>
      </c>
      <c r="F62" s="49" t="s">
        <v>286</v>
      </c>
      <c r="G62" s="60">
        <v>-4.3681666666666663</v>
      </c>
      <c r="H62" s="49">
        <v>3206</v>
      </c>
      <c r="I62" s="49">
        <v>3242</v>
      </c>
      <c r="J62" s="159">
        <v>2.5567823343848581</v>
      </c>
      <c r="K62" s="49">
        <v>4</v>
      </c>
      <c r="L62" s="49">
        <v>3</v>
      </c>
      <c r="M62" s="83">
        <v>0</v>
      </c>
      <c r="N62" s="49">
        <v>3</v>
      </c>
      <c r="O62" s="49">
        <v>0</v>
      </c>
      <c r="P62" s="49">
        <v>0</v>
      </c>
      <c r="Q62" s="58">
        <v>0</v>
      </c>
      <c r="R62" s="42">
        <v>3</v>
      </c>
      <c r="S62" s="83">
        <v>1</v>
      </c>
      <c r="U62" s="83">
        <v>1</v>
      </c>
      <c r="V62" s="49">
        <v>3</v>
      </c>
      <c r="W62" s="49">
        <v>2</v>
      </c>
      <c r="X62" s="58"/>
      <c r="Y62" s="83">
        <v>40</v>
      </c>
      <c r="Z62" s="49">
        <v>20</v>
      </c>
      <c r="AA62" s="49">
        <v>110</v>
      </c>
      <c r="AD62" s="49">
        <v>90</v>
      </c>
      <c r="AE62" s="49">
        <v>300</v>
      </c>
      <c r="AF62" s="49">
        <v>30</v>
      </c>
      <c r="AG62" s="49">
        <v>310</v>
      </c>
      <c r="AH62" s="49">
        <v>270</v>
      </c>
      <c r="AI62" s="49">
        <v>840</v>
      </c>
      <c r="AJ62" s="49">
        <v>0</v>
      </c>
      <c r="AK62" s="83">
        <v>0</v>
      </c>
      <c r="AL62" s="49">
        <v>1</v>
      </c>
      <c r="AM62" s="49">
        <v>0</v>
      </c>
      <c r="AN62" s="49">
        <v>0</v>
      </c>
      <c r="AO62" s="58">
        <v>0</v>
      </c>
      <c r="AP62" s="174">
        <v>0</v>
      </c>
      <c r="AQ62" s="175">
        <v>688</v>
      </c>
      <c r="AR62" s="175">
        <v>0</v>
      </c>
      <c r="AS62" s="175">
        <v>0</v>
      </c>
      <c r="AT62" s="175">
        <v>0</v>
      </c>
      <c r="AU62" s="175">
        <v>0</v>
      </c>
      <c r="AV62" s="175">
        <v>0</v>
      </c>
      <c r="AW62" s="175">
        <v>0</v>
      </c>
      <c r="AX62" s="83">
        <v>0</v>
      </c>
      <c r="AY62" s="49">
        <v>0</v>
      </c>
      <c r="AZ62" s="49">
        <v>0</v>
      </c>
      <c r="BA62" s="49">
        <v>0</v>
      </c>
      <c r="BB62" s="58">
        <v>0</v>
      </c>
      <c r="BC62" s="42"/>
      <c r="BS62" s="58"/>
      <c r="BT62" s="83"/>
      <c r="CE62" s="83"/>
      <c r="CK62" s="58"/>
      <c r="CL62" s="83"/>
      <c r="CO62" s="58"/>
      <c r="CP62" s="83"/>
      <c r="CR62" s="58"/>
      <c r="CS62" s="83"/>
      <c r="CY62" s="83"/>
      <c r="DG62" s="58"/>
      <c r="DH62" s="83"/>
      <c r="DQ62" s="83"/>
      <c r="EE62" s="58"/>
      <c r="EF62" s="83"/>
      <c r="EI62" s="83"/>
      <c r="EK62" s="58"/>
      <c r="EL62" s="83"/>
      <c r="EO62" s="58"/>
      <c r="EP62" s="83"/>
      <c r="EQ62" s="58"/>
      <c r="ER62" s="83"/>
      <c r="ES62" s="58"/>
      <c r="ET62" s="83"/>
      <c r="EU62" s="58"/>
    </row>
    <row r="63" spans="1:151">
      <c r="A63" s="42" t="s">
        <v>319</v>
      </c>
      <c r="B63" s="173" t="s">
        <v>86</v>
      </c>
      <c r="C63" s="173" t="s">
        <v>499</v>
      </c>
      <c r="D63" s="83" t="s">
        <v>69</v>
      </c>
      <c r="F63" s="49" t="s">
        <v>286</v>
      </c>
      <c r="G63" s="60">
        <v>-4.3681666666666663</v>
      </c>
      <c r="H63" s="49">
        <v>3206</v>
      </c>
      <c r="I63" s="49">
        <v>3440</v>
      </c>
      <c r="J63" s="159">
        <v>3.0714285714285716</v>
      </c>
      <c r="K63" s="49">
        <v>4</v>
      </c>
      <c r="L63" s="49">
        <v>4</v>
      </c>
      <c r="M63" s="83">
        <v>0</v>
      </c>
      <c r="N63" s="49">
        <v>2</v>
      </c>
      <c r="O63" s="49">
        <v>0</v>
      </c>
      <c r="P63" s="49">
        <v>1</v>
      </c>
      <c r="Q63" s="58">
        <v>0</v>
      </c>
      <c r="R63" s="42">
        <v>3</v>
      </c>
      <c r="S63" s="83">
        <v>1</v>
      </c>
      <c r="U63" s="83">
        <v>1</v>
      </c>
      <c r="V63" s="49">
        <v>4</v>
      </c>
      <c r="W63" s="49">
        <v>1</v>
      </c>
      <c r="X63" s="58">
        <v>2</v>
      </c>
      <c r="Y63" s="83">
        <v>3</v>
      </c>
      <c r="Z63" s="49">
        <v>10</v>
      </c>
      <c r="AA63" s="49">
        <v>40</v>
      </c>
      <c r="AF63" s="49">
        <v>60</v>
      </c>
      <c r="AG63" s="49">
        <v>160</v>
      </c>
      <c r="AH63" s="49">
        <v>50</v>
      </c>
      <c r="AI63" s="49">
        <v>200</v>
      </c>
      <c r="AJ63" s="49">
        <v>0</v>
      </c>
      <c r="AK63" s="83">
        <v>0</v>
      </c>
      <c r="AL63" s="49">
        <v>0</v>
      </c>
      <c r="AM63" s="49">
        <v>0</v>
      </c>
      <c r="AN63" s="49">
        <v>0</v>
      </c>
      <c r="AO63" s="58">
        <v>0</v>
      </c>
      <c r="AP63" s="174" t="s">
        <v>284</v>
      </c>
      <c r="AQ63" s="175" t="s">
        <v>284</v>
      </c>
      <c r="AR63" s="175" t="s">
        <v>284</v>
      </c>
      <c r="AS63" s="175" t="s">
        <v>284</v>
      </c>
      <c r="AT63" s="175" t="s">
        <v>284</v>
      </c>
      <c r="AU63" s="175" t="s">
        <v>284</v>
      </c>
      <c r="AV63" s="175" t="s">
        <v>284</v>
      </c>
      <c r="AW63" s="175" t="s">
        <v>284</v>
      </c>
      <c r="AX63" s="83">
        <v>0</v>
      </c>
      <c r="AY63" s="49">
        <v>0</v>
      </c>
      <c r="AZ63" s="49">
        <v>0</v>
      </c>
      <c r="BA63" s="49">
        <v>0</v>
      </c>
      <c r="BB63" s="58">
        <v>0</v>
      </c>
      <c r="BC63" s="42">
        <v>96</v>
      </c>
      <c r="BS63" s="58"/>
      <c r="BT63" s="83"/>
      <c r="CE63" s="83"/>
      <c r="CK63" s="58"/>
      <c r="CL63" s="83"/>
      <c r="CO63" s="58"/>
      <c r="CP63" s="83"/>
      <c r="CR63" s="58"/>
      <c r="CS63" s="83"/>
      <c r="CY63" s="83"/>
      <c r="DG63" s="58"/>
      <c r="DH63" s="83"/>
      <c r="DQ63" s="83"/>
      <c r="EE63" s="58"/>
      <c r="EF63" s="83"/>
      <c r="EI63" s="83"/>
      <c r="EK63" s="58"/>
      <c r="EL63" s="83"/>
      <c r="EO63" s="58"/>
      <c r="EP63" s="83"/>
      <c r="EQ63" s="58"/>
      <c r="ER63" s="83"/>
      <c r="ES63" s="58"/>
      <c r="ET63" s="83"/>
      <c r="EU63" s="58"/>
    </row>
    <row r="64" spans="1:151">
      <c r="A64" s="42" t="s">
        <v>319</v>
      </c>
      <c r="B64" s="173" t="s">
        <v>86</v>
      </c>
      <c r="C64" s="173" t="s">
        <v>499</v>
      </c>
      <c r="D64" s="83" t="s">
        <v>74</v>
      </c>
      <c r="F64" s="49" t="s">
        <v>286</v>
      </c>
      <c r="G64" s="60">
        <v>-4.3681666666666663</v>
      </c>
      <c r="H64" s="49">
        <v>3206</v>
      </c>
      <c r="I64" s="49">
        <v>1313</v>
      </c>
      <c r="J64" s="159">
        <v>1.4988584474885844</v>
      </c>
      <c r="K64" s="49">
        <v>4</v>
      </c>
      <c r="L64" s="49">
        <v>4</v>
      </c>
      <c r="M64" s="83">
        <v>0</v>
      </c>
      <c r="N64" s="49">
        <v>1</v>
      </c>
      <c r="O64" s="49">
        <v>0</v>
      </c>
      <c r="P64" s="49">
        <v>0</v>
      </c>
      <c r="Q64" s="58">
        <v>0</v>
      </c>
      <c r="R64" s="42">
        <v>1</v>
      </c>
      <c r="S64" s="83" t="s">
        <v>283</v>
      </c>
      <c r="T64" s="49">
        <v>4</v>
      </c>
      <c r="U64" s="83">
        <v>1</v>
      </c>
      <c r="V64" s="49">
        <v>3</v>
      </c>
      <c r="W64" s="49">
        <v>2</v>
      </c>
      <c r="X64" s="58"/>
      <c r="Y64" s="83">
        <v>2</v>
      </c>
      <c r="Z64" s="49">
        <v>10</v>
      </c>
      <c r="AA64" s="49">
        <v>24</v>
      </c>
      <c r="AE64" s="49">
        <v>67</v>
      </c>
      <c r="AF64" s="49">
        <v>14</v>
      </c>
      <c r="AG64" s="49">
        <v>40</v>
      </c>
      <c r="AJ64" s="49">
        <v>0</v>
      </c>
      <c r="AK64" s="83">
        <v>0</v>
      </c>
      <c r="AL64" s="49">
        <v>0</v>
      </c>
      <c r="AM64" s="49">
        <v>0</v>
      </c>
      <c r="AN64" s="49">
        <v>0</v>
      </c>
      <c r="AO64" s="58">
        <v>0</v>
      </c>
      <c r="AP64" s="174" t="s">
        <v>284</v>
      </c>
      <c r="AQ64" s="175" t="s">
        <v>284</v>
      </c>
      <c r="AR64" s="175" t="s">
        <v>284</v>
      </c>
      <c r="AS64" s="175" t="s">
        <v>284</v>
      </c>
      <c r="AT64" s="175" t="s">
        <v>284</v>
      </c>
      <c r="AU64" s="175" t="s">
        <v>284</v>
      </c>
      <c r="AV64" s="175" t="s">
        <v>284</v>
      </c>
      <c r="AW64" s="175" t="s">
        <v>284</v>
      </c>
      <c r="AX64" s="83">
        <v>0</v>
      </c>
      <c r="AY64" s="49">
        <v>0</v>
      </c>
      <c r="AZ64" s="49">
        <v>0</v>
      </c>
      <c r="BA64" s="49">
        <v>0</v>
      </c>
      <c r="BB64" s="58">
        <v>0</v>
      </c>
      <c r="BC64" s="42">
        <v>46</v>
      </c>
      <c r="BS64" s="58"/>
      <c r="BT64" s="83"/>
      <c r="CE64" s="83"/>
      <c r="CK64" s="58"/>
      <c r="CL64" s="83"/>
      <c r="CO64" s="58"/>
      <c r="CP64" s="83"/>
      <c r="CR64" s="58"/>
      <c r="CS64" s="83"/>
      <c r="CY64" s="83"/>
      <c r="DG64" s="58"/>
      <c r="DH64" s="83"/>
      <c r="DQ64" s="83"/>
      <c r="EE64" s="58"/>
      <c r="EF64" s="83"/>
      <c r="EI64" s="83"/>
      <c r="EK64" s="58"/>
      <c r="EL64" s="83"/>
      <c r="EO64" s="58"/>
      <c r="EP64" s="83"/>
      <c r="EQ64" s="58"/>
      <c r="ER64" s="83"/>
      <c r="ES64" s="58"/>
      <c r="ET64" s="83"/>
      <c r="EU64" s="58"/>
    </row>
    <row r="65" spans="1:151">
      <c r="A65" s="42" t="s">
        <v>319</v>
      </c>
      <c r="B65" s="173" t="s">
        <v>86</v>
      </c>
      <c r="C65" s="173" t="s">
        <v>499</v>
      </c>
      <c r="D65" s="83" t="s">
        <v>75</v>
      </c>
      <c r="F65" s="49" t="s">
        <v>286</v>
      </c>
      <c r="G65" s="60">
        <v>-4.3681666666666663</v>
      </c>
      <c r="H65" s="49">
        <v>3206</v>
      </c>
      <c r="I65" s="49">
        <v>1460</v>
      </c>
      <c r="J65" s="159">
        <v>1.4732593340060545</v>
      </c>
      <c r="K65" s="49">
        <v>4</v>
      </c>
      <c r="L65" s="49">
        <v>3</v>
      </c>
      <c r="M65" s="83">
        <v>0</v>
      </c>
      <c r="N65" s="49">
        <v>2</v>
      </c>
      <c r="O65" s="49">
        <v>0</v>
      </c>
      <c r="P65" s="49">
        <v>0</v>
      </c>
      <c r="Q65" s="58">
        <v>0</v>
      </c>
      <c r="R65" s="42">
        <v>2</v>
      </c>
      <c r="S65" s="83" t="s">
        <v>283</v>
      </c>
      <c r="T65" s="49">
        <v>5</v>
      </c>
      <c r="U65" s="83">
        <v>1</v>
      </c>
      <c r="V65" s="49">
        <v>3</v>
      </c>
      <c r="W65" s="49">
        <v>2</v>
      </c>
      <c r="X65" s="58"/>
      <c r="Y65" s="83">
        <v>2</v>
      </c>
      <c r="Z65" s="49">
        <v>6</v>
      </c>
      <c r="AA65" s="49">
        <v>24</v>
      </c>
      <c r="AD65" s="49">
        <v>128</v>
      </c>
      <c r="AE65" s="49">
        <v>309</v>
      </c>
      <c r="AJ65" s="49">
        <v>0</v>
      </c>
      <c r="AK65" s="83">
        <v>0</v>
      </c>
      <c r="AL65" s="49">
        <v>0</v>
      </c>
      <c r="AM65" s="49">
        <v>0</v>
      </c>
      <c r="AN65" s="49">
        <v>0</v>
      </c>
      <c r="AO65" s="58">
        <v>0</v>
      </c>
      <c r="AP65" s="174" t="s">
        <v>284</v>
      </c>
      <c r="AQ65" s="175" t="s">
        <v>284</v>
      </c>
      <c r="AR65" s="175" t="s">
        <v>284</v>
      </c>
      <c r="AS65" s="175" t="s">
        <v>284</v>
      </c>
      <c r="AT65" s="175" t="s">
        <v>284</v>
      </c>
      <c r="AU65" s="175" t="s">
        <v>284</v>
      </c>
      <c r="AV65" s="175" t="s">
        <v>284</v>
      </c>
      <c r="AW65" s="175" t="s">
        <v>284</v>
      </c>
      <c r="AX65" s="83">
        <v>0</v>
      </c>
      <c r="AY65" s="49">
        <v>0</v>
      </c>
      <c r="AZ65" s="49">
        <v>0</v>
      </c>
      <c r="BA65" s="49">
        <v>0</v>
      </c>
      <c r="BB65" s="58">
        <v>0</v>
      </c>
      <c r="BC65" s="42">
        <v>80</v>
      </c>
      <c r="BS65" s="58"/>
      <c r="BT65" s="83"/>
      <c r="CE65" s="83"/>
      <c r="CK65" s="58"/>
      <c r="CL65" s="83"/>
      <c r="CO65" s="58"/>
      <c r="CP65" s="83"/>
      <c r="CR65" s="58"/>
      <c r="CS65" s="83"/>
      <c r="CY65" s="83"/>
      <c r="DG65" s="58"/>
      <c r="DH65" s="83"/>
      <c r="DQ65" s="83"/>
      <c r="EE65" s="58"/>
      <c r="EF65" s="83"/>
      <c r="EI65" s="83"/>
      <c r="EK65" s="58"/>
      <c r="EL65" s="83"/>
      <c r="EO65" s="58"/>
      <c r="EP65" s="83"/>
      <c r="EQ65" s="58"/>
      <c r="ER65" s="83"/>
      <c r="ES65" s="58"/>
      <c r="ET65" s="83"/>
      <c r="EU65" s="58"/>
    </row>
    <row r="66" spans="1:151" ht="17" thickBot="1">
      <c r="A66" s="55" t="s">
        <v>319</v>
      </c>
      <c r="B66" s="47" t="s">
        <v>86</v>
      </c>
      <c r="C66" s="47" t="s">
        <v>499</v>
      </c>
      <c r="D66" s="84" t="s">
        <v>76</v>
      </c>
      <c r="E66" s="57"/>
      <c r="F66" s="57" t="s">
        <v>287</v>
      </c>
      <c r="G66" s="74">
        <v>-4.3681666666666663</v>
      </c>
      <c r="H66" s="57">
        <v>3206</v>
      </c>
      <c r="I66" s="57">
        <v>620</v>
      </c>
      <c r="J66" s="75">
        <v>1.3478260869565217</v>
      </c>
      <c r="K66" s="57">
        <v>4</v>
      </c>
      <c r="L66" s="57">
        <v>3</v>
      </c>
      <c r="M66" s="84">
        <v>0</v>
      </c>
      <c r="N66" s="57">
        <v>0</v>
      </c>
      <c r="O66" s="57">
        <v>0</v>
      </c>
      <c r="P66" s="57">
        <v>0</v>
      </c>
      <c r="Q66" s="56">
        <v>0</v>
      </c>
      <c r="R66" s="55">
        <v>0</v>
      </c>
      <c r="S66" s="84" t="s">
        <v>283</v>
      </c>
      <c r="T66" s="57">
        <v>5</v>
      </c>
      <c r="U66" s="84">
        <v>1</v>
      </c>
      <c r="V66" s="57">
        <v>4</v>
      </c>
      <c r="W66" s="57">
        <v>2</v>
      </c>
      <c r="X66" s="56"/>
      <c r="Y66" s="84">
        <v>0</v>
      </c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>
        <v>0</v>
      </c>
      <c r="AK66" s="84">
        <v>0</v>
      </c>
      <c r="AL66" s="57">
        <v>1</v>
      </c>
      <c r="AM66" s="57">
        <v>0</v>
      </c>
      <c r="AN66" s="57">
        <v>0</v>
      </c>
      <c r="AO66" s="56">
        <v>0</v>
      </c>
      <c r="AP66" s="178">
        <v>0</v>
      </c>
      <c r="AQ66" s="179">
        <v>240</v>
      </c>
      <c r="AR66" s="179" t="s">
        <v>284</v>
      </c>
      <c r="AS66" s="179" t="s">
        <v>284</v>
      </c>
      <c r="AT66" s="179" t="s">
        <v>284</v>
      </c>
      <c r="AU66" s="179" t="s">
        <v>284</v>
      </c>
      <c r="AV66" s="179" t="s">
        <v>284</v>
      </c>
      <c r="AW66" s="179" t="s">
        <v>284</v>
      </c>
      <c r="AX66" s="84">
        <v>0</v>
      </c>
      <c r="AY66" s="57">
        <v>0</v>
      </c>
      <c r="AZ66" s="57">
        <v>0</v>
      </c>
      <c r="BA66" s="57">
        <v>0</v>
      </c>
      <c r="BB66" s="56">
        <v>0</v>
      </c>
      <c r="BC66" s="55">
        <v>36</v>
      </c>
      <c r="BD66" s="57"/>
      <c r="BE66" s="75"/>
      <c r="BF66" s="57"/>
      <c r="BG66" s="57"/>
      <c r="BH66" s="57"/>
      <c r="BI66" s="57"/>
      <c r="BJ66" s="57"/>
      <c r="BK66" s="57"/>
      <c r="BL66" s="57"/>
      <c r="BM66" s="57"/>
      <c r="BN66" s="57"/>
      <c r="BO66" s="57"/>
      <c r="BP66" s="57"/>
      <c r="BQ66" s="57"/>
      <c r="BR66" s="57"/>
      <c r="BS66" s="56"/>
      <c r="BT66" s="84"/>
      <c r="BU66" s="57"/>
      <c r="BV66" s="57"/>
      <c r="BW66" s="57"/>
      <c r="BX66" s="57"/>
      <c r="BY66" s="57"/>
      <c r="BZ66" s="57"/>
      <c r="CA66" s="57"/>
      <c r="CB66" s="57"/>
      <c r="CC66" s="57"/>
      <c r="CD66" s="57"/>
      <c r="CE66" s="84"/>
      <c r="CF66" s="57"/>
      <c r="CG66" s="57"/>
      <c r="CH66" s="57"/>
      <c r="CI66" s="57"/>
      <c r="CJ66" s="57"/>
      <c r="CK66" s="56"/>
      <c r="CL66" s="84"/>
      <c r="CM66" s="57"/>
      <c r="CN66" s="57"/>
      <c r="CO66" s="56"/>
      <c r="CP66" s="84"/>
      <c r="CQ66" s="57"/>
      <c r="CR66" s="56"/>
      <c r="CS66" s="84"/>
      <c r="CT66" s="57"/>
      <c r="CU66" s="57"/>
      <c r="CV66" s="57"/>
      <c r="CW66" s="57"/>
      <c r="CX66" s="57"/>
      <c r="CY66" s="84"/>
      <c r="CZ66" s="57"/>
      <c r="DA66" s="57"/>
      <c r="DB66" s="57"/>
      <c r="DC66" s="57"/>
      <c r="DD66" s="57"/>
      <c r="DE66" s="57"/>
      <c r="DF66" s="57"/>
      <c r="DG66" s="56"/>
      <c r="DH66" s="84"/>
      <c r="DI66" s="57"/>
      <c r="DJ66" s="57"/>
      <c r="DK66" s="57"/>
      <c r="DL66" s="57"/>
      <c r="DM66" s="57"/>
      <c r="DN66" s="57"/>
      <c r="DO66" s="57"/>
      <c r="DP66" s="57"/>
      <c r="DQ66" s="84"/>
      <c r="DR66" s="57"/>
      <c r="DS66" s="57"/>
      <c r="DT66" s="57"/>
      <c r="DU66" s="57"/>
      <c r="DV66" s="57"/>
      <c r="DW66" s="57"/>
      <c r="DX66" s="57"/>
      <c r="DY66" s="57"/>
      <c r="DZ66" s="57"/>
      <c r="EA66" s="57"/>
      <c r="EB66" s="57"/>
      <c r="EC66" s="57"/>
      <c r="ED66" s="57"/>
      <c r="EE66" s="56"/>
      <c r="EF66" s="84"/>
      <c r="EG66" s="57"/>
      <c r="EH66" s="57"/>
      <c r="EI66" s="84"/>
      <c r="EJ66" s="57"/>
      <c r="EK66" s="56"/>
      <c r="EL66" s="84"/>
      <c r="EM66" s="57"/>
      <c r="EN66" s="57"/>
      <c r="EO66" s="56"/>
      <c r="EP66" s="84"/>
      <c r="EQ66" s="56"/>
      <c r="ER66" s="84"/>
      <c r="ES66" s="56"/>
      <c r="ET66" s="84"/>
      <c r="EU66" s="56"/>
    </row>
    <row r="67" spans="1:151">
      <c r="A67" s="83" t="s">
        <v>319</v>
      </c>
      <c r="B67" s="7" t="s">
        <v>90</v>
      </c>
      <c r="C67" s="7" t="s">
        <v>500</v>
      </c>
      <c r="D67" s="147" t="s">
        <v>73</v>
      </c>
      <c r="E67" s="148"/>
      <c r="F67" s="148" t="s">
        <v>286</v>
      </c>
      <c r="G67" s="73">
        <v>-5.6630000000000003</v>
      </c>
      <c r="H67" s="148"/>
      <c r="I67" s="148">
        <v>2800</v>
      </c>
      <c r="J67" s="158">
        <v>1.8543046357615893</v>
      </c>
      <c r="K67" s="148">
        <v>4</v>
      </c>
      <c r="L67" s="148">
        <v>3</v>
      </c>
      <c r="M67" s="147">
        <v>1</v>
      </c>
      <c r="N67" s="148">
        <v>2</v>
      </c>
      <c r="O67" s="148">
        <v>1</v>
      </c>
      <c r="P67" s="148">
        <v>0</v>
      </c>
      <c r="Q67" s="149">
        <v>0</v>
      </c>
      <c r="R67" s="87">
        <v>4</v>
      </c>
      <c r="S67" s="147" t="s">
        <v>283</v>
      </c>
      <c r="T67" s="148">
        <v>28</v>
      </c>
      <c r="U67" s="147">
        <v>2</v>
      </c>
      <c r="V67" s="148">
        <v>3</v>
      </c>
      <c r="W67" s="148">
        <v>3</v>
      </c>
      <c r="X67" s="149">
        <v>1</v>
      </c>
      <c r="Y67" s="147">
        <v>3</v>
      </c>
      <c r="Z67" s="148">
        <v>10</v>
      </c>
      <c r="AA67" s="148">
        <v>20</v>
      </c>
      <c r="AB67" s="148"/>
      <c r="AC67" s="148"/>
      <c r="AD67" s="148"/>
      <c r="AE67" s="148"/>
      <c r="AF67" s="148"/>
      <c r="AG67" s="148">
        <v>350</v>
      </c>
      <c r="AH67" s="148"/>
      <c r="AI67" s="148"/>
      <c r="AJ67" s="148">
        <v>0</v>
      </c>
      <c r="AK67" s="147">
        <v>0</v>
      </c>
      <c r="AL67" s="148">
        <v>0</v>
      </c>
      <c r="AM67" s="148">
        <v>0</v>
      </c>
      <c r="AN67" s="148">
        <v>0</v>
      </c>
      <c r="AO67" s="149">
        <v>0</v>
      </c>
      <c r="AP67" s="169" t="s">
        <v>284</v>
      </c>
      <c r="AQ67" s="170" t="s">
        <v>284</v>
      </c>
      <c r="AR67" s="170" t="s">
        <v>284</v>
      </c>
      <c r="AS67" s="170" t="s">
        <v>284</v>
      </c>
      <c r="AT67" s="170" t="s">
        <v>284</v>
      </c>
      <c r="AU67" s="170" t="s">
        <v>284</v>
      </c>
      <c r="AV67" s="170" t="s">
        <v>284</v>
      </c>
      <c r="AW67" s="170" t="s">
        <v>284</v>
      </c>
      <c r="AX67" s="147">
        <v>0</v>
      </c>
      <c r="AY67" s="148">
        <v>0</v>
      </c>
      <c r="AZ67" s="148">
        <v>0</v>
      </c>
      <c r="BA67" s="148">
        <v>0</v>
      </c>
      <c r="BB67" s="149">
        <v>0</v>
      </c>
      <c r="BC67" s="87">
        <v>148</v>
      </c>
      <c r="BD67" s="148">
        <v>80.8</v>
      </c>
      <c r="BE67" s="158">
        <v>81.37</v>
      </c>
      <c r="BF67" s="148"/>
      <c r="BG67" s="148"/>
      <c r="BH67" s="148"/>
      <c r="BI67" s="148"/>
      <c r="BJ67" s="148"/>
      <c r="BK67" s="148"/>
      <c r="BL67" s="148"/>
      <c r="BM67" s="148"/>
      <c r="BN67" s="148"/>
      <c r="BO67" s="148"/>
      <c r="BP67" s="148"/>
      <c r="BQ67" s="148"/>
      <c r="BR67" s="148"/>
      <c r="BS67" s="149"/>
      <c r="BT67" s="147">
        <v>77.33</v>
      </c>
      <c r="BU67" s="148"/>
      <c r="BV67" s="148"/>
      <c r="BW67" s="148"/>
      <c r="BX67" s="148"/>
      <c r="BY67" s="148"/>
      <c r="BZ67" s="148"/>
      <c r="CA67" s="148"/>
      <c r="CB67" s="148"/>
      <c r="CC67" s="148"/>
      <c r="CD67" s="148"/>
      <c r="CE67" s="147"/>
      <c r="CF67" s="148"/>
      <c r="CG67" s="148"/>
      <c r="CH67" s="148"/>
      <c r="CI67" s="148"/>
      <c r="CJ67" s="148"/>
      <c r="CK67" s="149"/>
      <c r="CL67" s="147">
        <v>67.400000000000006</v>
      </c>
      <c r="CM67" s="148"/>
      <c r="CN67" s="148"/>
      <c r="CO67" s="149"/>
      <c r="CP67" s="147"/>
      <c r="CQ67" s="148"/>
      <c r="CR67" s="149"/>
      <c r="CS67" s="147"/>
      <c r="CT67" s="148"/>
      <c r="CU67" s="148"/>
      <c r="CV67" s="148"/>
      <c r="CW67" s="148"/>
      <c r="CX67" s="148"/>
      <c r="CY67" s="147"/>
      <c r="CZ67" s="148"/>
      <c r="DA67" s="148"/>
      <c r="DB67" s="148"/>
      <c r="DC67" s="148"/>
      <c r="DD67" s="148"/>
      <c r="DE67" s="148"/>
      <c r="DF67" s="148"/>
      <c r="DG67" s="149"/>
      <c r="DH67" s="147"/>
      <c r="DI67" s="148"/>
      <c r="DJ67" s="148"/>
      <c r="DK67" s="148"/>
      <c r="DL67" s="148"/>
      <c r="DM67" s="148"/>
      <c r="DN67" s="148"/>
      <c r="DO67" s="148"/>
      <c r="DP67" s="148"/>
      <c r="DQ67" s="147"/>
      <c r="DR67" s="148"/>
      <c r="DS67" s="148"/>
      <c r="DT67" s="148"/>
      <c r="DU67" s="148"/>
      <c r="DV67" s="148"/>
      <c r="DW67" s="148"/>
      <c r="DX67" s="148"/>
      <c r="DY67" s="148"/>
      <c r="DZ67" s="148"/>
      <c r="EA67" s="148"/>
      <c r="EB67" s="148"/>
      <c r="EC67" s="148"/>
      <c r="ED67" s="148"/>
      <c r="EE67" s="149"/>
      <c r="EF67" s="147"/>
      <c r="EG67" s="148"/>
      <c r="EH67" s="148"/>
      <c r="EI67" s="147"/>
      <c r="EJ67" s="148"/>
      <c r="EK67" s="149"/>
      <c r="EL67" s="147"/>
      <c r="EM67" s="148"/>
      <c r="EN67" s="148"/>
      <c r="EO67" s="149"/>
      <c r="EP67" s="147"/>
      <c r="EQ67" s="149"/>
      <c r="ER67" s="147"/>
      <c r="ES67" s="149"/>
      <c r="ET67" s="147"/>
      <c r="EU67" s="149"/>
    </row>
    <row r="68" spans="1:151">
      <c r="A68" s="83" t="s">
        <v>319</v>
      </c>
      <c r="B68" s="173" t="s">
        <v>90</v>
      </c>
      <c r="C68" s="173" t="s">
        <v>500</v>
      </c>
      <c r="D68" s="83" t="s">
        <v>81</v>
      </c>
      <c r="F68" s="49" t="s">
        <v>286</v>
      </c>
      <c r="G68" s="60">
        <v>-5.6630000000000003</v>
      </c>
      <c r="I68" s="49">
        <v>1750</v>
      </c>
      <c r="J68" s="159">
        <v>1.2446657183499288</v>
      </c>
      <c r="K68" s="49">
        <v>1</v>
      </c>
      <c r="L68" s="49">
        <v>2</v>
      </c>
      <c r="M68" s="83">
        <v>1</v>
      </c>
      <c r="N68" s="49">
        <v>2</v>
      </c>
      <c r="O68" s="49">
        <v>1</v>
      </c>
      <c r="P68" s="49">
        <v>0</v>
      </c>
      <c r="Q68" s="58">
        <v>0</v>
      </c>
      <c r="R68" s="42">
        <v>4</v>
      </c>
      <c r="S68" s="83">
        <v>1</v>
      </c>
      <c r="U68" s="83">
        <v>2</v>
      </c>
      <c r="V68" s="49">
        <v>3</v>
      </c>
      <c r="W68" s="49">
        <v>3</v>
      </c>
      <c r="X68" s="58">
        <v>1</v>
      </c>
      <c r="Y68" s="83">
        <v>5</v>
      </c>
      <c r="AA68" s="49">
        <v>32</v>
      </c>
      <c r="AE68" s="49">
        <v>36</v>
      </c>
      <c r="AF68" s="49">
        <v>53</v>
      </c>
      <c r="AG68" s="49">
        <v>254</v>
      </c>
      <c r="AJ68" s="49">
        <v>0</v>
      </c>
      <c r="AK68" s="83">
        <v>0</v>
      </c>
      <c r="AL68" s="49">
        <v>0</v>
      </c>
      <c r="AM68" s="49">
        <v>0</v>
      </c>
      <c r="AN68" s="49">
        <v>0</v>
      </c>
      <c r="AO68" s="58">
        <v>0</v>
      </c>
      <c r="AP68" s="174" t="s">
        <v>284</v>
      </c>
      <c r="AQ68" s="175" t="s">
        <v>284</v>
      </c>
      <c r="AR68" s="175" t="s">
        <v>284</v>
      </c>
      <c r="AS68" s="175" t="s">
        <v>284</v>
      </c>
      <c r="AT68" s="175" t="s">
        <v>284</v>
      </c>
      <c r="AU68" s="175" t="s">
        <v>284</v>
      </c>
      <c r="AV68" s="175" t="s">
        <v>284</v>
      </c>
      <c r="AW68" s="175" t="s">
        <v>284</v>
      </c>
      <c r="AX68" s="83">
        <v>0</v>
      </c>
      <c r="AY68" s="49">
        <v>0</v>
      </c>
      <c r="AZ68" s="49">
        <v>0</v>
      </c>
      <c r="BA68" s="49">
        <v>0</v>
      </c>
      <c r="BB68" s="58">
        <v>0</v>
      </c>
      <c r="BC68" s="42">
        <v>109</v>
      </c>
      <c r="BD68" s="49">
        <v>79.03</v>
      </c>
      <c r="BE68" s="159">
        <v>80.78</v>
      </c>
      <c r="BF68" s="49">
        <v>79.180000000000007</v>
      </c>
      <c r="BS68" s="58"/>
      <c r="BT68" s="83">
        <v>71.83</v>
      </c>
      <c r="BU68" s="49">
        <v>71.209999999999994</v>
      </c>
      <c r="BV68" s="49">
        <v>70.08</v>
      </c>
      <c r="CE68" s="83"/>
      <c r="CK68" s="58"/>
      <c r="CL68" s="83">
        <v>62.17</v>
      </c>
      <c r="CO68" s="58"/>
      <c r="CP68" s="83">
        <v>58.81</v>
      </c>
      <c r="CR68" s="58"/>
      <c r="CS68" s="83"/>
      <c r="CY68" s="83"/>
      <c r="DG68" s="58"/>
      <c r="DH68" s="83"/>
      <c r="DQ68" s="83">
        <v>73.37</v>
      </c>
      <c r="DR68" s="49">
        <v>72.97</v>
      </c>
      <c r="EE68" s="58"/>
      <c r="EF68" s="83"/>
      <c r="EI68" s="83"/>
      <c r="EK68" s="58"/>
      <c r="EL68" s="83"/>
      <c r="EO68" s="58"/>
      <c r="EP68" s="83"/>
      <c r="EQ68" s="58"/>
      <c r="ER68" s="83"/>
      <c r="ES68" s="58"/>
      <c r="ET68" s="83"/>
      <c r="EU68" s="58"/>
    </row>
    <row r="69" spans="1:151">
      <c r="A69" s="83" t="s">
        <v>319</v>
      </c>
      <c r="B69" s="173" t="s">
        <v>90</v>
      </c>
      <c r="C69" s="173" t="s">
        <v>500</v>
      </c>
      <c r="D69" s="83" t="s">
        <v>87</v>
      </c>
      <c r="F69" s="49" t="s">
        <v>286</v>
      </c>
      <c r="G69" s="60">
        <v>-5.6630000000000003</v>
      </c>
      <c r="I69" s="49">
        <v>1732</v>
      </c>
      <c r="J69" s="159">
        <v>1.5919117647058822</v>
      </c>
      <c r="K69" s="49">
        <v>4</v>
      </c>
      <c r="L69" s="49">
        <v>4</v>
      </c>
      <c r="M69" s="83">
        <v>0</v>
      </c>
      <c r="N69" s="49">
        <v>0</v>
      </c>
      <c r="O69" s="49">
        <v>0</v>
      </c>
      <c r="P69" s="49">
        <v>1</v>
      </c>
      <c r="Q69" s="58">
        <v>0</v>
      </c>
      <c r="R69" s="42">
        <v>1</v>
      </c>
      <c r="S69" s="83" t="s">
        <v>283</v>
      </c>
      <c r="T69" s="49">
        <v>20</v>
      </c>
      <c r="U69" s="83">
        <v>2</v>
      </c>
      <c r="V69" s="49">
        <v>3</v>
      </c>
      <c r="W69" s="49">
        <v>3</v>
      </c>
      <c r="X69" s="58">
        <v>2</v>
      </c>
      <c r="Y69" s="83">
        <v>0</v>
      </c>
      <c r="AJ69" s="49">
        <v>0</v>
      </c>
      <c r="AK69" s="83">
        <v>0</v>
      </c>
      <c r="AL69" s="49">
        <v>0</v>
      </c>
      <c r="AM69" s="49">
        <v>0</v>
      </c>
      <c r="AN69" s="49">
        <v>0</v>
      </c>
      <c r="AO69" s="58">
        <v>0</v>
      </c>
      <c r="AP69" s="174" t="s">
        <v>284</v>
      </c>
      <c r="AQ69" s="175" t="s">
        <v>284</v>
      </c>
      <c r="AR69" s="175" t="s">
        <v>284</v>
      </c>
      <c r="AS69" s="175" t="s">
        <v>284</v>
      </c>
      <c r="AT69" s="175" t="s">
        <v>284</v>
      </c>
      <c r="AU69" s="175" t="s">
        <v>284</v>
      </c>
      <c r="AV69" s="175" t="s">
        <v>284</v>
      </c>
      <c r="AW69" s="175" t="s">
        <v>284</v>
      </c>
      <c r="AX69" s="83">
        <v>0</v>
      </c>
      <c r="AY69" s="49">
        <v>0</v>
      </c>
      <c r="AZ69" s="49">
        <v>0</v>
      </c>
      <c r="BA69" s="49">
        <v>0</v>
      </c>
      <c r="BB69" s="58">
        <v>0</v>
      </c>
      <c r="BC69" s="42">
        <v>108</v>
      </c>
      <c r="BS69" s="58"/>
      <c r="BT69" s="83"/>
      <c r="CE69" s="83"/>
      <c r="CK69" s="58"/>
      <c r="CL69" s="83"/>
      <c r="CO69" s="58"/>
      <c r="CP69" s="83"/>
      <c r="CR69" s="58"/>
      <c r="CS69" s="83"/>
      <c r="CY69" s="83"/>
      <c r="DG69" s="58"/>
      <c r="DH69" s="83"/>
      <c r="DQ69" s="83"/>
      <c r="EE69" s="58"/>
      <c r="EF69" s="83"/>
      <c r="EI69" s="83"/>
      <c r="EK69" s="58"/>
      <c r="EL69" s="83"/>
      <c r="EO69" s="58"/>
      <c r="EP69" s="83"/>
      <c r="EQ69" s="58"/>
      <c r="ER69" s="83"/>
      <c r="ES69" s="58"/>
      <c r="ET69" s="83"/>
      <c r="EU69" s="58"/>
    </row>
    <row r="70" spans="1:151">
      <c r="A70" s="83" t="s">
        <v>319</v>
      </c>
      <c r="B70" s="173" t="s">
        <v>90</v>
      </c>
      <c r="C70" s="173" t="s">
        <v>500</v>
      </c>
      <c r="D70" s="83" t="s">
        <v>88</v>
      </c>
      <c r="F70" s="49" t="s">
        <v>286</v>
      </c>
      <c r="G70" s="60">
        <v>-5.6630000000000003</v>
      </c>
      <c r="I70" s="49">
        <v>1939</v>
      </c>
      <c r="J70" s="159">
        <v>1.4778963414634145</v>
      </c>
      <c r="K70" s="49">
        <v>1</v>
      </c>
      <c r="L70" s="49">
        <v>3</v>
      </c>
      <c r="M70" s="83">
        <v>0</v>
      </c>
      <c r="N70" s="49">
        <v>0</v>
      </c>
      <c r="O70" s="49">
        <v>0</v>
      </c>
      <c r="P70" s="49">
        <v>1</v>
      </c>
      <c r="Q70" s="58">
        <v>0</v>
      </c>
      <c r="R70" s="42">
        <v>1</v>
      </c>
      <c r="S70" s="83" t="s">
        <v>283</v>
      </c>
      <c r="T70" s="49">
        <v>23</v>
      </c>
      <c r="U70" s="83">
        <v>2</v>
      </c>
      <c r="V70" s="49">
        <v>2</v>
      </c>
      <c r="W70" s="49">
        <v>3</v>
      </c>
      <c r="X70" s="58">
        <v>2</v>
      </c>
      <c r="Y70" s="83" t="s">
        <v>78</v>
      </c>
      <c r="AG70" s="49">
        <v>49</v>
      </c>
      <c r="AJ70" s="49">
        <v>0</v>
      </c>
      <c r="AK70" s="83">
        <v>0</v>
      </c>
      <c r="AL70" s="49">
        <v>0</v>
      </c>
      <c r="AM70" s="49">
        <v>0</v>
      </c>
      <c r="AN70" s="49">
        <v>0</v>
      </c>
      <c r="AO70" s="58">
        <v>0</v>
      </c>
      <c r="AP70" s="174" t="s">
        <v>284</v>
      </c>
      <c r="AQ70" s="175" t="s">
        <v>284</v>
      </c>
      <c r="AR70" s="175" t="s">
        <v>284</v>
      </c>
      <c r="AS70" s="175" t="s">
        <v>284</v>
      </c>
      <c r="AT70" s="175" t="s">
        <v>284</v>
      </c>
      <c r="AU70" s="175" t="s">
        <v>284</v>
      </c>
      <c r="AV70" s="175" t="s">
        <v>284</v>
      </c>
      <c r="AW70" s="175" t="s">
        <v>284</v>
      </c>
      <c r="AX70" s="83">
        <v>0</v>
      </c>
      <c r="AY70" s="49">
        <v>0</v>
      </c>
      <c r="AZ70" s="49">
        <v>0</v>
      </c>
      <c r="BA70" s="49">
        <v>0</v>
      </c>
      <c r="BB70" s="58">
        <v>0</v>
      </c>
      <c r="BC70" s="42">
        <v>117</v>
      </c>
      <c r="BD70" s="49">
        <v>68.31</v>
      </c>
      <c r="BS70" s="58"/>
      <c r="BT70" s="83">
        <v>71.12</v>
      </c>
      <c r="CE70" s="83">
        <v>66.23</v>
      </c>
      <c r="CK70" s="58"/>
      <c r="CL70" s="83">
        <v>55.88</v>
      </c>
      <c r="CO70" s="58"/>
      <c r="CP70" s="83"/>
      <c r="CR70" s="58"/>
      <c r="CS70" s="83"/>
      <c r="CY70" s="83"/>
      <c r="DG70" s="58"/>
      <c r="DH70" s="83"/>
      <c r="DQ70" s="83"/>
      <c r="EE70" s="58"/>
      <c r="EF70" s="83"/>
      <c r="EI70" s="83"/>
      <c r="EK70" s="58"/>
      <c r="EL70" s="83"/>
      <c r="EO70" s="58"/>
      <c r="EP70" s="83"/>
      <c r="EQ70" s="58"/>
      <c r="ER70" s="83"/>
      <c r="ES70" s="58"/>
      <c r="ET70" s="83"/>
      <c r="EU70" s="58"/>
    </row>
    <row r="71" spans="1:151">
      <c r="A71" s="83" t="s">
        <v>319</v>
      </c>
      <c r="B71" s="173" t="s">
        <v>90</v>
      </c>
      <c r="C71" s="173" t="s">
        <v>500</v>
      </c>
      <c r="D71" s="83" t="s">
        <v>91</v>
      </c>
      <c r="F71" s="49" t="s">
        <v>286</v>
      </c>
      <c r="G71" s="60">
        <v>-5.6630000000000003</v>
      </c>
      <c r="I71" s="49">
        <v>1350</v>
      </c>
      <c r="J71" s="159">
        <v>1.7419354838709677</v>
      </c>
      <c r="K71" s="49">
        <v>1</v>
      </c>
      <c r="L71" s="49">
        <v>3</v>
      </c>
      <c r="M71" s="83">
        <v>0</v>
      </c>
      <c r="N71" s="49">
        <v>2</v>
      </c>
      <c r="O71" s="49">
        <v>1</v>
      </c>
      <c r="P71" s="49">
        <v>0</v>
      </c>
      <c r="Q71" s="58">
        <v>0</v>
      </c>
      <c r="R71" s="42">
        <v>3</v>
      </c>
      <c r="S71" s="83" t="s">
        <v>284</v>
      </c>
      <c r="U71" s="83">
        <v>1</v>
      </c>
      <c r="V71" s="49">
        <v>3</v>
      </c>
      <c r="W71" s="49">
        <v>1</v>
      </c>
      <c r="X71" s="58">
        <v>1</v>
      </c>
      <c r="Y71" s="83">
        <v>10</v>
      </c>
      <c r="AD71" s="49">
        <v>60</v>
      </c>
      <c r="AE71" s="49">
        <v>165</v>
      </c>
      <c r="AG71" s="49">
        <v>183</v>
      </c>
      <c r="AH71" s="49">
        <v>57</v>
      </c>
      <c r="AI71" s="49">
        <v>220</v>
      </c>
      <c r="AJ71" s="49">
        <v>0</v>
      </c>
      <c r="AK71" s="83">
        <v>0</v>
      </c>
      <c r="AL71" s="49">
        <v>0</v>
      </c>
      <c r="AM71" s="49">
        <v>0</v>
      </c>
      <c r="AN71" s="49">
        <v>0</v>
      </c>
      <c r="AO71" s="58">
        <v>0</v>
      </c>
      <c r="AP71" s="174" t="s">
        <v>284</v>
      </c>
      <c r="AQ71" s="175" t="s">
        <v>284</v>
      </c>
      <c r="AR71" s="175" t="s">
        <v>284</v>
      </c>
      <c r="AS71" s="175" t="s">
        <v>284</v>
      </c>
      <c r="AT71" s="175" t="s">
        <v>284</v>
      </c>
      <c r="AU71" s="175" t="s">
        <v>284</v>
      </c>
      <c r="AV71" s="175" t="s">
        <v>284</v>
      </c>
      <c r="AW71" s="175" t="s">
        <v>284</v>
      </c>
      <c r="AX71" s="83">
        <v>0</v>
      </c>
      <c r="AY71" s="49">
        <v>0</v>
      </c>
      <c r="AZ71" s="49">
        <v>0</v>
      </c>
      <c r="BA71" s="49">
        <v>0</v>
      </c>
      <c r="BB71" s="58">
        <v>0</v>
      </c>
      <c r="BC71" s="42">
        <v>114</v>
      </c>
      <c r="BS71" s="58"/>
      <c r="BT71" s="83"/>
      <c r="CE71" s="83"/>
      <c r="CK71" s="58"/>
      <c r="CL71" s="83"/>
      <c r="CO71" s="58"/>
      <c r="CP71" s="83"/>
      <c r="CR71" s="58"/>
      <c r="CS71" s="83"/>
      <c r="CY71" s="83"/>
      <c r="DG71" s="58"/>
      <c r="DH71" s="83"/>
      <c r="DQ71" s="83"/>
      <c r="EE71" s="58"/>
      <c r="EF71" s="83"/>
      <c r="EI71" s="83"/>
      <c r="EK71" s="58"/>
      <c r="EL71" s="83"/>
      <c r="EO71" s="58"/>
      <c r="EP71" s="83"/>
      <c r="EQ71" s="58"/>
      <c r="ER71" s="83"/>
      <c r="ES71" s="58"/>
      <c r="ET71" s="83"/>
      <c r="EU71" s="58"/>
    </row>
    <row r="72" spans="1:151">
      <c r="A72" s="83" t="s">
        <v>319</v>
      </c>
      <c r="B72" s="173" t="s">
        <v>90</v>
      </c>
      <c r="C72" s="173" t="s">
        <v>500</v>
      </c>
      <c r="D72" s="83" t="s">
        <v>92</v>
      </c>
      <c r="F72" s="49" t="s">
        <v>286</v>
      </c>
      <c r="G72" s="60">
        <v>-5.6630000000000003</v>
      </c>
      <c r="I72" s="49">
        <v>1890</v>
      </c>
      <c r="J72" s="159">
        <v>1.2352941176470589</v>
      </c>
      <c r="K72" s="49">
        <v>1</v>
      </c>
      <c r="L72" s="49">
        <v>3</v>
      </c>
      <c r="M72" s="83">
        <v>0</v>
      </c>
      <c r="N72" s="49">
        <v>1</v>
      </c>
      <c r="O72" s="49">
        <v>1</v>
      </c>
      <c r="P72" s="49">
        <v>1</v>
      </c>
      <c r="Q72" s="58">
        <v>0</v>
      </c>
      <c r="R72" s="42">
        <v>3</v>
      </c>
      <c r="S72" s="83" t="s">
        <v>283</v>
      </c>
      <c r="T72" s="49">
        <v>16</v>
      </c>
      <c r="U72" s="83">
        <v>2</v>
      </c>
      <c r="V72" s="49">
        <v>3</v>
      </c>
      <c r="W72" s="49">
        <v>1</v>
      </c>
      <c r="X72" s="58">
        <v>3</v>
      </c>
      <c r="Y72" s="83">
        <v>1</v>
      </c>
      <c r="Z72" s="49">
        <v>10</v>
      </c>
      <c r="AA72" s="49">
        <v>30</v>
      </c>
      <c r="AE72" s="49">
        <v>110</v>
      </c>
      <c r="AF72" s="49">
        <v>20</v>
      </c>
      <c r="AG72" s="49">
        <v>30</v>
      </c>
      <c r="AI72" s="49">
        <v>280</v>
      </c>
      <c r="AJ72" s="49">
        <v>0</v>
      </c>
      <c r="AK72" s="83">
        <v>0</v>
      </c>
      <c r="AL72" s="49">
        <v>1</v>
      </c>
      <c r="AM72" s="49">
        <v>0</v>
      </c>
      <c r="AN72" s="49">
        <v>0</v>
      </c>
      <c r="AO72" s="58">
        <v>0</v>
      </c>
      <c r="AP72" s="174">
        <v>0</v>
      </c>
      <c r="AQ72" s="175">
        <v>255</v>
      </c>
      <c r="AR72" s="175" t="s">
        <v>284</v>
      </c>
      <c r="AS72" s="175" t="s">
        <v>284</v>
      </c>
      <c r="AT72" s="175" t="s">
        <v>284</v>
      </c>
      <c r="AU72" s="175" t="s">
        <v>284</v>
      </c>
      <c r="AV72" s="175" t="s">
        <v>284</v>
      </c>
      <c r="AW72" s="175" t="s">
        <v>284</v>
      </c>
      <c r="AX72" s="83">
        <v>0</v>
      </c>
      <c r="AY72" s="49">
        <v>0</v>
      </c>
      <c r="AZ72" s="49">
        <v>0</v>
      </c>
      <c r="BA72" s="49">
        <v>0</v>
      </c>
      <c r="BB72" s="58">
        <v>0</v>
      </c>
      <c r="BC72" s="42">
        <v>126</v>
      </c>
      <c r="BD72" s="49">
        <v>82.63</v>
      </c>
      <c r="BE72" s="159">
        <v>83.36</v>
      </c>
      <c r="BF72" s="49">
        <v>83.71</v>
      </c>
      <c r="BG72" s="49">
        <v>81.05</v>
      </c>
      <c r="BS72" s="58"/>
      <c r="BT72" s="83">
        <v>76.67</v>
      </c>
      <c r="BU72" s="49">
        <v>77.75</v>
      </c>
      <c r="BV72" s="49">
        <v>76.540000000000006</v>
      </c>
      <c r="BW72" s="49">
        <v>77.930000000000007</v>
      </c>
      <c r="CE72" s="83">
        <v>75.98</v>
      </c>
      <c r="CK72" s="58"/>
      <c r="CL72" s="83">
        <v>60.46</v>
      </c>
      <c r="CO72" s="58"/>
      <c r="CP72" s="83"/>
      <c r="CR72" s="58"/>
      <c r="CS72" s="83"/>
      <c r="CY72" s="83"/>
      <c r="DG72" s="58"/>
      <c r="DH72" s="83"/>
      <c r="DQ72" s="83"/>
      <c r="EE72" s="58"/>
      <c r="EF72" s="83"/>
      <c r="EI72" s="83"/>
      <c r="EK72" s="58"/>
      <c r="EL72" s="83"/>
      <c r="EO72" s="58"/>
      <c r="EP72" s="83"/>
      <c r="EQ72" s="58"/>
      <c r="ER72" s="83"/>
      <c r="ES72" s="58"/>
      <c r="ET72" s="83"/>
      <c r="EU72" s="58"/>
    </row>
    <row r="73" spans="1:151">
      <c r="A73" s="83" t="s">
        <v>319</v>
      </c>
      <c r="B73" s="173" t="s">
        <v>90</v>
      </c>
      <c r="C73" s="173" t="s">
        <v>500</v>
      </c>
      <c r="D73" s="83" t="s">
        <v>93</v>
      </c>
      <c r="F73" s="49" t="s">
        <v>286</v>
      </c>
      <c r="G73" s="60">
        <v>-5.6630000000000003</v>
      </c>
      <c r="I73" s="49">
        <v>2770</v>
      </c>
      <c r="J73" s="159">
        <v>2.5181818181818181</v>
      </c>
      <c r="K73" s="49">
        <v>1</v>
      </c>
      <c r="L73" s="49">
        <v>2</v>
      </c>
      <c r="M73" s="83">
        <v>0</v>
      </c>
      <c r="N73" s="49">
        <v>0</v>
      </c>
      <c r="O73" s="49">
        <v>0</v>
      </c>
      <c r="P73" s="49">
        <v>1</v>
      </c>
      <c r="Q73" s="58">
        <v>0</v>
      </c>
      <c r="R73" s="42">
        <v>1</v>
      </c>
      <c r="S73" s="83" t="s">
        <v>283</v>
      </c>
      <c r="T73" s="49">
        <v>18</v>
      </c>
      <c r="U73" s="83">
        <v>0</v>
      </c>
      <c r="V73" s="49">
        <v>0</v>
      </c>
      <c r="W73" s="49">
        <v>0</v>
      </c>
      <c r="X73" s="58"/>
      <c r="Y73" s="83">
        <v>15</v>
      </c>
      <c r="AF73" s="49">
        <v>20</v>
      </c>
      <c r="AG73" s="49">
        <v>60</v>
      </c>
      <c r="AI73" s="49">
        <v>740</v>
      </c>
      <c r="AJ73" s="49">
        <v>0</v>
      </c>
      <c r="AK73" s="83">
        <v>0</v>
      </c>
      <c r="AL73" s="49">
        <v>0</v>
      </c>
      <c r="AM73" s="49">
        <v>0</v>
      </c>
      <c r="AN73" s="49">
        <v>0</v>
      </c>
      <c r="AO73" s="58">
        <v>0</v>
      </c>
      <c r="AP73" s="174" t="s">
        <v>284</v>
      </c>
      <c r="AQ73" s="175" t="s">
        <v>284</v>
      </c>
      <c r="AR73" s="175" t="s">
        <v>284</v>
      </c>
      <c r="AS73" s="175" t="s">
        <v>284</v>
      </c>
      <c r="AT73" s="175" t="s">
        <v>284</v>
      </c>
      <c r="AU73" s="175" t="s">
        <v>284</v>
      </c>
      <c r="AV73" s="175" t="s">
        <v>284</v>
      </c>
      <c r="AW73" s="175" t="s">
        <v>284</v>
      </c>
      <c r="AX73" s="83">
        <v>0</v>
      </c>
      <c r="AY73" s="49">
        <v>0</v>
      </c>
      <c r="AZ73" s="49">
        <v>0</v>
      </c>
      <c r="BA73" s="49">
        <v>0</v>
      </c>
      <c r="BB73" s="58">
        <v>0</v>
      </c>
      <c r="BC73" s="42">
        <v>168</v>
      </c>
      <c r="BS73" s="58"/>
      <c r="BT73" s="83">
        <v>77.73</v>
      </c>
      <c r="BU73" s="49">
        <v>76.739999999999995</v>
      </c>
      <c r="CE73" s="83"/>
      <c r="CK73" s="58"/>
      <c r="CL73" s="83">
        <v>66.47</v>
      </c>
      <c r="CO73" s="58"/>
      <c r="CP73" s="83"/>
      <c r="CR73" s="58"/>
      <c r="CS73" s="83"/>
      <c r="CY73" s="83"/>
      <c r="DG73" s="58"/>
      <c r="DH73" s="83">
        <v>69.94</v>
      </c>
      <c r="DI73" s="49">
        <v>69.7</v>
      </c>
      <c r="DJ73" s="49">
        <v>69.97</v>
      </c>
      <c r="DK73" s="49">
        <v>69.77</v>
      </c>
      <c r="DL73" s="49">
        <v>69.25</v>
      </c>
      <c r="DM73" s="49">
        <v>69.91</v>
      </c>
      <c r="DN73" s="49">
        <v>69.28</v>
      </c>
      <c r="DO73" s="49">
        <v>70.08</v>
      </c>
      <c r="DQ73" s="83"/>
      <c r="EE73" s="58"/>
      <c r="EF73" s="83"/>
      <c r="EI73" s="83"/>
      <c r="EK73" s="58"/>
      <c r="EL73" s="83"/>
      <c r="EO73" s="58"/>
      <c r="EP73" s="83"/>
      <c r="EQ73" s="58"/>
      <c r="ER73" s="83"/>
      <c r="ES73" s="58"/>
      <c r="ET73" s="83"/>
      <c r="EU73" s="58"/>
    </row>
    <row r="74" spans="1:151">
      <c r="A74" s="83" t="s">
        <v>319</v>
      </c>
      <c r="B74" s="173" t="s">
        <v>90</v>
      </c>
      <c r="C74" s="173" t="s">
        <v>500</v>
      </c>
      <c r="D74" s="83" t="s">
        <v>94</v>
      </c>
      <c r="F74" s="49" t="s">
        <v>286</v>
      </c>
      <c r="G74" s="60">
        <v>-5.6630000000000003</v>
      </c>
      <c r="I74" s="49">
        <v>3900</v>
      </c>
      <c r="J74" s="159">
        <v>2.096774193548387</v>
      </c>
      <c r="K74" s="49">
        <v>1</v>
      </c>
      <c r="L74" s="49">
        <v>3</v>
      </c>
      <c r="M74" s="83">
        <v>0</v>
      </c>
      <c r="N74" s="49">
        <v>4</v>
      </c>
      <c r="O74" s="49">
        <v>0</v>
      </c>
      <c r="P74" s="49">
        <v>1</v>
      </c>
      <c r="Q74" s="58">
        <v>0</v>
      </c>
      <c r="R74" s="42">
        <v>5</v>
      </c>
      <c r="S74" s="83" t="s">
        <v>283</v>
      </c>
      <c r="T74" s="49">
        <v>32</v>
      </c>
      <c r="U74" s="83">
        <v>2</v>
      </c>
      <c r="V74" s="49">
        <v>3</v>
      </c>
      <c r="W74" s="49">
        <v>1</v>
      </c>
      <c r="X74" s="58">
        <v>2</v>
      </c>
      <c r="Y74" s="83">
        <v>15</v>
      </c>
      <c r="Z74" s="49">
        <v>10</v>
      </c>
      <c r="AA74" s="49">
        <v>80</v>
      </c>
      <c r="AD74" s="49">
        <v>30</v>
      </c>
      <c r="AE74" s="49">
        <v>510</v>
      </c>
      <c r="AF74" s="49">
        <v>20</v>
      </c>
      <c r="AG74" s="49">
        <v>600</v>
      </c>
      <c r="AH74" s="49">
        <v>140</v>
      </c>
      <c r="AI74" s="49">
        <v>430</v>
      </c>
      <c r="AJ74" s="49">
        <v>0</v>
      </c>
      <c r="AK74" s="83">
        <v>0</v>
      </c>
      <c r="AL74" s="49">
        <v>1</v>
      </c>
      <c r="AM74" s="49">
        <v>0</v>
      </c>
      <c r="AN74" s="49">
        <v>0</v>
      </c>
      <c r="AO74" s="58">
        <v>0</v>
      </c>
      <c r="AP74" s="174">
        <v>208</v>
      </c>
      <c r="AQ74" s="175">
        <v>2337</v>
      </c>
      <c r="AR74" s="175" t="s">
        <v>284</v>
      </c>
      <c r="AS74" s="175" t="s">
        <v>284</v>
      </c>
      <c r="AT74" s="175" t="s">
        <v>284</v>
      </c>
      <c r="AU74" s="175" t="s">
        <v>284</v>
      </c>
      <c r="AV74" s="175" t="s">
        <v>284</v>
      </c>
      <c r="AW74" s="175" t="s">
        <v>284</v>
      </c>
      <c r="AX74" s="83">
        <v>0</v>
      </c>
      <c r="AY74" s="49">
        <v>0</v>
      </c>
      <c r="AZ74" s="49">
        <v>0</v>
      </c>
      <c r="BA74" s="49">
        <v>0</v>
      </c>
      <c r="BB74" s="58">
        <v>0</v>
      </c>
      <c r="BC74" s="42">
        <v>168</v>
      </c>
      <c r="BS74" s="58"/>
      <c r="BT74" s="83"/>
      <c r="CE74" s="83"/>
      <c r="CK74" s="58"/>
      <c r="CL74" s="83"/>
      <c r="CO74" s="58"/>
      <c r="CP74" s="83"/>
      <c r="CR74" s="58"/>
      <c r="CS74" s="83"/>
      <c r="CY74" s="83"/>
      <c r="DG74" s="58"/>
      <c r="DH74" s="83"/>
      <c r="DQ74" s="83"/>
      <c r="EE74" s="58"/>
      <c r="EF74" s="83"/>
      <c r="EI74" s="83"/>
      <c r="EK74" s="58"/>
      <c r="EL74" s="83"/>
      <c r="EO74" s="58"/>
      <c r="EP74" s="83"/>
      <c r="EQ74" s="58"/>
      <c r="ER74" s="83"/>
      <c r="ES74" s="58"/>
      <c r="ET74" s="83"/>
      <c r="EU74" s="58"/>
    </row>
    <row r="75" spans="1:151">
      <c r="A75" s="83" t="s">
        <v>319</v>
      </c>
      <c r="B75" s="173" t="s">
        <v>90</v>
      </c>
      <c r="C75" s="173" t="s">
        <v>500</v>
      </c>
      <c r="D75" s="83" t="s">
        <v>95</v>
      </c>
      <c r="F75" s="49" t="s">
        <v>286</v>
      </c>
      <c r="G75" s="60">
        <v>-5.6630000000000003</v>
      </c>
      <c r="I75" s="49">
        <v>2040</v>
      </c>
      <c r="J75" s="159">
        <v>1.1860465116279071</v>
      </c>
      <c r="K75" s="49">
        <v>4</v>
      </c>
      <c r="L75" s="49">
        <v>4</v>
      </c>
      <c r="M75" s="83">
        <v>0</v>
      </c>
      <c r="N75" s="49">
        <v>2</v>
      </c>
      <c r="O75" s="49">
        <v>0</v>
      </c>
      <c r="P75" s="49">
        <v>0</v>
      </c>
      <c r="Q75" s="58">
        <v>0</v>
      </c>
      <c r="R75" s="42">
        <v>2</v>
      </c>
      <c r="S75" s="83" t="s">
        <v>283</v>
      </c>
      <c r="T75" s="49">
        <v>22</v>
      </c>
      <c r="U75" s="83">
        <v>1</v>
      </c>
      <c r="V75" s="49">
        <v>4</v>
      </c>
      <c r="W75" s="49">
        <v>2</v>
      </c>
      <c r="X75" s="58"/>
      <c r="Y75" s="83" t="s">
        <v>78</v>
      </c>
      <c r="AE75" s="49">
        <v>130</v>
      </c>
      <c r="AJ75" s="49">
        <v>0</v>
      </c>
      <c r="AK75" s="83">
        <v>0</v>
      </c>
      <c r="AL75" s="49">
        <v>0</v>
      </c>
      <c r="AM75" s="49">
        <v>0</v>
      </c>
      <c r="AN75" s="49">
        <v>0</v>
      </c>
      <c r="AO75" s="58">
        <v>0</v>
      </c>
      <c r="AP75" s="174" t="s">
        <v>284</v>
      </c>
      <c r="AQ75" s="175" t="s">
        <v>284</v>
      </c>
      <c r="AR75" s="175" t="s">
        <v>284</v>
      </c>
      <c r="AS75" s="175" t="s">
        <v>284</v>
      </c>
      <c r="AT75" s="175" t="s">
        <v>284</v>
      </c>
      <c r="AU75" s="175" t="s">
        <v>284</v>
      </c>
      <c r="AV75" s="175" t="s">
        <v>284</v>
      </c>
      <c r="AW75" s="175" t="s">
        <v>284</v>
      </c>
      <c r="AX75" s="83">
        <v>0</v>
      </c>
      <c r="AY75" s="49">
        <v>0</v>
      </c>
      <c r="AZ75" s="49">
        <v>0</v>
      </c>
      <c r="BA75" s="49">
        <v>0</v>
      </c>
      <c r="BB75" s="58">
        <v>0</v>
      </c>
      <c r="BC75" s="42">
        <v>146</v>
      </c>
      <c r="BS75" s="58"/>
      <c r="BT75" s="83"/>
      <c r="CE75" s="83"/>
      <c r="CK75" s="58"/>
      <c r="CL75" s="83"/>
      <c r="CO75" s="58"/>
      <c r="CP75" s="83"/>
      <c r="CR75" s="58"/>
      <c r="CS75" s="83"/>
      <c r="CY75" s="83"/>
      <c r="DG75" s="58"/>
      <c r="DH75" s="83"/>
      <c r="DQ75" s="83"/>
      <c r="EE75" s="58"/>
      <c r="EF75" s="83"/>
      <c r="EI75" s="83"/>
      <c r="EK75" s="58"/>
      <c r="EL75" s="83"/>
      <c r="EO75" s="58"/>
      <c r="EP75" s="83"/>
      <c r="EQ75" s="58"/>
      <c r="ER75" s="83"/>
      <c r="ES75" s="58"/>
      <c r="ET75" s="83"/>
      <c r="EU75" s="58"/>
    </row>
    <row r="76" spans="1:151">
      <c r="A76" s="83" t="s">
        <v>319</v>
      </c>
      <c r="B76" s="173" t="s">
        <v>90</v>
      </c>
      <c r="C76" s="173" t="s">
        <v>500</v>
      </c>
      <c r="D76" s="83" t="s">
        <v>65</v>
      </c>
      <c r="F76" s="49" t="s">
        <v>286</v>
      </c>
      <c r="G76" s="60">
        <v>-5.6630000000000003</v>
      </c>
      <c r="I76" s="49">
        <v>6370</v>
      </c>
      <c r="J76" s="159">
        <v>4.8257575757575761</v>
      </c>
      <c r="K76" s="49">
        <v>1</v>
      </c>
      <c r="L76" s="49">
        <v>2</v>
      </c>
      <c r="M76" s="83">
        <v>0</v>
      </c>
      <c r="N76" s="49">
        <v>4</v>
      </c>
      <c r="O76" s="49">
        <v>0</v>
      </c>
      <c r="P76" s="49">
        <v>1</v>
      </c>
      <c r="Q76" s="58">
        <v>0</v>
      </c>
      <c r="R76" s="42">
        <v>5</v>
      </c>
      <c r="S76" s="83" t="s">
        <v>283</v>
      </c>
      <c r="T76" s="49">
        <v>18</v>
      </c>
      <c r="U76" s="83">
        <v>2</v>
      </c>
      <c r="V76" s="49">
        <v>2</v>
      </c>
      <c r="W76" s="49">
        <v>1</v>
      </c>
      <c r="X76" s="58">
        <v>2</v>
      </c>
      <c r="Y76" s="83">
        <v>15</v>
      </c>
      <c r="AD76" s="49">
        <v>80</v>
      </c>
      <c r="AE76" s="49">
        <v>390</v>
      </c>
      <c r="AF76" s="49">
        <v>60</v>
      </c>
      <c r="AG76" s="49">
        <v>660</v>
      </c>
      <c r="AH76" s="49">
        <v>300</v>
      </c>
      <c r="AI76" s="49">
        <v>490</v>
      </c>
      <c r="AJ76" s="49">
        <v>0</v>
      </c>
      <c r="AK76" s="83">
        <v>0</v>
      </c>
      <c r="AL76" s="49">
        <v>1</v>
      </c>
      <c r="AM76" s="49">
        <v>0</v>
      </c>
      <c r="AN76" s="49">
        <v>0</v>
      </c>
      <c r="AO76" s="58">
        <v>0</v>
      </c>
      <c r="AP76" s="174">
        <v>488</v>
      </c>
      <c r="AQ76" s="175">
        <v>510</v>
      </c>
      <c r="AR76" s="175" t="s">
        <v>284</v>
      </c>
      <c r="AS76" s="175" t="s">
        <v>284</v>
      </c>
      <c r="AT76" s="175" t="s">
        <v>284</v>
      </c>
      <c r="AU76" s="175" t="s">
        <v>284</v>
      </c>
      <c r="AV76" s="175" t="s">
        <v>284</v>
      </c>
      <c r="AW76" s="175" t="s">
        <v>284</v>
      </c>
      <c r="AX76" s="83">
        <v>0</v>
      </c>
      <c r="AY76" s="49">
        <v>0</v>
      </c>
      <c r="AZ76" s="49">
        <v>0</v>
      </c>
      <c r="BA76" s="49">
        <v>0</v>
      </c>
      <c r="BB76" s="58">
        <v>0</v>
      </c>
      <c r="BC76" s="42">
        <v>224</v>
      </c>
      <c r="BD76" s="49">
        <v>75.489999999999995</v>
      </c>
      <c r="BS76" s="58"/>
      <c r="BT76" s="83"/>
      <c r="CE76" s="83"/>
      <c r="CK76" s="58"/>
      <c r="CL76" s="83">
        <v>60.01</v>
      </c>
      <c r="CO76" s="58"/>
      <c r="CP76" s="83"/>
      <c r="CR76" s="58"/>
      <c r="CS76" s="83"/>
      <c r="CY76" s="83">
        <v>77.55</v>
      </c>
      <c r="CZ76" s="49">
        <v>78.94</v>
      </c>
      <c r="DG76" s="58"/>
      <c r="DH76" s="83"/>
      <c r="DQ76" s="83"/>
      <c r="EE76" s="58"/>
      <c r="EF76" s="83"/>
      <c r="EI76" s="83"/>
      <c r="EK76" s="58"/>
      <c r="EL76" s="83"/>
      <c r="EO76" s="58"/>
      <c r="EP76" s="83"/>
      <c r="EQ76" s="58"/>
      <c r="ER76" s="83"/>
      <c r="ES76" s="58"/>
      <c r="ET76" s="83"/>
      <c r="EU76" s="58"/>
    </row>
    <row r="77" spans="1:151">
      <c r="A77" s="83" t="s">
        <v>319</v>
      </c>
      <c r="B77" s="173" t="s">
        <v>90</v>
      </c>
      <c r="C77" s="173" t="s">
        <v>500</v>
      </c>
      <c r="D77" s="83" t="s">
        <v>96</v>
      </c>
      <c r="F77" s="49" t="s">
        <v>286</v>
      </c>
      <c r="G77" s="60">
        <v>-5.6630000000000003</v>
      </c>
      <c r="I77" s="49">
        <v>1595</v>
      </c>
      <c r="J77" s="159">
        <v>1.8988095238095237</v>
      </c>
      <c r="K77" s="49">
        <v>4</v>
      </c>
      <c r="L77" s="49">
        <v>3</v>
      </c>
      <c r="M77" s="83">
        <v>0</v>
      </c>
      <c r="N77" s="49">
        <v>0</v>
      </c>
      <c r="O77" s="49">
        <v>1</v>
      </c>
      <c r="P77" s="49">
        <v>1</v>
      </c>
      <c r="Q77" s="58">
        <v>0</v>
      </c>
      <c r="R77" s="42">
        <v>2</v>
      </c>
      <c r="S77" s="83" t="s">
        <v>283</v>
      </c>
      <c r="T77" s="49">
        <v>16</v>
      </c>
      <c r="U77" s="83">
        <v>1</v>
      </c>
      <c r="V77" s="49">
        <v>3</v>
      </c>
      <c r="W77" s="49">
        <v>1</v>
      </c>
      <c r="X77" s="58">
        <v>2</v>
      </c>
      <c r="Y77" s="83" t="s">
        <v>78</v>
      </c>
      <c r="Z77" s="49">
        <v>13</v>
      </c>
      <c r="AA77" s="49">
        <v>43</v>
      </c>
      <c r="AD77" s="49">
        <v>17</v>
      </c>
      <c r="AE77" s="49">
        <v>29</v>
      </c>
      <c r="AG77" s="49">
        <v>17</v>
      </c>
      <c r="AH77" s="49">
        <v>21</v>
      </c>
      <c r="AI77" s="49">
        <v>45</v>
      </c>
      <c r="AJ77" s="49">
        <v>0</v>
      </c>
      <c r="AK77" s="83">
        <v>0</v>
      </c>
      <c r="AL77" s="49">
        <v>0</v>
      </c>
      <c r="AM77" s="49">
        <v>0</v>
      </c>
      <c r="AN77" s="49">
        <v>0</v>
      </c>
      <c r="AO77" s="58">
        <v>0</v>
      </c>
      <c r="AP77" s="174" t="s">
        <v>284</v>
      </c>
      <c r="AQ77" s="175" t="s">
        <v>284</v>
      </c>
      <c r="AR77" s="175" t="s">
        <v>284</v>
      </c>
      <c r="AS77" s="175" t="s">
        <v>284</v>
      </c>
      <c r="AT77" s="175" t="s">
        <v>284</v>
      </c>
      <c r="AU77" s="175" t="s">
        <v>284</v>
      </c>
      <c r="AV77" s="175" t="s">
        <v>284</v>
      </c>
      <c r="AW77" s="175" t="s">
        <v>284</v>
      </c>
      <c r="AX77" s="83">
        <v>0</v>
      </c>
      <c r="AY77" s="49">
        <v>0</v>
      </c>
      <c r="AZ77" s="49">
        <v>0</v>
      </c>
      <c r="BA77" s="49">
        <v>0</v>
      </c>
      <c r="BB77" s="58">
        <v>0</v>
      </c>
      <c r="BC77" s="42">
        <v>124</v>
      </c>
      <c r="BD77" s="49">
        <v>76.77</v>
      </c>
      <c r="BE77" s="49">
        <v>75.89</v>
      </c>
      <c r="BS77" s="58"/>
      <c r="BT77" s="83">
        <v>78.69</v>
      </c>
      <c r="CE77" s="83"/>
      <c r="CK77" s="58"/>
      <c r="CL77" s="83">
        <v>63.58</v>
      </c>
      <c r="CO77" s="58"/>
      <c r="CP77" s="83"/>
      <c r="CR77" s="58"/>
      <c r="CS77" s="83"/>
      <c r="CY77" s="83"/>
      <c r="DG77" s="58"/>
      <c r="DH77" s="83"/>
      <c r="DQ77" s="83"/>
      <c r="EE77" s="58"/>
      <c r="EF77" s="83"/>
      <c r="EI77" s="83"/>
      <c r="EK77" s="58"/>
      <c r="EL77" s="83"/>
      <c r="EO77" s="58"/>
      <c r="EP77" s="83"/>
      <c r="EQ77" s="58"/>
      <c r="ER77" s="83"/>
      <c r="ES77" s="58"/>
      <c r="ET77" s="83"/>
      <c r="EU77" s="58"/>
    </row>
    <row r="78" spans="1:151">
      <c r="A78" s="83" t="s">
        <v>319</v>
      </c>
      <c r="B78" s="173" t="s">
        <v>90</v>
      </c>
      <c r="C78" s="173" t="s">
        <v>500</v>
      </c>
      <c r="D78" s="83" t="s">
        <v>97</v>
      </c>
      <c r="F78" s="49" t="s">
        <v>286</v>
      </c>
      <c r="G78" s="60">
        <v>-5.6630000000000003</v>
      </c>
      <c r="I78" s="49">
        <v>1660</v>
      </c>
      <c r="J78" s="159">
        <v>1.281853281853282</v>
      </c>
      <c r="K78" s="49">
        <v>1</v>
      </c>
      <c r="L78" s="49">
        <v>3</v>
      </c>
      <c r="M78" s="83">
        <v>1</v>
      </c>
      <c r="N78" s="49">
        <v>0</v>
      </c>
      <c r="O78" s="49">
        <v>1</v>
      </c>
      <c r="P78" s="49">
        <v>1</v>
      </c>
      <c r="Q78" s="58">
        <v>0</v>
      </c>
      <c r="R78" s="42">
        <v>3</v>
      </c>
      <c r="S78" s="83" t="s">
        <v>283</v>
      </c>
      <c r="T78" s="49">
        <v>34</v>
      </c>
      <c r="U78" s="83">
        <v>3</v>
      </c>
      <c r="V78" s="49">
        <v>3</v>
      </c>
      <c r="W78" s="49">
        <v>1</v>
      </c>
      <c r="X78" s="58">
        <v>3</v>
      </c>
      <c r="Y78" s="83" t="s">
        <v>78</v>
      </c>
      <c r="Z78" s="49">
        <v>15</v>
      </c>
      <c r="AA78" s="49">
        <v>37</v>
      </c>
      <c r="AF78" s="49">
        <v>15</v>
      </c>
      <c r="AG78" s="49">
        <v>84</v>
      </c>
      <c r="AJ78" s="49">
        <v>0</v>
      </c>
      <c r="AK78" s="83">
        <v>0</v>
      </c>
      <c r="AL78" s="49">
        <v>0</v>
      </c>
      <c r="AM78" s="49">
        <v>0</v>
      </c>
      <c r="AN78" s="49">
        <v>0</v>
      </c>
      <c r="AO78" s="58">
        <v>0</v>
      </c>
      <c r="AP78" s="174" t="s">
        <v>284</v>
      </c>
      <c r="AQ78" s="175" t="s">
        <v>284</v>
      </c>
      <c r="AR78" s="175" t="s">
        <v>284</v>
      </c>
      <c r="AS78" s="175" t="s">
        <v>284</v>
      </c>
      <c r="AT78" s="175" t="s">
        <v>284</v>
      </c>
      <c r="AU78" s="175" t="s">
        <v>284</v>
      </c>
      <c r="AV78" s="175" t="s">
        <v>284</v>
      </c>
      <c r="AW78" s="175" t="s">
        <v>284</v>
      </c>
      <c r="AX78" s="83">
        <v>0</v>
      </c>
      <c r="AY78" s="49">
        <v>0</v>
      </c>
      <c r="AZ78" s="49">
        <v>0</v>
      </c>
      <c r="BA78" s="49">
        <v>0</v>
      </c>
      <c r="BB78" s="58">
        <v>0</v>
      </c>
      <c r="BC78" s="42">
        <v>145</v>
      </c>
      <c r="BS78" s="58"/>
      <c r="BT78" s="83"/>
      <c r="CE78" s="83"/>
      <c r="CK78" s="58"/>
      <c r="CL78" s="83"/>
      <c r="CO78" s="58"/>
      <c r="CP78" s="83"/>
      <c r="CR78" s="58"/>
      <c r="CS78" s="83"/>
      <c r="CY78" s="83"/>
      <c r="DG78" s="58"/>
      <c r="DH78" s="83"/>
      <c r="DQ78" s="83"/>
      <c r="EE78" s="58"/>
      <c r="EF78" s="83"/>
      <c r="EI78" s="83"/>
      <c r="EK78" s="58"/>
      <c r="EL78" s="83"/>
      <c r="EO78" s="58"/>
      <c r="EP78" s="83"/>
      <c r="EQ78" s="58"/>
      <c r="ER78" s="83"/>
      <c r="ES78" s="58"/>
      <c r="ET78" s="83"/>
      <c r="EU78" s="58"/>
    </row>
    <row r="79" spans="1:151">
      <c r="A79" s="83" t="s">
        <v>319</v>
      </c>
      <c r="B79" s="173" t="s">
        <v>90</v>
      </c>
      <c r="C79" s="173" t="s">
        <v>500</v>
      </c>
      <c r="D79" s="83" t="s">
        <v>98</v>
      </c>
      <c r="E79" s="49" t="s">
        <v>0</v>
      </c>
      <c r="F79" s="49" t="s">
        <v>286</v>
      </c>
      <c r="G79" s="60">
        <v>-5.6630000000000003</v>
      </c>
      <c r="I79" s="49">
        <v>1600</v>
      </c>
      <c r="J79" s="159">
        <v>1.0738255033557047</v>
      </c>
      <c r="K79" s="49">
        <v>4</v>
      </c>
      <c r="L79" s="49">
        <v>3</v>
      </c>
      <c r="M79" s="83">
        <v>0</v>
      </c>
      <c r="N79" s="49">
        <v>5</v>
      </c>
      <c r="O79" s="49">
        <v>0</v>
      </c>
      <c r="P79" s="49">
        <v>1</v>
      </c>
      <c r="Q79" s="58">
        <v>0</v>
      </c>
      <c r="R79" s="42">
        <v>6</v>
      </c>
      <c r="S79" s="83" t="s">
        <v>283</v>
      </c>
      <c r="T79" s="49">
        <v>19</v>
      </c>
      <c r="U79" s="83">
        <v>1</v>
      </c>
      <c r="V79" s="49">
        <v>3</v>
      </c>
      <c r="W79" s="49">
        <v>1</v>
      </c>
      <c r="X79" s="58">
        <v>2</v>
      </c>
      <c r="Y79" s="83">
        <v>25</v>
      </c>
      <c r="Z79" s="49">
        <v>20</v>
      </c>
      <c r="AA79" s="49">
        <v>40</v>
      </c>
      <c r="AD79" s="49">
        <v>30</v>
      </c>
      <c r="AE79" s="49">
        <v>730</v>
      </c>
      <c r="AF79" s="49">
        <v>50</v>
      </c>
      <c r="AG79" s="49">
        <v>710</v>
      </c>
      <c r="AJ79" s="49">
        <v>0</v>
      </c>
      <c r="AK79" s="83">
        <v>0</v>
      </c>
      <c r="AL79" s="49">
        <v>0</v>
      </c>
      <c r="AM79" s="49">
        <v>0</v>
      </c>
      <c r="AN79" s="49">
        <v>0</v>
      </c>
      <c r="AO79" s="58">
        <v>0</v>
      </c>
      <c r="AP79" s="174" t="s">
        <v>284</v>
      </c>
      <c r="AQ79" s="175" t="s">
        <v>284</v>
      </c>
      <c r="AR79" s="175" t="s">
        <v>284</v>
      </c>
      <c r="AS79" s="175" t="s">
        <v>284</v>
      </c>
      <c r="AT79" s="175" t="s">
        <v>284</v>
      </c>
      <c r="AU79" s="175" t="s">
        <v>284</v>
      </c>
      <c r="AV79" s="175" t="s">
        <v>284</v>
      </c>
      <c r="AW79" s="175" t="s">
        <v>284</v>
      </c>
      <c r="AX79" s="83">
        <v>0</v>
      </c>
      <c r="AY79" s="49">
        <v>0</v>
      </c>
      <c r="AZ79" s="49">
        <v>0</v>
      </c>
      <c r="BA79" s="49">
        <v>0</v>
      </c>
      <c r="BB79" s="58">
        <v>0</v>
      </c>
      <c r="BC79" s="42">
        <v>132</v>
      </c>
      <c r="BS79" s="58"/>
      <c r="BT79" s="83"/>
      <c r="CE79" s="83"/>
      <c r="CK79" s="58"/>
      <c r="CL79" s="83"/>
      <c r="CO79" s="58"/>
      <c r="CP79" s="83"/>
      <c r="CR79" s="58"/>
      <c r="CS79" s="83"/>
      <c r="CY79" s="83"/>
      <c r="DG79" s="58"/>
      <c r="DH79" s="83"/>
      <c r="DQ79" s="83"/>
      <c r="EE79" s="58"/>
      <c r="EF79" s="83"/>
      <c r="EI79" s="83"/>
      <c r="EK79" s="58"/>
      <c r="EL79" s="83"/>
      <c r="EO79" s="58"/>
      <c r="EP79" s="83"/>
      <c r="EQ79" s="58"/>
      <c r="ER79" s="83"/>
      <c r="ES79" s="58"/>
      <c r="ET79" s="83"/>
      <c r="EU79" s="58"/>
    </row>
    <row r="80" spans="1:151">
      <c r="A80" s="83" t="s">
        <v>319</v>
      </c>
      <c r="B80" s="173" t="s">
        <v>90</v>
      </c>
      <c r="C80" s="173" t="s">
        <v>500</v>
      </c>
      <c r="D80" s="83" t="s">
        <v>98</v>
      </c>
      <c r="E80" s="49" t="s">
        <v>1</v>
      </c>
      <c r="F80" s="49" t="s">
        <v>286</v>
      </c>
      <c r="G80" s="60">
        <v>-5.6630000000000003</v>
      </c>
      <c r="I80" s="49">
        <v>1570</v>
      </c>
      <c r="J80" s="159">
        <v>2.3787878787878789</v>
      </c>
      <c r="K80" s="49">
        <v>1</v>
      </c>
      <c r="L80" s="49">
        <v>3</v>
      </c>
      <c r="M80" s="83">
        <v>0</v>
      </c>
      <c r="N80" s="49">
        <v>3</v>
      </c>
      <c r="O80" s="49">
        <v>0</v>
      </c>
      <c r="P80" s="49">
        <v>1</v>
      </c>
      <c r="Q80" s="58">
        <v>0</v>
      </c>
      <c r="R80" s="42">
        <v>4</v>
      </c>
      <c r="S80" s="83" t="s">
        <v>283</v>
      </c>
      <c r="T80" s="49">
        <v>20</v>
      </c>
      <c r="U80" s="83">
        <v>1</v>
      </c>
      <c r="V80" s="49">
        <v>2</v>
      </c>
      <c r="W80" s="49">
        <v>1</v>
      </c>
      <c r="X80" s="58">
        <v>2</v>
      </c>
      <c r="Y80" s="83">
        <v>1</v>
      </c>
      <c r="AE80" s="49">
        <v>30</v>
      </c>
      <c r="AF80" s="49">
        <v>80</v>
      </c>
      <c r="AG80" s="49">
        <v>180</v>
      </c>
      <c r="AJ80" s="49">
        <v>0</v>
      </c>
      <c r="AK80" s="83">
        <v>0</v>
      </c>
      <c r="AL80" s="49">
        <v>0</v>
      </c>
      <c r="AM80" s="49">
        <v>0</v>
      </c>
      <c r="AN80" s="49">
        <v>0</v>
      </c>
      <c r="AO80" s="58">
        <v>0</v>
      </c>
      <c r="AP80" s="174" t="s">
        <v>284</v>
      </c>
      <c r="AQ80" s="175" t="s">
        <v>284</v>
      </c>
      <c r="AR80" s="175" t="s">
        <v>284</v>
      </c>
      <c r="AS80" s="175" t="s">
        <v>284</v>
      </c>
      <c r="AT80" s="175" t="s">
        <v>284</v>
      </c>
      <c r="AU80" s="175" t="s">
        <v>284</v>
      </c>
      <c r="AV80" s="175" t="s">
        <v>284</v>
      </c>
      <c r="AW80" s="175" t="s">
        <v>284</v>
      </c>
      <c r="AX80" s="83">
        <v>0</v>
      </c>
      <c r="AY80" s="49">
        <v>0</v>
      </c>
      <c r="AZ80" s="49">
        <v>0</v>
      </c>
      <c r="BA80" s="49">
        <v>0</v>
      </c>
      <c r="BB80" s="58">
        <v>0</v>
      </c>
      <c r="BC80" s="42">
        <v>132</v>
      </c>
      <c r="BS80" s="58"/>
      <c r="BT80" s="83"/>
      <c r="CE80" s="83"/>
      <c r="CK80" s="58"/>
      <c r="CL80" s="83"/>
      <c r="CO80" s="58"/>
      <c r="CP80" s="83"/>
      <c r="CR80" s="58"/>
      <c r="CS80" s="83"/>
      <c r="CY80" s="83"/>
      <c r="DG80" s="58"/>
      <c r="DH80" s="83"/>
      <c r="DQ80" s="83"/>
      <c r="EE80" s="58"/>
      <c r="EF80" s="83"/>
      <c r="EI80" s="83"/>
      <c r="EK80" s="58"/>
      <c r="EL80" s="83"/>
      <c r="EO80" s="58"/>
      <c r="EP80" s="83"/>
      <c r="EQ80" s="58"/>
      <c r="ER80" s="83"/>
      <c r="ES80" s="58"/>
      <c r="ET80" s="83"/>
      <c r="EU80" s="58"/>
    </row>
    <row r="81" spans="1:151">
      <c r="A81" s="83" t="s">
        <v>319</v>
      </c>
      <c r="B81" s="173" t="s">
        <v>90</v>
      </c>
      <c r="C81" s="173" t="s">
        <v>500</v>
      </c>
      <c r="D81" s="83" t="s">
        <v>99</v>
      </c>
      <c r="F81" s="49" t="s">
        <v>286</v>
      </c>
      <c r="G81" s="60">
        <v>-5.6630000000000003</v>
      </c>
      <c r="I81" s="49">
        <v>3790</v>
      </c>
      <c r="J81" s="159">
        <v>2.2694610778443112</v>
      </c>
      <c r="K81" s="49">
        <v>1</v>
      </c>
      <c r="L81" s="49">
        <v>2</v>
      </c>
      <c r="M81" s="83">
        <v>0</v>
      </c>
      <c r="N81" s="49">
        <v>3</v>
      </c>
      <c r="O81" s="49">
        <v>0</v>
      </c>
      <c r="P81" s="49">
        <v>0</v>
      </c>
      <c r="Q81" s="58">
        <v>0</v>
      </c>
      <c r="R81" s="42">
        <v>3</v>
      </c>
      <c r="S81" s="83" t="s">
        <v>283</v>
      </c>
      <c r="T81" s="49">
        <v>34</v>
      </c>
      <c r="U81" s="83">
        <v>1</v>
      </c>
      <c r="V81" s="49">
        <v>2</v>
      </c>
      <c r="W81" s="49">
        <v>2</v>
      </c>
      <c r="X81" s="58"/>
      <c r="Y81" s="83">
        <v>10</v>
      </c>
      <c r="Z81" s="49">
        <v>20</v>
      </c>
      <c r="AA81" s="49">
        <v>40</v>
      </c>
      <c r="AD81" s="49">
        <v>140</v>
      </c>
      <c r="AE81" s="49">
        <v>480</v>
      </c>
      <c r="AF81" s="49">
        <v>50</v>
      </c>
      <c r="AG81" s="49">
        <v>280</v>
      </c>
      <c r="AI81" s="49">
        <v>380</v>
      </c>
      <c r="AJ81" s="49">
        <v>0</v>
      </c>
      <c r="AK81" s="83">
        <v>0</v>
      </c>
      <c r="AL81" s="49">
        <v>0</v>
      </c>
      <c r="AM81" s="49">
        <v>0</v>
      </c>
      <c r="AN81" s="49">
        <v>0</v>
      </c>
      <c r="AO81" s="58">
        <v>0</v>
      </c>
      <c r="AP81" s="174" t="s">
        <v>284</v>
      </c>
      <c r="AQ81" s="175" t="s">
        <v>284</v>
      </c>
      <c r="AR81" s="175" t="s">
        <v>284</v>
      </c>
      <c r="AS81" s="175" t="s">
        <v>284</v>
      </c>
      <c r="AT81" s="175" t="s">
        <v>284</v>
      </c>
      <c r="AU81" s="175" t="s">
        <v>284</v>
      </c>
      <c r="AV81" s="175" t="s">
        <v>284</v>
      </c>
      <c r="AW81" s="175" t="s">
        <v>284</v>
      </c>
      <c r="AX81" s="83">
        <v>0</v>
      </c>
      <c r="AY81" s="49">
        <v>0</v>
      </c>
      <c r="AZ81" s="49">
        <v>0</v>
      </c>
      <c r="BA81" s="49">
        <v>0</v>
      </c>
      <c r="BB81" s="58">
        <v>0</v>
      </c>
      <c r="BC81" s="42">
        <v>144</v>
      </c>
      <c r="BS81" s="58"/>
      <c r="BT81" s="83"/>
      <c r="CE81" s="83"/>
      <c r="CK81" s="58"/>
      <c r="CL81" s="83"/>
      <c r="CO81" s="58"/>
      <c r="CP81" s="83"/>
      <c r="CR81" s="58"/>
      <c r="CS81" s="83"/>
      <c r="CY81" s="83"/>
      <c r="DG81" s="58"/>
      <c r="DH81" s="83"/>
      <c r="DQ81" s="83"/>
      <c r="EE81" s="58"/>
      <c r="EF81" s="83"/>
      <c r="EI81" s="83"/>
      <c r="EK81" s="58"/>
      <c r="EL81" s="83"/>
      <c r="EO81" s="58"/>
      <c r="EP81" s="83"/>
      <c r="EQ81" s="58"/>
      <c r="ER81" s="83"/>
      <c r="ES81" s="58"/>
      <c r="ET81" s="83"/>
      <c r="EU81" s="58"/>
    </row>
    <row r="82" spans="1:151">
      <c r="A82" s="83" t="s">
        <v>319</v>
      </c>
      <c r="B82" s="173" t="s">
        <v>90</v>
      </c>
      <c r="C82" s="173" t="s">
        <v>500</v>
      </c>
      <c r="D82" s="83" t="s">
        <v>100</v>
      </c>
      <c r="F82" s="49" t="s">
        <v>286</v>
      </c>
      <c r="G82" s="60">
        <v>-5.6630000000000003</v>
      </c>
      <c r="I82" s="49">
        <v>3140</v>
      </c>
      <c r="J82" s="159">
        <v>1.250996015936255</v>
      </c>
      <c r="K82" s="49">
        <v>1</v>
      </c>
      <c r="L82" s="49">
        <v>2</v>
      </c>
      <c r="M82" s="83">
        <v>0</v>
      </c>
      <c r="N82" s="49">
        <v>4</v>
      </c>
      <c r="O82" s="49">
        <v>0</v>
      </c>
      <c r="P82" s="49">
        <v>1</v>
      </c>
      <c r="Q82" s="58">
        <v>0</v>
      </c>
      <c r="R82" s="42">
        <v>5</v>
      </c>
      <c r="S82" s="83" t="s">
        <v>283</v>
      </c>
      <c r="T82" s="49">
        <v>20</v>
      </c>
      <c r="U82" s="83">
        <v>2</v>
      </c>
      <c r="V82" s="49">
        <v>2</v>
      </c>
      <c r="W82" s="49">
        <v>1</v>
      </c>
      <c r="X82" s="58">
        <v>3</v>
      </c>
      <c r="Y82" s="83">
        <v>5</v>
      </c>
      <c r="Z82" s="49">
        <v>10</v>
      </c>
      <c r="AA82" s="49">
        <v>40</v>
      </c>
      <c r="AD82" s="49">
        <v>50</v>
      </c>
      <c r="AE82" s="49">
        <v>700</v>
      </c>
      <c r="AF82" s="49">
        <v>40</v>
      </c>
      <c r="AG82" s="49">
        <v>190</v>
      </c>
      <c r="AH82" s="49">
        <v>50</v>
      </c>
      <c r="AI82" s="49">
        <v>420</v>
      </c>
      <c r="AJ82" s="49">
        <v>0</v>
      </c>
      <c r="AK82" s="83">
        <v>0</v>
      </c>
      <c r="AL82" s="49">
        <v>1</v>
      </c>
      <c r="AM82" s="49">
        <v>0</v>
      </c>
      <c r="AN82" s="49">
        <v>0</v>
      </c>
      <c r="AO82" s="58">
        <v>0</v>
      </c>
      <c r="AP82" s="174">
        <v>0</v>
      </c>
      <c r="AQ82" s="175">
        <v>1601</v>
      </c>
      <c r="AR82" s="175" t="s">
        <v>284</v>
      </c>
      <c r="AS82" s="175" t="s">
        <v>284</v>
      </c>
      <c r="AT82" s="175" t="s">
        <v>284</v>
      </c>
      <c r="AU82" s="175" t="s">
        <v>284</v>
      </c>
      <c r="AV82" s="175" t="s">
        <v>284</v>
      </c>
      <c r="AW82" s="175" t="s">
        <v>284</v>
      </c>
      <c r="AX82" s="83">
        <v>0</v>
      </c>
      <c r="AY82" s="49">
        <v>0</v>
      </c>
      <c r="AZ82" s="49">
        <v>0</v>
      </c>
      <c r="BA82" s="49">
        <v>0</v>
      </c>
      <c r="BB82" s="58">
        <v>0</v>
      </c>
      <c r="BC82" s="42">
        <v>136</v>
      </c>
      <c r="BD82" s="49">
        <v>77.63</v>
      </c>
      <c r="BE82" s="159">
        <v>78.260000000000005</v>
      </c>
      <c r="BS82" s="58"/>
      <c r="BT82" s="83">
        <v>75.78</v>
      </c>
      <c r="BU82" s="49">
        <v>73.36</v>
      </c>
      <c r="BV82" s="49">
        <v>76.72</v>
      </c>
      <c r="BW82" s="49">
        <v>78.45</v>
      </c>
      <c r="CE82" s="83">
        <v>78.03</v>
      </c>
      <c r="CK82" s="58"/>
      <c r="CL82" s="83">
        <v>61.8</v>
      </c>
      <c r="CO82" s="58"/>
      <c r="CP82" s="83"/>
      <c r="CR82" s="58"/>
      <c r="CS82" s="83">
        <v>73.489999999999995</v>
      </c>
      <c r="CY82" s="83"/>
      <c r="DG82" s="58"/>
      <c r="DH82" s="83"/>
      <c r="DQ82" s="83">
        <v>70.430000000000007</v>
      </c>
      <c r="DR82" s="49">
        <v>72.099999999999994</v>
      </c>
      <c r="EE82" s="58"/>
      <c r="EF82" s="83"/>
      <c r="EI82" s="83"/>
      <c r="EK82" s="58"/>
      <c r="EL82" s="83"/>
      <c r="EO82" s="58"/>
      <c r="EP82" s="83"/>
      <c r="EQ82" s="58"/>
      <c r="ER82" s="83"/>
      <c r="ES82" s="58"/>
      <c r="ET82" s="83"/>
      <c r="EU82" s="58"/>
    </row>
    <row r="83" spans="1:151">
      <c r="A83" s="83" t="s">
        <v>319</v>
      </c>
      <c r="B83" s="173" t="s">
        <v>90</v>
      </c>
      <c r="C83" s="173" t="s">
        <v>500</v>
      </c>
      <c r="D83" s="83" t="s">
        <v>101</v>
      </c>
      <c r="F83" s="49" t="s">
        <v>286</v>
      </c>
      <c r="G83" s="60">
        <v>-5.6630000000000003</v>
      </c>
      <c r="I83" s="49">
        <v>5280</v>
      </c>
      <c r="J83" s="159">
        <v>3.1807228915662651</v>
      </c>
      <c r="K83" s="49">
        <v>1</v>
      </c>
      <c r="L83" s="49">
        <v>2</v>
      </c>
      <c r="M83" s="83">
        <v>0</v>
      </c>
      <c r="N83" s="49">
        <v>5</v>
      </c>
      <c r="O83" s="49">
        <v>0</v>
      </c>
      <c r="P83" s="49">
        <v>1</v>
      </c>
      <c r="Q83" s="58">
        <v>0</v>
      </c>
      <c r="R83" s="42">
        <v>6</v>
      </c>
      <c r="S83" s="83" t="s">
        <v>283</v>
      </c>
      <c r="T83" s="49">
        <v>24</v>
      </c>
      <c r="U83" s="83">
        <v>1</v>
      </c>
      <c r="V83" s="49">
        <v>2</v>
      </c>
      <c r="W83" s="49">
        <v>1</v>
      </c>
      <c r="X83" s="58">
        <v>2</v>
      </c>
      <c r="Y83" s="83">
        <v>15</v>
      </c>
      <c r="AD83" s="49">
        <v>200</v>
      </c>
      <c r="AE83" s="49">
        <v>820</v>
      </c>
      <c r="AF83" s="49">
        <v>30</v>
      </c>
      <c r="AG83" s="49">
        <v>2360</v>
      </c>
      <c r="AH83" s="49">
        <v>50</v>
      </c>
      <c r="AI83" s="49">
        <v>1210</v>
      </c>
      <c r="AJ83" s="49">
        <v>0</v>
      </c>
      <c r="AK83" s="83">
        <v>0</v>
      </c>
      <c r="AL83" s="49">
        <v>0</v>
      </c>
      <c r="AM83" s="49">
        <v>0</v>
      </c>
      <c r="AN83" s="49">
        <v>0</v>
      </c>
      <c r="AO83" s="58">
        <v>0</v>
      </c>
      <c r="AP83" s="174" t="s">
        <v>284</v>
      </c>
      <c r="AQ83" s="175" t="s">
        <v>284</v>
      </c>
      <c r="AR83" s="175" t="s">
        <v>284</v>
      </c>
      <c r="AS83" s="175" t="s">
        <v>284</v>
      </c>
      <c r="AT83" s="175" t="s">
        <v>284</v>
      </c>
      <c r="AU83" s="175" t="s">
        <v>284</v>
      </c>
      <c r="AV83" s="175" t="s">
        <v>284</v>
      </c>
      <c r="AW83" s="175" t="s">
        <v>284</v>
      </c>
      <c r="AX83" s="83">
        <v>0</v>
      </c>
      <c r="AY83" s="49">
        <v>0</v>
      </c>
      <c r="AZ83" s="49">
        <v>0</v>
      </c>
      <c r="BA83" s="49">
        <v>0</v>
      </c>
      <c r="BB83" s="58">
        <v>0</v>
      </c>
      <c r="BC83" s="42">
        <v>210</v>
      </c>
      <c r="BS83" s="58"/>
      <c r="BT83" s="83">
        <v>74.34</v>
      </c>
      <c r="BU83" s="49">
        <v>72.56</v>
      </c>
      <c r="BV83" s="49">
        <v>73.23</v>
      </c>
      <c r="CE83" s="83">
        <v>79.510000000000005</v>
      </c>
      <c r="CK83" s="58"/>
      <c r="CL83" s="83">
        <v>66.86</v>
      </c>
      <c r="CO83" s="58"/>
      <c r="CP83" s="83"/>
      <c r="CR83" s="58"/>
      <c r="CS83" s="83">
        <v>75.98</v>
      </c>
      <c r="CY83" s="83"/>
      <c r="DG83" s="58"/>
      <c r="DH83" s="83">
        <v>69.48</v>
      </c>
      <c r="DI83" s="49">
        <v>69.94</v>
      </c>
      <c r="DJ83" s="49">
        <v>71.87</v>
      </c>
      <c r="DQ83" s="83">
        <v>69.64</v>
      </c>
      <c r="DR83" s="49">
        <v>71.34</v>
      </c>
      <c r="EE83" s="58"/>
      <c r="EF83" s="83"/>
      <c r="EI83" s="83"/>
      <c r="EK83" s="58"/>
      <c r="EL83" s="83"/>
      <c r="EO83" s="58"/>
      <c r="EP83" s="83"/>
      <c r="EQ83" s="58"/>
      <c r="ER83" s="83"/>
      <c r="ES83" s="58"/>
      <c r="ET83" s="83"/>
      <c r="EU83" s="58"/>
    </row>
    <row r="84" spans="1:151">
      <c r="A84" s="83" t="s">
        <v>319</v>
      </c>
      <c r="B84" s="173" t="s">
        <v>90</v>
      </c>
      <c r="C84" s="173" t="s">
        <v>500</v>
      </c>
      <c r="D84" s="83" t="s">
        <v>102</v>
      </c>
      <c r="F84" s="49" t="s">
        <v>286</v>
      </c>
      <c r="G84" s="60">
        <v>-5.6630000000000003</v>
      </c>
      <c r="I84" s="49">
        <v>4340</v>
      </c>
      <c r="J84" s="159">
        <v>2.4659090909090908</v>
      </c>
      <c r="K84" s="49">
        <v>1</v>
      </c>
      <c r="L84" s="49">
        <v>3</v>
      </c>
      <c r="M84" s="83">
        <v>0</v>
      </c>
      <c r="N84" s="49">
        <v>4</v>
      </c>
      <c r="O84" s="49">
        <v>1</v>
      </c>
      <c r="P84" s="49">
        <v>1</v>
      </c>
      <c r="Q84" s="58">
        <v>0</v>
      </c>
      <c r="R84" s="42">
        <v>6</v>
      </c>
      <c r="S84" s="83" t="s">
        <v>283</v>
      </c>
      <c r="T84" s="49">
        <v>24</v>
      </c>
      <c r="U84" s="83">
        <v>1</v>
      </c>
      <c r="V84" s="49">
        <v>3</v>
      </c>
      <c r="W84" s="49">
        <v>1</v>
      </c>
      <c r="X84" s="58">
        <v>3</v>
      </c>
      <c r="Y84" s="83">
        <v>25</v>
      </c>
      <c r="Z84" s="49">
        <v>20</v>
      </c>
      <c r="AA84" s="49">
        <v>50</v>
      </c>
      <c r="AD84" s="49">
        <v>60</v>
      </c>
      <c r="AE84" s="49">
        <v>820</v>
      </c>
      <c r="AF84" s="49">
        <v>20</v>
      </c>
      <c r="AG84" s="49">
        <v>1370</v>
      </c>
      <c r="AH84" s="49">
        <v>290</v>
      </c>
      <c r="AI84" s="49">
        <v>1120</v>
      </c>
      <c r="AJ84" s="49">
        <v>0</v>
      </c>
      <c r="AK84" s="83">
        <v>0</v>
      </c>
      <c r="AL84" s="49">
        <v>0</v>
      </c>
      <c r="AM84" s="49">
        <v>0</v>
      </c>
      <c r="AN84" s="49">
        <v>0</v>
      </c>
      <c r="AO84" s="58">
        <v>0</v>
      </c>
      <c r="AP84" s="174" t="s">
        <v>284</v>
      </c>
      <c r="AQ84" s="175" t="s">
        <v>284</v>
      </c>
      <c r="AR84" s="175" t="s">
        <v>284</v>
      </c>
      <c r="AS84" s="175" t="s">
        <v>284</v>
      </c>
      <c r="AT84" s="175" t="s">
        <v>284</v>
      </c>
      <c r="AU84" s="175" t="s">
        <v>284</v>
      </c>
      <c r="AV84" s="175" t="s">
        <v>284</v>
      </c>
      <c r="AW84" s="175" t="s">
        <v>284</v>
      </c>
      <c r="AX84" s="83">
        <v>0</v>
      </c>
      <c r="AY84" s="49">
        <v>0</v>
      </c>
      <c r="AZ84" s="49">
        <v>0</v>
      </c>
      <c r="BA84" s="49">
        <v>0</v>
      </c>
      <c r="BB84" s="58">
        <v>0</v>
      </c>
      <c r="BC84" s="42">
        <v>156</v>
      </c>
      <c r="BS84" s="58"/>
      <c r="BT84" s="83">
        <v>77.5</v>
      </c>
      <c r="BU84" s="49">
        <v>78.12</v>
      </c>
      <c r="CE84" s="83">
        <v>73.739999999999995</v>
      </c>
      <c r="CK84" s="58"/>
      <c r="CL84" s="83"/>
      <c r="CO84" s="58"/>
      <c r="CP84" s="83"/>
      <c r="CR84" s="58"/>
      <c r="CS84" s="83"/>
      <c r="CY84" s="83"/>
      <c r="DG84" s="58"/>
      <c r="DH84" s="83">
        <v>71.290000000000006</v>
      </c>
      <c r="DI84" s="49">
        <v>72.61</v>
      </c>
      <c r="DQ84" s="83"/>
      <c r="EE84" s="58"/>
      <c r="EF84" s="83"/>
      <c r="EI84" s="83"/>
      <c r="EK84" s="58"/>
      <c r="EL84" s="83"/>
      <c r="EO84" s="58"/>
      <c r="EP84" s="83"/>
      <c r="EQ84" s="58"/>
      <c r="ER84" s="83"/>
      <c r="ES84" s="58"/>
      <c r="ET84" s="83"/>
      <c r="EU84" s="58"/>
    </row>
    <row r="85" spans="1:151">
      <c r="A85" s="83" t="s">
        <v>319</v>
      </c>
      <c r="B85" s="173" t="s">
        <v>90</v>
      </c>
      <c r="C85" s="173" t="s">
        <v>500</v>
      </c>
      <c r="D85" s="83" t="s">
        <v>66</v>
      </c>
      <c r="F85" s="49" t="s">
        <v>286</v>
      </c>
      <c r="G85" s="60">
        <v>-5.6630000000000003</v>
      </c>
      <c r="I85" s="49">
        <v>2540</v>
      </c>
      <c r="J85" s="159">
        <v>1.5209580838323353</v>
      </c>
      <c r="K85" s="49">
        <v>2</v>
      </c>
      <c r="L85" s="49">
        <v>5</v>
      </c>
      <c r="M85" s="83">
        <v>0</v>
      </c>
      <c r="N85" s="49">
        <v>2</v>
      </c>
      <c r="O85" s="49">
        <v>0</v>
      </c>
      <c r="P85" s="49">
        <v>1</v>
      </c>
      <c r="Q85" s="58">
        <v>0</v>
      </c>
      <c r="R85" s="42">
        <v>3</v>
      </c>
      <c r="S85" s="83" t="s">
        <v>283</v>
      </c>
      <c r="T85" s="49">
        <v>16</v>
      </c>
      <c r="U85" s="83">
        <v>0</v>
      </c>
      <c r="V85" s="49">
        <v>0</v>
      </c>
      <c r="W85" s="49">
        <v>0</v>
      </c>
      <c r="X85" s="58"/>
      <c r="Y85" s="83">
        <v>25</v>
      </c>
      <c r="AA85" s="49">
        <v>10</v>
      </c>
      <c r="AF85" s="49">
        <v>50</v>
      </c>
      <c r="AG85" s="49">
        <v>710</v>
      </c>
      <c r="AH85" s="49">
        <v>90</v>
      </c>
      <c r="AI85" s="49">
        <v>240</v>
      </c>
      <c r="AJ85" s="49">
        <v>0</v>
      </c>
      <c r="AK85" s="83">
        <v>0</v>
      </c>
      <c r="AL85" s="49">
        <v>0</v>
      </c>
      <c r="AM85" s="49">
        <v>0</v>
      </c>
      <c r="AN85" s="49">
        <v>0</v>
      </c>
      <c r="AO85" s="58">
        <v>0</v>
      </c>
      <c r="AP85" s="174" t="s">
        <v>284</v>
      </c>
      <c r="AQ85" s="175" t="s">
        <v>284</v>
      </c>
      <c r="AR85" s="175" t="s">
        <v>284</v>
      </c>
      <c r="AS85" s="175" t="s">
        <v>284</v>
      </c>
      <c r="AT85" s="175" t="s">
        <v>284</v>
      </c>
      <c r="AU85" s="175" t="s">
        <v>284</v>
      </c>
      <c r="AV85" s="175" t="s">
        <v>284</v>
      </c>
      <c r="AW85" s="175" t="s">
        <v>284</v>
      </c>
      <c r="AX85" s="83">
        <v>0</v>
      </c>
      <c r="AY85" s="49">
        <v>0</v>
      </c>
      <c r="AZ85" s="49">
        <v>0</v>
      </c>
      <c r="BA85" s="49">
        <v>0</v>
      </c>
      <c r="BB85" s="58">
        <v>0</v>
      </c>
      <c r="BC85" s="42">
        <v>146</v>
      </c>
      <c r="BS85" s="58"/>
      <c r="BT85" s="83">
        <v>77.06</v>
      </c>
      <c r="BU85" s="49">
        <v>78.510000000000005</v>
      </c>
      <c r="CE85" s="83"/>
      <c r="CK85" s="58"/>
      <c r="CL85" s="83">
        <v>66.2</v>
      </c>
      <c r="CM85" s="49">
        <v>55.77</v>
      </c>
      <c r="CO85" s="58"/>
      <c r="CP85" s="83">
        <v>59.68</v>
      </c>
      <c r="CR85" s="58"/>
      <c r="CS85" s="83"/>
      <c r="CY85" s="83"/>
      <c r="DG85" s="58"/>
      <c r="DH85" s="83">
        <v>71.819999999999993</v>
      </c>
      <c r="DI85" s="49">
        <v>71.790000000000006</v>
      </c>
      <c r="DJ85" s="49">
        <v>72.31</v>
      </c>
      <c r="DK85" s="49">
        <v>71.66</v>
      </c>
      <c r="DQ85" s="83"/>
      <c r="EE85" s="58"/>
      <c r="EF85" s="83"/>
      <c r="EI85" s="83"/>
      <c r="EK85" s="58"/>
      <c r="EL85" s="83"/>
      <c r="EO85" s="58"/>
      <c r="EP85" s="83"/>
      <c r="EQ85" s="58"/>
      <c r="ER85" s="83"/>
      <c r="ES85" s="58"/>
      <c r="ET85" s="83"/>
      <c r="EU85" s="58"/>
    </row>
    <row r="86" spans="1:151">
      <c r="A86" s="83" t="s">
        <v>319</v>
      </c>
      <c r="B86" s="173" t="s">
        <v>90</v>
      </c>
      <c r="C86" s="173" t="s">
        <v>500</v>
      </c>
      <c r="D86" s="83" t="s">
        <v>103</v>
      </c>
      <c r="F86" s="49" t="s">
        <v>286</v>
      </c>
      <c r="G86" s="60">
        <v>-5.6630000000000003</v>
      </c>
      <c r="I86" s="49">
        <v>6916</v>
      </c>
      <c r="J86" s="159">
        <v>1.9810942423374391</v>
      </c>
      <c r="K86" s="49">
        <v>1</v>
      </c>
      <c r="L86" s="49">
        <v>3</v>
      </c>
      <c r="M86" s="83">
        <v>1</v>
      </c>
      <c r="N86" s="49">
        <v>0</v>
      </c>
      <c r="O86" s="49">
        <v>1</v>
      </c>
      <c r="P86" s="49">
        <v>1</v>
      </c>
      <c r="Q86" s="58">
        <v>0</v>
      </c>
      <c r="R86" s="42">
        <v>3</v>
      </c>
      <c r="S86" s="83">
        <v>1</v>
      </c>
      <c r="U86" s="83">
        <v>1</v>
      </c>
      <c r="V86" s="49">
        <v>3</v>
      </c>
      <c r="W86" s="49">
        <v>1</v>
      </c>
      <c r="X86" s="58">
        <v>1</v>
      </c>
      <c r="Y86" s="83">
        <v>15</v>
      </c>
      <c r="Z86" s="49">
        <v>10</v>
      </c>
      <c r="AA86" s="49">
        <v>220</v>
      </c>
      <c r="AD86" s="49">
        <v>60</v>
      </c>
      <c r="AE86" s="49">
        <v>650</v>
      </c>
      <c r="AF86" s="49">
        <v>40</v>
      </c>
      <c r="AG86" s="49">
        <v>320</v>
      </c>
      <c r="AH86" s="49">
        <v>470</v>
      </c>
      <c r="AI86" s="49">
        <v>1220</v>
      </c>
      <c r="AJ86" s="49">
        <v>0</v>
      </c>
      <c r="AK86" s="83">
        <v>0</v>
      </c>
      <c r="AL86" s="49">
        <v>1</v>
      </c>
      <c r="AM86" s="49">
        <v>0</v>
      </c>
      <c r="AN86" s="49">
        <v>0</v>
      </c>
      <c r="AO86" s="58">
        <v>0</v>
      </c>
      <c r="AP86" s="174">
        <v>1253</v>
      </c>
      <c r="AQ86" s="175">
        <v>1372</v>
      </c>
      <c r="AR86" s="175" t="s">
        <v>284</v>
      </c>
      <c r="AS86" s="175" t="s">
        <v>284</v>
      </c>
      <c r="AT86" s="175" t="s">
        <v>284</v>
      </c>
      <c r="AU86" s="175" t="s">
        <v>284</v>
      </c>
      <c r="AV86" s="175" t="s">
        <v>284</v>
      </c>
      <c r="AW86" s="175" t="s">
        <v>284</v>
      </c>
      <c r="AX86" s="83">
        <v>0</v>
      </c>
      <c r="AY86" s="49">
        <v>0</v>
      </c>
      <c r="AZ86" s="49">
        <v>0</v>
      </c>
      <c r="BA86" s="49">
        <v>0</v>
      </c>
      <c r="BB86" s="58">
        <v>0</v>
      </c>
      <c r="BC86" s="42">
        <v>137</v>
      </c>
      <c r="BD86" s="49">
        <v>81.47</v>
      </c>
      <c r="BS86" s="58"/>
      <c r="BT86" s="83">
        <v>78.52</v>
      </c>
      <c r="BU86" s="49">
        <v>83.58</v>
      </c>
      <c r="CE86" s="83">
        <v>80.680000000000007</v>
      </c>
      <c r="CK86" s="58"/>
      <c r="CL86" s="83">
        <v>62.93</v>
      </c>
      <c r="CO86" s="58"/>
      <c r="CP86" s="83"/>
      <c r="CR86" s="58"/>
      <c r="CS86" s="83"/>
      <c r="CY86" s="83"/>
      <c r="DG86" s="58"/>
      <c r="DH86" s="83"/>
      <c r="DQ86" s="83"/>
      <c r="EE86" s="58"/>
      <c r="EF86" s="83"/>
      <c r="EI86" s="83"/>
      <c r="EK86" s="58"/>
      <c r="EL86" s="83"/>
      <c r="EO86" s="58"/>
      <c r="EP86" s="83"/>
      <c r="EQ86" s="58"/>
      <c r="ER86" s="83"/>
      <c r="ES86" s="58"/>
      <c r="ET86" s="83"/>
      <c r="EU86" s="58"/>
    </row>
    <row r="87" spans="1:151">
      <c r="A87" s="83" t="s">
        <v>319</v>
      </c>
      <c r="B87" s="173" t="s">
        <v>90</v>
      </c>
      <c r="C87" s="173" t="s">
        <v>500</v>
      </c>
      <c r="D87" s="83" t="s">
        <v>104</v>
      </c>
      <c r="F87" s="49" t="s">
        <v>286</v>
      </c>
      <c r="G87" s="60">
        <v>-5.6630000000000003</v>
      </c>
      <c r="I87" s="49">
        <v>5790</v>
      </c>
      <c r="J87" s="159">
        <v>1.9627118644067796</v>
      </c>
      <c r="K87" s="49">
        <v>1</v>
      </c>
      <c r="L87" s="49">
        <v>3</v>
      </c>
      <c r="M87" s="83">
        <v>0</v>
      </c>
      <c r="N87" s="49">
        <v>4</v>
      </c>
      <c r="O87" s="49">
        <v>0</v>
      </c>
      <c r="P87" s="49">
        <v>1</v>
      </c>
      <c r="Q87" s="58">
        <v>0</v>
      </c>
      <c r="R87" s="42">
        <v>5</v>
      </c>
      <c r="S87" s="83" t="s">
        <v>283</v>
      </c>
      <c r="T87" s="49">
        <v>28</v>
      </c>
      <c r="U87" s="83">
        <v>1</v>
      </c>
      <c r="V87" s="49">
        <v>2</v>
      </c>
      <c r="W87" s="49">
        <v>1</v>
      </c>
      <c r="X87" s="58">
        <v>2</v>
      </c>
      <c r="Y87" s="83">
        <v>40</v>
      </c>
      <c r="Z87" s="49">
        <v>10</v>
      </c>
      <c r="AA87" s="49">
        <v>30</v>
      </c>
      <c r="AD87" s="49">
        <v>40</v>
      </c>
      <c r="AE87" s="49">
        <v>1090</v>
      </c>
      <c r="AF87" s="49">
        <v>30</v>
      </c>
      <c r="AG87" s="49">
        <v>1330</v>
      </c>
      <c r="AH87" s="49">
        <v>90</v>
      </c>
      <c r="AI87" s="49">
        <v>1000</v>
      </c>
      <c r="AJ87" s="49">
        <v>0</v>
      </c>
      <c r="AK87" s="83">
        <v>0</v>
      </c>
      <c r="AL87" s="49">
        <v>1</v>
      </c>
      <c r="AM87" s="49">
        <v>0</v>
      </c>
      <c r="AN87" s="49">
        <v>0</v>
      </c>
      <c r="AO87" s="58">
        <v>0</v>
      </c>
      <c r="AP87" s="174">
        <v>0</v>
      </c>
      <c r="AQ87" s="175">
        <v>1246</v>
      </c>
      <c r="AR87" s="175" t="s">
        <v>284</v>
      </c>
      <c r="AS87" s="175" t="s">
        <v>284</v>
      </c>
      <c r="AT87" s="175" t="s">
        <v>284</v>
      </c>
      <c r="AU87" s="175" t="s">
        <v>284</v>
      </c>
      <c r="AV87" s="175" t="s">
        <v>284</v>
      </c>
      <c r="AW87" s="175" t="s">
        <v>284</v>
      </c>
      <c r="AX87" s="83">
        <v>0</v>
      </c>
      <c r="AY87" s="49">
        <v>0</v>
      </c>
      <c r="AZ87" s="49">
        <v>0</v>
      </c>
      <c r="BA87" s="49">
        <v>0</v>
      </c>
      <c r="BB87" s="58">
        <v>0</v>
      </c>
      <c r="BC87" s="42">
        <v>136</v>
      </c>
      <c r="BS87" s="58"/>
      <c r="BT87" s="83"/>
      <c r="CE87" s="83"/>
      <c r="CK87" s="58"/>
      <c r="CL87" s="83"/>
      <c r="CO87" s="58"/>
      <c r="CP87" s="83"/>
      <c r="CR87" s="58"/>
      <c r="CS87" s="83"/>
      <c r="CY87" s="83"/>
      <c r="DG87" s="58"/>
      <c r="DH87" s="83"/>
      <c r="DQ87" s="83"/>
      <c r="EE87" s="58"/>
      <c r="EF87" s="83"/>
      <c r="EI87" s="83"/>
      <c r="EK87" s="58"/>
      <c r="EL87" s="83"/>
      <c r="EO87" s="58"/>
      <c r="EP87" s="83"/>
      <c r="EQ87" s="58"/>
      <c r="ER87" s="83"/>
      <c r="ES87" s="58"/>
      <c r="ET87" s="83"/>
      <c r="EU87" s="58"/>
    </row>
    <row r="88" spans="1:151">
      <c r="A88" s="83" t="s">
        <v>319</v>
      </c>
      <c r="B88" s="173" t="s">
        <v>90</v>
      </c>
      <c r="C88" s="173" t="s">
        <v>500</v>
      </c>
      <c r="D88" s="83" t="s">
        <v>105</v>
      </c>
      <c r="F88" s="49" t="s">
        <v>286</v>
      </c>
      <c r="G88" s="60">
        <v>-5.6630000000000003</v>
      </c>
      <c r="I88" s="49">
        <v>6270</v>
      </c>
      <c r="J88" s="159">
        <v>1.5292682926829269</v>
      </c>
      <c r="K88" s="49">
        <v>4</v>
      </c>
      <c r="L88" s="49">
        <v>3</v>
      </c>
      <c r="M88" s="83">
        <v>0</v>
      </c>
      <c r="N88" s="49">
        <v>4</v>
      </c>
      <c r="O88" s="49">
        <v>1</v>
      </c>
      <c r="P88" s="49">
        <v>1</v>
      </c>
      <c r="Q88" s="58">
        <v>0</v>
      </c>
      <c r="R88" s="42">
        <v>6</v>
      </c>
      <c r="S88" s="83" t="s">
        <v>283</v>
      </c>
      <c r="U88" s="83">
        <v>3</v>
      </c>
      <c r="V88" s="49">
        <v>3</v>
      </c>
      <c r="W88" s="49">
        <v>3</v>
      </c>
      <c r="X88" s="58">
        <v>3</v>
      </c>
      <c r="Y88" s="83">
        <v>15</v>
      </c>
      <c r="Z88" s="49">
        <v>20</v>
      </c>
      <c r="AA88" s="49">
        <v>80</v>
      </c>
      <c r="AD88" s="49">
        <v>50</v>
      </c>
      <c r="AE88" s="49">
        <v>600</v>
      </c>
      <c r="AF88" s="49">
        <v>4</v>
      </c>
      <c r="AG88" s="49">
        <v>320</v>
      </c>
      <c r="AH88" s="49">
        <v>140</v>
      </c>
      <c r="AI88" s="49">
        <v>630</v>
      </c>
      <c r="AJ88" s="49">
        <v>0</v>
      </c>
      <c r="AK88" s="83">
        <v>0</v>
      </c>
      <c r="AL88" s="49">
        <v>1</v>
      </c>
      <c r="AM88" s="49">
        <v>0</v>
      </c>
      <c r="AN88" s="49">
        <v>0</v>
      </c>
      <c r="AO88" s="58">
        <v>0</v>
      </c>
      <c r="AP88" s="174">
        <v>0</v>
      </c>
      <c r="AQ88" s="175">
        <v>772</v>
      </c>
      <c r="AR88" s="175">
        <v>0</v>
      </c>
      <c r="AS88" s="175">
        <v>0</v>
      </c>
      <c r="AT88" s="175">
        <v>0</v>
      </c>
      <c r="AU88" s="175">
        <v>0</v>
      </c>
      <c r="AV88" s="175">
        <v>0</v>
      </c>
      <c r="AW88" s="175">
        <v>0</v>
      </c>
      <c r="AX88" s="83">
        <v>0</v>
      </c>
      <c r="AY88" s="49">
        <v>0</v>
      </c>
      <c r="AZ88" s="49">
        <v>0</v>
      </c>
      <c r="BA88" s="49">
        <v>0</v>
      </c>
      <c r="BB88" s="58">
        <v>0</v>
      </c>
      <c r="BC88" s="42">
        <v>150</v>
      </c>
      <c r="BD88" s="49">
        <v>76.599999999999994</v>
      </c>
      <c r="BE88" s="159">
        <v>77.540000000000006</v>
      </c>
      <c r="BF88" s="49">
        <v>72.540000000000006</v>
      </c>
      <c r="BG88" s="49">
        <v>72.540000000000006</v>
      </c>
      <c r="BH88" s="49">
        <v>75.459999999999994</v>
      </c>
      <c r="BS88" s="58"/>
      <c r="BT88" s="83">
        <v>72.58</v>
      </c>
      <c r="BU88" s="49">
        <v>73.2</v>
      </c>
      <c r="BV88" s="49">
        <v>77.760000000000005</v>
      </c>
      <c r="BW88" s="49">
        <v>77.150000000000006</v>
      </c>
      <c r="CE88" s="83"/>
      <c r="CK88" s="58"/>
      <c r="CL88" s="83">
        <v>68.27</v>
      </c>
      <c r="CO88" s="58"/>
      <c r="CP88" s="83"/>
      <c r="CR88" s="58"/>
      <c r="CS88" s="83">
        <v>75.31</v>
      </c>
      <c r="CT88" s="49">
        <v>72.41</v>
      </c>
      <c r="CU88" s="49">
        <v>70.55</v>
      </c>
      <c r="CV88" s="49">
        <v>72.540000000000006</v>
      </c>
      <c r="CY88" s="83"/>
      <c r="DG88" s="58"/>
      <c r="DH88" s="83"/>
      <c r="DQ88" s="83">
        <v>73.180000000000007</v>
      </c>
      <c r="DR88" s="49">
        <v>71.78</v>
      </c>
      <c r="DS88" s="49">
        <v>68.63</v>
      </c>
      <c r="DT88" s="49">
        <v>66.78</v>
      </c>
      <c r="DU88" s="49">
        <v>68.849999999999994</v>
      </c>
      <c r="DV88" s="49">
        <v>69.81</v>
      </c>
      <c r="EE88" s="58"/>
      <c r="EF88" s="83"/>
      <c r="EI88" s="83"/>
      <c r="EK88" s="58"/>
      <c r="EL88" s="83"/>
      <c r="EO88" s="58"/>
      <c r="EP88" s="83"/>
      <c r="EQ88" s="58"/>
      <c r="ER88" s="83"/>
      <c r="ES88" s="58"/>
      <c r="ET88" s="83"/>
      <c r="EU88" s="58"/>
    </row>
    <row r="89" spans="1:151">
      <c r="A89" s="83" t="s">
        <v>319</v>
      </c>
      <c r="B89" s="173" t="s">
        <v>90</v>
      </c>
      <c r="C89" s="173" t="s">
        <v>500</v>
      </c>
      <c r="D89" s="83" t="s">
        <v>106</v>
      </c>
      <c r="F89" s="49" t="s">
        <v>286</v>
      </c>
      <c r="G89" s="60">
        <v>-5.6630000000000003</v>
      </c>
      <c r="I89" s="49">
        <v>4860</v>
      </c>
      <c r="J89" s="159">
        <v>1.3388429752066116</v>
      </c>
      <c r="K89" s="49">
        <v>1</v>
      </c>
      <c r="L89" s="49">
        <v>2</v>
      </c>
      <c r="M89" s="83">
        <v>0</v>
      </c>
      <c r="N89" s="49">
        <v>1</v>
      </c>
      <c r="O89" s="49">
        <v>1</v>
      </c>
      <c r="P89" s="49">
        <v>1</v>
      </c>
      <c r="Q89" s="58">
        <v>0</v>
      </c>
      <c r="R89" s="42">
        <v>3</v>
      </c>
      <c r="S89" s="83" t="s">
        <v>283</v>
      </c>
      <c r="T89" s="49">
        <v>26</v>
      </c>
      <c r="U89" s="83">
        <v>2</v>
      </c>
      <c r="V89" s="49">
        <v>2</v>
      </c>
      <c r="W89" s="49">
        <v>3</v>
      </c>
      <c r="X89" s="58">
        <v>1</v>
      </c>
      <c r="Y89" s="83">
        <v>5</v>
      </c>
      <c r="Z89" s="49">
        <v>10</v>
      </c>
      <c r="AA89" s="49">
        <v>20</v>
      </c>
      <c r="AF89" s="49">
        <v>130</v>
      </c>
      <c r="AG89" s="49">
        <v>550</v>
      </c>
      <c r="AH89" s="49">
        <v>80</v>
      </c>
      <c r="AI89" s="49">
        <v>710</v>
      </c>
      <c r="AJ89" s="49">
        <v>0</v>
      </c>
      <c r="AK89" s="83">
        <v>0</v>
      </c>
      <c r="AL89" s="49">
        <v>1</v>
      </c>
      <c r="AM89" s="49">
        <v>0</v>
      </c>
      <c r="AN89" s="49">
        <v>0</v>
      </c>
      <c r="AO89" s="58">
        <v>0</v>
      </c>
      <c r="AP89" s="174">
        <v>0</v>
      </c>
      <c r="AQ89" s="175">
        <v>1362</v>
      </c>
      <c r="AR89" s="175" t="s">
        <v>284</v>
      </c>
      <c r="AS89" s="175" t="s">
        <v>284</v>
      </c>
      <c r="AT89" s="175" t="s">
        <v>284</v>
      </c>
      <c r="AU89" s="175" t="s">
        <v>284</v>
      </c>
      <c r="AV89" s="175" t="s">
        <v>284</v>
      </c>
      <c r="AW89" s="175" t="s">
        <v>284</v>
      </c>
      <c r="AX89" s="83">
        <v>0</v>
      </c>
      <c r="AY89" s="49">
        <v>0</v>
      </c>
      <c r="AZ89" s="49">
        <v>0</v>
      </c>
      <c r="BA89" s="49">
        <v>0</v>
      </c>
      <c r="BB89" s="58">
        <v>0</v>
      </c>
      <c r="BC89" s="42">
        <v>136</v>
      </c>
      <c r="BS89" s="58"/>
      <c r="BT89" s="83"/>
      <c r="CE89" s="83">
        <v>73.36</v>
      </c>
      <c r="CK89" s="58"/>
      <c r="CL89" s="83">
        <v>68.41</v>
      </c>
      <c r="CO89" s="58"/>
      <c r="CP89" s="83"/>
      <c r="CR89" s="58"/>
      <c r="CS89" s="83">
        <v>79.010000000000005</v>
      </c>
      <c r="CY89" s="83"/>
      <c r="DG89" s="58"/>
      <c r="DH89" s="83"/>
      <c r="DQ89" s="83"/>
      <c r="EE89" s="58"/>
      <c r="EF89" s="83"/>
      <c r="EI89" s="83"/>
      <c r="EK89" s="58"/>
      <c r="EL89" s="83"/>
      <c r="EO89" s="58"/>
      <c r="EP89" s="83"/>
      <c r="EQ89" s="58"/>
      <c r="ER89" s="83"/>
      <c r="ES89" s="58"/>
      <c r="ET89" s="83"/>
      <c r="EU89" s="58"/>
    </row>
    <row r="90" spans="1:151">
      <c r="A90" s="83" t="s">
        <v>319</v>
      </c>
      <c r="B90" s="173" t="s">
        <v>90</v>
      </c>
      <c r="C90" s="173" t="s">
        <v>500</v>
      </c>
      <c r="D90" s="83" t="s">
        <v>107</v>
      </c>
      <c r="F90" s="49" t="s">
        <v>287</v>
      </c>
      <c r="G90" s="60">
        <v>-5.6630000000000003</v>
      </c>
      <c r="I90" s="49">
        <v>972</v>
      </c>
      <c r="J90" s="159">
        <v>1.3135135135135134</v>
      </c>
      <c r="K90" s="49">
        <v>4</v>
      </c>
      <c r="L90" s="49">
        <v>4</v>
      </c>
      <c r="M90" s="83">
        <v>0</v>
      </c>
      <c r="N90" s="49">
        <v>1</v>
      </c>
      <c r="O90" s="49">
        <v>0</v>
      </c>
      <c r="P90" s="49">
        <v>1</v>
      </c>
      <c r="Q90" s="58">
        <v>0</v>
      </c>
      <c r="R90" s="42">
        <v>2</v>
      </c>
      <c r="S90" s="83">
        <v>1</v>
      </c>
      <c r="U90" s="83">
        <v>2</v>
      </c>
      <c r="V90" s="49">
        <v>3</v>
      </c>
      <c r="W90" s="49">
        <v>3</v>
      </c>
      <c r="X90" s="58">
        <v>2</v>
      </c>
      <c r="Y90" s="83">
        <v>4</v>
      </c>
      <c r="AD90" s="49">
        <v>10</v>
      </c>
      <c r="AE90" s="49">
        <v>54</v>
      </c>
      <c r="AH90" s="49">
        <v>11</v>
      </c>
      <c r="AI90" s="49">
        <v>94</v>
      </c>
      <c r="AJ90" s="49">
        <v>0</v>
      </c>
      <c r="AK90" s="83">
        <v>0</v>
      </c>
      <c r="AL90" s="49">
        <v>0</v>
      </c>
      <c r="AM90" s="49">
        <v>1</v>
      </c>
      <c r="AN90" s="49">
        <v>0</v>
      </c>
      <c r="AO90" s="58">
        <v>0</v>
      </c>
      <c r="AP90" s="174" t="s">
        <v>284</v>
      </c>
      <c r="AQ90" s="175" t="s">
        <v>284</v>
      </c>
      <c r="AR90" s="175">
        <v>137</v>
      </c>
      <c r="AS90" s="175">
        <v>408</v>
      </c>
      <c r="AT90" s="175" t="s">
        <v>284</v>
      </c>
      <c r="AU90" s="175" t="s">
        <v>284</v>
      </c>
      <c r="AV90" s="175" t="s">
        <v>284</v>
      </c>
      <c r="AW90" s="175" t="s">
        <v>284</v>
      </c>
      <c r="AX90" s="83">
        <v>0</v>
      </c>
      <c r="AY90" s="49">
        <v>0</v>
      </c>
      <c r="AZ90" s="49">
        <v>0</v>
      </c>
      <c r="BA90" s="49">
        <v>0</v>
      </c>
      <c r="BB90" s="58">
        <v>0</v>
      </c>
      <c r="BC90" s="42">
        <v>123</v>
      </c>
      <c r="BS90" s="58"/>
      <c r="BT90" s="83"/>
      <c r="CE90" s="83"/>
      <c r="CK90" s="58"/>
      <c r="CL90" s="83"/>
      <c r="CO90" s="58"/>
      <c r="CP90" s="83"/>
      <c r="CR90" s="58"/>
      <c r="CS90" s="83"/>
      <c r="CY90" s="83"/>
      <c r="DG90" s="58"/>
      <c r="DH90" s="83"/>
      <c r="DQ90" s="83"/>
      <c r="EE90" s="58"/>
      <c r="EF90" s="83"/>
      <c r="EI90" s="83"/>
      <c r="EK90" s="58"/>
      <c r="EL90" s="83"/>
      <c r="EO90" s="58"/>
      <c r="EP90" s="83"/>
      <c r="EQ90" s="58"/>
      <c r="ER90" s="83"/>
      <c r="ES90" s="58"/>
      <c r="ET90" s="83"/>
      <c r="EU90" s="58"/>
    </row>
    <row r="91" spans="1:151">
      <c r="A91" s="83" t="s">
        <v>319</v>
      </c>
      <c r="B91" s="173" t="s">
        <v>90</v>
      </c>
      <c r="C91" s="173" t="s">
        <v>500</v>
      </c>
      <c r="D91" s="83" t="s">
        <v>108</v>
      </c>
      <c r="F91" s="49" t="s">
        <v>286</v>
      </c>
      <c r="G91" s="60">
        <v>-5.6630000000000003</v>
      </c>
      <c r="I91" s="49">
        <v>2080</v>
      </c>
      <c r="J91" s="159">
        <v>1.2093023255813953</v>
      </c>
      <c r="K91" s="49">
        <v>4</v>
      </c>
      <c r="L91" s="49">
        <v>5</v>
      </c>
      <c r="M91" s="83">
        <v>0</v>
      </c>
      <c r="N91" s="49">
        <v>2</v>
      </c>
      <c r="O91" s="49">
        <v>0</v>
      </c>
      <c r="P91" s="49">
        <v>0</v>
      </c>
      <c r="Q91" s="58">
        <v>0</v>
      </c>
      <c r="R91" s="42">
        <v>2</v>
      </c>
      <c r="S91" s="83" t="s">
        <v>283</v>
      </c>
      <c r="T91" s="49">
        <v>26</v>
      </c>
      <c r="U91" s="83">
        <v>1</v>
      </c>
      <c r="V91" s="49">
        <v>5</v>
      </c>
      <c r="W91" s="49">
        <v>2</v>
      </c>
      <c r="X91" s="58"/>
      <c r="Y91" s="83">
        <v>1</v>
      </c>
      <c r="AE91" s="49">
        <v>120</v>
      </c>
      <c r="AJ91" s="49">
        <v>0</v>
      </c>
      <c r="AK91" s="83">
        <v>0</v>
      </c>
      <c r="AL91" s="49">
        <v>0</v>
      </c>
      <c r="AM91" s="49">
        <v>0</v>
      </c>
      <c r="AN91" s="49">
        <v>0</v>
      </c>
      <c r="AO91" s="58">
        <v>0</v>
      </c>
      <c r="AP91" s="174" t="s">
        <v>284</v>
      </c>
      <c r="AQ91" s="175" t="s">
        <v>284</v>
      </c>
      <c r="AR91" s="175" t="s">
        <v>284</v>
      </c>
      <c r="AS91" s="175" t="s">
        <v>284</v>
      </c>
      <c r="AT91" s="175" t="s">
        <v>284</v>
      </c>
      <c r="AU91" s="175" t="s">
        <v>284</v>
      </c>
      <c r="AV91" s="175" t="s">
        <v>284</v>
      </c>
      <c r="AW91" s="175" t="s">
        <v>284</v>
      </c>
      <c r="AX91" s="83">
        <v>0</v>
      </c>
      <c r="AY91" s="49">
        <v>0</v>
      </c>
      <c r="AZ91" s="49">
        <v>0</v>
      </c>
      <c r="BA91" s="49">
        <v>0</v>
      </c>
      <c r="BB91" s="58">
        <v>0</v>
      </c>
      <c r="BC91" s="42">
        <v>148</v>
      </c>
      <c r="BS91" s="58"/>
      <c r="BT91" s="83"/>
      <c r="CE91" s="83"/>
      <c r="CK91" s="58"/>
      <c r="CL91" s="83"/>
      <c r="CO91" s="58"/>
      <c r="CP91" s="83"/>
      <c r="CR91" s="58"/>
      <c r="CS91" s="83"/>
      <c r="CY91" s="83"/>
      <c r="DG91" s="58"/>
      <c r="DH91" s="83"/>
      <c r="DQ91" s="83"/>
      <c r="EE91" s="58"/>
      <c r="EF91" s="83"/>
      <c r="EI91" s="83"/>
      <c r="EK91" s="58"/>
      <c r="EL91" s="83"/>
      <c r="EO91" s="58"/>
      <c r="EP91" s="83"/>
      <c r="EQ91" s="58"/>
      <c r="ER91" s="83"/>
      <c r="ES91" s="58"/>
      <c r="ET91" s="83"/>
      <c r="EU91" s="58"/>
    </row>
    <row r="92" spans="1:151">
      <c r="A92" s="83" t="s">
        <v>319</v>
      </c>
      <c r="B92" s="173" t="s">
        <v>90</v>
      </c>
      <c r="C92" s="173" t="s">
        <v>500</v>
      </c>
      <c r="D92" s="83" t="s">
        <v>67</v>
      </c>
      <c r="F92" s="49" t="s">
        <v>286</v>
      </c>
      <c r="G92" s="60">
        <v>-5.6630000000000003</v>
      </c>
      <c r="I92" s="49">
        <v>2250</v>
      </c>
      <c r="J92" s="159">
        <v>1.308139534883721</v>
      </c>
      <c r="K92" s="49">
        <v>1</v>
      </c>
      <c r="L92" s="49">
        <v>3</v>
      </c>
      <c r="M92" s="83">
        <v>0</v>
      </c>
      <c r="N92" s="49">
        <v>2</v>
      </c>
      <c r="O92" s="49">
        <v>0</v>
      </c>
      <c r="P92" s="49">
        <v>1</v>
      </c>
      <c r="Q92" s="58">
        <v>0</v>
      </c>
      <c r="R92" s="42">
        <v>3</v>
      </c>
      <c r="S92" s="83" t="s">
        <v>283</v>
      </c>
      <c r="T92" s="49">
        <v>22</v>
      </c>
      <c r="U92" s="83">
        <v>1</v>
      </c>
      <c r="V92" s="49">
        <v>3</v>
      </c>
      <c r="W92" s="49">
        <v>1</v>
      </c>
      <c r="X92" s="58">
        <v>2</v>
      </c>
      <c r="Y92" s="83">
        <v>5</v>
      </c>
      <c r="Z92" s="49">
        <v>10</v>
      </c>
      <c r="AA92" s="49">
        <v>20</v>
      </c>
      <c r="AD92" s="49">
        <v>100</v>
      </c>
      <c r="AE92" s="49">
        <v>210</v>
      </c>
      <c r="AF92" s="49">
        <v>110</v>
      </c>
      <c r="AG92" s="49">
        <v>260</v>
      </c>
      <c r="AJ92" s="49">
        <v>0</v>
      </c>
      <c r="AK92" s="83">
        <v>0</v>
      </c>
      <c r="AL92" s="49">
        <v>0</v>
      </c>
      <c r="AM92" s="49">
        <v>0</v>
      </c>
      <c r="AN92" s="49">
        <v>0</v>
      </c>
      <c r="AO92" s="58">
        <v>0</v>
      </c>
      <c r="AP92" s="174" t="s">
        <v>284</v>
      </c>
      <c r="AQ92" s="175" t="s">
        <v>284</v>
      </c>
      <c r="AR92" s="175" t="s">
        <v>284</v>
      </c>
      <c r="AS92" s="175" t="s">
        <v>284</v>
      </c>
      <c r="AT92" s="175" t="s">
        <v>284</v>
      </c>
      <c r="AU92" s="175" t="s">
        <v>284</v>
      </c>
      <c r="AV92" s="175" t="s">
        <v>284</v>
      </c>
      <c r="AW92" s="175" t="s">
        <v>284</v>
      </c>
      <c r="AX92" s="83">
        <v>0</v>
      </c>
      <c r="AY92" s="49">
        <v>0</v>
      </c>
      <c r="AZ92" s="49">
        <v>0</v>
      </c>
      <c r="BA92" s="49">
        <v>0</v>
      </c>
      <c r="BB92" s="58">
        <v>0</v>
      </c>
      <c r="BC92" s="42">
        <v>170</v>
      </c>
      <c r="BS92" s="58"/>
      <c r="BT92" s="83"/>
      <c r="CE92" s="83"/>
      <c r="CK92" s="58"/>
      <c r="CL92" s="83"/>
      <c r="CO92" s="58"/>
      <c r="CP92" s="83"/>
      <c r="CR92" s="58"/>
      <c r="CS92" s="83"/>
      <c r="CY92" s="83"/>
      <c r="DG92" s="58"/>
      <c r="DH92" s="83"/>
      <c r="DQ92" s="83"/>
      <c r="EE92" s="58"/>
      <c r="EF92" s="83"/>
      <c r="EI92" s="83"/>
      <c r="EK92" s="58"/>
      <c r="EL92" s="83"/>
      <c r="EO92" s="58"/>
      <c r="EP92" s="83"/>
      <c r="EQ92" s="58"/>
      <c r="ER92" s="83"/>
      <c r="ES92" s="58"/>
      <c r="ET92" s="83"/>
      <c r="EU92" s="58"/>
    </row>
    <row r="93" spans="1:151">
      <c r="A93" s="83" t="s">
        <v>319</v>
      </c>
      <c r="B93" s="173" t="s">
        <v>90</v>
      </c>
      <c r="C93" s="173" t="s">
        <v>500</v>
      </c>
      <c r="D93" s="83" t="s">
        <v>68</v>
      </c>
      <c r="F93" s="49" t="s">
        <v>286</v>
      </c>
      <c r="G93" s="60">
        <v>-5.6630000000000003</v>
      </c>
      <c r="I93" s="49">
        <v>1614</v>
      </c>
      <c r="J93" s="159">
        <v>1.8637413394919169</v>
      </c>
      <c r="K93" s="49">
        <v>1</v>
      </c>
      <c r="L93" s="49">
        <v>1</v>
      </c>
      <c r="M93" s="83">
        <v>0</v>
      </c>
      <c r="N93" s="49">
        <v>3</v>
      </c>
      <c r="O93" s="49">
        <v>1</v>
      </c>
      <c r="P93" s="49">
        <v>1</v>
      </c>
      <c r="Q93" s="58">
        <v>0</v>
      </c>
      <c r="R93" s="42">
        <v>5</v>
      </c>
      <c r="S93" s="83" t="s">
        <v>283</v>
      </c>
      <c r="T93" s="49">
        <v>17</v>
      </c>
      <c r="U93" s="83">
        <v>1</v>
      </c>
      <c r="V93" s="49">
        <v>1</v>
      </c>
      <c r="W93" s="49">
        <v>3</v>
      </c>
      <c r="X93" s="58"/>
      <c r="Y93" s="83" t="s">
        <v>78</v>
      </c>
      <c r="Z93" s="49">
        <v>11</v>
      </c>
      <c r="AA93" s="49">
        <v>5</v>
      </c>
      <c r="AJ93" s="49">
        <v>0</v>
      </c>
      <c r="AK93" s="83">
        <v>0</v>
      </c>
      <c r="AL93" s="49">
        <v>0</v>
      </c>
      <c r="AM93" s="49">
        <v>0</v>
      </c>
      <c r="AN93" s="49">
        <v>0</v>
      </c>
      <c r="AO93" s="58">
        <v>0</v>
      </c>
      <c r="AP93" s="174" t="s">
        <v>284</v>
      </c>
      <c r="AQ93" s="175" t="s">
        <v>284</v>
      </c>
      <c r="AR93" s="175" t="s">
        <v>284</v>
      </c>
      <c r="AS93" s="175" t="s">
        <v>284</v>
      </c>
      <c r="AT93" s="175" t="s">
        <v>284</v>
      </c>
      <c r="AU93" s="175" t="s">
        <v>284</v>
      </c>
      <c r="AV93" s="175" t="s">
        <v>284</v>
      </c>
      <c r="AW93" s="175" t="s">
        <v>284</v>
      </c>
      <c r="AX93" s="83">
        <v>0</v>
      </c>
      <c r="AY93" s="49">
        <v>0</v>
      </c>
      <c r="AZ93" s="49">
        <v>0</v>
      </c>
      <c r="BA93" s="49">
        <v>0</v>
      </c>
      <c r="BB93" s="58">
        <v>0</v>
      </c>
      <c r="BC93" s="42">
        <v>206</v>
      </c>
      <c r="BD93" s="49">
        <v>82.33</v>
      </c>
      <c r="BE93" s="159">
        <v>81.760000000000005</v>
      </c>
      <c r="BF93" s="49">
        <v>78.58</v>
      </c>
      <c r="BG93" s="49">
        <v>81.12</v>
      </c>
      <c r="BH93" s="49">
        <v>81.459999999999994</v>
      </c>
      <c r="BI93" s="49">
        <v>80.569999999999993</v>
      </c>
      <c r="BS93" s="58"/>
      <c r="BT93" s="83">
        <v>78.09</v>
      </c>
      <c r="BU93" s="49">
        <v>77</v>
      </c>
      <c r="BV93" s="49">
        <v>77.75</v>
      </c>
      <c r="CE93" s="83"/>
      <c r="CK93" s="58"/>
      <c r="CL93" s="83">
        <v>63.74</v>
      </c>
      <c r="CO93" s="58"/>
      <c r="CP93" s="83"/>
      <c r="CR93" s="58"/>
      <c r="CS93" s="83"/>
      <c r="CY93" s="83"/>
      <c r="DG93" s="58"/>
      <c r="DH93" s="83"/>
      <c r="DQ93" s="83"/>
      <c r="DR93" s="49">
        <v>73.23</v>
      </c>
      <c r="DS93" s="49">
        <v>75.45</v>
      </c>
      <c r="EE93" s="58"/>
      <c r="EF93" s="83"/>
      <c r="EI93" s="83"/>
      <c r="EK93" s="58"/>
      <c r="EL93" s="83"/>
      <c r="EO93" s="58"/>
      <c r="EP93" s="83"/>
      <c r="EQ93" s="58"/>
      <c r="ER93" s="83"/>
      <c r="ES93" s="58"/>
      <c r="ET93" s="83"/>
      <c r="EU93" s="58"/>
    </row>
    <row r="94" spans="1:151">
      <c r="A94" s="83" t="s">
        <v>319</v>
      </c>
      <c r="B94" s="173" t="s">
        <v>90</v>
      </c>
      <c r="C94" s="173" t="s">
        <v>500</v>
      </c>
      <c r="D94" s="83" t="s">
        <v>69</v>
      </c>
      <c r="F94" s="49" t="s">
        <v>286</v>
      </c>
      <c r="G94" s="60">
        <v>-5.6630000000000003</v>
      </c>
      <c r="I94" s="49">
        <v>1718</v>
      </c>
      <c r="J94" s="159">
        <v>1.5689497716894978</v>
      </c>
      <c r="K94" s="49">
        <v>1</v>
      </c>
      <c r="L94" s="49">
        <v>2</v>
      </c>
      <c r="M94" s="83">
        <v>1</v>
      </c>
      <c r="N94" s="49">
        <v>1</v>
      </c>
      <c r="O94" s="49">
        <v>1</v>
      </c>
      <c r="P94" s="49">
        <v>0</v>
      </c>
      <c r="Q94" s="58">
        <v>0</v>
      </c>
      <c r="R94" s="42">
        <v>3</v>
      </c>
      <c r="S94" s="83" t="s">
        <v>283</v>
      </c>
      <c r="T94" s="49">
        <v>13</v>
      </c>
      <c r="U94" s="83">
        <v>1</v>
      </c>
      <c r="V94" s="49">
        <v>2</v>
      </c>
      <c r="W94" s="49">
        <v>2</v>
      </c>
      <c r="X94" s="58"/>
      <c r="Y94" s="83" t="s">
        <v>78</v>
      </c>
      <c r="Z94" s="49">
        <v>18</v>
      </c>
      <c r="AA94" s="49">
        <v>29</v>
      </c>
      <c r="AJ94" s="49">
        <v>0</v>
      </c>
      <c r="AK94" s="83">
        <v>0</v>
      </c>
      <c r="AL94" s="49">
        <v>0</v>
      </c>
      <c r="AM94" s="49">
        <v>0</v>
      </c>
      <c r="AN94" s="49">
        <v>0</v>
      </c>
      <c r="AO94" s="58">
        <v>0</v>
      </c>
      <c r="AP94" s="174" t="s">
        <v>284</v>
      </c>
      <c r="AQ94" s="175" t="s">
        <v>284</v>
      </c>
      <c r="AR94" s="175" t="s">
        <v>284</v>
      </c>
      <c r="AS94" s="175" t="s">
        <v>284</v>
      </c>
      <c r="AT94" s="175" t="s">
        <v>284</v>
      </c>
      <c r="AU94" s="175" t="s">
        <v>284</v>
      </c>
      <c r="AV94" s="175" t="s">
        <v>284</v>
      </c>
      <c r="AW94" s="175" t="s">
        <v>284</v>
      </c>
      <c r="AX94" s="83">
        <v>0</v>
      </c>
      <c r="AY94" s="49">
        <v>0</v>
      </c>
      <c r="AZ94" s="49">
        <v>0</v>
      </c>
      <c r="BA94" s="49">
        <v>0</v>
      </c>
      <c r="BB94" s="58">
        <v>0</v>
      </c>
      <c r="BC94" s="42">
        <v>134</v>
      </c>
      <c r="BS94" s="58"/>
      <c r="BT94" s="83"/>
      <c r="CE94" s="83"/>
      <c r="CK94" s="58"/>
      <c r="CL94" s="83"/>
      <c r="CO94" s="58"/>
      <c r="CP94" s="83"/>
      <c r="CR94" s="58"/>
      <c r="CS94" s="83"/>
      <c r="CY94" s="83"/>
      <c r="DG94" s="58"/>
      <c r="DH94" s="83"/>
      <c r="DQ94" s="83"/>
      <c r="EE94" s="58"/>
      <c r="EF94" s="83"/>
      <c r="EI94" s="83"/>
      <c r="EK94" s="58"/>
      <c r="EL94" s="83"/>
      <c r="EO94" s="58"/>
      <c r="EP94" s="83"/>
      <c r="EQ94" s="58"/>
      <c r="ER94" s="83"/>
      <c r="ES94" s="58"/>
      <c r="ET94" s="83"/>
      <c r="EU94" s="58"/>
    </row>
    <row r="95" spans="1:151">
      <c r="A95" s="83" t="s">
        <v>319</v>
      </c>
      <c r="B95" s="173" t="s">
        <v>90</v>
      </c>
      <c r="C95" s="173" t="s">
        <v>500</v>
      </c>
      <c r="D95" s="83" t="s">
        <v>74</v>
      </c>
      <c r="F95" s="49" t="s">
        <v>286</v>
      </c>
      <c r="G95" s="60">
        <v>-5.6630000000000003</v>
      </c>
      <c r="I95" s="49">
        <v>1730</v>
      </c>
      <c r="J95" s="159">
        <v>2.6172465960665656</v>
      </c>
      <c r="K95" s="49">
        <v>1</v>
      </c>
      <c r="L95" s="49">
        <v>2</v>
      </c>
      <c r="M95" s="83">
        <v>0</v>
      </c>
      <c r="N95" s="49">
        <v>0</v>
      </c>
      <c r="O95" s="49">
        <v>0</v>
      </c>
      <c r="P95" s="49">
        <v>1</v>
      </c>
      <c r="Q95" s="58">
        <v>0</v>
      </c>
      <c r="R95" s="42">
        <v>1</v>
      </c>
      <c r="S95" s="83" t="s">
        <v>283</v>
      </c>
      <c r="T95" s="49">
        <v>15</v>
      </c>
      <c r="U95" s="83">
        <v>1</v>
      </c>
      <c r="V95" s="49">
        <v>1</v>
      </c>
      <c r="W95" s="49">
        <v>2</v>
      </c>
      <c r="X95" s="58"/>
      <c r="Y95" s="83">
        <v>10</v>
      </c>
      <c r="Z95" s="49">
        <v>11</v>
      </c>
      <c r="AA95" s="49">
        <v>33</v>
      </c>
      <c r="AD95" s="49">
        <v>31</v>
      </c>
      <c r="AE95" s="49">
        <v>265</v>
      </c>
      <c r="AF95" s="49">
        <v>10</v>
      </c>
      <c r="AG95" s="49">
        <v>155</v>
      </c>
      <c r="AJ95" s="49">
        <v>0</v>
      </c>
      <c r="AK95" s="83">
        <v>0</v>
      </c>
      <c r="AL95" s="49">
        <v>0</v>
      </c>
      <c r="AM95" s="49">
        <v>0</v>
      </c>
      <c r="AN95" s="49">
        <v>0</v>
      </c>
      <c r="AO95" s="58">
        <v>0</v>
      </c>
      <c r="AP95" s="174" t="s">
        <v>284</v>
      </c>
      <c r="AQ95" s="175" t="s">
        <v>284</v>
      </c>
      <c r="AR95" s="175" t="s">
        <v>284</v>
      </c>
      <c r="AS95" s="175" t="s">
        <v>284</v>
      </c>
      <c r="AT95" s="175" t="s">
        <v>284</v>
      </c>
      <c r="AU95" s="175" t="s">
        <v>284</v>
      </c>
      <c r="AV95" s="175" t="s">
        <v>284</v>
      </c>
      <c r="AW95" s="175" t="s">
        <v>284</v>
      </c>
      <c r="AX95" s="83">
        <v>0</v>
      </c>
      <c r="AY95" s="49">
        <v>0</v>
      </c>
      <c r="AZ95" s="49">
        <v>0</v>
      </c>
      <c r="BA95" s="49">
        <v>0</v>
      </c>
      <c r="BB95" s="58">
        <v>0</v>
      </c>
      <c r="BC95" s="42">
        <v>161</v>
      </c>
      <c r="BS95" s="58"/>
      <c r="BT95" s="83"/>
      <c r="CE95" s="83"/>
      <c r="CK95" s="58"/>
      <c r="CL95" s="83"/>
      <c r="CO95" s="58"/>
      <c r="CP95" s="83"/>
      <c r="CR95" s="58"/>
      <c r="CS95" s="83"/>
      <c r="CY95" s="83"/>
      <c r="DG95" s="58"/>
      <c r="DH95" s="83"/>
      <c r="DQ95" s="83"/>
      <c r="EE95" s="58"/>
      <c r="EF95" s="83"/>
      <c r="EI95" s="83"/>
      <c r="EK95" s="58"/>
      <c r="EL95" s="83"/>
      <c r="EO95" s="58"/>
      <c r="EP95" s="83"/>
      <c r="EQ95" s="58"/>
      <c r="ER95" s="83"/>
      <c r="ES95" s="58"/>
      <c r="ET95" s="83"/>
      <c r="EU95" s="58"/>
    </row>
    <row r="96" spans="1:151">
      <c r="A96" s="83" t="s">
        <v>319</v>
      </c>
      <c r="B96" s="173" t="s">
        <v>90</v>
      </c>
      <c r="C96" s="173" t="s">
        <v>500</v>
      </c>
      <c r="D96" s="83" t="s">
        <v>75</v>
      </c>
      <c r="E96" s="49" t="s">
        <v>0</v>
      </c>
      <c r="F96" s="49" t="s">
        <v>286</v>
      </c>
      <c r="G96" s="60">
        <v>-5.6630000000000003</v>
      </c>
      <c r="I96" s="49">
        <v>1739</v>
      </c>
      <c r="J96" s="159">
        <v>2.7691082802547773</v>
      </c>
      <c r="K96" s="49">
        <v>1</v>
      </c>
      <c r="L96" s="49">
        <v>3</v>
      </c>
      <c r="M96" s="83">
        <v>0</v>
      </c>
      <c r="N96" s="49">
        <v>2</v>
      </c>
      <c r="O96" s="49">
        <v>0</v>
      </c>
      <c r="P96" s="49">
        <v>1</v>
      </c>
      <c r="Q96" s="58">
        <v>0</v>
      </c>
      <c r="R96" s="42">
        <v>3</v>
      </c>
      <c r="S96" s="83" t="s">
        <v>283</v>
      </c>
      <c r="T96" s="49">
        <v>20</v>
      </c>
      <c r="U96" s="83">
        <v>1</v>
      </c>
      <c r="V96" s="49">
        <v>2</v>
      </c>
      <c r="W96" s="49">
        <v>1</v>
      </c>
      <c r="X96" s="58">
        <v>2</v>
      </c>
      <c r="Y96" s="83">
        <v>2</v>
      </c>
      <c r="AI96" s="49">
        <v>166</v>
      </c>
      <c r="AJ96" s="49">
        <v>0</v>
      </c>
      <c r="AK96" s="83">
        <v>0</v>
      </c>
      <c r="AL96" s="49">
        <v>0</v>
      </c>
      <c r="AM96" s="49">
        <v>0</v>
      </c>
      <c r="AN96" s="49">
        <v>0</v>
      </c>
      <c r="AO96" s="58">
        <v>0</v>
      </c>
      <c r="AP96" s="174" t="s">
        <v>284</v>
      </c>
      <c r="AQ96" s="175" t="s">
        <v>284</v>
      </c>
      <c r="AR96" s="175" t="s">
        <v>284</v>
      </c>
      <c r="AS96" s="175" t="s">
        <v>284</v>
      </c>
      <c r="AT96" s="175" t="s">
        <v>284</v>
      </c>
      <c r="AU96" s="175" t="s">
        <v>284</v>
      </c>
      <c r="AV96" s="175" t="s">
        <v>284</v>
      </c>
      <c r="AW96" s="175" t="s">
        <v>284</v>
      </c>
      <c r="AX96" s="83">
        <v>0</v>
      </c>
      <c r="AY96" s="49">
        <v>0</v>
      </c>
      <c r="AZ96" s="49">
        <v>0</v>
      </c>
      <c r="BA96" s="49">
        <v>0</v>
      </c>
      <c r="BB96" s="58">
        <v>0</v>
      </c>
      <c r="BC96" s="42">
        <v>104</v>
      </c>
      <c r="BS96" s="58"/>
      <c r="BT96" s="83"/>
      <c r="CE96" s="83"/>
      <c r="CK96" s="58"/>
      <c r="CL96" s="83"/>
      <c r="CO96" s="58"/>
      <c r="CP96" s="83"/>
      <c r="CR96" s="58"/>
      <c r="CS96" s="83"/>
      <c r="CY96" s="83"/>
      <c r="DG96" s="58"/>
      <c r="DH96" s="83"/>
      <c r="DQ96" s="83"/>
      <c r="EE96" s="58"/>
      <c r="EF96" s="83"/>
      <c r="EI96" s="83"/>
      <c r="EK96" s="58"/>
      <c r="EL96" s="83"/>
      <c r="EO96" s="58"/>
      <c r="EP96" s="83"/>
      <c r="EQ96" s="58"/>
      <c r="ER96" s="83"/>
      <c r="ES96" s="58"/>
      <c r="ET96" s="83"/>
      <c r="EU96" s="58"/>
    </row>
    <row r="97" spans="1:151">
      <c r="A97" s="83" t="s">
        <v>319</v>
      </c>
      <c r="B97" s="173" t="s">
        <v>90</v>
      </c>
      <c r="C97" s="173" t="s">
        <v>500</v>
      </c>
      <c r="D97" s="83" t="s">
        <v>75</v>
      </c>
      <c r="E97" s="49" t="s">
        <v>1</v>
      </c>
      <c r="F97" s="49" t="s">
        <v>286</v>
      </c>
      <c r="G97" s="60">
        <v>-5.6630000000000003</v>
      </c>
      <c r="I97" s="49">
        <v>1112</v>
      </c>
      <c r="J97" s="159">
        <v>4.1338289962825279</v>
      </c>
      <c r="K97" s="49">
        <v>1</v>
      </c>
      <c r="L97" s="49">
        <v>3</v>
      </c>
      <c r="M97" s="83">
        <v>0</v>
      </c>
      <c r="N97" s="49">
        <v>1</v>
      </c>
      <c r="O97" s="49">
        <v>0</v>
      </c>
      <c r="P97" s="49">
        <v>1</v>
      </c>
      <c r="Q97" s="58">
        <v>0</v>
      </c>
      <c r="R97" s="42">
        <v>2</v>
      </c>
      <c r="S97" s="83" t="s">
        <v>283</v>
      </c>
      <c r="T97" s="49">
        <v>17</v>
      </c>
      <c r="U97" s="83">
        <v>1</v>
      </c>
      <c r="V97" s="49">
        <v>1</v>
      </c>
      <c r="W97" s="49">
        <v>1</v>
      </c>
      <c r="X97" s="58">
        <v>2</v>
      </c>
      <c r="Y97" s="83">
        <v>1</v>
      </c>
      <c r="AE97" s="49">
        <v>37</v>
      </c>
      <c r="AJ97" s="49">
        <v>0</v>
      </c>
      <c r="AK97" s="83">
        <v>0</v>
      </c>
      <c r="AL97" s="49">
        <v>0</v>
      </c>
      <c r="AM97" s="49">
        <v>0</v>
      </c>
      <c r="AN97" s="49">
        <v>0</v>
      </c>
      <c r="AO97" s="58">
        <v>0</v>
      </c>
      <c r="AP97" s="174" t="s">
        <v>284</v>
      </c>
      <c r="AQ97" s="175" t="s">
        <v>284</v>
      </c>
      <c r="AR97" s="175" t="s">
        <v>284</v>
      </c>
      <c r="AS97" s="175" t="s">
        <v>284</v>
      </c>
      <c r="AT97" s="175" t="s">
        <v>284</v>
      </c>
      <c r="AU97" s="175" t="s">
        <v>284</v>
      </c>
      <c r="AV97" s="175" t="s">
        <v>284</v>
      </c>
      <c r="AW97" s="175" t="s">
        <v>284</v>
      </c>
      <c r="AX97" s="83">
        <v>0</v>
      </c>
      <c r="AY97" s="49">
        <v>0</v>
      </c>
      <c r="AZ97" s="49">
        <v>0</v>
      </c>
      <c r="BA97" s="49">
        <v>0</v>
      </c>
      <c r="BB97" s="58">
        <v>0</v>
      </c>
      <c r="BC97" s="42">
        <v>104</v>
      </c>
      <c r="BS97" s="58"/>
      <c r="BT97" s="83"/>
      <c r="CE97" s="83"/>
      <c r="CK97" s="58"/>
      <c r="CL97" s="83"/>
      <c r="CO97" s="58"/>
      <c r="CP97" s="83"/>
      <c r="CR97" s="58"/>
      <c r="CS97" s="83"/>
      <c r="CY97" s="83"/>
      <c r="DG97" s="58"/>
      <c r="DH97" s="83"/>
      <c r="DQ97" s="83"/>
      <c r="EE97" s="58"/>
      <c r="EF97" s="83"/>
      <c r="EI97" s="83"/>
      <c r="EK97" s="58"/>
      <c r="EL97" s="83"/>
      <c r="EO97" s="58"/>
      <c r="EP97" s="83"/>
      <c r="EQ97" s="58"/>
      <c r="ER97" s="83"/>
      <c r="ES97" s="58"/>
      <c r="ET97" s="83"/>
      <c r="EU97" s="58"/>
    </row>
    <row r="98" spans="1:151" ht="17" thickBot="1">
      <c r="A98" s="83" t="s">
        <v>319</v>
      </c>
      <c r="B98" s="173" t="s">
        <v>90</v>
      </c>
      <c r="C98" s="173" t="s">
        <v>500</v>
      </c>
      <c r="D98" s="83" t="s">
        <v>76</v>
      </c>
      <c r="F98" s="49" t="s">
        <v>286</v>
      </c>
      <c r="G98" s="60">
        <v>-5.6630000000000003</v>
      </c>
      <c r="I98" s="49">
        <v>1380</v>
      </c>
      <c r="J98" s="159">
        <v>1.7922077922077921</v>
      </c>
      <c r="K98" s="49">
        <v>4</v>
      </c>
      <c r="L98" s="49">
        <v>3</v>
      </c>
      <c r="M98" s="83">
        <v>0</v>
      </c>
      <c r="N98" s="49">
        <v>0</v>
      </c>
      <c r="O98" s="49">
        <v>1</v>
      </c>
      <c r="P98" s="49">
        <v>1</v>
      </c>
      <c r="Q98" s="58">
        <v>0</v>
      </c>
      <c r="R98" s="42">
        <v>2</v>
      </c>
      <c r="S98" s="83" t="s">
        <v>283</v>
      </c>
      <c r="T98" s="49">
        <v>24</v>
      </c>
      <c r="U98" s="83">
        <v>3</v>
      </c>
      <c r="V98" s="49">
        <v>3</v>
      </c>
      <c r="W98" s="49">
        <v>3</v>
      </c>
      <c r="X98" s="58">
        <v>3</v>
      </c>
      <c r="Y98" s="83" t="s">
        <v>78</v>
      </c>
      <c r="AA98" s="49">
        <v>30</v>
      </c>
      <c r="AJ98" s="49">
        <v>0</v>
      </c>
      <c r="AK98" s="83">
        <v>0</v>
      </c>
      <c r="AL98" s="49">
        <v>0</v>
      </c>
      <c r="AM98" s="49">
        <v>0</v>
      </c>
      <c r="AN98" s="49">
        <v>0</v>
      </c>
      <c r="AO98" s="58">
        <v>0</v>
      </c>
      <c r="AP98" s="174" t="s">
        <v>284</v>
      </c>
      <c r="AQ98" s="175" t="s">
        <v>284</v>
      </c>
      <c r="AR98" s="175" t="s">
        <v>284</v>
      </c>
      <c r="AS98" s="175" t="s">
        <v>284</v>
      </c>
      <c r="AT98" s="175" t="s">
        <v>284</v>
      </c>
      <c r="AU98" s="175" t="s">
        <v>284</v>
      </c>
      <c r="AV98" s="175" t="s">
        <v>284</v>
      </c>
      <c r="AW98" s="175" t="s">
        <v>284</v>
      </c>
      <c r="AX98" s="83">
        <v>0</v>
      </c>
      <c r="AY98" s="49">
        <v>0</v>
      </c>
      <c r="AZ98" s="49">
        <v>0</v>
      </c>
      <c r="BA98" s="49">
        <v>0</v>
      </c>
      <c r="BB98" s="58">
        <v>0</v>
      </c>
      <c r="BC98" s="42">
        <v>100</v>
      </c>
      <c r="BS98" s="58"/>
      <c r="BT98" s="83"/>
      <c r="CE98" s="83"/>
      <c r="CK98" s="58"/>
      <c r="CL98" s="83"/>
      <c r="CO98" s="58"/>
      <c r="CP98" s="83"/>
      <c r="CR98" s="58"/>
      <c r="CS98" s="83"/>
      <c r="CY98" s="83"/>
      <c r="DG98" s="58"/>
      <c r="DH98" s="83"/>
      <c r="DQ98" s="83"/>
      <c r="EE98" s="58"/>
      <c r="EF98" s="83"/>
      <c r="EI98" s="83"/>
      <c r="EK98" s="58"/>
      <c r="EL98" s="83"/>
      <c r="EO98" s="58"/>
      <c r="EP98" s="83"/>
      <c r="EQ98" s="58"/>
      <c r="ER98" s="83"/>
      <c r="ES98" s="58"/>
      <c r="ET98" s="83"/>
      <c r="EU98" s="58"/>
    </row>
    <row r="99" spans="1:151">
      <c r="A99" s="87" t="s">
        <v>319</v>
      </c>
      <c r="B99" s="7" t="s">
        <v>109</v>
      </c>
      <c r="C99" s="7" t="s">
        <v>500</v>
      </c>
      <c r="D99" s="147" t="s">
        <v>64</v>
      </c>
      <c r="E99" s="148" t="s">
        <v>0</v>
      </c>
      <c r="F99" s="148" t="s">
        <v>286</v>
      </c>
      <c r="G99" s="73">
        <v>-5.6630000000000003</v>
      </c>
      <c r="H99" s="148"/>
      <c r="I99" s="148">
        <v>4720</v>
      </c>
      <c r="J99" s="158">
        <v>1.2133676092544987</v>
      </c>
      <c r="K99" s="148">
        <v>1</v>
      </c>
      <c r="L99" s="148">
        <v>3</v>
      </c>
      <c r="M99" s="147">
        <v>0</v>
      </c>
      <c r="N99" s="148">
        <v>0</v>
      </c>
      <c r="O99" s="148">
        <v>0</v>
      </c>
      <c r="P99" s="148">
        <v>1</v>
      </c>
      <c r="Q99" s="149">
        <v>0</v>
      </c>
      <c r="R99" s="87">
        <v>1</v>
      </c>
      <c r="S99" s="147" t="s">
        <v>283</v>
      </c>
      <c r="T99" s="148">
        <v>14</v>
      </c>
      <c r="U99" s="147">
        <v>1</v>
      </c>
      <c r="V99" s="148">
        <v>3</v>
      </c>
      <c r="W99" s="148">
        <v>1</v>
      </c>
      <c r="X99" s="149">
        <v>2</v>
      </c>
      <c r="Y99" s="147">
        <v>6</v>
      </c>
      <c r="Z99" s="148">
        <v>0</v>
      </c>
      <c r="AA99" s="148">
        <v>0</v>
      </c>
      <c r="AB99" s="148">
        <v>0</v>
      </c>
      <c r="AC99" s="148">
        <v>0</v>
      </c>
      <c r="AD99" s="148">
        <v>50</v>
      </c>
      <c r="AE99" s="148">
        <v>310</v>
      </c>
      <c r="AF99" s="148">
        <v>210</v>
      </c>
      <c r="AG99" s="148">
        <v>1300</v>
      </c>
      <c r="AH99" s="148"/>
      <c r="AI99" s="148"/>
      <c r="AJ99" s="148">
        <v>0</v>
      </c>
      <c r="AK99" s="147">
        <v>0</v>
      </c>
      <c r="AL99" s="148">
        <v>1</v>
      </c>
      <c r="AM99" s="148">
        <v>0</v>
      </c>
      <c r="AN99" s="148">
        <v>0</v>
      </c>
      <c r="AO99" s="149">
        <v>0</v>
      </c>
      <c r="AP99" s="169">
        <v>850</v>
      </c>
      <c r="AQ99" s="170">
        <v>1171</v>
      </c>
      <c r="AR99" s="170">
        <v>0</v>
      </c>
      <c r="AS99" s="170">
        <v>0</v>
      </c>
      <c r="AT99" s="170">
        <v>0</v>
      </c>
      <c r="AU99" s="170">
        <v>0</v>
      </c>
      <c r="AV99" s="170">
        <v>0</v>
      </c>
      <c r="AW99" s="170">
        <v>0</v>
      </c>
      <c r="AX99" s="147">
        <v>0</v>
      </c>
      <c r="AY99" s="148">
        <v>0</v>
      </c>
      <c r="AZ99" s="148">
        <v>0</v>
      </c>
      <c r="BA99" s="148">
        <v>0</v>
      </c>
      <c r="BB99" s="149">
        <v>0</v>
      </c>
      <c r="BC99" s="87">
        <v>136</v>
      </c>
      <c r="BD99" s="158">
        <v>65.05</v>
      </c>
      <c r="BE99" s="158"/>
      <c r="BF99" s="148"/>
      <c r="BG99" s="148"/>
      <c r="BH99" s="148"/>
      <c r="BI99" s="148"/>
      <c r="BJ99" s="148"/>
      <c r="BK99" s="148"/>
      <c r="BL99" s="148"/>
      <c r="BM99" s="148"/>
      <c r="BN99" s="148"/>
      <c r="BO99" s="148"/>
      <c r="BP99" s="148"/>
      <c r="BQ99" s="148"/>
      <c r="BR99" s="148"/>
      <c r="BS99" s="149"/>
      <c r="BT99" s="147">
        <v>74.88</v>
      </c>
      <c r="BU99" s="148">
        <v>73.16</v>
      </c>
      <c r="BV99" s="148">
        <v>70.7</v>
      </c>
      <c r="BW99" s="148"/>
      <c r="BX99" s="148"/>
      <c r="BY99" s="148"/>
      <c r="BZ99" s="148"/>
      <c r="CA99" s="148"/>
      <c r="CB99" s="148"/>
      <c r="CC99" s="148"/>
      <c r="CD99" s="148"/>
      <c r="CE99" s="147"/>
      <c r="CF99" s="148"/>
      <c r="CG99" s="148"/>
      <c r="CH99" s="148"/>
      <c r="CI99" s="148"/>
      <c r="CJ99" s="148"/>
      <c r="CK99" s="149"/>
      <c r="CL99" s="147">
        <v>59.13</v>
      </c>
      <c r="CM99" s="148"/>
      <c r="CN99" s="148"/>
      <c r="CO99" s="149"/>
      <c r="CP99" s="147"/>
      <c r="CQ99" s="148"/>
      <c r="CR99" s="149"/>
      <c r="CS99" s="147"/>
      <c r="CT99" s="148"/>
      <c r="CU99" s="148"/>
      <c r="CV99" s="148"/>
      <c r="CW99" s="148"/>
      <c r="CX99" s="148"/>
      <c r="CY99" s="147"/>
      <c r="CZ99" s="148"/>
      <c r="DA99" s="148"/>
      <c r="DB99" s="148"/>
      <c r="DC99" s="148"/>
      <c r="DD99" s="148"/>
      <c r="DE99" s="148"/>
      <c r="DF99" s="148"/>
      <c r="DG99" s="149"/>
      <c r="DH99" s="147"/>
      <c r="DI99" s="148"/>
      <c r="DJ99" s="148"/>
      <c r="DK99" s="148"/>
      <c r="DL99" s="148"/>
      <c r="DM99" s="148"/>
      <c r="DN99" s="148"/>
      <c r="DO99" s="148"/>
      <c r="DP99" s="148"/>
      <c r="DQ99" s="147"/>
      <c r="DR99" s="148"/>
      <c r="DS99" s="148"/>
      <c r="DT99" s="148"/>
      <c r="DU99" s="148"/>
      <c r="DV99" s="148"/>
      <c r="DW99" s="148"/>
      <c r="DX99" s="148"/>
      <c r="DY99" s="148"/>
      <c r="DZ99" s="148"/>
      <c r="EA99" s="148"/>
      <c r="EB99" s="148"/>
      <c r="EC99" s="148"/>
      <c r="ED99" s="148"/>
      <c r="EE99" s="149"/>
      <c r="EF99" s="147"/>
      <c r="EG99" s="148"/>
      <c r="EH99" s="148"/>
      <c r="EI99" s="147"/>
      <c r="EJ99" s="148"/>
      <c r="EK99" s="149"/>
      <c r="EL99" s="147"/>
      <c r="EM99" s="148"/>
      <c r="EN99" s="148"/>
      <c r="EO99" s="149"/>
      <c r="EP99" s="147"/>
      <c r="EQ99" s="149"/>
      <c r="ER99" s="147"/>
      <c r="ES99" s="149"/>
      <c r="ET99" s="147"/>
      <c r="EU99" s="149"/>
    </row>
    <row r="100" spans="1:151">
      <c r="A100" s="42" t="s">
        <v>319</v>
      </c>
      <c r="B100" s="173" t="s">
        <v>109</v>
      </c>
      <c r="C100" s="173" t="s">
        <v>500</v>
      </c>
      <c r="D100" s="83" t="s">
        <v>64</v>
      </c>
      <c r="E100" s="49" t="s">
        <v>1</v>
      </c>
      <c r="F100" s="49" t="s">
        <v>286</v>
      </c>
      <c r="G100" s="60">
        <v>-5.6630000000000003</v>
      </c>
      <c r="I100" s="49">
        <v>2490</v>
      </c>
      <c r="J100" s="159">
        <v>3.716417910447761</v>
      </c>
      <c r="K100" s="49">
        <v>4</v>
      </c>
      <c r="L100" s="49">
        <v>3</v>
      </c>
      <c r="M100" s="83">
        <v>0</v>
      </c>
      <c r="N100" s="49">
        <v>2</v>
      </c>
      <c r="O100" s="49">
        <v>0</v>
      </c>
      <c r="P100" s="49">
        <v>0</v>
      </c>
      <c r="Q100" s="58">
        <v>0</v>
      </c>
      <c r="R100" s="42">
        <v>2</v>
      </c>
      <c r="S100" s="83" t="s">
        <v>283</v>
      </c>
      <c r="T100" s="49">
        <v>18</v>
      </c>
      <c r="U100" s="83">
        <v>1</v>
      </c>
      <c r="V100" s="49">
        <v>2</v>
      </c>
      <c r="W100" s="49">
        <v>2</v>
      </c>
      <c r="X100" s="58"/>
      <c r="Y100" s="83">
        <v>20</v>
      </c>
      <c r="Z100" s="49">
        <v>10</v>
      </c>
      <c r="AA100" s="49">
        <v>20</v>
      </c>
      <c r="AD100" s="49">
        <v>40</v>
      </c>
      <c r="AE100" s="49">
        <v>210</v>
      </c>
      <c r="AH100" s="49">
        <v>40</v>
      </c>
      <c r="AI100" s="49">
        <v>560</v>
      </c>
      <c r="AJ100" s="49">
        <v>0</v>
      </c>
      <c r="AK100" s="83"/>
      <c r="AO100" s="58"/>
      <c r="AP100" s="174" t="s">
        <v>284</v>
      </c>
      <c r="AQ100" s="175" t="s">
        <v>284</v>
      </c>
      <c r="AR100" s="175" t="s">
        <v>284</v>
      </c>
      <c r="AS100" s="175" t="s">
        <v>284</v>
      </c>
      <c r="AT100" s="175" t="s">
        <v>284</v>
      </c>
      <c r="AU100" s="175" t="s">
        <v>284</v>
      </c>
      <c r="AV100" s="175" t="s">
        <v>284</v>
      </c>
      <c r="AW100" s="175" t="s">
        <v>284</v>
      </c>
      <c r="AX100" s="83">
        <v>0</v>
      </c>
      <c r="AY100" s="49">
        <v>0</v>
      </c>
      <c r="AZ100" s="49">
        <v>0</v>
      </c>
      <c r="BA100" s="49">
        <v>0</v>
      </c>
      <c r="BB100" s="58">
        <v>0</v>
      </c>
      <c r="BC100" s="42">
        <v>136</v>
      </c>
      <c r="BS100" s="58"/>
      <c r="BT100" s="83"/>
      <c r="CE100" s="83"/>
      <c r="CK100" s="58"/>
      <c r="CL100" s="83"/>
      <c r="CO100" s="58"/>
      <c r="CP100" s="83">
        <v>74.739999999999995</v>
      </c>
      <c r="CR100" s="58"/>
      <c r="CS100" s="83"/>
      <c r="CY100" s="83">
        <v>78.849999999999994</v>
      </c>
      <c r="CZ100" s="49">
        <v>79.31</v>
      </c>
      <c r="DG100" s="58"/>
      <c r="DH100" s="83"/>
      <c r="DQ100" s="83">
        <v>72.73</v>
      </c>
      <c r="EE100" s="58"/>
      <c r="EF100" s="83"/>
      <c r="EI100" s="83"/>
      <c r="EK100" s="58"/>
      <c r="EL100" s="83"/>
      <c r="EO100" s="58"/>
      <c r="EP100" s="83"/>
      <c r="EQ100" s="58"/>
      <c r="ER100" s="83"/>
      <c r="ES100" s="58"/>
      <c r="ET100" s="83"/>
      <c r="EU100" s="58"/>
    </row>
    <row r="101" spans="1:151">
      <c r="A101" s="42" t="s">
        <v>319</v>
      </c>
      <c r="B101" s="173" t="s">
        <v>109</v>
      </c>
      <c r="C101" s="173" t="s">
        <v>500</v>
      </c>
      <c r="D101" s="83" t="s">
        <v>65</v>
      </c>
      <c r="F101" s="49" t="s">
        <v>286</v>
      </c>
      <c r="G101" s="60">
        <v>-5.6630000000000003</v>
      </c>
      <c r="I101" s="49">
        <v>2470</v>
      </c>
      <c r="J101" s="159">
        <v>1.1176470588235294</v>
      </c>
      <c r="K101" s="49">
        <v>4</v>
      </c>
      <c r="L101" s="49">
        <v>4</v>
      </c>
      <c r="M101" s="83">
        <v>0</v>
      </c>
      <c r="N101" s="49">
        <v>2</v>
      </c>
      <c r="O101" s="49">
        <v>0</v>
      </c>
      <c r="P101" s="49">
        <v>0</v>
      </c>
      <c r="Q101" s="58">
        <v>0</v>
      </c>
      <c r="R101" s="42">
        <v>2</v>
      </c>
      <c r="S101" s="83" t="s">
        <v>283</v>
      </c>
      <c r="T101" s="49">
        <v>16</v>
      </c>
      <c r="U101" s="83">
        <v>2</v>
      </c>
      <c r="V101" s="49">
        <v>4</v>
      </c>
      <c r="W101" s="49">
        <v>3</v>
      </c>
      <c r="X101" s="58">
        <v>1</v>
      </c>
      <c r="Y101" s="83">
        <v>4</v>
      </c>
      <c r="AA101" s="49">
        <v>20</v>
      </c>
      <c r="AF101" s="49">
        <v>30</v>
      </c>
      <c r="AG101" s="49">
        <v>310</v>
      </c>
      <c r="AI101" s="49">
        <v>100</v>
      </c>
      <c r="AJ101" s="49">
        <v>0</v>
      </c>
      <c r="AK101" s="83"/>
      <c r="AO101" s="58"/>
      <c r="AP101" s="174" t="s">
        <v>284</v>
      </c>
      <c r="AQ101" s="175" t="s">
        <v>284</v>
      </c>
      <c r="AR101" s="175" t="s">
        <v>284</v>
      </c>
      <c r="AS101" s="175" t="s">
        <v>284</v>
      </c>
      <c r="AT101" s="175" t="s">
        <v>284</v>
      </c>
      <c r="AU101" s="175" t="s">
        <v>284</v>
      </c>
      <c r="AV101" s="175" t="s">
        <v>284</v>
      </c>
      <c r="AW101" s="175" t="s">
        <v>284</v>
      </c>
      <c r="AX101" s="83">
        <v>0</v>
      </c>
      <c r="AY101" s="49">
        <v>0</v>
      </c>
      <c r="AZ101" s="49">
        <v>0</v>
      </c>
      <c r="BA101" s="49">
        <v>0</v>
      </c>
      <c r="BB101" s="58">
        <v>0</v>
      </c>
      <c r="BC101" s="42">
        <v>162</v>
      </c>
      <c r="BS101" s="58"/>
      <c r="BT101" s="83"/>
      <c r="CE101" s="83"/>
      <c r="CK101" s="58"/>
      <c r="CL101" s="83"/>
      <c r="CO101" s="58"/>
      <c r="CP101" s="83"/>
      <c r="CR101" s="58"/>
      <c r="CS101" s="83"/>
      <c r="CY101" s="83"/>
      <c r="DG101" s="58"/>
      <c r="DH101" s="83"/>
      <c r="DQ101" s="83"/>
      <c r="EE101" s="58"/>
      <c r="EF101" s="83"/>
      <c r="EI101" s="83"/>
      <c r="EK101" s="58"/>
      <c r="EL101" s="83"/>
      <c r="EO101" s="58"/>
      <c r="EP101" s="83"/>
      <c r="EQ101" s="58"/>
      <c r="ER101" s="83"/>
      <c r="ES101" s="58"/>
      <c r="ET101" s="83"/>
      <c r="EU101" s="58"/>
    </row>
    <row r="102" spans="1:151">
      <c r="A102" s="42" t="s">
        <v>319</v>
      </c>
      <c r="B102" s="173" t="s">
        <v>109</v>
      </c>
      <c r="C102" s="173" t="s">
        <v>500</v>
      </c>
      <c r="D102" s="83" t="s">
        <v>66</v>
      </c>
      <c r="F102" s="49" t="s">
        <v>286</v>
      </c>
      <c r="G102" s="60">
        <v>-5.6630000000000003</v>
      </c>
      <c r="I102" s="49">
        <v>4710</v>
      </c>
      <c r="J102" s="159">
        <v>1.580536912751678</v>
      </c>
      <c r="K102" s="49">
        <v>1</v>
      </c>
      <c r="L102" s="49">
        <v>3</v>
      </c>
      <c r="M102" s="83">
        <v>0</v>
      </c>
      <c r="N102" s="49">
        <v>0</v>
      </c>
      <c r="O102" s="49">
        <v>1</v>
      </c>
      <c r="P102" s="49">
        <v>1</v>
      </c>
      <c r="Q102" s="58">
        <v>0</v>
      </c>
      <c r="R102" s="42">
        <v>2</v>
      </c>
      <c r="S102" s="83" t="s">
        <v>283</v>
      </c>
      <c r="T102" s="49">
        <v>40</v>
      </c>
      <c r="U102" s="83">
        <v>2</v>
      </c>
      <c r="V102" s="49">
        <v>3</v>
      </c>
      <c r="W102" s="49">
        <v>3</v>
      </c>
      <c r="X102" s="58">
        <v>3</v>
      </c>
      <c r="Y102" s="83" t="s">
        <v>78</v>
      </c>
      <c r="AF102" s="49">
        <v>70</v>
      </c>
      <c r="AG102" s="49">
        <v>190</v>
      </c>
      <c r="AJ102" s="49">
        <v>0</v>
      </c>
      <c r="AK102" s="83">
        <v>0</v>
      </c>
      <c r="AL102" s="49">
        <v>0</v>
      </c>
      <c r="AM102" s="49">
        <v>1</v>
      </c>
      <c r="AN102" s="49">
        <v>0</v>
      </c>
      <c r="AO102" s="58">
        <v>0</v>
      </c>
      <c r="AP102" s="174" t="s">
        <v>284</v>
      </c>
      <c r="AQ102" s="175" t="s">
        <v>284</v>
      </c>
      <c r="AR102" s="175">
        <v>0</v>
      </c>
      <c r="AS102" s="175">
        <v>661</v>
      </c>
      <c r="AT102" s="175" t="s">
        <v>284</v>
      </c>
      <c r="AU102" s="175" t="s">
        <v>284</v>
      </c>
      <c r="AV102" s="175" t="s">
        <v>284</v>
      </c>
      <c r="AW102" s="175" t="s">
        <v>284</v>
      </c>
      <c r="AX102" s="83">
        <v>0</v>
      </c>
      <c r="AY102" s="49">
        <v>0</v>
      </c>
      <c r="AZ102" s="49">
        <v>0</v>
      </c>
      <c r="BA102" s="49">
        <v>0</v>
      </c>
      <c r="BB102" s="58">
        <v>0</v>
      </c>
      <c r="BC102" s="42">
        <v>172</v>
      </c>
      <c r="BS102" s="58"/>
      <c r="BT102" s="83"/>
      <c r="CE102" s="83"/>
      <c r="CK102" s="58"/>
      <c r="CL102" s="83"/>
      <c r="CO102" s="58"/>
      <c r="CP102" s="83"/>
      <c r="CR102" s="58"/>
      <c r="CS102" s="83"/>
      <c r="CY102" s="83"/>
      <c r="DG102" s="58"/>
      <c r="DH102" s="83"/>
      <c r="DQ102" s="83"/>
      <c r="EE102" s="58"/>
      <c r="EF102" s="83"/>
      <c r="EI102" s="83"/>
      <c r="EK102" s="58"/>
      <c r="EL102" s="83"/>
      <c r="EO102" s="58"/>
      <c r="EP102" s="83"/>
      <c r="EQ102" s="58"/>
      <c r="ER102" s="83"/>
      <c r="ES102" s="58"/>
      <c r="ET102" s="83"/>
      <c r="EU102" s="58"/>
    </row>
    <row r="103" spans="1:151">
      <c r="A103" s="42" t="s">
        <v>319</v>
      </c>
      <c r="B103" s="173" t="s">
        <v>109</v>
      </c>
      <c r="C103" s="173" t="s">
        <v>500</v>
      </c>
      <c r="D103" s="83" t="s">
        <v>67</v>
      </c>
      <c r="F103" s="49" t="s">
        <v>286</v>
      </c>
      <c r="G103" s="60">
        <v>-5.6630000000000003</v>
      </c>
      <c r="I103" s="49">
        <v>6790</v>
      </c>
      <c r="J103" s="159">
        <v>4.78169014084507</v>
      </c>
      <c r="K103" s="49">
        <v>2</v>
      </c>
      <c r="L103" s="49">
        <v>2</v>
      </c>
      <c r="M103" s="83">
        <v>0</v>
      </c>
      <c r="N103" s="49">
        <v>4</v>
      </c>
      <c r="O103" s="49">
        <v>0</v>
      </c>
      <c r="P103" s="49">
        <v>0</v>
      </c>
      <c r="Q103" s="58">
        <v>0</v>
      </c>
      <c r="R103" s="42">
        <v>4</v>
      </c>
      <c r="S103" s="83" t="s">
        <v>283</v>
      </c>
      <c r="T103" s="49">
        <v>22</v>
      </c>
      <c r="U103" s="83">
        <v>1</v>
      </c>
      <c r="V103" s="49">
        <v>1</v>
      </c>
      <c r="W103" s="49">
        <v>2</v>
      </c>
      <c r="X103" s="58"/>
      <c r="Y103" s="83">
        <v>40</v>
      </c>
      <c r="Z103" s="49">
        <v>10</v>
      </c>
      <c r="AA103" s="49">
        <v>20</v>
      </c>
      <c r="AD103" s="49">
        <v>20</v>
      </c>
      <c r="AE103" s="49">
        <v>120</v>
      </c>
      <c r="AF103" s="49">
        <v>20</v>
      </c>
      <c r="AG103" s="49">
        <v>3220</v>
      </c>
      <c r="AH103" s="49">
        <v>200</v>
      </c>
      <c r="AI103" s="49">
        <v>460</v>
      </c>
      <c r="AJ103" s="49">
        <v>0</v>
      </c>
      <c r="AK103" s="83">
        <v>0</v>
      </c>
      <c r="AL103" s="49">
        <v>1</v>
      </c>
      <c r="AM103" s="49">
        <v>0</v>
      </c>
      <c r="AN103" s="49">
        <v>0</v>
      </c>
      <c r="AO103" s="58">
        <v>0</v>
      </c>
      <c r="AP103" s="174">
        <v>0</v>
      </c>
      <c r="AQ103" s="175">
        <v>784</v>
      </c>
      <c r="AR103" s="175">
        <v>0</v>
      </c>
      <c r="AS103" s="175">
        <v>0</v>
      </c>
      <c r="AT103" s="175">
        <v>0</v>
      </c>
      <c r="AU103" s="175">
        <v>0</v>
      </c>
      <c r="AV103" s="175">
        <v>0</v>
      </c>
      <c r="AW103" s="175">
        <v>0</v>
      </c>
      <c r="AX103" s="83">
        <v>0</v>
      </c>
      <c r="AY103" s="49">
        <v>0</v>
      </c>
      <c r="AZ103" s="49">
        <v>0</v>
      </c>
      <c r="BA103" s="49">
        <v>0</v>
      </c>
      <c r="BB103" s="58">
        <v>0</v>
      </c>
      <c r="BC103" s="42">
        <v>156</v>
      </c>
      <c r="BS103" s="58"/>
      <c r="BT103" s="83"/>
      <c r="CE103" s="83"/>
      <c r="CK103" s="58"/>
      <c r="CL103" s="83">
        <v>63.9</v>
      </c>
      <c r="CO103" s="58"/>
      <c r="CP103" s="83">
        <v>58.39</v>
      </c>
      <c r="CR103" s="58"/>
      <c r="CS103" s="83"/>
      <c r="CY103" s="83"/>
      <c r="DG103" s="58"/>
      <c r="DH103" s="83">
        <v>77.64</v>
      </c>
      <c r="DQ103" s="83"/>
      <c r="EE103" s="58"/>
      <c r="EF103" s="83"/>
      <c r="EI103" s="83"/>
      <c r="EK103" s="58"/>
      <c r="EL103" s="83"/>
      <c r="EO103" s="58"/>
      <c r="EP103" s="83"/>
      <c r="EQ103" s="58"/>
      <c r="ER103" s="83"/>
      <c r="ES103" s="58"/>
      <c r="ET103" s="83"/>
      <c r="EU103" s="58"/>
    </row>
    <row r="104" spans="1:151">
      <c r="A104" s="42" t="s">
        <v>319</v>
      </c>
      <c r="B104" s="173" t="s">
        <v>109</v>
      </c>
      <c r="C104" s="173" t="s">
        <v>500</v>
      </c>
      <c r="D104" s="83" t="s">
        <v>74</v>
      </c>
      <c r="F104" s="49" t="s">
        <v>286</v>
      </c>
      <c r="G104" s="60">
        <v>-5.6630000000000003</v>
      </c>
      <c r="I104" s="49">
        <v>4146</v>
      </c>
      <c r="J104" s="159">
        <v>2.0949974734714503</v>
      </c>
      <c r="K104" s="49">
        <v>1</v>
      </c>
      <c r="L104" s="49">
        <v>2</v>
      </c>
      <c r="M104" s="83">
        <v>1</v>
      </c>
      <c r="N104" s="49">
        <v>1</v>
      </c>
      <c r="O104" s="49">
        <v>1</v>
      </c>
      <c r="P104" s="49">
        <v>1</v>
      </c>
      <c r="Q104" s="58">
        <v>0</v>
      </c>
      <c r="R104" s="42">
        <v>4</v>
      </c>
      <c r="S104" s="83">
        <v>1</v>
      </c>
      <c r="U104" s="83">
        <v>2</v>
      </c>
      <c r="V104" s="49">
        <v>2</v>
      </c>
      <c r="W104" s="49">
        <v>1</v>
      </c>
      <c r="X104" s="58">
        <v>1</v>
      </c>
      <c r="Y104" s="83">
        <v>10</v>
      </c>
      <c r="Z104" s="49">
        <v>10</v>
      </c>
      <c r="AA104" s="49">
        <v>30</v>
      </c>
      <c r="AD104" s="49">
        <v>30</v>
      </c>
      <c r="AE104" s="49">
        <v>180</v>
      </c>
      <c r="AF104" s="49">
        <v>50</v>
      </c>
      <c r="AG104" s="49">
        <v>210</v>
      </c>
      <c r="AI104" s="49">
        <v>2050</v>
      </c>
      <c r="AJ104" s="49">
        <v>0</v>
      </c>
      <c r="AK104" s="83">
        <v>0</v>
      </c>
      <c r="AL104" s="49">
        <v>1</v>
      </c>
      <c r="AM104" s="49">
        <v>0</v>
      </c>
      <c r="AN104" s="49">
        <v>0</v>
      </c>
      <c r="AO104" s="58">
        <v>0</v>
      </c>
      <c r="AP104" s="174"/>
      <c r="AQ104" s="175"/>
      <c r="AR104" s="175">
        <v>0</v>
      </c>
      <c r="AS104" s="175">
        <v>0</v>
      </c>
      <c r="AT104" s="175">
        <v>0</v>
      </c>
      <c r="AU104" s="175">
        <v>0</v>
      </c>
      <c r="AV104" s="175">
        <v>0</v>
      </c>
      <c r="AW104" s="175">
        <v>0</v>
      </c>
      <c r="AX104" s="83">
        <v>0</v>
      </c>
      <c r="AY104" s="49">
        <v>0</v>
      </c>
      <c r="AZ104" s="49">
        <v>0</v>
      </c>
      <c r="BA104" s="49">
        <v>0</v>
      </c>
      <c r="BB104" s="58">
        <v>0</v>
      </c>
      <c r="BC104" s="42">
        <v>186</v>
      </c>
      <c r="BS104" s="58"/>
      <c r="BT104" s="83">
        <v>80.709999999999994</v>
      </c>
      <c r="CE104" s="83">
        <v>73.92</v>
      </c>
      <c r="CF104" s="49">
        <v>72.66</v>
      </c>
      <c r="CG104" s="49">
        <v>71.92</v>
      </c>
      <c r="CK104" s="58"/>
      <c r="CL104" s="83">
        <v>55.07</v>
      </c>
      <c r="CO104" s="58"/>
      <c r="CP104" s="83"/>
      <c r="CR104" s="58"/>
      <c r="CS104" s="83"/>
      <c r="CY104" s="83">
        <v>77.36</v>
      </c>
      <c r="DG104" s="58"/>
      <c r="DH104" s="83"/>
      <c r="DQ104" s="83">
        <v>77.510000000000005</v>
      </c>
      <c r="EE104" s="58"/>
      <c r="EF104" s="83"/>
      <c r="EI104" s="83"/>
      <c r="EK104" s="58"/>
      <c r="EL104" s="83"/>
      <c r="EO104" s="58"/>
      <c r="EP104" s="83"/>
      <c r="EQ104" s="58"/>
      <c r="ER104" s="83"/>
      <c r="ES104" s="58"/>
      <c r="ET104" s="83"/>
      <c r="EU104" s="58"/>
    </row>
    <row r="105" spans="1:151">
      <c r="A105" s="42" t="s">
        <v>319</v>
      </c>
      <c r="B105" s="173" t="s">
        <v>109</v>
      </c>
      <c r="C105" s="173" t="s">
        <v>500</v>
      </c>
      <c r="D105" s="83" t="s">
        <v>76</v>
      </c>
      <c r="F105" s="49" t="s">
        <v>286</v>
      </c>
      <c r="G105" s="60">
        <v>-5.6630000000000003</v>
      </c>
      <c r="I105" s="49">
        <v>4170</v>
      </c>
      <c r="J105" s="159">
        <v>1.2086956521739129</v>
      </c>
      <c r="K105" s="49">
        <v>1</v>
      </c>
      <c r="L105" s="49">
        <v>3</v>
      </c>
      <c r="M105" s="83">
        <v>1</v>
      </c>
      <c r="N105" s="49">
        <v>2</v>
      </c>
      <c r="O105" s="49">
        <v>1</v>
      </c>
      <c r="P105" s="49">
        <v>1</v>
      </c>
      <c r="Q105" s="58">
        <v>0</v>
      </c>
      <c r="R105" s="42">
        <v>5</v>
      </c>
      <c r="S105" s="83" t="s">
        <v>283</v>
      </c>
      <c r="T105" s="49">
        <v>18</v>
      </c>
      <c r="U105" s="83">
        <v>4</v>
      </c>
      <c r="V105" s="49">
        <v>3</v>
      </c>
      <c r="W105" s="49">
        <v>3</v>
      </c>
      <c r="X105" s="58">
        <v>3</v>
      </c>
      <c r="Y105" s="83">
        <v>2</v>
      </c>
      <c r="Z105" s="49">
        <v>20</v>
      </c>
      <c r="AA105" s="49">
        <v>60</v>
      </c>
      <c r="AD105" s="49">
        <v>20</v>
      </c>
      <c r="AE105" s="49">
        <v>120</v>
      </c>
      <c r="AF105" s="49">
        <v>20</v>
      </c>
      <c r="AG105" s="49">
        <v>90</v>
      </c>
      <c r="AI105" s="49">
        <v>130</v>
      </c>
      <c r="AJ105" s="49">
        <v>0</v>
      </c>
      <c r="AK105" s="83"/>
      <c r="AO105" s="58"/>
      <c r="AP105" s="174" t="s">
        <v>284</v>
      </c>
      <c r="AQ105" s="175" t="s">
        <v>284</v>
      </c>
      <c r="AR105" s="175" t="s">
        <v>284</v>
      </c>
      <c r="AS105" s="175" t="s">
        <v>284</v>
      </c>
      <c r="AT105" s="175" t="s">
        <v>284</v>
      </c>
      <c r="AU105" s="175" t="s">
        <v>284</v>
      </c>
      <c r="AV105" s="175" t="s">
        <v>284</v>
      </c>
      <c r="AW105" s="175" t="s">
        <v>284</v>
      </c>
      <c r="AX105" s="83">
        <v>0</v>
      </c>
      <c r="AY105" s="49">
        <v>0</v>
      </c>
      <c r="AZ105" s="49">
        <v>0</v>
      </c>
      <c r="BA105" s="49">
        <v>0</v>
      </c>
      <c r="BB105" s="58">
        <v>0</v>
      </c>
      <c r="BC105" s="42">
        <v>122</v>
      </c>
      <c r="BD105" s="49">
        <v>81.59</v>
      </c>
      <c r="BS105" s="58"/>
      <c r="BT105" s="83">
        <v>77.42</v>
      </c>
      <c r="BU105" s="49">
        <v>80.510000000000005</v>
      </c>
      <c r="CE105" s="83">
        <v>68.099999999999994</v>
      </c>
      <c r="CK105" s="58"/>
      <c r="CL105" s="83">
        <v>60.68</v>
      </c>
      <c r="CO105" s="58"/>
      <c r="CP105" s="83"/>
      <c r="CR105" s="58"/>
      <c r="CS105" s="83"/>
      <c r="CY105" s="83"/>
      <c r="DG105" s="58"/>
      <c r="DH105" s="83"/>
      <c r="DQ105" s="83">
        <v>71.64</v>
      </c>
      <c r="DR105" s="49">
        <v>73.709999999999994</v>
      </c>
      <c r="EE105" s="58"/>
      <c r="EF105" s="83"/>
      <c r="EI105" s="83"/>
      <c r="EK105" s="58"/>
      <c r="EL105" s="83"/>
      <c r="EO105" s="58"/>
      <c r="EP105" s="83"/>
      <c r="EQ105" s="58"/>
      <c r="ER105" s="83"/>
      <c r="ES105" s="58"/>
      <c r="ET105" s="83"/>
      <c r="EU105" s="58"/>
    </row>
    <row r="106" spans="1:151" ht="17" thickBot="1">
      <c r="A106" s="55" t="s">
        <v>319</v>
      </c>
      <c r="B106" s="47" t="s">
        <v>109</v>
      </c>
      <c r="C106" s="47" t="s">
        <v>500</v>
      </c>
      <c r="D106" s="84" t="s">
        <v>73</v>
      </c>
      <c r="E106" s="57"/>
      <c r="F106" s="57" t="s">
        <v>286</v>
      </c>
      <c r="G106" s="74">
        <v>-5.6630000000000003</v>
      </c>
      <c r="H106" s="57"/>
      <c r="I106" s="57">
        <v>2778</v>
      </c>
      <c r="J106" s="75">
        <v>2.3305369127516777</v>
      </c>
      <c r="K106" s="57">
        <v>1</v>
      </c>
      <c r="L106" s="57">
        <v>2</v>
      </c>
      <c r="M106" s="84">
        <v>0</v>
      </c>
      <c r="N106" s="57">
        <v>0</v>
      </c>
      <c r="O106" s="57">
        <v>1</v>
      </c>
      <c r="P106" s="57">
        <v>1</v>
      </c>
      <c r="Q106" s="56">
        <v>0</v>
      </c>
      <c r="R106" s="55">
        <v>2</v>
      </c>
      <c r="S106" s="84">
        <v>1</v>
      </c>
      <c r="T106" s="57"/>
      <c r="U106" s="84">
        <v>2</v>
      </c>
      <c r="V106" s="57">
        <v>3</v>
      </c>
      <c r="W106" s="57">
        <v>3</v>
      </c>
      <c r="X106" s="56">
        <v>2</v>
      </c>
      <c r="Y106" s="84">
        <v>2</v>
      </c>
      <c r="Z106" s="57">
        <v>20</v>
      </c>
      <c r="AA106" s="57">
        <v>50</v>
      </c>
      <c r="AB106" s="57"/>
      <c r="AC106" s="57"/>
      <c r="AD106" s="57">
        <v>20</v>
      </c>
      <c r="AE106" s="57">
        <v>60</v>
      </c>
      <c r="AF106" s="57">
        <v>20</v>
      </c>
      <c r="AG106" s="57">
        <v>80</v>
      </c>
      <c r="AH106" s="57">
        <v>40</v>
      </c>
      <c r="AI106" s="57">
        <v>190</v>
      </c>
      <c r="AJ106" s="57">
        <v>0</v>
      </c>
      <c r="AK106" s="84">
        <v>0</v>
      </c>
      <c r="AL106" s="57">
        <v>1</v>
      </c>
      <c r="AM106" s="57">
        <v>0</v>
      </c>
      <c r="AN106" s="57">
        <v>0</v>
      </c>
      <c r="AO106" s="56">
        <v>0</v>
      </c>
      <c r="AP106" s="178">
        <v>334</v>
      </c>
      <c r="AQ106" s="179">
        <v>1024</v>
      </c>
      <c r="AR106" s="179">
        <v>0</v>
      </c>
      <c r="AS106" s="179">
        <v>0</v>
      </c>
      <c r="AT106" s="179">
        <v>0</v>
      </c>
      <c r="AU106" s="179">
        <v>0</v>
      </c>
      <c r="AV106" s="179">
        <v>0</v>
      </c>
      <c r="AW106" s="179">
        <v>0</v>
      </c>
      <c r="AX106" s="84">
        <v>0</v>
      </c>
      <c r="AY106" s="57">
        <v>0</v>
      </c>
      <c r="AZ106" s="57">
        <v>0</v>
      </c>
      <c r="BA106" s="57">
        <v>0</v>
      </c>
      <c r="BB106" s="56">
        <v>0</v>
      </c>
      <c r="BC106" s="55">
        <v>142</v>
      </c>
      <c r="BD106" s="57">
        <v>75.05</v>
      </c>
      <c r="BE106" s="75"/>
      <c r="BF106" s="57"/>
      <c r="BG106" s="57"/>
      <c r="BH106" s="57"/>
      <c r="BI106" s="57"/>
      <c r="BJ106" s="57"/>
      <c r="BK106" s="57"/>
      <c r="BL106" s="57"/>
      <c r="BM106" s="57"/>
      <c r="BN106" s="57"/>
      <c r="BO106" s="57"/>
      <c r="BP106" s="57"/>
      <c r="BQ106" s="57"/>
      <c r="BR106" s="57"/>
      <c r="BS106" s="56"/>
      <c r="BT106" s="84">
        <v>80.650000000000006</v>
      </c>
      <c r="BU106" s="57">
        <v>81.59</v>
      </c>
      <c r="BV106" s="57">
        <v>81.739999999999995</v>
      </c>
      <c r="BW106" s="57"/>
      <c r="BX106" s="57"/>
      <c r="BY106" s="57"/>
      <c r="BZ106" s="57"/>
      <c r="CA106" s="57"/>
      <c r="CB106" s="57"/>
      <c r="CC106" s="57"/>
      <c r="CD106" s="57"/>
      <c r="CE106" s="84"/>
      <c r="CF106" s="57"/>
      <c r="CG106" s="57"/>
      <c r="CH106" s="57"/>
      <c r="CI106" s="57"/>
      <c r="CJ106" s="57"/>
      <c r="CK106" s="56"/>
      <c r="CL106" s="84">
        <v>58.88</v>
      </c>
      <c r="CM106" s="57"/>
      <c r="CN106" s="57"/>
      <c r="CO106" s="56"/>
      <c r="CP106" s="84"/>
      <c r="CQ106" s="57"/>
      <c r="CR106" s="56"/>
      <c r="CS106" s="84"/>
      <c r="CT106" s="57"/>
      <c r="CU106" s="57"/>
      <c r="CV106" s="57"/>
      <c r="CW106" s="57"/>
      <c r="CX106" s="57"/>
      <c r="CY106" s="84"/>
      <c r="CZ106" s="57"/>
      <c r="DA106" s="57"/>
      <c r="DB106" s="57"/>
      <c r="DC106" s="57"/>
      <c r="DD106" s="57"/>
      <c r="DE106" s="57"/>
      <c r="DF106" s="57"/>
      <c r="DG106" s="56"/>
      <c r="DH106" s="84"/>
      <c r="DI106" s="57"/>
      <c r="DJ106" s="57"/>
      <c r="DK106" s="57"/>
      <c r="DL106" s="57"/>
      <c r="DM106" s="57"/>
      <c r="DN106" s="57"/>
      <c r="DO106" s="57"/>
      <c r="DP106" s="57"/>
      <c r="DQ106" s="84"/>
      <c r="DR106" s="57"/>
      <c r="DS106" s="57"/>
      <c r="DT106" s="57"/>
      <c r="DU106" s="57"/>
      <c r="DV106" s="57"/>
      <c r="DW106" s="57"/>
      <c r="DX106" s="57"/>
      <c r="DY106" s="57"/>
      <c r="DZ106" s="57"/>
      <c r="EA106" s="57"/>
      <c r="EB106" s="57"/>
      <c r="EC106" s="57"/>
      <c r="ED106" s="57"/>
      <c r="EE106" s="56"/>
      <c r="EF106" s="84"/>
      <c r="EG106" s="57"/>
      <c r="EH106" s="57"/>
      <c r="EI106" s="84"/>
      <c r="EJ106" s="57"/>
      <c r="EK106" s="56"/>
      <c r="EL106" s="84"/>
      <c r="EM106" s="57"/>
      <c r="EN106" s="57"/>
      <c r="EO106" s="56"/>
      <c r="EP106" s="84"/>
      <c r="EQ106" s="56"/>
      <c r="ER106" s="84"/>
      <c r="ES106" s="56"/>
      <c r="ET106" s="84"/>
      <c r="EU106" s="56"/>
    </row>
    <row r="107" spans="1:151">
      <c r="A107" s="83" t="s">
        <v>319</v>
      </c>
      <c r="B107" s="7" t="s">
        <v>110</v>
      </c>
      <c r="C107" s="7" t="s">
        <v>500</v>
      </c>
      <c r="D107" s="147" t="s">
        <v>64</v>
      </c>
      <c r="E107" s="148"/>
      <c r="F107" s="148" t="s">
        <v>286</v>
      </c>
      <c r="G107" s="73">
        <v>-5.6630000000000003</v>
      </c>
      <c r="H107" s="148"/>
      <c r="I107" s="148">
        <v>1059</v>
      </c>
      <c r="J107" s="158">
        <v>3.3726114649681529</v>
      </c>
      <c r="K107" s="148">
        <v>1</v>
      </c>
      <c r="L107" s="148">
        <v>1</v>
      </c>
      <c r="M107" s="147">
        <v>0</v>
      </c>
      <c r="N107" s="148">
        <v>1</v>
      </c>
      <c r="O107" s="148">
        <v>0</v>
      </c>
      <c r="P107" s="148">
        <v>0</v>
      </c>
      <c r="Q107" s="149">
        <v>0</v>
      </c>
      <c r="R107" s="87">
        <v>1</v>
      </c>
      <c r="S107" s="147" t="s">
        <v>283</v>
      </c>
      <c r="T107" s="148">
        <v>12</v>
      </c>
      <c r="U107" s="147">
        <v>1</v>
      </c>
      <c r="V107" s="148">
        <v>2</v>
      </c>
      <c r="W107" s="148">
        <v>2</v>
      </c>
      <c r="X107" s="149"/>
      <c r="Y107" s="147">
        <v>10</v>
      </c>
      <c r="Z107" s="148"/>
      <c r="AA107" s="148"/>
      <c r="AB107" s="148"/>
      <c r="AC107" s="148"/>
      <c r="AD107" s="148"/>
      <c r="AE107" s="148">
        <v>21</v>
      </c>
      <c r="AF107" s="148">
        <v>183</v>
      </c>
      <c r="AG107" s="148">
        <v>606</v>
      </c>
      <c r="AH107" s="148"/>
      <c r="AI107" s="148"/>
      <c r="AJ107" s="148">
        <v>0</v>
      </c>
      <c r="AK107" s="147">
        <v>0</v>
      </c>
      <c r="AL107" s="148">
        <v>1</v>
      </c>
      <c r="AM107" s="148">
        <v>0</v>
      </c>
      <c r="AN107" s="148">
        <v>0</v>
      </c>
      <c r="AO107" s="149">
        <v>0</v>
      </c>
      <c r="AP107" s="169">
        <v>0</v>
      </c>
      <c r="AQ107" s="170">
        <v>1074</v>
      </c>
      <c r="AR107" s="170" t="s">
        <v>284</v>
      </c>
      <c r="AS107" s="170" t="s">
        <v>284</v>
      </c>
      <c r="AT107" s="170" t="s">
        <v>284</v>
      </c>
      <c r="AU107" s="170" t="s">
        <v>284</v>
      </c>
      <c r="AV107" s="170" t="s">
        <v>284</v>
      </c>
      <c r="AW107" s="170" t="s">
        <v>284</v>
      </c>
      <c r="AX107" s="147">
        <v>0</v>
      </c>
      <c r="AY107" s="148">
        <v>0</v>
      </c>
      <c r="AZ107" s="148">
        <v>0</v>
      </c>
      <c r="BA107" s="148">
        <v>0</v>
      </c>
      <c r="BB107" s="149">
        <v>0</v>
      </c>
      <c r="BC107" s="87">
        <v>66</v>
      </c>
      <c r="BD107" s="148"/>
      <c r="BE107" s="158"/>
      <c r="BF107" s="148"/>
      <c r="BG107" s="148"/>
      <c r="BH107" s="148"/>
      <c r="BI107" s="148"/>
      <c r="BJ107" s="148"/>
      <c r="BK107" s="148"/>
      <c r="BL107" s="148"/>
      <c r="BM107" s="148"/>
      <c r="BN107" s="148"/>
      <c r="BO107" s="148"/>
      <c r="BP107" s="148"/>
      <c r="BQ107" s="148"/>
      <c r="BR107" s="148"/>
      <c r="BS107" s="149"/>
      <c r="BT107" s="147"/>
      <c r="BU107" s="148"/>
      <c r="BV107" s="148"/>
      <c r="BW107" s="148"/>
      <c r="BX107" s="148"/>
      <c r="BY107" s="148"/>
      <c r="BZ107" s="148"/>
      <c r="CA107" s="148"/>
      <c r="CB107" s="148"/>
      <c r="CC107" s="148"/>
      <c r="CD107" s="148"/>
      <c r="CE107" s="147"/>
      <c r="CF107" s="148"/>
      <c r="CG107" s="148"/>
      <c r="CH107" s="148"/>
      <c r="CI107" s="148"/>
      <c r="CJ107" s="148"/>
      <c r="CK107" s="149"/>
      <c r="CL107" s="147"/>
      <c r="CM107" s="148"/>
      <c r="CN107" s="148"/>
      <c r="CO107" s="149"/>
      <c r="CP107" s="147"/>
      <c r="CQ107" s="148"/>
      <c r="CR107" s="149"/>
      <c r="CS107" s="147"/>
      <c r="CT107" s="148"/>
      <c r="CU107" s="148"/>
      <c r="CV107" s="148"/>
      <c r="CW107" s="148"/>
      <c r="CX107" s="148"/>
      <c r="CY107" s="147"/>
      <c r="CZ107" s="148"/>
      <c r="DA107" s="148"/>
      <c r="DB107" s="148"/>
      <c r="DC107" s="148"/>
      <c r="DD107" s="148"/>
      <c r="DE107" s="148"/>
      <c r="DF107" s="148"/>
      <c r="DG107" s="149"/>
      <c r="DH107" s="147"/>
      <c r="DI107" s="148"/>
      <c r="DJ107" s="148"/>
      <c r="DK107" s="148"/>
      <c r="DL107" s="148"/>
      <c r="DM107" s="148"/>
      <c r="DN107" s="148"/>
      <c r="DO107" s="148"/>
      <c r="DP107" s="148"/>
      <c r="DQ107" s="147"/>
      <c r="DR107" s="148"/>
      <c r="DS107" s="148"/>
      <c r="DT107" s="148"/>
      <c r="DU107" s="148"/>
      <c r="DV107" s="148"/>
      <c r="DW107" s="148"/>
      <c r="DX107" s="148"/>
      <c r="DY107" s="148"/>
      <c r="DZ107" s="148"/>
      <c r="EA107" s="148"/>
      <c r="EB107" s="148"/>
      <c r="EC107" s="148"/>
      <c r="ED107" s="148"/>
      <c r="EE107" s="149"/>
      <c r="EF107" s="147"/>
      <c r="EG107" s="148"/>
      <c r="EH107" s="148"/>
      <c r="EI107" s="147"/>
      <c r="EJ107" s="148"/>
      <c r="EK107" s="149"/>
      <c r="EL107" s="147"/>
      <c r="EM107" s="148"/>
      <c r="EN107" s="148"/>
      <c r="EO107" s="149"/>
      <c r="EP107" s="147"/>
      <c r="EQ107" s="149"/>
      <c r="ER107" s="147"/>
      <c r="ES107" s="149"/>
      <c r="ET107" s="147"/>
      <c r="EU107" s="149"/>
    </row>
    <row r="108" spans="1:151">
      <c r="A108" s="83" t="s">
        <v>319</v>
      </c>
      <c r="B108" s="173" t="s">
        <v>110</v>
      </c>
      <c r="C108" s="173" t="s">
        <v>500</v>
      </c>
      <c r="D108" s="83" t="s">
        <v>74</v>
      </c>
      <c r="F108" s="49" t="s">
        <v>286</v>
      </c>
      <c r="G108" s="60">
        <v>-5.6630000000000003</v>
      </c>
      <c r="I108" s="49">
        <v>5395</v>
      </c>
      <c r="J108" s="159">
        <v>3.8398576512455516</v>
      </c>
      <c r="K108" s="49">
        <v>1</v>
      </c>
      <c r="L108" s="49">
        <v>3</v>
      </c>
      <c r="M108" s="83">
        <v>0</v>
      </c>
      <c r="N108" s="49">
        <v>0</v>
      </c>
      <c r="O108" s="49">
        <v>1</v>
      </c>
      <c r="P108" s="49">
        <v>1</v>
      </c>
      <c r="Q108" s="58">
        <v>0</v>
      </c>
      <c r="R108" s="42">
        <v>2</v>
      </c>
      <c r="S108" s="83">
        <v>1</v>
      </c>
      <c r="U108" s="83">
        <v>1</v>
      </c>
      <c r="V108" s="49">
        <v>2</v>
      </c>
      <c r="W108" s="49">
        <v>2</v>
      </c>
      <c r="X108" s="58"/>
      <c r="Y108" s="83">
        <v>5</v>
      </c>
      <c r="Z108" s="49">
        <v>10</v>
      </c>
      <c r="AA108" s="49">
        <v>30</v>
      </c>
      <c r="AD108" s="49">
        <v>30</v>
      </c>
      <c r="AE108" s="49">
        <v>330</v>
      </c>
      <c r="AF108" s="49">
        <v>40</v>
      </c>
      <c r="AG108" s="49">
        <v>50</v>
      </c>
      <c r="AH108" s="49">
        <v>100</v>
      </c>
      <c r="AI108" s="49">
        <v>330</v>
      </c>
      <c r="AJ108" s="49">
        <v>0</v>
      </c>
      <c r="AK108" s="83">
        <v>0</v>
      </c>
      <c r="AL108" s="49">
        <v>1</v>
      </c>
      <c r="AM108" s="49">
        <v>0</v>
      </c>
      <c r="AN108" s="49">
        <v>0</v>
      </c>
      <c r="AO108" s="58">
        <v>0</v>
      </c>
      <c r="AP108" s="174">
        <v>201</v>
      </c>
      <c r="AQ108" s="175">
        <v>1882</v>
      </c>
      <c r="AR108" s="175">
        <v>0</v>
      </c>
      <c r="AS108" s="175">
        <v>0</v>
      </c>
      <c r="AT108" s="175">
        <v>0</v>
      </c>
      <c r="AU108" s="175">
        <v>0</v>
      </c>
      <c r="AV108" s="175">
        <v>0</v>
      </c>
      <c r="AW108" s="175">
        <v>0</v>
      </c>
      <c r="AX108" s="83">
        <v>0</v>
      </c>
      <c r="AY108" s="49">
        <v>0</v>
      </c>
      <c r="AZ108" s="49">
        <v>0</v>
      </c>
      <c r="BA108" s="49">
        <v>0</v>
      </c>
      <c r="BB108" s="58">
        <v>0</v>
      </c>
      <c r="BC108" s="42">
        <v>138</v>
      </c>
      <c r="BS108" s="58"/>
      <c r="BT108" s="83"/>
      <c r="CE108" s="83"/>
      <c r="CK108" s="58"/>
      <c r="CL108" s="83"/>
      <c r="CO108" s="58"/>
      <c r="CP108" s="83"/>
      <c r="CR108" s="58"/>
      <c r="CS108" s="83"/>
      <c r="CY108" s="83"/>
      <c r="DG108" s="58"/>
      <c r="DH108" s="83"/>
      <c r="DQ108" s="83"/>
      <c r="EE108" s="58"/>
      <c r="EF108" s="83"/>
      <c r="EI108" s="83"/>
      <c r="EK108" s="58"/>
      <c r="EL108" s="83"/>
      <c r="EO108" s="58"/>
      <c r="EP108" s="83"/>
      <c r="EQ108" s="58"/>
      <c r="ER108" s="83"/>
      <c r="ES108" s="58"/>
      <c r="ET108" s="83"/>
      <c r="EU108" s="58"/>
    </row>
    <row r="109" spans="1:151">
      <c r="A109" s="83" t="s">
        <v>319</v>
      </c>
      <c r="B109" s="173" t="s">
        <v>110</v>
      </c>
      <c r="C109" s="173" t="s">
        <v>500</v>
      </c>
      <c r="D109" s="83" t="s">
        <v>76</v>
      </c>
      <c r="F109" s="49" t="s">
        <v>286</v>
      </c>
      <c r="G109" s="60">
        <v>-5.6630000000000003</v>
      </c>
      <c r="I109" s="49">
        <v>1058</v>
      </c>
      <c r="J109" s="159">
        <v>1.7871621621621621</v>
      </c>
      <c r="K109" s="49">
        <v>1</v>
      </c>
      <c r="L109" s="49">
        <v>2</v>
      </c>
      <c r="M109" s="83">
        <v>0</v>
      </c>
      <c r="N109" s="49">
        <v>0</v>
      </c>
      <c r="O109" s="49">
        <v>1</v>
      </c>
      <c r="P109" s="49">
        <v>1</v>
      </c>
      <c r="Q109" s="58">
        <v>0</v>
      </c>
      <c r="R109" s="42">
        <v>2</v>
      </c>
      <c r="S109" s="83">
        <v>1</v>
      </c>
      <c r="U109" s="83">
        <v>2</v>
      </c>
      <c r="V109" s="49">
        <v>2</v>
      </c>
      <c r="W109" s="49">
        <v>3</v>
      </c>
      <c r="X109" s="58">
        <v>2</v>
      </c>
      <c r="Y109" s="83">
        <v>2</v>
      </c>
      <c r="AA109" s="49">
        <v>16</v>
      </c>
      <c r="AG109" s="49">
        <v>108</v>
      </c>
      <c r="AI109" s="49">
        <v>150</v>
      </c>
      <c r="AJ109" s="49">
        <v>0</v>
      </c>
      <c r="AK109" s="83">
        <v>0</v>
      </c>
      <c r="AL109" s="49">
        <v>1</v>
      </c>
      <c r="AM109" s="49">
        <v>0</v>
      </c>
      <c r="AN109" s="49">
        <v>0</v>
      </c>
      <c r="AO109" s="58">
        <v>0</v>
      </c>
      <c r="AP109" s="174">
        <v>319</v>
      </c>
      <c r="AQ109" s="175">
        <v>484</v>
      </c>
      <c r="AR109" s="175">
        <v>0</v>
      </c>
      <c r="AS109" s="175">
        <v>0</v>
      </c>
      <c r="AT109" s="175">
        <v>0</v>
      </c>
      <c r="AU109" s="175">
        <v>0</v>
      </c>
      <c r="AV109" s="175">
        <v>0</v>
      </c>
      <c r="AW109" s="175">
        <v>0</v>
      </c>
      <c r="AX109" s="83">
        <v>0</v>
      </c>
      <c r="AY109" s="49">
        <v>0</v>
      </c>
      <c r="AZ109" s="49">
        <v>0</v>
      </c>
      <c r="BA109" s="49">
        <v>0</v>
      </c>
      <c r="BB109" s="58">
        <v>0</v>
      </c>
      <c r="BC109" s="42">
        <v>101</v>
      </c>
      <c r="BS109" s="58"/>
      <c r="BT109" s="83"/>
      <c r="CE109" s="83"/>
      <c r="CK109" s="58"/>
      <c r="CL109" s="83"/>
      <c r="CO109" s="58"/>
      <c r="CP109" s="83"/>
      <c r="CR109" s="58"/>
      <c r="CS109" s="83"/>
      <c r="CY109" s="83"/>
      <c r="DG109" s="58"/>
      <c r="DH109" s="83"/>
      <c r="DQ109" s="83"/>
      <c r="EE109" s="58"/>
      <c r="EF109" s="83"/>
      <c r="EI109" s="83"/>
      <c r="EK109" s="58"/>
      <c r="EL109" s="83"/>
      <c r="EO109" s="58"/>
      <c r="EP109" s="83"/>
      <c r="EQ109" s="58"/>
      <c r="ER109" s="83"/>
      <c r="ES109" s="58"/>
      <c r="ET109" s="83"/>
      <c r="EU109" s="58"/>
    </row>
    <row r="110" spans="1:151">
      <c r="A110" s="83" t="s">
        <v>319</v>
      </c>
      <c r="B110" s="173" t="s">
        <v>110</v>
      </c>
      <c r="C110" s="173" t="s">
        <v>500</v>
      </c>
      <c r="D110" s="83" t="s">
        <v>73</v>
      </c>
      <c r="F110" s="49" t="s">
        <v>287</v>
      </c>
      <c r="G110" s="60">
        <v>-5.6630000000000003</v>
      </c>
      <c r="I110" s="49">
        <v>424</v>
      </c>
      <c r="J110" s="159">
        <v>1.358974358974359</v>
      </c>
      <c r="K110" s="49">
        <v>4</v>
      </c>
      <c r="L110" s="49">
        <v>4</v>
      </c>
      <c r="M110" s="83">
        <v>0</v>
      </c>
      <c r="N110" s="49">
        <v>0</v>
      </c>
      <c r="O110" s="49">
        <v>0</v>
      </c>
      <c r="P110" s="49">
        <v>1</v>
      </c>
      <c r="Q110" s="58">
        <v>0</v>
      </c>
      <c r="R110" s="42">
        <v>1</v>
      </c>
      <c r="S110" s="83">
        <v>1</v>
      </c>
      <c r="U110" s="83">
        <v>1</v>
      </c>
      <c r="V110" s="49">
        <v>4</v>
      </c>
      <c r="W110" s="49">
        <v>2</v>
      </c>
      <c r="X110" s="58"/>
      <c r="Y110" s="83">
        <v>1</v>
      </c>
      <c r="AE110" s="49">
        <v>13</v>
      </c>
      <c r="AG110" s="49">
        <v>9</v>
      </c>
      <c r="AJ110" s="49">
        <v>0</v>
      </c>
      <c r="AK110" s="83"/>
      <c r="AO110" s="58"/>
      <c r="AP110" s="174" t="s">
        <v>284</v>
      </c>
      <c r="AQ110" s="175" t="s">
        <v>284</v>
      </c>
      <c r="AR110" s="175" t="s">
        <v>284</v>
      </c>
      <c r="AS110" s="175" t="s">
        <v>284</v>
      </c>
      <c r="AT110" s="175" t="s">
        <v>284</v>
      </c>
      <c r="AU110" s="175" t="s">
        <v>284</v>
      </c>
      <c r="AV110" s="175" t="s">
        <v>284</v>
      </c>
      <c r="AW110" s="175" t="s">
        <v>284</v>
      </c>
      <c r="AX110" s="83">
        <v>0</v>
      </c>
      <c r="AY110" s="49">
        <v>0</v>
      </c>
      <c r="AZ110" s="49">
        <v>0</v>
      </c>
      <c r="BA110" s="49">
        <v>0</v>
      </c>
      <c r="BB110" s="58">
        <v>0</v>
      </c>
      <c r="BC110" s="42">
        <v>65</v>
      </c>
      <c r="BS110" s="58"/>
      <c r="BT110" s="83"/>
      <c r="CE110" s="83"/>
      <c r="CK110" s="58"/>
      <c r="CL110" s="83"/>
      <c r="CO110" s="58"/>
      <c r="CP110" s="83"/>
      <c r="CR110" s="58"/>
      <c r="CS110" s="83"/>
      <c r="CY110" s="83"/>
      <c r="DG110" s="58"/>
      <c r="DH110" s="83"/>
      <c r="DQ110" s="83"/>
      <c r="EE110" s="58"/>
      <c r="EF110" s="83"/>
      <c r="EI110" s="83"/>
      <c r="EK110" s="58"/>
      <c r="EL110" s="83"/>
      <c r="EO110" s="58"/>
      <c r="EP110" s="83"/>
      <c r="EQ110" s="58"/>
      <c r="ER110" s="83"/>
      <c r="ES110" s="58"/>
      <c r="ET110" s="83"/>
      <c r="EU110" s="58"/>
    </row>
    <row r="111" spans="1:151">
      <c r="A111" s="83" t="s">
        <v>319</v>
      </c>
      <c r="B111" s="173" t="s">
        <v>110</v>
      </c>
      <c r="C111" s="173" t="s">
        <v>500</v>
      </c>
      <c r="D111" s="83" t="s">
        <v>87</v>
      </c>
      <c r="F111" s="49" t="s">
        <v>287</v>
      </c>
      <c r="G111" s="60">
        <v>-5.6630000000000003</v>
      </c>
      <c r="I111" s="49">
        <v>710</v>
      </c>
      <c r="J111" s="159">
        <v>1.3472485768500948</v>
      </c>
      <c r="K111" s="49">
        <v>1</v>
      </c>
      <c r="L111" s="49">
        <v>2</v>
      </c>
      <c r="M111" s="83">
        <v>0</v>
      </c>
      <c r="N111" s="49">
        <v>0</v>
      </c>
      <c r="O111" s="49">
        <v>1</v>
      </c>
      <c r="P111" s="49">
        <v>1</v>
      </c>
      <c r="Q111" s="58">
        <v>0</v>
      </c>
      <c r="R111" s="42">
        <v>2</v>
      </c>
      <c r="S111" s="83" t="s">
        <v>283</v>
      </c>
      <c r="T111" s="49">
        <v>17</v>
      </c>
      <c r="U111" s="83">
        <v>2</v>
      </c>
      <c r="V111" s="49">
        <v>2</v>
      </c>
      <c r="W111" s="49">
        <v>1</v>
      </c>
      <c r="X111" s="58">
        <v>3</v>
      </c>
      <c r="Y111" s="83">
        <v>0</v>
      </c>
      <c r="AJ111" s="49">
        <v>0</v>
      </c>
      <c r="AK111" s="83"/>
      <c r="AO111" s="58"/>
      <c r="AP111" s="174" t="s">
        <v>284</v>
      </c>
      <c r="AQ111" s="175" t="s">
        <v>284</v>
      </c>
      <c r="AR111" s="175" t="s">
        <v>284</v>
      </c>
      <c r="AS111" s="175" t="s">
        <v>284</v>
      </c>
      <c r="AT111" s="175" t="s">
        <v>284</v>
      </c>
      <c r="AU111" s="175" t="s">
        <v>284</v>
      </c>
      <c r="AV111" s="175" t="s">
        <v>284</v>
      </c>
      <c r="AW111" s="175" t="s">
        <v>284</v>
      </c>
      <c r="AX111" s="83">
        <v>0</v>
      </c>
      <c r="AY111" s="49">
        <v>0</v>
      </c>
      <c r="AZ111" s="49">
        <v>0</v>
      </c>
      <c r="BA111" s="49">
        <v>0</v>
      </c>
      <c r="BB111" s="58">
        <v>0</v>
      </c>
      <c r="BC111" s="42">
        <v>81</v>
      </c>
      <c r="BS111" s="58"/>
      <c r="BT111" s="83"/>
      <c r="CE111" s="83"/>
      <c r="CK111" s="58"/>
      <c r="CL111" s="83"/>
      <c r="CO111" s="58"/>
      <c r="CP111" s="83"/>
      <c r="CR111" s="58"/>
      <c r="CS111" s="83"/>
      <c r="CY111" s="83"/>
      <c r="DG111" s="58"/>
      <c r="DH111" s="83"/>
      <c r="DQ111" s="83"/>
      <c r="EE111" s="58"/>
      <c r="EF111" s="83"/>
      <c r="EI111" s="83"/>
      <c r="EK111" s="58"/>
      <c r="EL111" s="83"/>
      <c r="EO111" s="58"/>
      <c r="EP111" s="83"/>
      <c r="EQ111" s="58"/>
      <c r="ER111" s="83"/>
      <c r="ES111" s="58"/>
      <c r="ET111" s="83"/>
      <c r="EU111" s="58"/>
    </row>
    <row r="112" spans="1:151">
      <c r="A112" s="83" t="s">
        <v>319</v>
      </c>
      <c r="B112" s="173" t="s">
        <v>110</v>
      </c>
      <c r="C112" s="173" t="s">
        <v>500</v>
      </c>
      <c r="D112" s="150" t="s">
        <v>88</v>
      </c>
      <c r="F112" s="49" t="s">
        <v>286</v>
      </c>
      <c r="G112" s="60">
        <v>-5.6630000000000003</v>
      </c>
      <c r="I112" s="49">
        <v>5050</v>
      </c>
      <c r="J112" s="159">
        <v>1.7719298245614035</v>
      </c>
      <c r="K112" s="49">
        <v>4</v>
      </c>
      <c r="L112" s="49">
        <v>3</v>
      </c>
      <c r="M112" s="83">
        <v>0</v>
      </c>
      <c r="N112" s="49">
        <v>2</v>
      </c>
      <c r="O112" s="49">
        <v>0</v>
      </c>
      <c r="P112" s="49">
        <v>1</v>
      </c>
      <c r="Q112" s="58">
        <v>0</v>
      </c>
      <c r="R112" s="42">
        <v>3</v>
      </c>
      <c r="S112" s="83">
        <v>1</v>
      </c>
      <c r="U112" s="83">
        <v>1</v>
      </c>
      <c r="V112" s="49">
        <v>4</v>
      </c>
      <c r="W112" s="49">
        <v>1</v>
      </c>
      <c r="X112" s="58">
        <v>2</v>
      </c>
      <c r="Y112" s="83">
        <v>5</v>
      </c>
      <c r="AE112" s="49">
        <v>80</v>
      </c>
      <c r="AH112" s="49">
        <v>50</v>
      </c>
      <c r="AI112" s="49">
        <v>510</v>
      </c>
      <c r="AJ112" s="49">
        <v>0</v>
      </c>
      <c r="AK112" s="83"/>
      <c r="AO112" s="58"/>
      <c r="AP112" s="174" t="s">
        <v>284</v>
      </c>
      <c r="AQ112" s="175" t="s">
        <v>284</v>
      </c>
      <c r="AR112" s="175" t="s">
        <v>284</v>
      </c>
      <c r="AS112" s="175" t="s">
        <v>284</v>
      </c>
      <c r="AT112" s="175" t="s">
        <v>284</v>
      </c>
      <c r="AU112" s="175" t="s">
        <v>284</v>
      </c>
      <c r="AV112" s="175" t="s">
        <v>284</v>
      </c>
      <c r="AW112" s="175" t="s">
        <v>284</v>
      </c>
      <c r="AX112" s="83">
        <v>0</v>
      </c>
      <c r="AY112" s="49">
        <v>0</v>
      </c>
      <c r="AZ112" s="49">
        <v>0</v>
      </c>
      <c r="BA112" s="49">
        <v>0</v>
      </c>
      <c r="BB112" s="58">
        <v>0</v>
      </c>
      <c r="BC112" s="42">
        <v>146</v>
      </c>
      <c r="BD112" s="49">
        <v>64.36</v>
      </c>
      <c r="BE112" s="159">
        <v>63.94</v>
      </c>
      <c r="BF112" s="49">
        <v>64.069999999999993</v>
      </c>
      <c r="BG112" s="49">
        <v>63.64</v>
      </c>
      <c r="BS112" s="58"/>
      <c r="BT112" s="83"/>
      <c r="CE112" s="83"/>
      <c r="CK112" s="58"/>
      <c r="CL112" s="83"/>
      <c r="CO112" s="58"/>
      <c r="CP112" s="83"/>
      <c r="CR112" s="58"/>
      <c r="CS112" s="83">
        <v>71.56</v>
      </c>
      <c r="CY112" s="83"/>
      <c r="DG112" s="58"/>
      <c r="DH112" s="83"/>
      <c r="DQ112" s="83"/>
      <c r="EE112" s="58"/>
      <c r="EF112" s="83"/>
      <c r="EI112" s="83"/>
      <c r="EK112" s="58"/>
      <c r="EL112" s="83"/>
      <c r="EO112" s="58"/>
      <c r="EP112" s="83"/>
      <c r="EQ112" s="58"/>
      <c r="ER112" s="83"/>
      <c r="ES112" s="58"/>
      <c r="ET112" s="83"/>
      <c r="EU112" s="58"/>
    </row>
    <row r="113" spans="1:151">
      <c r="A113" s="83" t="s">
        <v>319</v>
      </c>
      <c r="B113" s="173" t="s">
        <v>110</v>
      </c>
      <c r="C113" s="173" t="s">
        <v>500</v>
      </c>
      <c r="D113" s="83" t="s">
        <v>111</v>
      </c>
      <c r="F113" s="49" t="s">
        <v>287</v>
      </c>
      <c r="G113" s="60">
        <v>-5.6630000000000003</v>
      </c>
      <c r="I113" s="49">
        <v>996</v>
      </c>
      <c r="J113" s="159">
        <v>1.1501154734411085</v>
      </c>
      <c r="K113" s="49">
        <v>1</v>
      </c>
      <c r="L113" s="49">
        <v>3</v>
      </c>
      <c r="M113" s="83">
        <v>0</v>
      </c>
      <c r="N113" s="49">
        <v>0</v>
      </c>
      <c r="O113" s="49">
        <v>0</v>
      </c>
      <c r="P113" s="49">
        <v>1</v>
      </c>
      <c r="Q113" s="58">
        <v>0</v>
      </c>
      <c r="R113" s="42">
        <v>1</v>
      </c>
      <c r="S113" s="83">
        <v>1</v>
      </c>
      <c r="U113" s="83">
        <v>1</v>
      </c>
      <c r="V113" s="49">
        <v>2</v>
      </c>
      <c r="W113" s="49">
        <v>1</v>
      </c>
      <c r="X113" s="58">
        <v>2</v>
      </c>
      <c r="Y113" s="83">
        <v>0</v>
      </c>
      <c r="AJ113" s="49">
        <v>0</v>
      </c>
      <c r="AK113" s="83">
        <v>0</v>
      </c>
      <c r="AL113" s="49">
        <v>1</v>
      </c>
      <c r="AM113" s="49">
        <v>0</v>
      </c>
      <c r="AN113" s="49">
        <v>0</v>
      </c>
      <c r="AO113" s="58">
        <v>0</v>
      </c>
      <c r="AP113" s="174">
        <v>0</v>
      </c>
      <c r="AQ113" s="175">
        <v>252</v>
      </c>
      <c r="AR113" s="175">
        <v>0</v>
      </c>
      <c r="AS113" s="175">
        <v>0</v>
      </c>
      <c r="AT113" s="175">
        <v>0</v>
      </c>
      <c r="AU113" s="175">
        <v>0</v>
      </c>
      <c r="AV113" s="175">
        <v>0</v>
      </c>
      <c r="AW113" s="175">
        <v>0</v>
      </c>
      <c r="AX113" s="83">
        <v>0</v>
      </c>
      <c r="AY113" s="49">
        <v>0</v>
      </c>
      <c r="AZ113" s="49">
        <v>0</v>
      </c>
      <c r="BA113" s="49">
        <v>0</v>
      </c>
      <c r="BB113" s="58">
        <v>0</v>
      </c>
      <c r="BC113" s="42">
        <v>76</v>
      </c>
      <c r="BS113" s="58"/>
      <c r="BT113" s="83"/>
      <c r="CE113" s="83"/>
      <c r="CK113" s="58"/>
      <c r="CL113" s="83"/>
      <c r="CO113" s="58"/>
      <c r="CP113" s="83"/>
      <c r="CR113" s="58"/>
      <c r="CS113" s="83"/>
      <c r="CY113" s="83"/>
      <c r="DG113" s="58"/>
      <c r="DH113" s="83"/>
      <c r="DQ113" s="83"/>
      <c r="EE113" s="58"/>
      <c r="EF113" s="83"/>
      <c r="EI113" s="83"/>
      <c r="EK113" s="58"/>
      <c r="EL113" s="83"/>
      <c r="EO113" s="58"/>
      <c r="EP113" s="83"/>
      <c r="EQ113" s="58"/>
      <c r="ER113" s="83"/>
      <c r="ES113" s="58"/>
      <c r="ET113" s="83"/>
      <c r="EU113" s="58"/>
    </row>
    <row r="114" spans="1:151">
      <c r="A114" s="83" t="s">
        <v>319</v>
      </c>
      <c r="B114" s="173" t="s">
        <v>110</v>
      </c>
      <c r="C114" s="173" t="s">
        <v>500</v>
      </c>
      <c r="D114" s="83" t="s">
        <v>92</v>
      </c>
      <c r="F114" s="49" t="s">
        <v>287</v>
      </c>
      <c r="G114" s="60">
        <v>-5.6630000000000003</v>
      </c>
      <c r="I114" s="49">
        <v>955</v>
      </c>
      <c r="J114" s="159">
        <v>2.053763440860215</v>
      </c>
      <c r="K114" s="49">
        <v>1</v>
      </c>
      <c r="L114" s="49">
        <v>2</v>
      </c>
      <c r="M114" s="83">
        <v>1</v>
      </c>
      <c r="N114" s="49">
        <v>0</v>
      </c>
      <c r="O114" s="49">
        <v>0</v>
      </c>
      <c r="P114" s="49">
        <v>1</v>
      </c>
      <c r="Q114" s="58">
        <v>0</v>
      </c>
      <c r="R114" s="42">
        <v>2</v>
      </c>
      <c r="S114" s="83">
        <v>1</v>
      </c>
      <c r="U114" s="83">
        <v>2</v>
      </c>
      <c r="V114" s="49">
        <v>2</v>
      </c>
      <c r="W114" s="49">
        <v>3</v>
      </c>
      <c r="X114" s="58">
        <v>2</v>
      </c>
      <c r="Y114" s="83">
        <v>1</v>
      </c>
      <c r="AI114" s="49">
        <v>74</v>
      </c>
      <c r="AJ114" s="49">
        <v>0</v>
      </c>
      <c r="AK114" s="83">
        <v>0</v>
      </c>
      <c r="AL114" s="49">
        <v>1</v>
      </c>
      <c r="AM114" s="49">
        <v>0</v>
      </c>
      <c r="AN114" s="49">
        <v>0</v>
      </c>
      <c r="AO114" s="58">
        <v>0</v>
      </c>
      <c r="AP114" s="174">
        <v>0</v>
      </c>
      <c r="AQ114" s="175">
        <v>201</v>
      </c>
      <c r="AR114" s="175">
        <v>0</v>
      </c>
      <c r="AS114" s="175">
        <v>0</v>
      </c>
      <c r="AT114" s="175">
        <v>0</v>
      </c>
      <c r="AU114" s="175">
        <v>0</v>
      </c>
      <c r="AV114" s="175">
        <v>0</v>
      </c>
      <c r="AW114" s="175">
        <v>0</v>
      </c>
      <c r="AX114" s="83">
        <v>0</v>
      </c>
      <c r="AY114" s="49">
        <v>0</v>
      </c>
      <c r="AZ114" s="49">
        <v>0</v>
      </c>
      <c r="BA114" s="49">
        <v>0</v>
      </c>
      <c r="BB114" s="58">
        <v>0</v>
      </c>
      <c r="BC114" s="42">
        <v>142</v>
      </c>
      <c r="BS114" s="58"/>
      <c r="BT114" s="83"/>
      <c r="CE114" s="83"/>
      <c r="CK114" s="58"/>
      <c r="CL114" s="83"/>
      <c r="CO114" s="58"/>
      <c r="CP114" s="83"/>
      <c r="CR114" s="58"/>
      <c r="CS114" s="83"/>
      <c r="CY114" s="83"/>
      <c r="DG114" s="58"/>
      <c r="DH114" s="83"/>
      <c r="DQ114" s="83"/>
      <c r="EE114" s="58"/>
      <c r="EF114" s="83"/>
      <c r="EI114" s="83"/>
      <c r="EK114" s="58"/>
      <c r="EL114" s="83"/>
      <c r="EO114" s="58"/>
      <c r="EP114" s="83"/>
      <c r="EQ114" s="58"/>
      <c r="ER114" s="83"/>
      <c r="ES114" s="58"/>
      <c r="ET114" s="83"/>
      <c r="EU114" s="58"/>
    </row>
    <row r="115" spans="1:151">
      <c r="A115" s="83" t="s">
        <v>319</v>
      </c>
      <c r="B115" s="173" t="s">
        <v>110</v>
      </c>
      <c r="C115" s="173" t="s">
        <v>500</v>
      </c>
      <c r="D115" s="83" t="s">
        <v>93</v>
      </c>
      <c r="F115" s="49" t="s">
        <v>287</v>
      </c>
      <c r="G115" s="60">
        <v>-5.6630000000000003</v>
      </c>
      <c r="I115" s="49">
        <v>964</v>
      </c>
      <c r="J115" s="159">
        <v>3.0125000000000002</v>
      </c>
      <c r="K115" s="49">
        <v>2</v>
      </c>
      <c r="L115" s="49">
        <v>3</v>
      </c>
      <c r="M115" s="83">
        <v>0</v>
      </c>
      <c r="N115" s="49">
        <v>1</v>
      </c>
      <c r="O115" s="49">
        <v>0</v>
      </c>
      <c r="P115" s="49">
        <v>1</v>
      </c>
      <c r="Q115" s="58">
        <v>0</v>
      </c>
      <c r="R115" s="42">
        <v>2</v>
      </c>
      <c r="S115" s="83">
        <v>1</v>
      </c>
      <c r="U115" s="83">
        <v>1</v>
      </c>
      <c r="V115" s="49">
        <v>2</v>
      </c>
      <c r="W115" s="49">
        <v>1</v>
      </c>
      <c r="X115" s="58">
        <v>2</v>
      </c>
      <c r="Y115" s="83">
        <v>20</v>
      </c>
      <c r="AD115" s="49">
        <v>34</v>
      </c>
      <c r="AE115" s="49">
        <v>634</v>
      </c>
      <c r="AJ115" s="49">
        <v>0</v>
      </c>
      <c r="AK115" s="83">
        <v>0</v>
      </c>
      <c r="AL115" s="49">
        <v>1</v>
      </c>
      <c r="AM115" s="49">
        <v>0</v>
      </c>
      <c r="AN115" s="49">
        <v>0</v>
      </c>
      <c r="AO115" s="58">
        <v>0</v>
      </c>
      <c r="AP115" s="174">
        <v>0</v>
      </c>
      <c r="AQ115" s="175">
        <v>421</v>
      </c>
      <c r="AR115" s="175">
        <v>0</v>
      </c>
      <c r="AS115" s="175">
        <v>0</v>
      </c>
      <c r="AT115" s="175">
        <v>0</v>
      </c>
      <c r="AU115" s="175">
        <v>0</v>
      </c>
      <c r="AV115" s="175">
        <v>0</v>
      </c>
      <c r="AW115" s="175">
        <v>0</v>
      </c>
      <c r="AX115" s="83">
        <v>0</v>
      </c>
      <c r="AY115" s="49">
        <v>0</v>
      </c>
      <c r="AZ115" s="49">
        <v>0</v>
      </c>
      <c r="BA115" s="49">
        <v>0</v>
      </c>
      <c r="BB115" s="58">
        <v>0</v>
      </c>
      <c r="BC115" s="42">
        <v>94</v>
      </c>
      <c r="BS115" s="58"/>
      <c r="BT115" s="83"/>
      <c r="CE115" s="83"/>
      <c r="CK115" s="58"/>
      <c r="CL115" s="83"/>
      <c r="CO115" s="58"/>
      <c r="CP115" s="83"/>
      <c r="CR115" s="58"/>
      <c r="CS115" s="83"/>
      <c r="CY115" s="83"/>
      <c r="DG115" s="58"/>
      <c r="DH115" s="83"/>
      <c r="DQ115" s="83"/>
      <c r="EE115" s="58"/>
      <c r="EF115" s="83"/>
      <c r="EI115" s="83"/>
      <c r="EK115" s="58"/>
      <c r="EL115" s="83"/>
      <c r="EO115" s="58"/>
      <c r="EP115" s="83"/>
      <c r="EQ115" s="58"/>
      <c r="ER115" s="83"/>
      <c r="ES115" s="58"/>
      <c r="ET115" s="83"/>
      <c r="EU115" s="58"/>
    </row>
    <row r="116" spans="1:151">
      <c r="A116" s="83" t="s">
        <v>319</v>
      </c>
      <c r="B116" s="173" t="s">
        <v>110</v>
      </c>
      <c r="C116" s="173" t="s">
        <v>500</v>
      </c>
      <c r="D116" s="83" t="s">
        <v>112</v>
      </c>
      <c r="F116" s="49" t="s">
        <v>286</v>
      </c>
      <c r="G116" s="60">
        <v>-5.6630000000000003</v>
      </c>
      <c r="I116" s="49">
        <v>1742</v>
      </c>
      <c r="J116" s="159">
        <v>1.6590476190476191</v>
      </c>
      <c r="K116" s="49">
        <v>1</v>
      </c>
      <c r="L116" s="49">
        <v>3</v>
      </c>
      <c r="M116" s="83">
        <v>1</v>
      </c>
      <c r="N116" s="49">
        <v>0</v>
      </c>
      <c r="O116" s="49">
        <v>1</v>
      </c>
      <c r="P116" s="49">
        <v>1</v>
      </c>
      <c r="Q116" s="58">
        <v>0</v>
      </c>
      <c r="R116" s="42">
        <v>3</v>
      </c>
      <c r="S116" s="83">
        <v>1</v>
      </c>
      <c r="U116" s="83">
        <v>1</v>
      </c>
      <c r="V116" s="49">
        <v>1</v>
      </c>
      <c r="W116" s="49">
        <v>2</v>
      </c>
      <c r="X116" s="58"/>
      <c r="Y116" s="83" t="s">
        <v>78</v>
      </c>
      <c r="Z116" s="49">
        <v>18</v>
      </c>
      <c r="AA116" s="49">
        <v>22</v>
      </c>
      <c r="AJ116" s="49">
        <v>0</v>
      </c>
      <c r="AK116" s="83">
        <v>0</v>
      </c>
      <c r="AL116" s="49">
        <v>1</v>
      </c>
      <c r="AM116" s="49">
        <v>1</v>
      </c>
      <c r="AN116" s="49">
        <v>0</v>
      </c>
      <c r="AO116" s="58">
        <v>0</v>
      </c>
      <c r="AP116" s="174">
        <v>578</v>
      </c>
      <c r="AQ116" s="175">
        <v>1004</v>
      </c>
      <c r="AR116" s="175">
        <v>22</v>
      </c>
      <c r="AS116" s="175">
        <v>89</v>
      </c>
      <c r="AT116" s="175">
        <v>0</v>
      </c>
      <c r="AU116" s="175">
        <v>0</v>
      </c>
      <c r="AV116" s="175">
        <v>0</v>
      </c>
      <c r="AW116" s="175">
        <v>0</v>
      </c>
      <c r="AX116" s="83">
        <v>0</v>
      </c>
      <c r="AY116" s="49">
        <v>0</v>
      </c>
      <c r="AZ116" s="49">
        <v>0</v>
      </c>
      <c r="BA116" s="49">
        <v>0</v>
      </c>
      <c r="BB116" s="58">
        <v>0</v>
      </c>
      <c r="BC116" s="42">
        <v>127</v>
      </c>
      <c r="BS116" s="58"/>
      <c r="BT116" s="83"/>
      <c r="CE116" s="83"/>
      <c r="CK116" s="58"/>
      <c r="CL116" s="83"/>
      <c r="CO116" s="58"/>
      <c r="CP116" s="83"/>
      <c r="CR116" s="58"/>
      <c r="CS116" s="83"/>
      <c r="CY116" s="83"/>
      <c r="DG116" s="58"/>
      <c r="DH116" s="83"/>
      <c r="DQ116" s="83"/>
      <c r="EE116" s="58"/>
      <c r="EF116" s="83"/>
      <c r="EI116" s="83"/>
      <c r="EK116" s="58"/>
      <c r="EL116" s="83"/>
      <c r="EO116" s="58"/>
      <c r="EP116" s="83"/>
      <c r="EQ116" s="58"/>
      <c r="ER116" s="83"/>
      <c r="ES116" s="58"/>
      <c r="ET116" s="83"/>
      <c r="EU116" s="58"/>
    </row>
    <row r="117" spans="1:151">
      <c r="A117" s="83" t="s">
        <v>319</v>
      </c>
      <c r="B117" s="173" t="s">
        <v>110</v>
      </c>
      <c r="C117" s="173" t="s">
        <v>500</v>
      </c>
      <c r="D117" s="83" t="s">
        <v>94</v>
      </c>
      <c r="F117" s="49" t="s">
        <v>286</v>
      </c>
      <c r="G117" s="60">
        <v>-5.6630000000000003</v>
      </c>
      <c r="I117" s="49">
        <v>3670</v>
      </c>
      <c r="J117" s="159">
        <v>2.7185185185185183</v>
      </c>
      <c r="K117" s="49">
        <v>1</v>
      </c>
      <c r="L117" s="49">
        <v>1</v>
      </c>
      <c r="M117" s="83">
        <v>0</v>
      </c>
      <c r="N117" s="49">
        <v>0</v>
      </c>
      <c r="O117" s="49">
        <v>0</v>
      </c>
      <c r="P117" s="49">
        <v>0</v>
      </c>
      <c r="Q117" s="58">
        <v>0</v>
      </c>
      <c r="R117" s="42">
        <v>0</v>
      </c>
      <c r="S117" s="83">
        <v>1</v>
      </c>
      <c r="U117" s="83">
        <v>0</v>
      </c>
      <c r="V117" s="49">
        <v>0</v>
      </c>
      <c r="W117" s="49">
        <v>0</v>
      </c>
      <c r="X117" s="58"/>
      <c r="Y117" s="83">
        <v>0</v>
      </c>
      <c r="AJ117" s="49">
        <v>0</v>
      </c>
      <c r="AK117" s="83">
        <v>0</v>
      </c>
      <c r="AL117" s="49">
        <v>0</v>
      </c>
      <c r="AM117" s="49">
        <v>0</v>
      </c>
      <c r="AN117" s="49">
        <v>0</v>
      </c>
      <c r="AO117" s="58">
        <v>0</v>
      </c>
      <c r="AP117" s="174" t="s">
        <v>284</v>
      </c>
      <c r="AQ117" s="175" t="s">
        <v>284</v>
      </c>
      <c r="AR117" s="175" t="s">
        <v>284</v>
      </c>
      <c r="AS117" s="175" t="s">
        <v>284</v>
      </c>
      <c r="AT117" s="175" t="s">
        <v>284</v>
      </c>
      <c r="AU117" s="175" t="s">
        <v>284</v>
      </c>
      <c r="AV117" s="175" t="s">
        <v>284</v>
      </c>
      <c r="AW117" s="175" t="s">
        <v>284</v>
      </c>
      <c r="AX117" s="83">
        <v>0</v>
      </c>
      <c r="AY117" s="49">
        <v>0</v>
      </c>
      <c r="AZ117" s="49">
        <v>0</v>
      </c>
      <c r="BA117" s="49">
        <v>0</v>
      </c>
      <c r="BB117" s="58">
        <v>0</v>
      </c>
      <c r="BC117" s="42">
        <v>144</v>
      </c>
      <c r="BD117" s="49">
        <v>65.3</v>
      </c>
      <c r="BE117" s="49">
        <v>65.2</v>
      </c>
      <c r="BF117" s="49">
        <v>65.2</v>
      </c>
      <c r="BS117" s="58"/>
      <c r="BT117" s="83"/>
      <c r="CE117" s="83"/>
      <c r="CK117" s="58"/>
      <c r="CL117" s="83"/>
      <c r="CO117" s="58"/>
      <c r="CP117" s="83"/>
      <c r="CR117" s="58"/>
      <c r="CS117" s="83"/>
      <c r="CY117" s="83"/>
      <c r="DG117" s="58"/>
      <c r="DH117" s="83"/>
      <c r="DQ117" s="83"/>
      <c r="EE117" s="58"/>
      <c r="EF117" s="83"/>
      <c r="EI117" s="83"/>
      <c r="EK117" s="58"/>
      <c r="EL117" s="83"/>
      <c r="EO117" s="58"/>
      <c r="EP117" s="83"/>
      <c r="EQ117" s="58"/>
      <c r="ER117" s="83"/>
      <c r="ES117" s="58"/>
      <c r="ET117" s="83"/>
      <c r="EU117" s="58"/>
    </row>
    <row r="118" spans="1:151">
      <c r="A118" s="83" t="s">
        <v>319</v>
      </c>
      <c r="B118" s="173" t="s">
        <v>110</v>
      </c>
      <c r="C118" s="173" t="s">
        <v>500</v>
      </c>
      <c r="D118" s="83" t="s">
        <v>113</v>
      </c>
      <c r="F118" s="49" t="s">
        <v>286</v>
      </c>
      <c r="G118" s="60">
        <v>-5.6630000000000003</v>
      </c>
      <c r="I118" s="49">
        <v>3480</v>
      </c>
      <c r="J118" s="159">
        <v>1.5196506550218341</v>
      </c>
      <c r="K118" s="49">
        <v>1</v>
      </c>
      <c r="L118" s="49">
        <v>1</v>
      </c>
      <c r="M118" s="83">
        <v>0</v>
      </c>
      <c r="N118" s="49">
        <v>1</v>
      </c>
      <c r="O118" s="49">
        <v>0</v>
      </c>
      <c r="P118" s="49">
        <v>1</v>
      </c>
      <c r="Q118" s="58">
        <v>0</v>
      </c>
      <c r="R118" s="42">
        <v>2</v>
      </c>
      <c r="S118" s="83" t="s">
        <v>283</v>
      </c>
      <c r="T118" s="49">
        <v>16</v>
      </c>
      <c r="U118" s="83">
        <v>2</v>
      </c>
      <c r="V118" s="49">
        <v>2</v>
      </c>
      <c r="W118" s="49">
        <v>3</v>
      </c>
      <c r="X118" s="58">
        <v>2</v>
      </c>
      <c r="Y118" s="83">
        <v>2</v>
      </c>
      <c r="AF118" s="49">
        <v>30</v>
      </c>
      <c r="AG118" s="49">
        <v>180</v>
      </c>
      <c r="AH118" s="49">
        <v>50</v>
      </c>
      <c r="AI118" s="49">
        <v>100</v>
      </c>
      <c r="AJ118" s="49">
        <v>0</v>
      </c>
      <c r="AK118" s="83"/>
      <c r="AO118" s="58"/>
      <c r="AP118" s="174" t="s">
        <v>284</v>
      </c>
      <c r="AQ118" s="175" t="s">
        <v>284</v>
      </c>
      <c r="AR118" s="175" t="s">
        <v>284</v>
      </c>
      <c r="AS118" s="175" t="s">
        <v>284</v>
      </c>
      <c r="AT118" s="175" t="s">
        <v>284</v>
      </c>
      <c r="AU118" s="175" t="s">
        <v>284</v>
      </c>
      <c r="AV118" s="175" t="s">
        <v>284</v>
      </c>
      <c r="AW118" s="175" t="s">
        <v>284</v>
      </c>
      <c r="AX118" s="83">
        <v>0</v>
      </c>
      <c r="AY118" s="49">
        <v>0</v>
      </c>
      <c r="AZ118" s="49">
        <v>0</v>
      </c>
      <c r="BA118" s="49">
        <v>0</v>
      </c>
      <c r="BB118" s="58">
        <v>0</v>
      </c>
      <c r="BC118" s="42"/>
      <c r="BD118" s="49">
        <v>67.11</v>
      </c>
      <c r="BS118" s="58"/>
      <c r="BT118" s="83">
        <v>77.28</v>
      </c>
      <c r="BU118" s="49">
        <v>73</v>
      </c>
      <c r="CE118" s="83"/>
      <c r="CK118" s="58"/>
      <c r="CL118" s="83">
        <v>68.290000000000006</v>
      </c>
      <c r="CO118" s="58"/>
      <c r="CP118" s="83"/>
      <c r="CR118" s="58"/>
      <c r="CS118" s="83"/>
      <c r="CY118" s="83"/>
      <c r="DG118" s="58"/>
      <c r="DH118" s="83"/>
      <c r="DQ118" s="83"/>
      <c r="EE118" s="58"/>
      <c r="EF118" s="83"/>
      <c r="EI118" s="83"/>
      <c r="EK118" s="58"/>
      <c r="EL118" s="83"/>
      <c r="EO118" s="58"/>
      <c r="EP118" s="83"/>
      <c r="EQ118" s="58"/>
      <c r="ER118" s="83"/>
      <c r="ES118" s="58"/>
      <c r="ET118" s="83"/>
      <c r="EU118" s="58"/>
    </row>
    <row r="119" spans="1:151">
      <c r="A119" s="83" t="s">
        <v>319</v>
      </c>
      <c r="B119" s="173" t="s">
        <v>110</v>
      </c>
      <c r="C119" s="173" t="s">
        <v>500</v>
      </c>
      <c r="D119" s="83" t="s">
        <v>97</v>
      </c>
      <c r="F119" s="49" t="s">
        <v>287</v>
      </c>
      <c r="G119" s="60">
        <v>-5.6630000000000003</v>
      </c>
      <c r="I119" s="49">
        <v>579</v>
      </c>
      <c r="J119" s="159">
        <v>1.191358024691358</v>
      </c>
      <c r="K119" s="49">
        <v>1</v>
      </c>
      <c r="L119" s="49">
        <v>3</v>
      </c>
      <c r="M119" s="83">
        <v>0</v>
      </c>
      <c r="N119" s="49">
        <v>0</v>
      </c>
      <c r="O119" s="49">
        <v>1</v>
      </c>
      <c r="P119" s="49">
        <v>1</v>
      </c>
      <c r="Q119" s="58">
        <v>0</v>
      </c>
      <c r="R119" s="42">
        <v>2</v>
      </c>
      <c r="S119" s="83">
        <v>1</v>
      </c>
      <c r="U119" s="83">
        <v>2</v>
      </c>
      <c r="V119" s="49">
        <v>3</v>
      </c>
      <c r="W119" s="49">
        <v>1</v>
      </c>
      <c r="X119" s="58">
        <v>2</v>
      </c>
      <c r="Y119" s="83">
        <v>5</v>
      </c>
      <c r="AG119" s="49">
        <v>10</v>
      </c>
      <c r="AH119" s="49">
        <v>23</v>
      </c>
      <c r="AI119" s="49">
        <v>241</v>
      </c>
      <c r="AJ119" s="49">
        <v>0</v>
      </c>
      <c r="AK119" s="83">
        <v>0</v>
      </c>
      <c r="AL119" s="49">
        <v>1</v>
      </c>
      <c r="AM119" s="49">
        <v>0</v>
      </c>
      <c r="AN119" s="49">
        <v>0</v>
      </c>
      <c r="AO119" s="58">
        <v>0</v>
      </c>
      <c r="AP119" s="174">
        <v>0</v>
      </c>
      <c r="AQ119" s="175">
        <v>367</v>
      </c>
      <c r="AR119" s="175">
        <v>0</v>
      </c>
      <c r="AS119" s="175">
        <v>0</v>
      </c>
      <c r="AT119" s="175">
        <v>0</v>
      </c>
      <c r="AU119" s="175">
        <v>0</v>
      </c>
      <c r="AV119" s="175">
        <v>0</v>
      </c>
      <c r="AW119" s="175">
        <v>0</v>
      </c>
      <c r="AX119" s="83">
        <v>0</v>
      </c>
      <c r="AY119" s="49">
        <v>0</v>
      </c>
      <c r="AZ119" s="49">
        <v>0</v>
      </c>
      <c r="BA119" s="49">
        <v>0</v>
      </c>
      <c r="BB119" s="58">
        <v>0</v>
      </c>
      <c r="BC119" s="42">
        <v>51</v>
      </c>
      <c r="BS119" s="58"/>
      <c r="BT119" s="83"/>
      <c r="CE119" s="83"/>
      <c r="CK119" s="58"/>
      <c r="CL119" s="83"/>
      <c r="CO119" s="58"/>
      <c r="CP119" s="83"/>
      <c r="CR119" s="58"/>
      <c r="CS119" s="83"/>
      <c r="CY119" s="83"/>
      <c r="DG119" s="58"/>
      <c r="DH119" s="83"/>
      <c r="DQ119" s="83"/>
      <c r="EE119" s="58"/>
      <c r="EF119" s="83"/>
      <c r="EI119" s="83"/>
      <c r="EK119" s="58"/>
      <c r="EL119" s="83"/>
      <c r="EO119" s="58"/>
      <c r="EP119" s="83"/>
      <c r="EQ119" s="58"/>
      <c r="ER119" s="83"/>
      <c r="ES119" s="58"/>
      <c r="ET119" s="83"/>
      <c r="EU119" s="58"/>
    </row>
    <row r="120" spans="1:151">
      <c r="A120" s="83" t="s">
        <v>319</v>
      </c>
      <c r="B120" s="173" t="s">
        <v>110</v>
      </c>
      <c r="C120" s="173" t="s">
        <v>500</v>
      </c>
      <c r="D120" s="83" t="s">
        <v>98</v>
      </c>
      <c r="F120" s="49" t="s">
        <v>286</v>
      </c>
      <c r="G120" s="60">
        <v>-5.6630000000000003</v>
      </c>
      <c r="I120" s="49">
        <v>3570</v>
      </c>
      <c r="J120" s="159">
        <v>2.2884615384615383</v>
      </c>
      <c r="K120" s="49">
        <v>1</v>
      </c>
      <c r="L120" s="49">
        <v>2</v>
      </c>
      <c r="M120" s="83">
        <v>0</v>
      </c>
      <c r="N120" s="49">
        <v>0</v>
      </c>
      <c r="O120" s="49">
        <v>1</v>
      </c>
      <c r="P120" s="49">
        <v>1</v>
      </c>
      <c r="Q120" s="58">
        <v>0</v>
      </c>
      <c r="R120" s="42">
        <v>2</v>
      </c>
      <c r="S120" s="83" t="s">
        <v>283</v>
      </c>
      <c r="T120" s="49">
        <v>18</v>
      </c>
      <c r="U120" s="83">
        <v>1</v>
      </c>
      <c r="V120" s="49">
        <v>2</v>
      </c>
      <c r="W120" s="49">
        <v>1</v>
      </c>
      <c r="X120" s="58">
        <v>3</v>
      </c>
      <c r="Y120" s="83">
        <v>5</v>
      </c>
      <c r="Z120" s="49">
        <v>10</v>
      </c>
      <c r="AA120" s="49">
        <v>20</v>
      </c>
      <c r="AD120" s="49">
        <v>20</v>
      </c>
      <c r="AE120" s="49">
        <v>200</v>
      </c>
      <c r="AF120" s="49">
        <v>10</v>
      </c>
      <c r="AG120" s="49">
        <v>520</v>
      </c>
      <c r="AJ120" s="49">
        <v>0</v>
      </c>
      <c r="AK120" s="83">
        <v>0</v>
      </c>
      <c r="AL120" s="49">
        <v>1</v>
      </c>
      <c r="AM120" s="49">
        <v>0</v>
      </c>
      <c r="AN120" s="49">
        <v>0</v>
      </c>
      <c r="AO120" s="58">
        <v>0</v>
      </c>
      <c r="AP120" s="174">
        <v>301</v>
      </c>
      <c r="AQ120" s="175">
        <v>1609</v>
      </c>
      <c r="AR120" s="175" t="s">
        <v>284</v>
      </c>
      <c r="AS120" s="175" t="s">
        <v>284</v>
      </c>
      <c r="AT120" s="175" t="s">
        <v>284</v>
      </c>
      <c r="AU120" s="175" t="s">
        <v>284</v>
      </c>
      <c r="AV120" s="175" t="s">
        <v>284</v>
      </c>
      <c r="AW120" s="175" t="s">
        <v>284</v>
      </c>
      <c r="AX120" s="83">
        <v>0</v>
      </c>
      <c r="AY120" s="49">
        <v>0</v>
      </c>
      <c r="AZ120" s="49">
        <v>0</v>
      </c>
      <c r="BA120" s="49">
        <v>0</v>
      </c>
      <c r="BB120" s="58">
        <v>0</v>
      </c>
      <c r="BC120" s="42">
        <v>130</v>
      </c>
      <c r="BS120" s="58"/>
      <c r="BT120" s="83"/>
      <c r="CE120" s="83"/>
      <c r="CK120" s="58"/>
      <c r="CL120" s="83"/>
      <c r="CO120" s="58"/>
      <c r="CP120" s="83"/>
      <c r="CR120" s="58"/>
      <c r="CS120" s="83"/>
      <c r="CY120" s="83"/>
      <c r="DG120" s="58"/>
      <c r="DH120" s="83"/>
      <c r="DQ120" s="83"/>
      <c r="EE120" s="58"/>
      <c r="EF120" s="83"/>
      <c r="EI120" s="83"/>
      <c r="EK120" s="58"/>
      <c r="EL120" s="83"/>
      <c r="EO120" s="58"/>
      <c r="EP120" s="83"/>
      <c r="EQ120" s="58"/>
      <c r="ER120" s="83"/>
      <c r="ES120" s="58"/>
      <c r="ET120" s="83"/>
      <c r="EU120" s="58"/>
    </row>
    <row r="121" spans="1:151">
      <c r="A121" s="83" t="s">
        <v>319</v>
      </c>
      <c r="B121" s="173" t="s">
        <v>110</v>
      </c>
      <c r="C121" s="173" t="s">
        <v>500</v>
      </c>
      <c r="D121" s="83" t="s">
        <v>99</v>
      </c>
      <c r="F121" s="49" t="s">
        <v>286</v>
      </c>
      <c r="G121" s="60">
        <v>-5.6630000000000003</v>
      </c>
      <c r="I121" s="49">
        <v>3710</v>
      </c>
      <c r="J121" s="159">
        <v>1.4664031620553359</v>
      </c>
      <c r="K121" s="49">
        <v>1</v>
      </c>
      <c r="L121" s="49">
        <v>2</v>
      </c>
      <c r="M121" s="83">
        <v>1</v>
      </c>
      <c r="N121" s="49">
        <v>0</v>
      </c>
      <c r="O121" s="49">
        <v>0</v>
      </c>
      <c r="P121" s="49">
        <v>1</v>
      </c>
      <c r="Q121" s="58">
        <v>0</v>
      </c>
      <c r="R121" s="42">
        <v>2</v>
      </c>
      <c r="S121" s="83">
        <v>1</v>
      </c>
      <c r="T121" s="49">
        <v>12</v>
      </c>
      <c r="U121" s="83">
        <v>1</v>
      </c>
      <c r="V121" s="49">
        <v>2</v>
      </c>
      <c r="W121" s="49">
        <v>2</v>
      </c>
      <c r="X121" s="58"/>
      <c r="Y121" s="83">
        <v>1</v>
      </c>
      <c r="AF121" s="49">
        <v>40</v>
      </c>
      <c r="AG121" s="49">
        <v>70</v>
      </c>
      <c r="AJ121" s="49">
        <v>0</v>
      </c>
      <c r="AK121" s="83"/>
      <c r="AO121" s="58"/>
      <c r="AP121" s="174" t="s">
        <v>284</v>
      </c>
      <c r="AQ121" s="175" t="s">
        <v>284</v>
      </c>
      <c r="AR121" s="175" t="s">
        <v>284</v>
      </c>
      <c r="AS121" s="175" t="s">
        <v>284</v>
      </c>
      <c r="AT121" s="175" t="s">
        <v>284</v>
      </c>
      <c r="AU121" s="175" t="s">
        <v>284</v>
      </c>
      <c r="AV121" s="175" t="s">
        <v>284</v>
      </c>
      <c r="AW121" s="175" t="s">
        <v>284</v>
      </c>
      <c r="AX121" s="83">
        <v>0</v>
      </c>
      <c r="AY121" s="49">
        <v>0</v>
      </c>
      <c r="AZ121" s="49">
        <v>0</v>
      </c>
      <c r="BA121" s="49">
        <v>0</v>
      </c>
      <c r="BB121" s="58">
        <v>0</v>
      </c>
      <c r="BC121" s="42">
        <v>140</v>
      </c>
      <c r="BD121" s="49">
        <v>68.27</v>
      </c>
      <c r="BS121" s="58"/>
      <c r="BT121" s="83">
        <v>72.7</v>
      </c>
      <c r="BU121" s="49">
        <v>70.819999999999993</v>
      </c>
      <c r="BV121" s="49">
        <v>71.930000000000007</v>
      </c>
      <c r="CE121" s="83"/>
      <c r="CK121" s="58"/>
      <c r="CL121" s="83">
        <v>62.56</v>
      </c>
      <c r="CO121" s="58"/>
      <c r="CP121" s="83"/>
      <c r="CR121" s="58"/>
      <c r="CS121" s="83"/>
      <c r="CY121" s="83"/>
      <c r="DG121" s="58"/>
      <c r="DH121" s="83"/>
      <c r="DQ121" s="83"/>
      <c r="EE121" s="58"/>
      <c r="EF121" s="83"/>
      <c r="EI121" s="83"/>
      <c r="EK121" s="58"/>
      <c r="EL121" s="83"/>
      <c r="EO121" s="58"/>
      <c r="EP121" s="83"/>
      <c r="EQ121" s="58"/>
      <c r="ER121" s="83"/>
      <c r="ES121" s="58"/>
      <c r="ET121" s="83"/>
      <c r="EU121" s="58"/>
    </row>
    <row r="122" spans="1:151">
      <c r="A122" s="83" t="s">
        <v>319</v>
      </c>
      <c r="B122" s="173" t="s">
        <v>110</v>
      </c>
      <c r="C122" s="173" t="s">
        <v>500</v>
      </c>
      <c r="D122" s="83" t="s">
        <v>100</v>
      </c>
      <c r="F122" s="49" t="s">
        <v>286</v>
      </c>
      <c r="G122" s="60">
        <v>-5.6630000000000003</v>
      </c>
      <c r="I122" s="49">
        <v>6994</v>
      </c>
      <c r="J122" s="159">
        <v>7.424628450106157</v>
      </c>
      <c r="K122" s="49">
        <v>4</v>
      </c>
      <c r="L122" s="49">
        <v>3</v>
      </c>
      <c r="M122" s="83">
        <v>0</v>
      </c>
      <c r="N122" s="49">
        <v>1</v>
      </c>
      <c r="O122" s="49">
        <v>0</v>
      </c>
      <c r="P122" s="49">
        <v>1</v>
      </c>
      <c r="Q122" s="58">
        <v>0</v>
      </c>
      <c r="R122" s="42">
        <v>2</v>
      </c>
      <c r="S122" s="83" t="s">
        <v>283</v>
      </c>
      <c r="T122" s="49">
        <v>16</v>
      </c>
      <c r="U122" s="83">
        <v>1</v>
      </c>
      <c r="V122" s="49">
        <v>3</v>
      </c>
      <c r="W122" s="49">
        <v>2</v>
      </c>
      <c r="X122" s="58"/>
      <c r="Y122" s="83">
        <v>4</v>
      </c>
      <c r="AF122" s="49">
        <v>24</v>
      </c>
      <c r="AG122" s="49">
        <v>614</v>
      </c>
      <c r="AJ122" s="49">
        <v>0</v>
      </c>
      <c r="AK122" s="83"/>
      <c r="AO122" s="58"/>
      <c r="AP122" s="174" t="s">
        <v>284</v>
      </c>
      <c r="AQ122" s="175" t="s">
        <v>284</v>
      </c>
      <c r="AR122" s="175" t="s">
        <v>284</v>
      </c>
      <c r="AS122" s="175" t="s">
        <v>284</v>
      </c>
      <c r="AT122" s="175" t="s">
        <v>284</v>
      </c>
      <c r="AU122" s="175" t="s">
        <v>284</v>
      </c>
      <c r="AV122" s="175" t="s">
        <v>284</v>
      </c>
      <c r="AW122" s="175" t="s">
        <v>284</v>
      </c>
      <c r="AX122" s="83">
        <v>0</v>
      </c>
      <c r="AY122" s="49">
        <v>0</v>
      </c>
      <c r="AZ122" s="49">
        <v>0</v>
      </c>
      <c r="BA122" s="49">
        <v>0</v>
      </c>
      <c r="BB122" s="58">
        <v>0</v>
      </c>
      <c r="BC122" s="42">
        <v>196</v>
      </c>
      <c r="BS122" s="58"/>
      <c r="BT122" s="83">
        <v>71.03</v>
      </c>
      <c r="BU122" s="49">
        <v>76.010000000000005</v>
      </c>
      <c r="BV122" s="49">
        <v>73.52</v>
      </c>
      <c r="CE122" s="83"/>
      <c r="CF122" s="49">
        <v>73.25</v>
      </c>
      <c r="CK122" s="58"/>
      <c r="CL122" s="83">
        <v>63.67</v>
      </c>
      <c r="CO122" s="58"/>
      <c r="CP122" s="83"/>
      <c r="CR122" s="58"/>
      <c r="CS122" s="83"/>
      <c r="CY122" s="83"/>
      <c r="DG122" s="58"/>
      <c r="DH122" s="83">
        <v>69.53</v>
      </c>
      <c r="DI122" s="49">
        <v>66.959999999999994</v>
      </c>
      <c r="DK122" s="49">
        <v>67.569999999999993</v>
      </c>
      <c r="DQ122" s="83">
        <v>73.2</v>
      </c>
      <c r="EE122" s="58"/>
      <c r="EF122" s="83"/>
      <c r="EI122" s="83"/>
      <c r="EK122" s="58"/>
      <c r="EL122" s="83"/>
      <c r="EO122" s="58"/>
      <c r="EP122" s="83"/>
      <c r="EQ122" s="58"/>
      <c r="ER122" s="83"/>
      <c r="ES122" s="58"/>
      <c r="ET122" s="83"/>
      <c r="EU122" s="58"/>
    </row>
    <row r="123" spans="1:151">
      <c r="A123" s="83" t="s">
        <v>319</v>
      </c>
      <c r="B123" s="173" t="s">
        <v>110</v>
      </c>
      <c r="C123" s="173" t="s">
        <v>500</v>
      </c>
      <c r="D123" s="83" t="s">
        <v>114</v>
      </c>
      <c r="F123" s="49" t="s">
        <v>286</v>
      </c>
      <c r="G123" s="60">
        <v>-5.6630000000000003</v>
      </c>
      <c r="I123" s="49">
        <v>2222</v>
      </c>
      <c r="J123" s="159">
        <v>1.6183539694100511</v>
      </c>
      <c r="K123" s="49">
        <v>1</v>
      </c>
      <c r="L123" s="49">
        <v>3</v>
      </c>
      <c r="M123" s="83">
        <v>0</v>
      </c>
      <c r="N123" s="49">
        <v>0</v>
      </c>
      <c r="O123" s="49">
        <v>1</v>
      </c>
      <c r="P123" s="49">
        <v>1</v>
      </c>
      <c r="Q123" s="58">
        <v>0</v>
      </c>
      <c r="R123" s="42">
        <v>2</v>
      </c>
      <c r="S123" s="83">
        <v>1</v>
      </c>
      <c r="U123" s="83">
        <v>3</v>
      </c>
      <c r="V123" s="49">
        <v>3</v>
      </c>
      <c r="W123" s="49">
        <v>3</v>
      </c>
      <c r="X123" s="58">
        <v>2</v>
      </c>
      <c r="Y123" s="83" t="s">
        <v>78</v>
      </c>
      <c r="Z123" s="49">
        <v>10</v>
      </c>
      <c r="AA123" s="49">
        <v>60</v>
      </c>
      <c r="AJ123" s="49">
        <v>0</v>
      </c>
      <c r="AK123" s="83">
        <v>0</v>
      </c>
      <c r="AL123" s="49">
        <v>1</v>
      </c>
      <c r="AM123" s="49">
        <v>0</v>
      </c>
      <c r="AN123" s="49">
        <v>0</v>
      </c>
      <c r="AO123" s="58">
        <v>0</v>
      </c>
      <c r="AP123" s="174">
        <v>0</v>
      </c>
      <c r="AQ123" s="175">
        <v>1116</v>
      </c>
      <c r="AR123" s="175">
        <v>0</v>
      </c>
      <c r="AS123" s="175">
        <v>0</v>
      </c>
      <c r="AT123" s="175">
        <v>0</v>
      </c>
      <c r="AU123" s="175">
        <v>0</v>
      </c>
      <c r="AV123" s="175">
        <v>0</v>
      </c>
      <c r="AW123" s="175">
        <v>0</v>
      </c>
      <c r="AX123" s="83">
        <v>0</v>
      </c>
      <c r="AY123" s="49">
        <v>0</v>
      </c>
      <c r="AZ123" s="49">
        <v>0</v>
      </c>
      <c r="BA123" s="49">
        <v>0</v>
      </c>
      <c r="BB123" s="58">
        <v>0</v>
      </c>
      <c r="BC123" s="42">
        <v>142</v>
      </c>
      <c r="BS123" s="58"/>
      <c r="BT123" s="83"/>
      <c r="CE123" s="83"/>
      <c r="CK123" s="58"/>
      <c r="CL123" s="83"/>
      <c r="CO123" s="58"/>
      <c r="CP123" s="83"/>
      <c r="CR123" s="58"/>
      <c r="CS123" s="83"/>
      <c r="CY123" s="83"/>
      <c r="DG123" s="58"/>
      <c r="DH123" s="83"/>
      <c r="DQ123" s="83"/>
      <c r="EE123" s="58"/>
      <c r="EF123" s="83"/>
      <c r="EI123" s="83"/>
      <c r="EK123" s="58"/>
      <c r="EL123" s="83"/>
      <c r="EO123" s="58"/>
      <c r="EP123" s="83"/>
      <c r="EQ123" s="58"/>
      <c r="ER123" s="83"/>
      <c r="ES123" s="58"/>
      <c r="ET123" s="83"/>
      <c r="EU123" s="58"/>
    </row>
    <row r="124" spans="1:151">
      <c r="A124" s="83" t="s">
        <v>319</v>
      </c>
      <c r="B124" s="173" t="s">
        <v>110</v>
      </c>
      <c r="C124" s="173" t="s">
        <v>500</v>
      </c>
      <c r="D124" s="83" t="s">
        <v>67</v>
      </c>
      <c r="F124" s="49" t="s">
        <v>286</v>
      </c>
      <c r="G124" s="60">
        <v>-5.6630000000000003</v>
      </c>
      <c r="I124" s="49">
        <v>1505</v>
      </c>
      <c r="J124" s="159">
        <v>1.4900990099009901</v>
      </c>
      <c r="K124" s="49">
        <v>1</v>
      </c>
      <c r="L124" s="49">
        <v>2</v>
      </c>
      <c r="M124" s="83">
        <v>0</v>
      </c>
      <c r="N124" s="49">
        <v>2</v>
      </c>
      <c r="O124" s="49">
        <v>1</v>
      </c>
      <c r="P124" s="49">
        <v>1</v>
      </c>
      <c r="Q124" s="58">
        <v>0</v>
      </c>
      <c r="R124" s="42">
        <v>4</v>
      </c>
      <c r="S124" s="83" t="s">
        <v>283</v>
      </c>
      <c r="T124" s="49">
        <v>14</v>
      </c>
      <c r="U124" s="83">
        <v>2</v>
      </c>
      <c r="V124" s="49">
        <v>2</v>
      </c>
      <c r="W124" s="49">
        <v>1</v>
      </c>
      <c r="X124" s="58">
        <v>3</v>
      </c>
      <c r="Y124" s="83">
        <v>3</v>
      </c>
      <c r="AF124" s="49">
        <v>15</v>
      </c>
      <c r="AG124" s="49">
        <v>290</v>
      </c>
      <c r="AJ124" s="49">
        <v>0</v>
      </c>
      <c r="AK124" s="83"/>
      <c r="AO124" s="58"/>
      <c r="AP124" s="174" t="s">
        <v>284</v>
      </c>
      <c r="AQ124" s="175" t="s">
        <v>284</v>
      </c>
      <c r="AR124" s="175" t="s">
        <v>284</v>
      </c>
      <c r="AS124" s="175" t="s">
        <v>284</v>
      </c>
      <c r="AT124" s="175" t="s">
        <v>284</v>
      </c>
      <c r="AU124" s="175" t="s">
        <v>284</v>
      </c>
      <c r="AV124" s="175" t="s">
        <v>284</v>
      </c>
      <c r="AW124" s="175" t="s">
        <v>284</v>
      </c>
      <c r="AX124" s="83">
        <v>0</v>
      </c>
      <c r="AY124" s="49">
        <v>0</v>
      </c>
      <c r="AZ124" s="49">
        <v>0</v>
      </c>
      <c r="BA124" s="49">
        <v>0</v>
      </c>
      <c r="BB124" s="58">
        <v>0</v>
      </c>
      <c r="BC124" s="42">
        <v>65</v>
      </c>
      <c r="BD124" s="49">
        <v>73.5</v>
      </c>
      <c r="BE124" s="159">
        <v>71.73</v>
      </c>
      <c r="BF124" s="49">
        <v>69.180000000000007</v>
      </c>
      <c r="BS124" s="58"/>
      <c r="BT124" s="83">
        <v>75.91</v>
      </c>
      <c r="BU124" s="49">
        <v>75.58</v>
      </c>
      <c r="CE124" s="83">
        <v>68.010000000000005</v>
      </c>
      <c r="CF124" s="49">
        <v>67.16</v>
      </c>
      <c r="CK124" s="58"/>
      <c r="CL124" s="83">
        <v>59.43</v>
      </c>
      <c r="CO124" s="58"/>
      <c r="CP124" s="83"/>
      <c r="CR124" s="58"/>
      <c r="CS124" s="83"/>
      <c r="CY124" s="83"/>
      <c r="DG124" s="58"/>
      <c r="DH124" s="83"/>
      <c r="DQ124" s="83">
        <v>75.2</v>
      </c>
      <c r="EE124" s="58"/>
      <c r="EF124" s="83"/>
      <c r="EI124" s="83"/>
      <c r="EK124" s="58"/>
      <c r="EL124" s="83"/>
      <c r="EO124" s="58"/>
      <c r="EP124" s="83"/>
      <c r="EQ124" s="58"/>
      <c r="ER124" s="83"/>
      <c r="ES124" s="58"/>
      <c r="ET124" s="83"/>
      <c r="EU124" s="58"/>
    </row>
    <row r="125" spans="1:151">
      <c r="A125" s="83" t="s">
        <v>319</v>
      </c>
      <c r="B125" s="173" t="s">
        <v>110</v>
      </c>
      <c r="C125" s="173" t="s">
        <v>500</v>
      </c>
      <c r="D125" s="83" t="s">
        <v>69</v>
      </c>
      <c r="F125" s="49" t="s">
        <v>286</v>
      </c>
      <c r="G125" s="60">
        <v>-5.6630000000000003</v>
      </c>
      <c r="I125" s="49">
        <v>2780</v>
      </c>
      <c r="J125" s="159">
        <v>1.275229357798165</v>
      </c>
      <c r="K125" s="49">
        <v>1</v>
      </c>
      <c r="L125" s="49">
        <v>3</v>
      </c>
      <c r="M125" s="83">
        <v>0</v>
      </c>
      <c r="N125" s="49">
        <v>3</v>
      </c>
      <c r="O125" s="49">
        <v>0</v>
      </c>
      <c r="P125" s="49">
        <v>2</v>
      </c>
      <c r="Q125" s="58">
        <v>0</v>
      </c>
      <c r="R125" s="42">
        <v>5</v>
      </c>
      <c r="S125" s="83" t="s">
        <v>283</v>
      </c>
      <c r="T125" s="49">
        <v>32</v>
      </c>
      <c r="U125" s="83">
        <v>1</v>
      </c>
      <c r="V125" s="49">
        <v>3</v>
      </c>
      <c r="W125" s="49">
        <v>1</v>
      </c>
      <c r="X125" s="58">
        <v>1</v>
      </c>
      <c r="Y125" s="83">
        <v>25</v>
      </c>
      <c r="AD125" s="49">
        <v>40</v>
      </c>
      <c r="AE125" s="49">
        <v>300</v>
      </c>
      <c r="AF125" s="49">
        <v>120</v>
      </c>
      <c r="AG125" s="49">
        <v>390</v>
      </c>
      <c r="AJ125" s="49">
        <v>0</v>
      </c>
      <c r="AK125" s="83"/>
      <c r="AO125" s="58"/>
      <c r="AP125" s="174" t="s">
        <v>284</v>
      </c>
      <c r="AQ125" s="175" t="s">
        <v>284</v>
      </c>
      <c r="AR125" s="175" t="s">
        <v>284</v>
      </c>
      <c r="AS125" s="175" t="s">
        <v>284</v>
      </c>
      <c r="AT125" s="175" t="s">
        <v>284</v>
      </c>
      <c r="AU125" s="175" t="s">
        <v>284</v>
      </c>
      <c r="AV125" s="175" t="s">
        <v>284</v>
      </c>
      <c r="AW125" s="175" t="s">
        <v>284</v>
      </c>
      <c r="AX125" s="83">
        <v>0</v>
      </c>
      <c r="AY125" s="49">
        <v>0</v>
      </c>
      <c r="AZ125" s="49">
        <v>0</v>
      </c>
      <c r="BA125" s="49">
        <v>0</v>
      </c>
      <c r="BB125" s="58">
        <v>0</v>
      </c>
      <c r="BC125" s="42">
        <v>106</v>
      </c>
      <c r="BD125" s="49">
        <v>76.099999999999994</v>
      </c>
      <c r="BE125" s="159">
        <v>78.959999999999994</v>
      </c>
      <c r="BS125" s="58"/>
      <c r="BT125" s="83"/>
      <c r="CE125" s="83"/>
      <c r="CK125" s="58"/>
      <c r="CL125" s="83">
        <v>64.84</v>
      </c>
      <c r="CO125" s="58"/>
      <c r="CP125" s="83"/>
      <c r="CR125" s="58"/>
      <c r="CS125" s="83"/>
      <c r="CY125" s="83"/>
      <c r="DG125" s="58"/>
      <c r="DH125" s="83"/>
      <c r="DQ125" s="83">
        <v>70.7</v>
      </c>
      <c r="DR125" s="49">
        <v>72.08</v>
      </c>
      <c r="EE125" s="58"/>
      <c r="EF125" s="83"/>
      <c r="EI125" s="83"/>
      <c r="EK125" s="58"/>
      <c r="EL125" s="83"/>
      <c r="EO125" s="58"/>
      <c r="EP125" s="83"/>
      <c r="EQ125" s="58"/>
      <c r="ER125" s="83"/>
      <c r="ES125" s="58"/>
      <c r="ET125" s="83"/>
      <c r="EU125" s="58"/>
    </row>
    <row r="126" spans="1:151" ht="17" thickBot="1">
      <c r="A126" s="83" t="s">
        <v>319</v>
      </c>
      <c r="B126" s="47" t="s">
        <v>110</v>
      </c>
      <c r="C126" s="47" t="s">
        <v>500</v>
      </c>
      <c r="D126" s="53" t="s">
        <v>75</v>
      </c>
      <c r="E126" s="57"/>
      <c r="F126" s="57" t="s">
        <v>286</v>
      </c>
      <c r="G126" s="74">
        <v>-5.6630000000000003</v>
      </c>
      <c r="H126" s="57"/>
      <c r="I126" s="57">
        <v>9680</v>
      </c>
      <c r="J126" s="75">
        <v>3.0828025477707008</v>
      </c>
      <c r="K126" s="57">
        <v>4</v>
      </c>
      <c r="L126" s="57">
        <v>3</v>
      </c>
      <c r="M126" s="84">
        <v>0</v>
      </c>
      <c r="N126" s="57">
        <v>1</v>
      </c>
      <c r="O126" s="57">
        <v>0</v>
      </c>
      <c r="P126" s="57">
        <v>1</v>
      </c>
      <c r="Q126" s="56">
        <v>0</v>
      </c>
      <c r="R126" s="55">
        <v>2</v>
      </c>
      <c r="S126" s="84" t="s">
        <v>283</v>
      </c>
      <c r="T126" s="57"/>
      <c r="U126" s="84">
        <v>1</v>
      </c>
      <c r="V126" s="57">
        <v>3</v>
      </c>
      <c r="W126" s="57">
        <v>1</v>
      </c>
      <c r="X126" s="56">
        <v>2</v>
      </c>
      <c r="Y126" s="84">
        <v>5</v>
      </c>
      <c r="Z126" s="57"/>
      <c r="AA126" s="57"/>
      <c r="AB126" s="57"/>
      <c r="AC126" s="57"/>
      <c r="AD126" s="57">
        <v>20</v>
      </c>
      <c r="AE126" s="57">
        <v>140</v>
      </c>
      <c r="AF126" s="57">
        <v>30</v>
      </c>
      <c r="AG126" s="57">
        <v>600</v>
      </c>
      <c r="AH126" s="57">
        <v>70</v>
      </c>
      <c r="AI126" s="57">
        <v>340</v>
      </c>
      <c r="AJ126" s="57">
        <v>0</v>
      </c>
      <c r="AK126" s="84"/>
      <c r="AL126" s="57"/>
      <c r="AM126" s="57"/>
      <c r="AN126" s="57"/>
      <c r="AO126" s="56"/>
      <c r="AP126" s="178" t="s">
        <v>284</v>
      </c>
      <c r="AQ126" s="179" t="s">
        <v>284</v>
      </c>
      <c r="AR126" s="179" t="s">
        <v>284</v>
      </c>
      <c r="AS126" s="179" t="s">
        <v>284</v>
      </c>
      <c r="AT126" s="179" t="s">
        <v>284</v>
      </c>
      <c r="AU126" s="179" t="s">
        <v>284</v>
      </c>
      <c r="AV126" s="179" t="s">
        <v>284</v>
      </c>
      <c r="AW126" s="179" t="s">
        <v>284</v>
      </c>
      <c r="AX126" s="84">
        <v>0</v>
      </c>
      <c r="AY126" s="57">
        <v>0</v>
      </c>
      <c r="AZ126" s="57">
        <v>0</v>
      </c>
      <c r="BA126" s="57">
        <v>0</v>
      </c>
      <c r="BB126" s="56">
        <v>0</v>
      </c>
      <c r="BC126" s="55">
        <v>126</v>
      </c>
      <c r="BD126" s="57">
        <v>64.069999999999993</v>
      </c>
      <c r="BE126" s="75"/>
      <c r="BF126" s="57"/>
      <c r="BG126" s="57"/>
      <c r="BH126" s="57"/>
      <c r="BI126" s="57"/>
      <c r="BJ126" s="57"/>
      <c r="BK126" s="57"/>
      <c r="BL126" s="57"/>
      <c r="BM126" s="57"/>
      <c r="BN126" s="57"/>
      <c r="BO126" s="57"/>
      <c r="BP126" s="57"/>
      <c r="BQ126" s="57"/>
      <c r="BR126" s="57"/>
      <c r="BS126" s="56"/>
      <c r="BT126" s="84">
        <v>70.069999999999993</v>
      </c>
      <c r="BU126" s="57"/>
      <c r="BV126" s="57"/>
      <c r="BW126" s="57"/>
      <c r="BX126" s="57"/>
      <c r="BY126" s="57"/>
      <c r="BZ126" s="57"/>
      <c r="CA126" s="57"/>
      <c r="CB126" s="57"/>
      <c r="CC126" s="57"/>
      <c r="CD126" s="57"/>
      <c r="CE126" s="84">
        <v>69.099999999999994</v>
      </c>
      <c r="CF126" s="57">
        <v>73.25</v>
      </c>
      <c r="CG126" s="57"/>
      <c r="CH126" s="57"/>
      <c r="CI126" s="57"/>
      <c r="CJ126" s="57"/>
      <c r="CK126" s="56"/>
      <c r="CL126" s="84">
        <v>64</v>
      </c>
      <c r="CM126" s="57"/>
      <c r="CN126" s="57"/>
      <c r="CO126" s="56"/>
      <c r="CP126" s="84"/>
      <c r="CQ126" s="57"/>
      <c r="CR126" s="56"/>
      <c r="CS126" s="84"/>
      <c r="CT126" s="57"/>
      <c r="CU126" s="57"/>
      <c r="CV126" s="57"/>
      <c r="CW126" s="57"/>
      <c r="CX126" s="57"/>
      <c r="CY126" s="84"/>
      <c r="CZ126" s="57"/>
      <c r="DA126" s="57"/>
      <c r="DB126" s="57"/>
      <c r="DC126" s="57"/>
      <c r="DD126" s="57"/>
      <c r="DE126" s="57"/>
      <c r="DF126" s="57"/>
      <c r="DG126" s="56"/>
      <c r="DH126" s="84"/>
      <c r="DI126" s="57"/>
      <c r="DJ126" s="57"/>
      <c r="DK126" s="57"/>
      <c r="DL126" s="57"/>
      <c r="DM126" s="57"/>
      <c r="DN126" s="57"/>
      <c r="DO126" s="57"/>
      <c r="DP126" s="57"/>
      <c r="DQ126" s="84"/>
      <c r="DR126" s="57"/>
      <c r="DS126" s="57"/>
      <c r="DT126" s="57"/>
      <c r="DU126" s="57"/>
      <c r="DV126" s="57"/>
      <c r="DW126" s="57"/>
      <c r="DX126" s="57"/>
      <c r="DY126" s="57"/>
      <c r="DZ126" s="57"/>
      <c r="EA126" s="57"/>
      <c r="EB126" s="57"/>
      <c r="EC126" s="57"/>
      <c r="ED126" s="57"/>
      <c r="EE126" s="56"/>
      <c r="EF126" s="84"/>
      <c r="EG126" s="57"/>
      <c r="EH126" s="57"/>
      <c r="EI126" s="84"/>
      <c r="EJ126" s="57"/>
      <c r="EK126" s="56"/>
      <c r="EL126" s="84"/>
      <c r="EM126" s="57"/>
      <c r="EN126" s="57"/>
      <c r="EO126" s="56"/>
      <c r="EP126" s="84"/>
      <c r="EQ126" s="56"/>
      <c r="ER126" s="84"/>
      <c r="ES126" s="56"/>
      <c r="ET126" s="84"/>
      <c r="EU126" s="56"/>
    </row>
    <row r="127" spans="1:151">
      <c r="A127" s="87" t="s">
        <v>319</v>
      </c>
      <c r="B127" s="7" t="s">
        <v>115</v>
      </c>
      <c r="C127" s="7" t="s">
        <v>500</v>
      </c>
      <c r="D127" s="147" t="s">
        <v>87</v>
      </c>
      <c r="E127" s="148"/>
      <c r="F127" s="148" t="s">
        <v>286</v>
      </c>
      <c r="G127" s="73">
        <v>-5.6630000000000003</v>
      </c>
      <c r="H127" s="148"/>
      <c r="I127" s="148">
        <v>2410</v>
      </c>
      <c r="J127" s="158">
        <v>1.2887700534759359</v>
      </c>
      <c r="K127" s="148">
        <v>4</v>
      </c>
      <c r="L127" s="148">
        <v>3</v>
      </c>
      <c r="M127" s="147">
        <v>0</v>
      </c>
      <c r="N127" s="148">
        <v>2</v>
      </c>
      <c r="O127" s="148">
        <v>0</v>
      </c>
      <c r="P127" s="148">
        <v>1</v>
      </c>
      <c r="Q127" s="149">
        <v>0</v>
      </c>
      <c r="R127" s="87">
        <v>3</v>
      </c>
      <c r="S127" s="147">
        <v>1</v>
      </c>
      <c r="T127" s="148"/>
      <c r="U127" s="147">
        <v>1</v>
      </c>
      <c r="V127" s="148">
        <v>4</v>
      </c>
      <c r="W127" s="148">
        <v>2</v>
      </c>
      <c r="X127" s="149"/>
      <c r="Y127" s="147">
        <v>40</v>
      </c>
      <c r="Z127" s="148"/>
      <c r="AA127" s="148">
        <v>10</v>
      </c>
      <c r="AB127" s="148"/>
      <c r="AC127" s="148"/>
      <c r="AD127" s="148"/>
      <c r="AE127" s="148"/>
      <c r="AF127" s="148">
        <v>10</v>
      </c>
      <c r="AG127" s="148">
        <v>600</v>
      </c>
      <c r="AH127" s="148">
        <v>30</v>
      </c>
      <c r="AI127" s="148">
        <v>390</v>
      </c>
      <c r="AJ127" s="148">
        <v>0</v>
      </c>
      <c r="AK127" s="147"/>
      <c r="AL127" s="148"/>
      <c r="AM127" s="148"/>
      <c r="AN127" s="148"/>
      <c r="AO127" s="149"/>
      <c r="AP127" s="169" t="s">
        <v>284</v>
      </c>
      <c r="AQ127" s="170" t="s">
        <v>284</v>
      </c>
      <c r="AR127" s="170" t="s">
        <v>284</v>
      </c>
      <c r="AS127" s="170" t="s">
        <v>284</v>
      </c>
      <c r="AT127" s="170" t="s">
        <v>284</v>
      </c>
      <c r="AU127" s="170" t="s">
        <v>284</v>
      </c>
      <c r="AV127" s="170" t="s">
        <v>284</v>
      </c>
      <c r="AW127" s="170" t="s">
        <v>284</v>
      </c>
      <c r="AX127" s="147">
        <v>0</v>
      </c>
      <c r="AY127" s="148">
        <v>0</v>
      </c>
      <c r="AZ127" s="148">
        <v>0</v>
      </c>
      <c r="BA127" s="148">
        <v>0</v>
      </c>
      <c r="BB127" s="149">
        <v>0</v>
      </c>
      <c r="BC127" s="87">
        <v>148</v>
      </c>
      <c r="BD127" s="148">
        <v>65.55</v>
      </c>
      <c r="BE127" s="158">
        <v>65.59</v>
      </c>
      <c r="BF127" s="148">
        <v>66.22</v>
      </c>
      <c r="BG127" s="148">
        <v>66.31</v>
      </c>
      <c r="BH127" s="148"/>
      <c r="BI127" s="148"/>
      <c r="BJ127" s="148"/>
      <c r="BK127" s="148"/>
      <c r="BL127" s="148"/>
      <c r="BM127" s="148"/>
      <c r="BN127" s="148"/>
      <c r="BO127" s="148"/>
      <c r="BP127" s="148"/>
      <c r="BQ127" s="148"/>
      <c r="BR127" s="148"/>
      <c r="BS127" s="149"/>
      <c r="BT127" s="147">
        <v>73.05</v>
      </c>
      <c r="BU127" s="148">
        <v>72.62</v>
      </c>
      <c r="BV127" s="148">
        <v>72.12</v>
      </c>
      <c r="BW127" s="148"/>
      <c r="BX127" s="148"/>
      <c r="BY127" s="148"/>
      <c r="BZ127" s="148"/>
      <c r="CA127" s="148"/>
      <c r="CB127" s="148"/>
      <c r="CC127" s="148"/>
      <c r="CD127" s="148"/>
      <c r="CE127" s="147"/>
      <c r="CF127" s="148"/>
      <c r="CG127" s="148"/>
      <c r="CH127" s="148"/>
      <c r="CI127" s="148"/>
      <c r="CJ127" s="148"/>
      <c r="CK127" s="149"/>
      <c r="CL127" s="147"/>
      <c r="CM127" s="148"/>
      <c r="CN127" s="148"/>
      <c r="CO127" s="149"/>
      <c r="CP127" s="147"/>
      <c r="CQ127" s="148"/>
      <c r="CR127" s="149"/>
      <c r="CS127" s="147"/>
      <c r="CT127" s="148"/>
      <c r="CU127" s="148"/>
      <c r="CV127" s="148"/>
      <c r="CW127" s="148"/>
      <c r="CX127" s="148"/>
      <c r="CY127" s="147"/>
      <c r="CZ127" s="148"/>
      <c r="DA127" s="148"/>
      <c r="DB127" s="148"/>
      <c r="DC127" s="148"/>
      <c r="DD127" s="148"/>
      <c r="DE127" s="148"/>
      <c r="DF127" s="148"/>
      <c r="DG127" s="149"/>
      <c r="DH127" s="147"/>
      <c r="DI127" s="148"/>
      <c r="DJ127" s="148"/>
      <c r="DK127" s="148"/>
      <c r="DL127" s="148"/>
      <c r="DM127" s="148"/>
      <c r="DN127" s="148"/>
      <c r="DO127" s="148"/>
      <c r="DP127" s="148"/>
      <c r="DQ127" s="147">
        <v>63.54</v>
      </c>
      <c r="DR127" s="148"/>
      <c r="DS127" s="148"/>
      <c r="DT127" s="148"/>
      <c r="DU127" s="148"/>
      <c r="DV127" s="148"/>
      <c r="DW127" s="148"/>
      <c r="DX127" s="148"/>
      <c r="DY127" s="148"/>
      <c r="DZ127" s="148"/>
      <c r="EA127" s="148"/>
      <c r="EB127" s="148"/>
      <c r="EC127" s="148"/>
      <c r="ED127" s="148"/>
      <c r="EE127" s="149"/>
      <c r="EF127" s="147"/>
      <c r="EG127" s="148"/>
      <c r="EH127" s="148"/>
      <c r="EI127" s="147"/>
      <c r="EJ127" s="148"/>
      <c r="EK127" s="149"/>
      <c r="EL127" s="147"/>
      <c r="EM127" s="148"/>
      <c r="EN127" s="148"/>
      <c r="EO127" s="149"/>
      <c r="EP127" s="147"/>
      <c r="EQ127" s="149"/>
      <c r="ER127" s="147"/>
      <c r="ES127" s="149"/>
      <c r="ET127" s="147"/>
      <c r="EU127" s="149"/>
    </row>
    <row r="128" spans="1:151">
      <c r="A128" s="42" t="s">
        <v>319</v>
      </c>
      <c r="B128" s="173" t="s">
        <v>115</v>
      </c>
      <c r="C128" s="173" t="s">
        <v>500</v>
      </c>
      <c r="D128" s="83" t="s">
        <v>88</v>
      </c>
      <c r="F128" s="49" t="s">
        <v>286</v>
      </c>
      <c r="G128" s="60">
        <v>-5.6630000000000003</v>
      </c>
      <c r="I128" s="49">
        <v>1182</v>
      </c>
      <c r="J128" s="159">
        <v>1.62585969738652</v>
      </c>
      <c r="K128" s="49">
        <v>4</v>
      </c>
      <c r="L128" s="49">
        <v>4</v>
      </c>
      <c r="M128" s="83">
        <v>0</v>
      </c>
      <c r="N128" s="49">
        <v>0</v>
      </c>
      <c r="O128" s="49">
        <v>1</v>
      </c>
      <c r="P128" s="49">
        <v>1</v>
      </c>
      <c r="Q128" s="58">
        <v>0</v>
      </c>
      <c r="R128" s="42">
        <v>2</v>
      </c>
      <c r="S128" s="83" t="s">
        <v>283</v>
      </c>
      <c r="T128" s="49">
        <v>19</v>
      </c>
      <c r="U128" s="83">
        <v>3</v>
      </c>
      <c r="V128" s="49">
        <v>4</v>
      </c>
      <c r="W128" s="49">
        <v>1</v>
      </c>
      <c r="X128" s="58">
        <v>3</v>
      </c>
      <c r="Y128" s="83">
        <v>0</v>
      </c>
      <c r="AJ128" s="49">
        <v>0</v>
      </c>
      <c r="AK128" s="83">
        <v>0</v>
      </c>
      <c r="AL128" s="49">
        <v>1</v>
      </c>
      <c r="AM128" s="49">
        <v>0</v>
      </c>
      <c r="AN128" s="49">
        <v>0</v>
      </c>
      <c r="AO128" s="58">
        <v>0</v>
      </c>
      <c r="AP128" s="174">
        <v>0</v>
      </c>
      <c r="AQ128" s="175">
        <v>309</v>
      </c>
      <c r="AR128" s="175" t="s">
        <v>284</v>
      </c>
      <c r="AS128" s="175" t="s">
        <v>284</v>
      </c>
      <c r="AT128" s="175" t="s">
        <v>284</v>
      </c>
      <c r="AU128" s="175" t="s">
        <v>284</v>
      </c>
      <c r="AV128" s="175" t="s">
        <v>284</v>
      </c>
      <c r="AW128" s="175" t="s">
        <v>284</v>
      </c>
      <c r="AX128" s="83">
        <v>0</v>
      </c>
      <c r="AY128" s="49">
        <v>0</v>
      </c>
      <c r="AZ128" s="49">
        <v>0</v>
      </c>
      <c r="BA128" s="49">
        <v>0</v>
      </c>
      <c r="BB128" s="58">
        <v>0</v>
      </c>
      <c r="BC128" s="42">
        <v>128</v>
      </c>
      <c r="BD128" s="49">
        <v>77.44</v>
      </c>
      <c r="BS128" s="58"/>
      <c r="BT128" s="83">
        <v>80.23</v>
      </c>
      <c r="BU128" s="49">
        <v>79.88</v>
      </c>
      <c r="CE128" s="83">
        <v>70.069999999999993</v>
      </c>
      <c r="CF128" s="49">
        <v>71.209999999999994</v>
      </c>
      <c r="CK128" s="58"/>
      <c r="CL128" s="83">
        <v>62.94</v>
      </c>
      <c r="CO128" s="58"/>
      <c r="CP128" s="83"/>
      <c r="CR128" s="58"/>
      <c r="CS128" s="83"/>
      <c r="CY128" s="83"/>
      <c r="DG128" s="58"/>
      <c r="DH128" s="83"/>
      <c r="DQ128" s="83"/>
      <c r="EE128" s="58"/>
      <c r="EF128" s="83"/>
      <c r="EI128" s="83"/>
      <c r="EK128" s="58"/>
      <c r="EL128" s="83"/>
      <c r="EO128" s="58"/>
      <c r="EP128" s="83"/>
      <c r="EQ128" s="58"/>
      <c r="ER128" s="83"/>
      <c r="ES128" s="58"/>
      <c r="ET128" s="83"/>
      <c r="EU128" s="58"/>
    </row>
    <row r="129" spans="1:151">
      <c r="A129" s="42" t="s">
        <v>319</v>
      </c>
      <c r="B129" s="173" t="s">
        <v>115</v>
      </c>
      <c r="C129" s="173" t="s">
        <v>500</v>
      </c>
      <c r="D129" s="83" t="s">
        <v>93</v>
      </c>
      <c r="F129" s="49" t="s">
        <v>286</v>
      </c>
      <c r="G129" s="60">
        <v>-5.6630000000000003</v>
      </c>
      <c r="I129" s="49">
        <v>3060</v>
      </c>
      <c r="J129" s="159">
        <v>1.0234113712374582</v>
      </c>
      <c r="K129" s="49">
        <v>1</v>
      </c>
      <c r="L129" s="49">
        <v>2</v>
      </c>
      <c r="M129" s="83">
        <v>0</v>
      </c>
      <c r="N129" s="49">
        <v>0</v>
      </c>
      <c r="O129" s="49">
        <v>0</v>
      </c>
      <c r="P129" s="49">
        <v>1</v>
      </c>
      <c r="Q129" s="58">
        <v>0</v>
      </c>
      <c r="R129" s="42">
        <v>1</v>
      </c>
      <c r="S129" s="83" t="s">
        <v>283</v>
      </c>
      <c r="T129" s="49">
        <v>12</v>
      </c>
      <c r="U129" s="83">
        <v>0</v>
      </c>
      <c r="V129" s="49">
        <v>0</v>
      </c>
      <c r="W129" s="49">
        <v>0</v>
      </c>
      <c r="X129" s="58"/>
      <c r="Y129" s="83">
        <v>3</v>
      </c>
      <c r="AD129" s="49">
        <v>40</v>
      </c>
      <c r="AE129" s="49">
        <v>370</v>
      </c>
      <c r="AF129" s="49">
        <v>50</v>
      </c>
      <c r="AG129" s="49">
        <v>490</v>
      </c>
      <c r="AH129" s="49">
        <v>80</v>
      </c>
      <c r="AI129" s="49">
        <v>160</v>
      </c>
      <c r="AJ129" s="49">
        <v>0</v>
      </c>
      <c r="AK129" s="83"/>
      <c r="AO129" s="58"/>
      <c r="AP129" s="174" t="s">
        <v>284</v>
      </c>
      <c r="AQ129" s="175" t="s">
        <v>284</v>
      </c>
      <c r="AR129" s="175" t="s">
        <v>284</v>
      </c>
      <c r="AS129" s="175" t="s">
        <v>284</v>
      </c>
      <c r="AT129" s="175" t="s">
        <v>284</v>
      </c>
      <c r="AU129" s="175" t="s">
        <v>284</v>
      </c>
      <c r="AV129" s="175" t="s">
        <v>284</v>
      </c>
      <c r="AW129" s="175" t="s">
        <v>284</v>
      </c>
      <c r="AX129" s="83">
        <v>0</v>
      </c>
      <c r="AY129" s="49">
        <v>0</v>
      </c>
      <c r="AZ129" s="49">
        <v>0</v>
      </c>
      <c r="BA129" s="49">
        <v>0</v>
      </c>
      <c r="BB129" s="58">
        <v>0</v>
      </c>
      <c r="BC129" s="42">
        <v>148</v>
      </c>
      <c r="BD129" s="49">
        <v>64.8</v>
      </c>
      <c r="BE129" s="159">
        <v>65.77</v>
      </c>
      <c r="BS129" s="58"/>
      <c r="BT129" s="83">
        <v>69.37</v>
      </c>
      <c r="CE129" s="83"/>
      <c r="CK129" s="58"/>
      <c r="CL129" s="83">
        <v>60.68</v>
      </c>
      <c r="CO129" s="58"/>
      <c r="CP129" s="83"/>
      <c r="CR129" s="58"/>
      <c r="CS129" s="83"/>
      <c r="CY129" s="83"/>
      <c r="DG129" s="58"/>
      <c r="DH129" s="83"/>
      <c r="DQ129" s="83"/>
      <c r="EE129" s="58"/>
      <c r="EF129" s="83"/>
      <c r="EI129" s="83"/>
      <c r="EK129" s="58"/>
      <c r="EL129" s="83"/>
      <c r="EO129" s="58"/>
      <c r="EP129" s="83"/>
      <c r="EQ129" s="58"/>
      <c r="ER129" s="83"/>
      <c r="ES129" s="58"/>
      <c r="ET129" s="83"/>
      <c r="EU129" s="58"/>
    </row>
    <row r="130" spans="1:151">
      <c r="A130" s="42" t="s">
        <v>319</v>
      </c>
      <c r="B130" s="173" t="s">
        <v>115</v>
      </c>
      <c r="C130" s="173" t="s">
        <v>500</v>
      </c>
      <c r="D130" s="83" t="s">
        <v>112</v>
      </c>
      <c r="F130" s="49" t="s">
        <v>286</v>
      </c>
      <c r="G130" s="60">
        <v>-5.6630000000000003</v>
      </c>
      <c r="I130" s="49">
        <v>3550</v>
      </c>
      <c r="J130" s="159">
        <v>1.1414790996784565</v>
      </c>
      <c r="K130" s="49">
        <v>1</v>
      </c>
      <c r="L130" s="49">
        <v>2</v>
      </c>
      <c r="M130" s="83">
        <v>0</v>
      </c>
      <c r="N130" s="49">
        <v>1</v>
      </c>
      <c r="O130" s="49">
        <v>0</v>
      </c>
      <c r="P130" s="49">
        <v>1</v>
      </c>
      <c r="Q130" s="58">
        <v>0</v>
      </c>
      <c r="R130" s="42">
        <v>2</v>
      </c>
      <c r="S130" s="83" t="s">
        <v>283</v>
      </c>
      <c r="T130" s="49">
        <v>16</v>
      </c>
      <c r="U130" s="83">
        <v>1</v>
      </c>
      <c r="V130" s="49">
        <v>2</v>
      </c>
      <c r="W130" s="49">
        <v>2</v>
      </c>
      <c r="X130" s="58"/>
      <c r="Y130" s="83">
        <v>10</v>
      </c>
      <c r="Z130" s="49">
        <v>20</v>
      </c>
      <c r="AA130" s="49">
        <v>90</v>
      </c>
      <c r="AD130" s="49">
        <v>20</v>
      </c>
      <c r="AE130" s="49">
        <v>80</v>
      </c>
      <c r="AF130" s="49">
        <v>30</v>
      </c>
      <c r="AG130" s="49">
        <v>600</v>
      </c>
      <c r="AH130" s="49">
        <v>60</v>
      </c>
      <c r="AI130" s="49">
        <v>1110</v>
      </c>
      <c r="AJ130" s="49">
        <v>0</v>
      </c>
      <c r="AK130" s="83">
        <v>0</v>
      </c>
      <c r="AL130" s="49">
        <v>1</v>
      </c>
      <c r="AM130" s="49">
        <v>0</v>
      </c>
      <c r="AN130" s="49">
        <v>0</v>
      </c>
      <c r="AO130" s="58">
        <v>0</v>
      </c>
      <c r="AP130" s="174" t="s">
        <v>501</v>
      </c>
      <c r="AQ130" s="175" t="s">
        <v>501</v>
      </c>
      <c r="AR130" s="175" t="s">
        <v>284</v>
      </c>
      <c r="AS130" s="175" t="s">
        <v>284</v>
      </c>
      <c r="AT130" s="175" t="s">
        <v>284</v>
      </c>
      <c r="AU130" s="175" t="s">
        <v>284</v>
      </c>
      <c r="AV130" s="175" t="s">
        <v>284</v>
      </c>
      <c r="AW130" s="175" t="s">
        <v>284</v>
      </c>
      <c r="AX130" s="83">
        <v>0</v>
      </c>
      <c r="AY130" s="49">
        <v>0</v>
      </c>
      <c r="AZ130" s="49">
        <v>0</v>
      </c>
      <c r="BA130" s="49">
        <v>0</v>
      </c>
      <c r="BB130" s="58">
        <v>0</v>
      </c>
      <c r="BC130" s="42">
        <v>148</v>
      </c>
      <c r="BD130" s="49">
        <v>79.06</v>
      </c>
      <c r="BS130" s="58"/>
      <c r="BT130" s="83">
        <v>79.69</v>
      </c>
      <c r="BU130" s="49">
        <v>81.36</v>
      </c>
      <c r="CE130" s="83"/>
      <c r="CK130" s="58"/>
      <c r="CL130" s="83">
        <v>62.82</v>
      </c>
      <c r="CO130" s="58"/>
      <c r="CP130" s="83"/>
      <c r="CR130" s="58"/>
      <c r="CS130" s="83"/>
      <c r="CY130" s="83"/>
      <c r="DG130" s="58"/>
      <c r="DH130" s="83"/>
      <c r="DQ130" s="83"/>
      <c r="EE130" s="58"/>
      <c r="EF130" s="83"/>
      <c r="EI130" s="83"/>
      <c r="EK130" s="58"/>
      <c r="EL130" s="83"/>
      <c r="EO130" s="58"/>
      <c r="EP130" s="83"/>
      <c r="EQ130" s="58"/>
      <c r="ER130" s="83"/>
      <c r="ES130" s="58"/>
      <c r="ET130" s="83"/>
      <c r="EU130" s="58"/>
    </row>
    <row r="131" spans="1:151">
      <c r="A131" s="42" t="s">
        <v>319</v>
      </c>
      <c r="B131" s="173" t="s">
        <v>115</v>
      </c>
      <c r="C131" s="173" t="s">
        <v>500</v>
      </c>
      <c r="D131" s="83" t="s">
        <v>95</v>
      </c>
      <c r="F131" s="49" t="s">
        <v>286</v>
      </c>
      <c r="G131" s="60">
        <v>-5.6630000000000003</v>
      </c>
      <c r="I131" s="49">
        <v>2400</v>
      </c>
      <c r="J131" s="159">
        <v>1.6438356164383561</v>
      </c>
      <c r="K131" s="49">
        <v>4</v>
      </c>
      <c r="L131" s="49">
        <v>3</v>
      </c>
      <c r="M131" s="83">
        <v>0</v>
      </c>
      <c r="N131" s="49">
        <v>0</v>
      </c>
      <c r="O131" s="49">
        <v>0</v>
      </c>
      <c r="P131" s="49">
        <v>1</v>
      </c>
      <c r="Q131" s="58">
        <v>0</v>
      </c>
      <c r="R131" s="42">
        <v>1</v>
      </c>
      <c r="S131" s="83" t="s">
        <v>283</v>
      </c>
      <c r="T131" s="49">
        <v>16</v>
      </c>
      <c r="U131" s="83">
        <v>1</v>
      </c>
      <c r="V131" s="49">
        <v>3</v>
      </c>
      <c r="W131" s="49">
        <v>2</v>
      </c>
      <c r="X131" s="58"/>
      <c r="Y131" s="83">
        <v>10</v>
      </c>
      <c r="Z131" s="49">
        <v>10</v>
      </c>
      <c r="AA131" s="49">
        <v>30</v>
      </c>
      <c r="AD131" s="49">
        <v>10</v>
      </c>
      <c r="AE131" s="49">
        <v>80</v>
      </c>
      <c r="AF131" s="49">
        <v>30</v>
      </c>
      <c r="AG131" s="49">
        <v>790</v>
      </c>
      <c r="AJ131" s="49">
        <v>0</v>
      </c>
      <c r="AK131" s="83"/>
      <c r="AO131" s="58"/>
      <c r="AP131" s="174" t="s">
        <v>284</v>
      </c>
      <c r="AQ131" s="175" t="s">
        <v>284</v>
      </c>
      <c r="AR131" s="175" t="s">
        <v>284</v>
      </c>
      <c r="AS131" s="175" t="s">
        <v>284</v>
      </c>
      <c r="AT131" s="175" t="s">
        <v>284</v>
      </c>
      <c r="AU131" s="175" t="s">
        <v>284</v>
      </c>
      <c r="AV131" s="175" t="s">
        <v>284</v>
      </c>
      <c r="AW131" s="175" t="s">
        <v>284</v>
      </c>
      <c r="AX131" s="83">
        <v>0</v>
      </c>
      <c r="AY131" s="49">
        <v>0</v>
      </c>
      <c r="AZ131" s="49">
        <v>0</v>
      </c>
      <c r="BA131" s="49">
        <v>0</v>
      </c>
      <c r="BB131" s="58">
        <v>0</v>
      </c>
      <c r="BC131" s="42">
        <v>142</v>
      </c>
      <c r="BS131" s="58"/>
      <c r="BT131" s="83"/>
      <c r="CE131" s="83"/>
      <c r="CK131" s="58"/>
      <c r="CL131" s="83"/>
      <c r="CO131" s="58"/>
      <c r="CP131" s="83"/>
      <c r="CR131" s="58"/>
      <c r="CS131" s="83"/>
      <c r="CY131" s="83"/>
      <c r="DG131" s="58"/>
      <c r="DH131" s="83"/>
      <c r="DQ131" s="83"/>
      <c r="EE131" s="58"/>
      <c r="EF131" s="83"/>
      <c r="EI131" s="83"/>
      <c r="EK131" s="58"/>
      <c r="EL131" s="83"/>
      <c r="EO131" s="58"/>
      <c r="EP131" s="83"/>
      <c r="EQ131" s="58"/>
      <c r="ER131" s="83"/>
      <c r="ES131" s="58"/>
      <c r="ET131" s="83"/>
      <c r="EU131" s="58"/>
    </row>
    <row r="132" spans="1:151">
      <c r="A132" s="42" t="s">
        <v>319</v>
      </c>
      <c r="B132" s="173" t="s">
        <v>115</v>
      </c>
      <c r="C132" s="173" t="s">
        <v>500</v>
      </c>
      <c r="D132" s="83" t="s">
        <v>64</v>
      </c>
      <c r="F132" s="49" t="s">
        <v>286</v>
      </c>
      <c r="G132" s="60">
        <v>-5.6630000000000003</v>
      </c>
      <c r="I132" s="49">
        <v>1644</v>
      </c>
      <c r="J132" s="159">
        <v>1.798687089715536</v>
      </c>
      <c r="K132" s="49">
        <v>1</v>
      </c>
      <c r="L132" s="49">
        <v>2</v>
      </c>
      <c r="M132" s="83">
        <v>1</v>
      </c>
      <c r="N132" s="49">
        <v>0</v>
      </c>
      <c r="O132" s="49">
        <v>1</v>
      </c>
      <c r="P132" s="49">
        <v>1</v>
      </c>
      <c r="Q132" s="58">
        <v>0</v>
      </c>
      <c r="R132" s="42">
        <v>3</v>
      </c>
      <c r="S132" s="83">
        <v>1</v>
      </c>
      <c r="U132" s="83">
        <v>3</v>
      </c>
      <c r="V132" s="49">
        <v>3</v>
      </c>
      <c r="W132" s="49">
        <v>3</v>
      </c>
      <c r="X132" s="58">
        <v>3</v>
      </c>
      <c r="Y132" s="83">
        <v>1</v>
      </c>
      <c r="Z132" s="49">
        <v>20</v>
      </c>
      <c r="AA132" s="49">
        <v>90</v>
      </c>
      <c r="AF132" s="49">
        <v>50</v>
      </c>
      <c r="AG132" s="49">
        <v>110</v>
      </c>
      <c r="AJ132" s="49">
        <v>0</v>
      </c>
      <c r="AK132" s="83">
        <v>0</v>
      </c>
      <c r="AL132" s="49">
        <v>1</v>
      </c>
      <c r="AM132" s="49">
        <v>0</v>
      </c>
      <c r="AN132" s="49">
        <v>0</v>
      </c>
      <c r="AO132" s="58">
        <v>0</v>
      </c>
      <c r="AP132" s="174">
        <v>0</v>
      </c>
      <c r="AQ132" s="175">
        <v>515</v>
      </c>
      <c r="AR132" s="175">
        <v>0</v>
      </c>
      <c r="AS132" s="175">
        <v>0</v>
      </c>
      <c r="AT132" s="175">
        <v>0</v>
      </c>
      <c r="AU132" s="175">
        <v>0</v>
      </c>
      <c r="AV132" s="175">
        <v>0</v>
      </c>
      <c r="AW132" s="175">
        <v>0</v>
      </c>
      <c r="AX132" s="83">
        <v>0</v>
      </c>
      <c r="AY132" s="49">
        <v>0</v>
      </c>
      <c r="AZ132" s="49">
        <v>0</v>
      </c>
      <c r="BA132" s="49">
        <v>0</v>
      </c>
      <c r="BB132" s="58">
        <v>0</v>
      </c>
      <c r="BC132" s="42">
        <v>150</v>
      </c>
      <c r="BS132" s="58"/>
      <c r="BT132" s="83">
        <v>79.08</v>
      </c>
      <c r="CE132" s="83">
        <v>75.92</v>
      </c>
      <c r="CF132" s="49">
        <v>76.97</v>
      </c>
      <c r="CG132" s="49">
        <v>75.400000000000006</v>
      </c>
      <c r="CK132" s="58"/>
      <c r="CL132" s="83">
        <v>63.52</v>
      </c>
      <c r="CO132" s="58"/>
      <c r="CP132" s="83"/>
      <c r="CR132" s="58"/>
      <c r="CS132" s="83"/>
      <c r="CY132" s="83"/>
      <c r="DG132" s="58"/>
      <c r="DH132" s="83"/>
      <c r="DQ132" s="83"/>
      <c r="EE132" s="58"/>
      <c r="EF132" s="83"/>
      <c r="EI132" s="83"/>
      <c r="EK132" s="58"/>
      <c r="EL132" s="83"/>
      <c r="EO132" s="58"/>
      <c r="EP132" s="83"/>
      <c r="EQ132" s="58"/>
      <c r="ER132" s="83"/>
      <c r="ES132" s="58"/>
      <c r="ET132" s="83"/>
      <c r="EU132" s="58"/>
    </row>
    <row r="133" spans="1:151">
      <c r="A133" s="42" t="s">
        <v>319</v>
      </c>
      <c r="B133" s="173" t="s">
        <v>115</v>
      </c>
      <c r="C133" s="173" t="s">
        <v>500</v>
      </c>
      <c r="D133" s="83" t="s">
        <v>66</v>
      </c>
      <c r="F133" s="49" t="s">
        <v>286</v>
      </c>
      <c r="G133" s="60">
        <v>-5.6630000000000003</v>
      </c>
      <c r="I133" s="49">
        <v>1340</v>
      </c>
      <c r="J133" s="159">
        <v>2.126984126984127</v>
      </c>
      <c r="K133" s="49">
        <v>4</v>
      </c>
      <c r="L133" s="49">
        <v>3</v>
      </c>
      <c r="M133" s="83">
        <v>0</v>
      </c>
      <c r="N133" s="49">
        <v>2</v>
      </c>
      <c r="O133" s="49">
        <v>0</v>
      </c>
      <c r="P133" s="49">
        <v>1</v>
      </c>
      <c r="Q133" s="58">
        <v>0</v>
      </c>
      <c r="R133" s="42">
        <v>3</v>
      </c>
      <c r="S133" s="83" t="s">
        <v>283</v>
      </c>
      <c r="T133" s="49">
        <v>14</v>
      </c>
      <c r="U133" s="83">
        <v>1</v>
      </c>
      <c r="V133" s="49">
        <v>3</v>
      </c>
      <c r="W133" s="49">
        <v>1</v>
      </c>
      <c r="X133" s="58">
        <v>2</v>
      </c>
      <c r="Y133" s="83">
        <v>5</v>
      </c>
      <c r="Z133" s="49">
        <v>9</v>
      </c>
      <c r="AA133" s="49">
        <v>19</v>
      </c>
      <c r="AD133" s="49">
        <v>29</v>
      </c>
      <c r="AE133" s="49">
        <v>30</v>
      </c>
      <c r="AF133" s="49">
        <v>19</v>
      </c>
      <c r="AG133" s="49">
        <v>166</v>
      </c>
      <c r="AJ133" s="49">
        <v>0</v>
      </c>
      <c r="AK133" s="83"/>
      <c r="AO133" s="58"/>
      <c r="AP133" s="174" t="s">
        <v>284</v>
      </c>
      <c r="AQ133" s="175" t="s">
        <v>284</v>
      </c>
      <c r="AR133" s="175" t="s">
        <v>284</v>
      </c>
      <c r="AS133" s="175" t="s">
        <v>284</v>
      </c>
      <c r="AT133" s="175" t="s">
        <v>284</v>
      </c>
      <c r="AU133" s="175" t="s">
        <v>284</v>
      </c>
      <c r="AV133" s="175" t="s">
        <v>284</v>
      </c>
      <c r="AW133" s="175" t="s">
        <v>284</v>
      </c>
      <c r="AX133" s="83">
        <v>0</v>
      </c>
      <c r="AY133" s="49">
        <v>0</v>
      </c>
      <c r="AZ133" s="49">
        <v>0</v>
      </c>
      <c r="BA133" s="49">
        <v>0</v>
      </c>
      <c r="BB133" s="58">
        <v>0</v>
      </c>
      <c r="BC133" s="42">
        <v>123</v>
      </c>
      <c r="BS133" s="58"/>
      <c r="BT133" s="83"/>
      <c r="CE133" s="83"/>
      <c r="CK133" s="58"/>
      <c r="CL133" s="83"/>
      <c r="CO133" s="58"/>
      <c r="CP133" s="83"/>
      <c r="CR133" s="58"/>
      <c r="CS133" s="83"/>
      <c r="CY133" s="83"/>
      <c r="DG133" s="58"/>
      <c r="DH133" s="83"/>
      <c r="DQ133" s="83"/>
      <c r="EE133" s="58"/>
      <c r="EF133" s="83"/>
      <c r="EI133" s="83"/>
      <c r="EK133" s="58"/>
      <c r="EL133" s="83"/>
      <c r="EO133" s="58"/>
      <c r="EP133" s="83"/>
      <c r="EQ133" s="58"/>
      <c r="ER133" s="83"/>
      <c r="ES133" s="58"/>
      <c r="ET133" s="83"/>
      <c r="EU133" s="58"/>
    </row>
    <row r="134" spans="1:151">
      <c r="A134" s="42" t="s">
        <v>319</v>
      </c>
      <c r="B134" s="173" t="s">
        <v>115</v>
      </c>
      <c r="C134" s="173" t="s">
        <v>500</v>
      </c>
      <c r="D134" s="83" t="s">
        <v>67</v>
      </c>
      <c r="F134" s="49" t="s">
        <v>286</v>
      </c>
      <c r="G134" s="60">
        <v>-5.6630000000000003</v>
      </c>
      <c r="I134" s="49">
        <v>3352</v>
      </c>
      <c r="J134" s="159">
        <v>3.3519999999999999</v>
      </c>
      <c r="K134" s="49">
        <v>4</v>
      </c>
      <c r="L134" s="49">
        <v>4</v>
      </c>
      <c r="M134" s="83">
        <v>0</v>
      </c>
      <c r="N134" s="49">
        <v>1</v>
      </c>
      <c r="O134" s="49">
        <v>0</v>
      </c>
      <c r="P134" s="49">
        <v>1</v>
      </c>
      <c r="Q134" s="58">
        <v>0</v>
      </c>
      <c r="R134" s="42">
        <v>2</v>
      </c>
      <c r="S134" s="83">
        <v>1</v>
      </c>
      <c r="U134" s="83">
        <v>1</v>
      </c>
      <c r="V134" s="49">
        <v>4</v>
      </c>
      <c r="W134" s="49">
        <v>1</v>
      </c>
      <c r="X134" s="58">
        <v>2</v>
      </c>
      <c r="Y134" s="83">
        <v>3</v>
      </c>
      <c r="AD134" s="49">
        <v>50</v>
      </c>
      <c r="AE134" s="49">
        <v>1080</v>
      </c>
      <c r="AJ134" s="49">
        <v>0</v>
      </c>
      <c r="AK134" s="83">
        <v>0</v>
      </c>
      <c r="AL134" s="49">
        <v>1</v>
      </c>
      <c r="AM134" s="49">
        <v>0</v>
      </c>
      <c r="AN134" s="49">
        <v>0</v>
      </c>
      <c r="AO134" s="58">
        <v>0</v>
      </c>
      <c r="AP134" s="174">
        <v>0</v>
      </c>
      <c r="AQ134" s="175">
        <v>1194</v>
      </c>
      <c r="AR134" s="175">
        <v>0</v>
      </c>
      <c r="AS134" s="175">
        <v>0</v>
      </c>
      <c r="AT134" s="175">
        <v>0</v>
      </c>
      <c r="AU134" s="175">
        <v>0</v>
      </c>
      <c r="AV134" s="175">
        <v>0</v>
      </c>
      <c r="AW134" s="175">
        <v>0</v>
      </c>
      <c r="AX134" s="83">
        <v>0</v>
      </c>
      <c r="AY134" s="49">
        <v>0</v>
      </c>
      <c r="AZ134" s="49">
        <v>0</v>
      </c>
      <c r="BA134" s="49">
        <v>0</v>
      </c>
      <c r="BB134" s="58">
        <v>0</v>
      </c>
      <c r="BC134" s="42">
        <v>140</v>
      </c>
      <c r="BS134" s="58"/>
      <c r="BT134" s="83"/>
      <c r="CE134" s="83"/>
      <c r="CK134" s="58"/>
      <c r="CL134" s="83"/>
      <c r="CO134" s="58"/>
      <c r="CP134" s="83"/>
      <c r="CR134" s="58"/>
      <c r="CS134" s="83"/>
      <c r="CY134" s="83"/>
      <c r="DG134" s="58"/>
      <c r="DH134" s="83"/>
      <c r="DQ134" s="83"/>
      <c r="EE134" s="58"/>
      <c r="EF134" s="83"/>
      <c r="EI134" s="83"/>
      <c r="EK134" s="58"/>
      <c r="EL134" s="83"/>
      <c r="EO134" s="58"/>
      <c r="EP134" s="83"/>
      <c r="EQ134" s="58"/>
      <c r="ER134" s="83"/>
      <c r="ES134" s="58"/>
      <c r="ET134" s="83"/>
      <c r="EU134" s="58"/>
    </row>
    <row r="135" spans="1:151">
      <c r="A135" s="42" t="s">
        <v>319</v>
      </c>
      <c r="B135" s="173" t="s">
        <v>115</v>
      </c>
      <c r="C135" s="173" t="s">
        <v>500</v>
      </c>
      <c r="D135" s="83" t="s">
        <v>68</v>
      </c>
      <c r="F135" s="49" t="s">
        <v>287</v>
      </c>
      <c r="G135" s="60">
        <v>-5.6630000000000003</v>
      </c>
      <c r="I135" s="49">
        <v>955</v>
      </c>
      <c r="J135" s="159">
        <v>1.3941605839416058</v>
      </c>
      <c r="K135" s="49">
        <v>1</v>
      </c>
      <c r="L135" s="49">
        <v>2</v>
      </c>
      <c r="M135" s="83">
        <v>0</v>
      </c>
      <c r="N135" s="49">
        <v>0</v>
      </c>
      <c r="O135" s="49">
        <v>1</v>
      </c>
      <c r="P135" s="49">
        <v>1</v>
      </c>
      <c r="Q135" s="58">
        <v>0</v>
      </c>
      <c r="R135" s="42">
        <v>2</v>
      </c>
      <c r="S135" s="83" t="s">
        <v>283</v>
      </c>
      <c r="T135" s="49">
        <v>24</v>
      </c>
      <c r="U135" s="83">
        <v>2</v>
      </c>
      <c r="V135" s="49">
        <v>3</v>
      </c>
      <c r="W135" s="49">
        <v>1</v>
      </c>
      <c r="X135" s="58">
        <v>2</v>
      </c>
      <c r="Y135" s="83" t="s">
        <v>78</v>
      </c>
      <c r="AI135" s="49">
        <v>70</v>
      </c>
      <c r="AJ135" s="49">
        <v>0</v>
      </c>
      <c r="AK135" s="83"/>
      <c r="AO135" s="58"/>
      <c r="AP135" s="174" t="s">
        <v>284</v>
      </c>
      <c r="AQ135" s="175" t="s">
        <v>284</v>
      </c>
      <c r="AR135" s="175" t="s">
        <v>284</v>
      </c>
      <c r="AS135" s="175" t="s">
        <v>284</v>
      </c>
      <c r="AT135" s="175" t="s">
        <v>284</v>
      </c>
      <c r="AU135" s="175" t="s">
        <v>284</v>
      </c>
      <c r="AV135" s="175" t="s">
        <v>284</v>
      </c>
      <c r="AW135" s="175" t="s">
        <v>284</v>
      </c>
      <c r="AX135" s="83">
        <v>0</v>
      </c>
      <c r="AY135" s="49">
        <v>0</v>
      </c>
      <c r="AZ135" s="49">
        <v>0</v>
      </c>
      <c r="BA135" s="49">
        <v>0</v>
      </c>
      <c r="BB135" s="58">
        <v>0</v>
      </c>
      <c r="BC135" s="42">
        <v>132</v>
      </c>
      <c r="BS135" s="58"/>
      <c r="BT135" s="83">
        <v>78.069999999999993</v>
      </c>
      <c r="BU135" s="49">
        <v>78.11</v>
      </c>
      <c r="BV135" s="49">
        <v>79.209999999999994</v>
      </c>
      <c r="BW135" s="49">
        <v>77.069999999999993</v>
      </c>
      <c r="CE135" s="83"/>
      <c r="CK135" s="58"/>
      <c r="CL135" s="83">
        <v>63.59</v>
      </c>
      <c r="CM135" s="49">
        <v>66.239999999999995</v>
      </c>
      <c r="CO135" s="58"/>
      <c r="CP135" s="83"/>
      <c r="CR135" s="58"/>
      <c r="CS135" s="83"/>
      <c r="CY135" s="83"/>
      <c r="DG135" s="58"/>
      <c r="DH135" s="83"/>
      <c r="DQ135" s="83"/>
      <c r="EE135" s="58"/>
      <c r="EF135" s="83"/>
      <c r="EI135" s="83"/>
      <c r="EK135" s="58"/>
      <c r="EL135" s="83"/>
      <c r="EO135" s="58"/>
      <c r="EP135" s="83"/>
      <c r="EQ135" s="58"/>
      <c r="ER135" s="83"/>
      <c r="ES135" s="58"/>
      <c r="ET135" s="83"/>
      <c r="EU135" s="58"/>
    </row>
    <row r="136" spans="1:151">
      <c r="A136" s="42" t="s">
        <v>319</v>
      </c>
      <c r="B136" s="173" t="s">
        <v>115</v>
      </c>
      <c r="C136" s="173" t="s">
        <v>500</v>
      </c>
      <c r="D136" s="83" t="s">
        <v>69</v>
      </c>
      <c r="E136" s="49" t="s">
        <v>0</v>
      </c>
      <c r="F136" s="49" t="s">
        <v>286</v>
      </c>
      <c r="G136" s="60">
        <v>-5.6630000000000003</v>
      </c>
      <c r="I136" s="49">
        <v>1063</v>
      </c>
      <c r="J136" s="159">
        <v>1.0577114427860697</v>
      </c>
      <c r="K136" s="49">
        <v>4</v>
      </c>
      <c r="L136" s="49">
        <v>3</v>
      </c>
      <c r="M136" s="83">
        <v>0</v>
      </c>
      <c r="N136" s="49">
        <v>3</v>
      </c>
      <c r="O136" s="49">
        <v>0</v>
      </c>
      <c r="P136" s="49">
        <v>0</v>
      </c>
      <c r="Q136" s="58">
        <v>0</v>
      </c>
      <c r="R136" s="42">
        <v>3</v>
      </c>
      <c r="S136" s="83" t="s">
        <v>283</v>
      </c>
      <c r="T136" s="49">
        <v>13</v>
      </c>
      <c r="U136" s="83">
        <v>1</v>
      </c>
      <c r="V136" s="49">
        <v>3</v>
      </c>
      <c r="W136" s="49">
        <v>2</v>
      </c>
      <c r="X136" s="58"/>
      <c r="Y136" s="83">
        <v>10</v>
      </c>
      <c r="AA136" s="49">
        <v>21</v>
      </c>
      <c r="AD136" s="49">
        <v>14</v>
      </c>
      <c r="AE136" s="49">
        <v>213</v>
      </c>
      <c r="AF136" s="49">
        <v>27</v>
      </c>
      <c r="AG136" s="49">
        <v>166</v>
      </c>
      <c r="AI136" s="49">
        <v>213</v>
      </c>
      <c r="AJ136" s="49">
        <v>0</v>
      </c>
      <c r="AK136" s="83"/>
      <c r="AO136" s="58"/>
      <c r="AP136" s="174" t="s">
        <v>284</v>
      </c>
      <c r="AQ136" s="175" t="s">
        <v>284</v>
      </c>
      <c r="AR136" s="175" t="s">
        <v>284</v>
      </c>
      <c r="AS136" s="175" t="s">
        <v>284</v>
      </c>
      <c r="AT136" s="175" t="s">
        <v>284</v>
      </c>
      <c r="AU136" s="175" t="s">
        <v>284</v>
      </c>
      <c r="AV136" s="175" t="s">
        <v>284</v>
      </c>
      <c r="AW136" s="175" t="s">
        <v>284</v>
      </c>
      <c r="AX136" s="83">
        <v>0</v>
      </c>
      <c r="AY136" s="49">
        <v>0</v>
      </c>
      <c r="AZ136" s="49">
        <v>0</v>
      </c>
      <c r="BA136" s="49">
        <v>0</v>
      </c>
      <c r="BB136" s="58">
        <v>0</v>
      </c>
      <c r="BC136" s="42">
        <v>129</v>
      </c>
      <c r="BS136" s="58"/>
      <c r="BT136" s="83"/>
      <c r="CE136" s="83"/>
      <c r="CK136" s="58"/>
      <c r="CL136" s="83"/>
      <c r="CO136" s="58"/>
      <c r="CP136" s="83"/>
      <c r="CR136" s="58"/>
      <c r="CS136" s="83"/>
      <c r="CY136" s="83"/>
      <c r="DG136" s="58"/>
      <c r="DH136" s="83"/>
      <c r="DQ136" s="83"/>
      <c r="EE136" s="58"/>
      <c r="EF136" s="83"/>
      <c r="EI136" s="83"/>
      <c r="EK136" s="58"/>
      <c r="EL136" s="83"/>
      <c r="EO136" s="58"/>
      <c r="EP136" s="83"/>
      <c r="EQ136" s="58"/>
      <c r="ER136" s="83"/>
      <c r="ES136" s="58"/>
      <c r="ET136" s="83"/>
      <c r="EU136" s="58"/>
    </row>
    <row r="137" spans="1:151">
      <c r="A137" s="42" t="s">
        <v>319</v>
      </c>
      <c r="B137" s="173" t="s">
        <v>115</v>
      </c>
      <c r="C137" s="173" t="s">
        <v>500</v>
      </c>
      <c r="D137" s="83" t="s">
        <v>74</v>
      </c>
      <c r="E137" s="49" t="s">
        <v>0</v>
      </c>
      <c r="F137" s="49" t="s">
        <v>286</v>
      </c>
      <c r="G137" s="60">
        <v>-5.6630000000000003</v>
      </c>
      <c r="I137" s="49">
        <v>1155</v>
      </c>
      <c r="J137" s="159">
        <v>1.2692307692307692</v>
      </c>
      <c r="K137" s="49">
        <v>1</v>
      </c>
      <c r="L137" s="49">
        <v>3</v>
      </c>
      <c r="M137" s="83">
        <v>1</v>
      </c>
      <c r="N137" s="49">
        <v>1</v>
      </c>
      <c r="O137" s="49">
        <v>0</v>
      </c>
      <c r="P137" s="49">
        <v>1</v>
      </c>
      <c r="Q137" s="58">
        <v>0</v>
      </c>
      <c r="R137" s="42">
        <v>3</v>
      </c>
      <c r="S137" s="83" t="s">
        <v>283</v>
      </c>
      <c r="T137" s="49">
        <v>22</v>
      </c>
      <c r="U137" s="83">
        <v>1</v>
      </c>
      <c r="V137" s="49">
        <v>3</v>
      </c>
      <c r="W137" s="49">
        <v>1</v>
      </c>
      <c r="X137" s="58">
        <v>2</v>
      </c>
      <c r="Y137" s="83">
        <v>5</v>
      </c>
      <c r="Z137" s="49">
        <v>12</v>
      </c>
      <c r="AA137" s="49">
        <v>44</v>
      </c>
      <c r="AD137" s="49">
        <v>35</v>
      </c>
      <c r="AE137" s="49">
        <v>81</v>
      </c>
      <c r="AJ137" s="49">
        <v>0</v>
      </c>
      <c r="AK137" s="83"/>
      <c r="AO137" s="58"/>
      <c r="AP137" s="174" t="s">
        <v>284</v>
      </c>
      <c r="AQ137" s="175" t="s">
        <v>284</v>
      </c>
      <c r="AR137" s="175" t="s">
        <v>284</v>
      </c>
      <c r="AS137" s="175" t="s">
        <v>284</v>
      </c>
      <c r="AT137" s="175" t="s">
        <v>284</v>
      </c>
      <c r="AU137" s="175" t="s">
        <v>284</v>
      </c>
      <c r="AV137" s="175" t="s">
        <v>284</v>
      </c>
      <c r="AW137" s="175" t="s">
        <v>284</v>
      </c>
      <c r="AX137" s="83">
        <v>0</v>
      </c>
      <c r="AY137" s="49">
        <v>0</v>
      </c>
      <c r="AZ137" s="49">
        <v>0</v>
      </c>
      <c r="BA137" s="49">
        <v>0</v>
      </c>
      <c r="BB137" s="58">
        <v>0</v>
      </c>
      <c r="BC137" s="42">
        <v>132</v>
      </c>
      <c r="BS137" s="58"/>
      <c r="BT137" s="83"/>
      <c r="CE137" s="83"/>
      <c r="CK137" s="58"/>
      <c r="CL137" s="83"/>
      <c r="CO137" s="58"/>
      <c r="CP137" s="83"/>
      <c r="CR137" s="58"/>
      <c r="CS137" s="83"/>
      <c r="CY137" s="83"/>
      <c r="DG137" s="58"/>
      <c r="DH137" s="83"/>
      <c r="DQ137" s="83"/>
      <c r="EE137" s="58"/>
      <c r="EF137" s="83"/>
      <c r="EI137" s="83"/>
      <c r="EK137" s="58"/>
      <c r="EL137" s="83"/>
      <c r="EO137" s="58"/>
      <c r="EP137" s="83"/>
      <c r="EQ137" s="58"/>
      <c r="ER137" s="83"/>
      <c r="ES137" s="58"/>
      <c r="ET137" s="83"/>
      <c r="EU137" s="58"/>
    </row>
    <row r="138" spans="1:151">
      <c r="A138" s="42" t="s">
        <v>319</v>
      </c>
      <c r="B138" s="173" t="s">
        <v>115</v>
      </c>
      <c r="C138" s="173" t="s">
        <v>500</v>
      </c>
      <c r="D138" s="83" t="s">
        <v>74</v>
      </c>
      <c r="E138" s="49" t="s">
        <v>1</v>
      </c>
      <c r="F138" s="49" t="s">
        <v>286</v>
      </c>
      <c r="G138" s="60">
        <v>-5.6630000000000003</v>
      </c>
      <c r="I138" s="49">
        <v>1233</v>
      </c>
      <c r="J138" s="159">
        <v>4.1375838926174495</v>
      </c>
      <c r="K138" s="49">
        <v>4</v>
      </c>
      <c r="L138" s="49">
        <v>5</v>
      </c>
      <c r="M138" s="83">
        <v>0</v>
      </c>
      <c r="N138" s="49">
        <v>0</v>
      </c>
      <c r="O138" s="49">
        <v>0</v>
      </c>
      <c r="P138" s="49">
        <v>1</v>
      </c>
      <c r="Q138" s="58">
        <v>0</v>
      </c>
      <c r="R138" s="42">
        <v>1</v>
      </c>
      <c r="S138" s="83" t="s">
        <v>283</v>
      </c>
      <c r="T138" s="49">
        <v>14</v>
      </c>
      <c r="U138" s="83">
        <v>1</v>
      </c>
      <c r="V138" s="49">
        <v>5</v>
      </c>
      <c r="W138" s="49">
        <v>1</v>
      </c>
      <c r="X138" s="58">
        <v>2</v>
      </c>
      <c r="Y138" s="83">
        <v>0</v>
      </c>
      <c r="AJ138" s="49">
        <v>0</v>
      </c>
      <c r="AK138" s="83"/>
      <c r="AO138" s="58"/>
      <c r="AP138" s="174" t="s">
        <v>284</v>
      </c>
      <c r="AQ138" s="175" t="s">
        <v>284</v>
      </c>
      <c r="AR138" s="175" t="s">
        <v>284</v>
      </c>
      <c r="AS138" s="175" t="s">
        <v>284</v>
      </c>
      <c r="AT138" s="175" t="s">
        <v>284</v>
      </c>
      <c r="AU138" s="175" t="s">
        <v>284</v>
      </c>
      <c r="AV138" s="175" t="s">
        <v>284</v>
      </c>
      <c r="AW138" s="175" t="s">
        <v>284</v>
      </c>
      <c r="AX138" s="83">
        <v>0</v>
      </c>
      <c r="AY138" s="49">
        <v>0</v>
      </c>
      <c r="AZ138" s="49">
        <v>0</v>
      </c>
      <c r="BA138" s="49">
        <v>0</v>
      </c>
      <c r="BB138" s="58">
        <v>0</v>
      </c>
      <c r="BC138" s="42">
        <v>132</v>
      </c>
      <c r="BS138" s="58"/>
      <c r="BT138" s="83"/>
      <c r="CE138" s="83"/>
      <c r="CK138" s="58"/>
      <c r="CL138" s="83"/>
      <c r="CO138" s="58"/>
      <c r="CP138" s="83"/>
      <c r="CR138" s="58"/>
      <c r="CS138" s="83"/>
      <c r="CY138" s="83"/>
      <c r="DG138" s="58"/>
      <c r="DH138" s="83"/>
      <c r="DQ138" s="83"/>
      <c r="EE138" s="58"/>
      <c r="EF138" s="83"/>
      <c r="EI138" s="83"/>
      <c r="EK138" s="58"/>
      <c r="EL138" s="83"/>
      <c r="EO138" s="58"/>
      <c r="EP138" s="83"/>
      <c r="EQ138" s="58"/>
      <c r="ER138" s="83"/>
      <c r="ES138" s="58"/>
      <c r="ET138" s="83"/>
      <c r="EU138" s="58"/>
    </row>
    <row r="139" spans="1:151">
      <c r="A139" s="42" t="s">
        <v>319</v>
      </c>
      <c r="B139" s="173" t="s">
        <v>115</v>
      </c>
      <c r="C139" s="173" t="s">
        <v>500</v>
      </c>
      <c r="D139" s="83" t="s">
        <v>75</v>
      </c>
      <c r="F139" s="49" t="s">
        <v>286</v>
      </c>
      <c r="G139" s="60">
        <v>-5.6630000000000003</v>
      </c>
      <c r="I139" s="49">
        <v>2180</v>
      </c>
      <c r="J139" s="159">
        <v>1.744</v>
      </c>
      <c r="K139" s="49">
        <v>4</v>
      </c>
      <c r="L139" s="49">
        <v>3</v>
      </c>
      <c r="M139" s="83">
        <v>0</v>
      </c>
      <c r="N139" s="49">
        <v>0</v>
      </c>
      <c r="O139" s="49">
        <v>0</v>
      </c>
      <c r="P139" s="49">
        <v>1</v>
      </c>
      <c r="Q139" s="58">
        <v>0</v>
      </c>
      <c r="R139" s="42">
        <v>1</v>
      </c>
      <c r="S139" s="83" t="s">
        <v>283</v>
      </c>
      <c r="T139" s="49">
        <v>266</v>
      </c>
      <c r="U139" s="83">
        <v>1</v>
      </c>
      <c r="V139" s="49">
        <v>3</v>
      </c>
      <c r="W139" s="49">
        <v>2</v>
      </c>
      <c r="X139" s="58"/>
      <c r="Y139" s="83">
        <v>3</v>
      </c>
      <c r="Z139" s="49">
        <v>20</v>
      </c>
      <c r="AA139" s="49">
        <v>30</v>
      </c>
      <c r="AG139" s="49">
        <v>40</v>
      </c>
      <c r="AI139" s="49">
        <v>50</v>
      </c>
      <c r="AJ139" s="49">
        <v>0</v>
      </c>
      <c r="AK139" s="83"/>
      <c r="AO139" s="58"/>
      <c r="AP139" s="174" t="s">
        <v>284</v>
      </c>
      <c r="AQ139" s="175" t="s">
        <v>284</v>
      </c>
      <c r="AR139" s="175" t="s">
        <v>284</v>
      </c>
      <c r="AS139" s="175" t="s">
        <v>284</v>
      </c>
      <c r="AT139" s="175" t="s">
        <v>284</v>
      </c>
      <c r="AU139" s="175" t="s">
        <v>284</v>
      </c>
      <c r="AV139" s="175" t="s">
        <v>284</v>
      </c>
      <c r="AW139" s="175" t="s">
        <v>284</v>
      </c>
      <c r="AX139" s="83">
        <v>0</v>
      </c>
      <c r="AY139" s="49">
        <v>0</v>
      </c>
      <c r="AZ139" s="49">
        <v>0</v>
      </c>
      <c r="BA139" s="49">
        <v>0</v>
      </c>
      <c r="BB139" s="58">
        <v>0</v>
      </c>
      <c r="BC139" s="42">
        <v>156</v>
      </c>
      <c r="BD139" s="49">
        <v>78.790000000000006</v>
      </c>
      <c r="BS139" s="58"/>
      <c r="BT139" s="83">
        <v>79.53</v>
      </c>
      <c r="BU139" s="49">
        <v>79.97</v>
      </c>
      <c r="CE139" s="83"/>
      <c r="CK139" s="58"/>
      <c r="CL139" s="83">
        <v>70.849999999999994</v>
      </c>
      <c r="CO139" s="58"/>
      <c r="CP139" s="83"/>
      <c r="CR139" s="58"/>
      <c r="CS139" s="83"/>
      <c r="CY139" s="83"/>
      <c r="DG139" s="58"/>
      <c r="DH139" s="83"/>
      <c r="DQ139" s="83"/>
      <c r="EE139" s="58"/>
      <c r="EF139" s="83"/>
      <c r="EI139" s="83"/>
      <c r="EK139" s="58"/>
      <c r="EL139" s="83"/>
      <c r="EO139" s="58"/>
      <c r="EP139" s="83"/>
      <c r="EQ139" s="58"/>
      <c r="ER139" s="83"/>
      <c r="ES139" s="58"/>
      <c r="ET139" s="83"/>
      <c r="EU139" s="58"/>
    </row>
    <row r="140" spans="1:151">
      <c r="A140" s="42" t="s">
        <v>319</v>
      </c>
      <c r="B140" s="173" t="s">
        <v>115</v>
      </c>
      <c r="C140" s="173" t="s">
        <v>500</v>
      </c>
      <c r="D140" s="83" t="s">
        <v>76</v>
      </c>
      <c r="F140" s="49" t="s">
        <v>286</v>
      </c>
      <c r="G140" s="60">
        <v>-5.6630000000000003</v>
      </c>
      <c r="I140" s="49">
        <v>1760</v>
      </c>
      <c r="J140" s="159">
        <v>1.1282051282051282</v>
      </c>
      <c r="K140" s="49">
        <v>1</v>
      </c>
      <c r="L140" s="49">
        <v>3</v>
      </c>
      <c r="M140" s="83">
        <v>0</v>
      </c>
      <c r="N140" s="49">
        <v>2</v>
      </c>
      <c r="O140" s="49">
        <v>1</v>
      </c>
      <c r="P140" s="49">
        <v>1</v>
      </c>
      <c r="Q140" s="58">
        <v>0</v>
      </c>
      <c r="R140" s="42">
        <v>4</v>
      </c>
      <c r="S140" s="83" t="s">
        <v>283</v>
      </c>
      <c r="T140" s="49">
        <v>16</v>
      </c>
      <c r="U140" s="83">
        <v>3</v>
      </c>
      <c r="V140" s="49">
        <v>3</v>
      </c>
      <c r="W140" s="49">
        <v>3</v>
      </c>
      <c r="X140" s="58">
        <v>3</v>
      </c>
      <c r="Y140" s="83">
        <v>5</v>
      </c>
      <c r="Z140" s="49">
        <v>20</v>
      </c>
      <c r="AA140" s="49">
        <v>100</v>
      </c>
      <c r="AD140" s="49">
        <v>40</v>
      </c>
      <c r="AE140" s="49">
        <v>140</v>
      </c>
      <c r="AF140" s="49">
        <v>110</v>
      </c>
      <c r="AG140" s="49">
        <v>200</v>
      </c>
      <c r="AI140" s="49">
        <v>190</v>
      </c>
      <c r="AJ140" s="49">
        <v>0</v>
      </c>
      <c r="AK140" s="83"/>
      <c r="AO140" s="58"/>
      <c r="AP140" s="174" t="s">
        <v>284</v>
      </c>
      <c r="AQ140" s="175" t="s">
        <v>284</v>
      </c>
      <c r="AR140" s="175" t="s">
        <v>284</v>
      </c>
      <c r="AS140" s="175" t="s">
        <v>284</v>
      </c>
      <c r="AT140" s="175" t="s">
        <v>284</v>
      </c>
      <c r="AU140" s="175" t="s">
        <v>284</v>
      </c>
      <c r="AV140" s="175" t="s">
        <v>284</v>
      </c>
      <c r="AW140" s="175" t="s">
        <v>284</v>
      </c>
      <c r="AX140" s="83">
        <v>0</v>
      </c>
      <c r="AY140" s="49">
        <v>0</v>
      </c>
      <c r="AZ140" s="49">
        <v>0</v>
      </c>
      <c r="BA140" s="49">
        <v>0</v>
      </c>
      <c r="BB140" s="58">
        <v>0</v>
      </c>
      <c r="BC140" s="42">
        <v>162</v>
      </c>
      <c r="BS140" s="58"/>
      <c r="BT140" s="83">
        <v>78.56</v>
      </c>
      <c r="BU140" s="49">
        <v>76.930000000000007</v>
      </c>
      <c r="BV140" s="49">
        <v>78.319999999999993</v>
      </c>
      <c r="CE140" s="83"/>
      <c r="CK140" s="58"/>
      <c r="CL140" s="83">
        <v>51.95</v>
      </c>
      <c r="CO140" s="58"/>
      <c r="CP140" s="83"/>
      <c r="CR140" s="58"/>
      <c r="CS140" s="83"/>
      <c r="CY140" s="83"/>
      <c r="DG140" s="58"/>
      <c r="DH140" s="83">
        <v>77.900000000000006</v>
      </c>
      <c r="DQ140" s="83"/>
      <c r="EE140" s="58"/>
      <c r="EF140" s="83"/>
      <c r="EI140" s="83"/>
      <c r="EK140" s="58"/>
      <c r="EL140" s="83"/>
      <c r="EO140" s="58"/>
      <c r="EP140" s="83"/>
      <c r="EQ140" s="58"/>
      <c r="ER140" s="83"/>
      <c r="ES140" s="58"/>
      <c r="ET140" s="83"/>
      <c r="EU140" s="58"/>
    </row>
    <row r="141" spans="1:151">
      <c r="A141" s="42" t="s">
        <v>319</v>
      </c>
      <c r="B141" s="173" t="s">
        <v>115</v>
      </c>
      <c r="C141" s="173" t="s">
        <v>500</v>
      </c>
      <c r="D141" s="83" t="s">
        <v>73</v>
      </c>
      <c r="F141" s="49" t="s">
        <v>286</v>
      </c>
      <c r="G141" s="60">
        <v>-5.6630000000000003</v>
      </c>
      <c r="I141" s="49">
        <v>1557</v>
      </c>
      <c r="J141" s="159">
        <v>2.4597156398104265</v>
      </c>
      <c r="K141" s="49">
        <v>1</v>
      </c>
      <c r="L141" s="49">
        <v>3</v>
      </c>
      <c r="M141" s="83">
        <v>1</v>
      </c>
      <c r="N141" s="49">
        <v>0</v>
      </c>
      <c r="O141" s="49">
        <v>1</v>
      </c>
      <c r="P141" s="49">
        <v>1</v>
      </c>
      <c r="Q141" s="58">
        <v>0</v>
      </c>
      <c r="R141" s="42">
        <v>3</v>
      </c>
      <c r="S141" s="83">
        <v>1</v>
      </c>
      <c r="U141" s="83">
        <v>2</v>
      </c>
      <c r="V141" s="49">
        <v>3</v>
      </c>
      <c r="W141" s="49">
        <v>1</v>
      </c>
      <c r="X141" s="58">
        <v>3</v>
      </c>
      <c r="Y141" s="83" t="s">
        <v>78</v>
      </c>
      <c r="AE141" s="49">
        <v>23</v>
      </c>
      <c r="AJ141" s="49">
        <v>0</v>
      </c>
      <c r="AK141" s="83">
        <v>0</v>
      </c>
      <c r="AL141" s="49">
        <v>1</v>
      </c>
      <c r="AM141" s="49">
        <v>0</v>
      </c>
      <c r="AN141" s="49">
        <v>0</v>
      </c>
      <c r="AO141" s="58">
        <v>0</v>
      </c>
      <c r="AP141" s="174">
        <v>0</v>
      </c>
      <c r="AQ141" s="175">
        <v>498</v>
      </c>
      <c r="AR141" s="175">
        <v>0</v>
      </c>
      <c r="AS141" s="175">
        <v>0</v>
      </c>
      <c r="AT141" s="175">
        <v>0</v>
      </c>
      <c r="AU141" s="175">
        <v>0</v>
      </c>
      <c r="AV141" s="175">
        <v>0</v>
      </c>
      <c r="AW141" s="175">
        <v>0</v>
      </c>
      <c r="AX141" s="83">
        <v>0</v>
      </c>
      <c r="AY141" s="49">
        <v>0</v>
      </c>
      <c r="AZ141" s="49">
        <v>0</v>
      </c>
      <c r="BA141" s="49">
        <v>0</v>
      </c>
      <c r="BB141" s="58">
        <v>0</v>
      </c>
      <c r="BC141" s="42">
        <v>141</v>
      </c>
      <c r="BS141" s="58"/>
      <c r="BT141" s="83"/>
      <c r="CE141" s="83"/>
      <c r="CK141" s="58"/>
      <c r="CL141" s="83"/>
      <c r="CO141" s="58"/>
      <c r="CP141" s="83"/>
      <c r="CR141" s="58"/>
      <c r="CS141" s="83"/>
      <c r="CY141" s="83"/>
      <c r="DG141" s="58"/>
      <c r="DH141" s="83"/>
      <c r="DQ141" s="83"/>
      <c r="EE141" s="58"/>
      <c r="EF141" s="83"/>
      <c r="EI141" s="83"/>
      <c r="EK141" s="58"/>
      <c r="EL141" s="83"/>
      <c r="EO141" s="58"/>
      <c r="EP141" s="83"/>
      <c r="EQ141" s="58"/>
      <c r="ER141" s="83"/>
      <c r="ES141" s="58"/>
      <c r="ET141" s="83"/>
      <c r="EU141" s="58"/>
    </row>
    <row r="142" spans="1:151" ht="17" thickBot="1">
      <c r="A142" s="55" t="s">
        <v>319</v>
      </c>
      <c r="B142" s="173" t="s">
        <v>115</v>
      </c>
      <c r="C142" s="173" t="s">
        <v>500</v>
      </c>
      <c r="D142" s="83" t="s">
        <v>111</v>
      </c>
      <c r="F142" s="49" t="s">
        <v>286</v>
      </c>
      <c r="G142" s="60">
        <v>-5.6630000000000003</v>
      </c>
      <c r="I142" s="49">
        <v>2821</v>
      </c>
      <c r="J142" s="159">
        <v>1.0641267446246698</v>
      </c>
      <c r="K142" s="49">
        <v>1</v>
      </c>
      <c r="L142" s="49">
        <v>2</v>
      </c>
      <c r="M142" s="83">
        <v>1</v>
      </c>
      <c r="N142" s="49">
        <v>0</v>
      </c>
      <c r="O142" s="49">
        <v>1</v>
      </c>
      <c r="P142" s="49">
        <v>1</v>
      </c>
      <c r="Q142" s="58">
        <v>0</v>
      </c>
      <c r="R142" s="42">
        <v>3</v>
      </c>
      <c r="S142" s="83">
        <v>1</v>
      </c>
      <c r="U142" s="83">
        <v>3</v>
      </c>
      <c r="V142" s="49">
        <v>2</v>
      </c>
      <c r="W142" s="49">
        <v>1</v>
      </c>
      <c r="X142" s="58">
        <v>2</v>
      </c>
      <c r="Y142" s="83">
        <v>1</v>
      </c>
      <c r="Z142" s="49">
        <v>10</v>
      </c>
      <c r="AA142" s="49">
        <v>30</v>
      </c>
      <c r="AD142" s="49">
        <v>40</v>
      </c>
      <c r="AE142" s="49">
        <v>90</v>
      </c>
      <c r="AF142" s="49">
        <v>10</v>
      </c>
      <c r="AG142" s="49">
        <v>90</v>
      </c>
      <c r="AJ142" s="49">
        <v>0</v>
      </c>
      <c r="AK142" s="83"/>
      <c r="AL142" s="49">
        <v>1</v>
      </c>
      <c r="AM142" s="49">
        <v>0</v>
      </c>
      <c r="AN142" s="49">
        <v>0</v>
      </c>
      <c r="AO142" s="58">
        <v>0</v>
      </c>
      <c r="AP142" s="174">
        <v>147</v>
      </c>
      <c r="AQ142" s="175">
        <v>21</v>
      </c>
      <c r="AR142" s="175">
        <v>0</v>
      </c>
      <c r="AS142" s="175">
        <v>0</v>
      </c>
      <c r="AT142" s="175">
        <v>0</v>
      </c>
      <c r="AU142" s="175">
        <v>0</v>
      </c>
      <c r="AV142" s="175">
        <v>0</v>
      </c>
      <c r="AW142" s="175">
        <v>0</v>
      </c>
      <c r="AX142" s="83">
        <v>0</v>
      </c>
      <c r="AY142" s="49">
        <v>0</v>
      </c>
      <c r="AZ142" s="49">
        <v>0</v>
      </c>
      <c r="BA142" s="49">
        <v>0</v>
      </c>
      <c r="BB142" s="58">
        <v>0</v>
      </c>
      <c r="BC142" s="42">
        <v>146</v>
      </c>
      <c r="BS142" s="58"/>
      <c r="BT142" s="83"/>
      <c r="CE142" s="83"/>
      <c r="CK142" s="58"/>
      <c r="CL142" s="83"/>
      <c r="CO142" s="58"/>
      <c r="CP142" s="83"/>
      <c r="CR142" s="58"/>
      <c r="CS142" s="83"/>
      <c r="CY142" s="83"/>
      <c r="DG142" s="58"/>
      <c r="DH142" s="83"/>
      <c r="DQ142" s="83"/>
      <c r="EE142" s="58"/>
      <c r="EF142" s="83"/>
      <c r="EI142" s="83"/>
      <c r="EK142" s="58"/>
      <c r="EL142" s="83"/>
      <c r="EO142" s="58"/>
      <c r="EP142" s="83"/>
      <c r="EQ142" s="58"/>
      <c r="ER142" s="83"/>
      <c r="ES142" s="58"/>
      <c r="ET142" s="83"/>
      <c r="EU142" s="58"/>
    </row>
    <row r="143" spans="1:151">
      <c r="A143" s="83" t="s">
        <v>319</v>
      </c>
      <c r="B143" s="7" t="s">
        <v>116</v>
      </c>
      <c r="C143" s="7" t="s">
        <v>500</v>
      </c>
      <c r="D143" s="147" t="s">
        <v>117</v>
      </c>
      <c r="E143" s="148"/>
      <c r="F143" s="148" t="s">
        <v>286</v>
      </c>
      <c r="G143" s="73">
        <v>-5.6630000000000003</v>
      </c>
      <c r="H143" s="148"/>
      <c r="I143" s="148">
        <v>2531</v>
      </c>
      <c r="J143" s="158">
        <v>1.2511122095897182</v>
      </c>
      <c r="K143" s="148">
        <v>4</v>
      </c>
      <c r="L143" s="148">
        <v>3</v>
      </c>
      <c r="M143" s="147">
        <v>0</v>
      </c>
      <c r="N143" s="148">
        <v>0</v>
      </c>
      <c r="O143" s="148">
        <v>0</v>
      </c>
      <c r="P143" s="148">
        <v>1</v>
      </c>
      <c r="Q143" s="149">
        <v>0</v>
      </c>
      <c r="R143" s="87">
        <v>1</v>
      </c>
      <c r="S143" s="147" t="s">
        <v>284</v>
      </c>
      <c r="T143" s="148"/>
      <c r="U143" s="147">
        <v>1</v>
      </c>
      <c r="V143" s="148">
        <v>3</v>
      </c>
      <c r="W143" s="148">
        <v>1</v>
      </c>
      <c r="X143" s="149">
        <v>2</v>
      </c>
      <c r="Y143" s="147">
        <v>1</v>
      </c>
      <c r="Z143" s="148"/>
      <c r="AA143" s="148"/>
      <c r="AB143" s="148"/>
      <c r="AC143" s="148"/>
      <c r="AD143" s="148"/>
      <c r="AE143" s="148"/>
      <c r="AF143" s="148"/>
      <c r="AG143" s="148">
        <v>60</v>
      </c>
      <c r="AH143" s="148"/>
      <c r="AI143" s="148"/>
      <c r="AJ143" s="148">
        <v>0</v>
      </c>
      <c r="AK143" s="147">
        <v>0</v>
      </c>
      <c r="AL143" s="148">
        <v>0</v>
      </c>
      <c r="AM143" s="148">
        <v>0</v>
      </c>
      <c r="AN143" s="148">
        <v>0</v>
      </c>
      <c r="AO143" s="149">
        <v>0</v>
      </c>
      <c r="AP143" s="169" t="s">
        <v>284</v>
      </c>
      <c r="AQ143" s="170" t="s">
        <v>284</v>
      </c>
      <c r="AR143" s="170" t="s">
        <v>284</v>
      </c>
      <c r="AS143" s="170" t="s">
        <v>284</v>
      </c>
      <c r="AT143" s="170" t="s">
        <v>284</v>
      </c>
      <c r="AU143" s="170" t="s">
        <v>284</v>
      </c>
      <c r="AV143" s="170" t="s">
        <v>284</v>
      </c>
      <c r="AW143" s="170" t="s">
        <v>284</v>
      </c>
      <c r="AX143" s="147">
        <v>0</v>
      </c>
      <c r="AY143" s="148">
        <v>0</v>
      </c>
      <c r="AZ143" s="148">
        <v>0</v>
      </c>
      <c r="BA143" s="148">
        <v>0</v>
      </c>
      <c r="BB143" s="149">
        <v>0</v>
      </c>
      <c r="BC143" s="87">
        <v>186</v>
      </c>
      <c r="BD143" s="148"/>
      <c r="BE143" s="158"/>
      <c r="BF143" s="148"/>
      <c r="BG143" s="148"/>
      <c r="BH143" s="148"/>
      <c r="BI143" s="148"/>
      <c r="BJ143" s="148"/>
      <c r="BK143" s="148"/>
      <c r="BL143" s="148"/>
      <c r="BM143" s="148"/>
      <c r="BN143" s="148"/>
      <c r="BO143" s="148"/>
      <c r="BP143" s="148"/>
      <c r="BQ143" s="148"/>
      <c r="BR143" s="148"/>
      <c r="BS143" s="149"/>
      <c r="BT143" s="147"/>
      <c r="BU143" s="148"/>
      <c r="BV143" s="148"/>
      <c r="BW143" s="148"/>
      <c r="BX143" s="148"/>
      <c r="BY143" s="148"/>
      <c r="BZ143" s="148"/>
      <c r="CA143" s="148"/>
      <c r="CB143" s="148"/>
      <c r="CC143" s="148"/>
      <c r="CD143" s="148"/>
      <c r="CE143" s="147"/>
      <c r="CF143" s="148"/>
      <c r="CG143" s="148"/>
      <c r="CH143" s="148"/>
      <c r="CI143" s="148"/>
      <c r="CJ143" s="148"/>
      <c r="CK143" s="149"/>
      <c r="CL143" s="147"/>
      <c r="CM143" s="148"/>
      <c r="CN143" s="148"/>
      <c r="CO143" s="149"/>
      <c r="CP143" s="147"/>
      <c r="CQ143" s="148"/>
      <c r="CR143" s="149"/>
      <c r="CS143" s="147"/>
      <c r="CT143" s="148"/>
      <c r="CU143" s="148"/>
      <c r="CV143" s="148"/>
      <c r="CW143" s="148"/>
      <c r="CX143" s="148"/>
      <c r="CY143" s="147"/>
      <c r="CZ143" s="148"/>
      <c r="DA143" s="148"/>
      <c r="DB143" s="148"/>
      <c r="DC143" s="148"/>
      <c r="DD143" s="148"/>
      <c r="DE143" s="148"/>
      <c r="DF143" s="148"/>
      <c r="DG143" s="149"/>
      <c r="DH143" s="147"/>
      <c r="DI143" s="148"/>
      <c r="DJ143" s="148"/>
      <c r="DK143" s="148"/>
      <c r="DL143" s="148"/>
      <c r="DM143" s="148"/>
      <c r="DN143" s="148"/>
      <c r="DO143" s="148"/>
      <c r="DP143" s="148"/>
      <c r="DQ143" s="147"/>
      <c r="DR143" s="148"/>
      <c r="DS143" s="148"/>
      <c r="DT143" s="148"/>
      <c r="DU143" s="148"/>
      <c r="DV143" s="148"/>
      <c r="DW143" s="148"/>
      <c r="DX143" s="148"/>
      <c r="DY143" s="148"/>
      <c r="DZ143" s="148"/>
      <c r="EA143" s="148"/>
      <c r="EB143" s="148"/>
      <c r="EC143" s="148"/>
      <c r="ED143" s="148"/>
      <c r="EE143" s="149"/>
      <c r="EF143" s="147"/>
      <c r="EG143" s="148"/>
      <c r="EH143" s="148"/>
      <c r="EI143" s="147"/>
      <c r="EJ143" s="148"/>
      <c r="EK143" s="149"/>
      <c r="EL143" s="147"/>
      <c r="EM143" s="148"/>
      <c r="EN143" s="148"/>
      <c r="EO143" s="149"/>
      <c r="EP143" s="147"/>
      <c r="EQ143" s="149"/>
      <c r="ER143" s="147"/>
      <c r="ES143" s="149"/>
      <c r="ET143" s="147"/>
      <c r="EU143" s="149"/>
    </row>
    <row r="144" spans="1:151">
      <c r="A144" s="83" t="s">
        <v>319</v>
      </c>
      <c r="B144" s="173" t="s">
        <v>116</v>
      </c>
      <c r="C144" s="173" t="s">
        <v>500</v>
      </c>
      <c r="D144" s="83" t="s">
        <v>73</v>
      </c>
      <c r="F144" s="49" t="s">
        <v>286</v>
      </c>
      <c r="G144" s="60">
        <v>-5.6630000000000003</v>
      </c>
      <c r="I144" s="49">
        <v>3260</v>
      </c>
      <c r="J144" s="159">
        <v>1.5162790697674418</v>
      </c>
      <c r="K144" s="49">
        <v>4</v>
      </c>
      <c r="L144" s="49">
        <v>3</v>
      </c>
      <c r="M144" s="83">
        <v>0</v>
      </c>
      <c r="N144" s="49">
        <v>2</v>
      </c>
      <c r="O144" s="49">
        <v>0</v>
      </c>
      <c r="P144" s="49">
        <v>1</v>
      </c>
      <c r="Q144" s="58">
        <v>0</v>
      </c>
      <c r="R144" s="42">
        <v>3</v>
      </c>
      <c r="S144" s="83" t="s">
        <v>283</v>
      </c>
      <c r="T144" s="49">
        <v>46</v>
      </c>
      <c r="U144" s="83">
        <v>1</v>
      </c>
      <c r="V144" s="49">
        <v>4</v>
      </c>
      <c r="W144" s="49">
        <v>2</v>
      </c>
      <c r="X144" s="58"/>
      <c r="Y144" s="83">
        <v>5</v>
      </c>
      <c r="Z144" s="49">
        <v>10</v>
      </c>
      <c r="AA144" s="49">
        <v>30</v>
      </c>
      <c r="AD144" s="49">
        <v>10</v>
      </c>
      <c r="AE144" s="49">
        <v>80</v>
      </c>
      <c r="AF144" s="49">
        <v>20</v>
      </c>
      <c r="AG144" s="49">
        <v>340</v>
      </c>
      <c r="AH144" s="49">
        <v>40</v>
      </c>
      <c r="AI144" s="49">
        <v>380</v>
      </c>
      <c r="AJ144" s="49">
        <v>0</v>
      </c>
      <c r="AK144" s="83">
        <v>0</v>
      </c>
      <c r="AL144" s="49">
        <v>0</v>
      </c>
      <c r="AM144" s="49">
        <v>0</v>
      </c>
      <c r="AN144" s="49">
        <v>0</v>
      </c>
      <c r="AO144" s="58"/>
      <c r="AP144" s="174" t="s">
        <v>284</v>
      </c>
      <c r="AQ144" s="175" t="s">
        <v>284</v>
      </c>
      <c r="AR144" s="175" t="s">
        <v>284</v>
      </c>
      <c r="AS144" s="175" t="s">
        <v>284</v>
      </c>
      <c r="AT144" s="175" t="s">
        <v>284</v>
      </c>
      <c r="AU144" s="175" t="s">
        <v>284</v>
      </c>
      <c r="AV144" s="175" t="s">
        <v>284</v>
      </c>
      <c r="AW144" s="175" t="s">
        <v>284</v>
      </c>
      <c r="AX144" s="83">
        <v>0</v>
      </c>
      <c r="AY144" s="49">
        <v>0</v>
      </c>
      <c r="AZ144" s="49">
        <v>0</v>
      </c>
      <c r="BA144" s="49">
        <v>0</v>
      </c>
      <c r="BB144" s="58">
        <v>0</v>
      </c>
      <c r="BC144" s="42">
        <v>236</v>
      </c>
      <c r="BD144" s="49">
        <v>79.680000000000007</v>
      </c>
      <c r="BE144" s="49">
        <v>78.959999999999994</v>
      </c>
      <c r="BS144" s="58"/>
      <c r="BT144" s="83">
        <v>81.38</v>
      </c>
      <c r="CE144" s="83"/>
      <c r="CK144" s="58"/>
      <c r="CL144" s="83">
        <v>59.89</v>
      </c>
      <c r="CO144" s="58"/>
      <c r="CP144" s="83"/>
      <c r="CR144" s="58"/>
      <c r="CS144" s="83"/>
      <c r="CY144" s="83"/>
      <c r="DG144" s="58"/>
      <c r="DH144" s="83"/>
      <c r="DQ144" s="83"/>
      <c r="EE144" s="58"/>
      <c r="EF144" s="83"/>
      <c r="EI144" s="83"/>
      <c r="EK144" s="58"/>
      <c r="EL144" s="83"/>
      <c r="EO144" s="58"/>
      <c r="EP144" s="83"/>
      <c r="EQ144" s="58"/>
      <c r="ER144" s="83"/>
      <c r="ES144" s="58"/>
      <c r="ET144" s="83"/>
      <c r="EU144" s="58"/>
    </row>
    <row r="145" spans="1:151">
      <c r="A145" s="83" t="s">
        <v>319</v>
      </c>
      <c r="B145" s="173" t="s">
        <v>116</v>
      </c>
      <c r="C145" s="173" t="s">
        <v>500</v>
      </c>
      <c r="D145" s="83" t="s">
        <v>81</v>
      </c>
      <c r="F145" s="49" t="s">
        <v>286</v>
      </c>
      <c r="G145" s="60">
        <v>-5.6630000000000003</v>
      </c>
      <c r="I145" s="49">
        <v>1415</v>
      </c>
      <c r="J145" s="159">
        <v>1.5101387406616862</v>
      </c>
      <c r="K145" s="49">
        <v>4</v>
      </c>
      <c r="L145" s="49">
        <v>5</v>
      </c>
      <c r="M145" s="83">
        <v>0</v>
      </c>
      <c r="N145" s="49">
        <v>0</v>
      </c>
      <c r="O145" s="49">
        <v>0</v>
      </c>
      <c r="P145" s="49">
        <v>1</v>
      </c>
      <c r="Q145" s="58">
        <v>0</v>
      </c>
      <c r="R145" s="42">
        <v>1</v>
      </c>
      <c r="S145" s="83" t="s">
        <v>283</v>
      </c>
      <c r="T145" s="49">
        <v>18</v>
      </c>
      <c r="U145" s="83">
        <v>1</v>
      </c>
      <c r="V145" s="49">
        <v>5</v>
      </c>
      <c r="W145" s="49">
        <v>2</v>
      </c>
      <c r="X145" s="58"/>
      <c r="Y145" s="83">
        <v>1</v>
      </c>
      <c r="Z145" s="49">
        <v>13</v>
      </c>
      <c r="AA145" s="49">
        <v>15</v>
      </c>
      <c r="AD145" s="49">
        <v>11</v>
      </c>
      <c r="AE145" s="49">
        <v>18</v>
      </c>
      <c r="AH145" s="49">
        <v>52</v>
      </c>
      <c r="AI145" s="49">
        <v>83</v>
      </c>
      <c r="AJ145" s="49">
        <v>0</v>
      </c>
      <c r="AK145" s="83">
        <v>0</v>
      </c>
      <c r="AL145" s="49">
        <v>1</v>
      </c>
      <c r="AM145" s="49">
        <v>1</v>
      </c>
      <c r="AN145" s="49">
        <v>0</v>
      </c>
      <c r="AO145" s="58">
        <v>0</v>
      </c>
      <c r="AP145" s="174" t="s">
        <v>501</v>
      </c>
      <c r="AQ145" s="175" t="s">
        <v>501</v>
      </c>
      <c r="AR145" s="175" t="s">
        <v>501</v>
      </c>
      <c r="AS145" s="175" t="s">
        <v>501</v>
      </c>
      <c r="AT145" s="175" t="s">
        <v>284</v>
      </c>
      <c r="AU145" s="175" t="s">
        <v>284</v>
      </c>
      <c r="AV145" s="175" t="s">
        <v>284</v>
      </c>
      <c r="AW145" s="175" t="s">
        <v>284</v>
      </c>
      <c r="AX145" s="83">
        <v>0</v>
      </c>
      <c r="AY145" s="49">
        <v>0</v>
      </c>
      <c r="AZ145" s="49">
        <v>0</v>
      </c>
      <c r="BA145" s="49">
        <v>0</v>
      </c>
      <c r="BB145" s="58">
        <v>0</v>
      </c>
      <c r="BC145" s="42">
        <v>111</v>
      </c>
      <c r="BS145" s="58"/>
      <c r="BT145" s="83"/>
      <c r="CE145" s="83"/>
      <c r="CK145" s="58"/>
      <c r="CL145" s="83"/>
      <c r="CO145" s="58"/>
      <c r="CP145" s="83"/>
      <c r="CR145" s="58"/>
      <c r="CS145" s="83"/>
      <c r="CY145" s="83"/>
      <c r="DG145" s="58"/>
      <c r="DH145" s="83"/>
      <c r="DQ145" s="83"/>
      <c r="EE145" s="58"/>
      <c r="EF145" s="83"/>
      <c r="EI145" s="83"/>
      <c r="EK145" s="58"/>
      <c r="EL145" s="83"/>
      <c r="EO145" s="58"/>
      <c r="EP145" s="83"/>
      <c r="EQ145" s="58"/>
      <c r="ER145" s="83"/>
      <c r="ES145" s="58"/>
      <c r="ET145" s="83"/>
      <c r="EU145" s="58"/>
    </row>
    <row r="146" spans="1:151">
      <c r="A146" s="83" t="s">
        <v>319</v>
      </c>
      <c r="B146" s="173" t="s">
        <v>116</v>
      </c>
      <c r="C146" s="173" t="s">
        <v>500</v>
      </c>
      <c r="D146" s="83" t="s">
        <v>87</v>
      </c>
      <c r="F146" s="49" t="s">
        <v>286</v>
      </c>
      <c r="G146" s="60">
        <v>-5.6630000000000003</v>
      </c>
      <c r="I146" s="49">
        <v>1202</v>
      </c>
      <c r="J146" s="159">
        <v>3.8280254777070062</v>
      </c>
      <c r="K146" s="49">
        <v>1</v>
      </c>
      <c r="L146" s="49">
        <v>2</v>
      </c>
      <c r="M146" s="83">
        <v>0</v>
      </c>
      <c r="N146" s="49">
        <v>1</v>
      </c>
      <c r="O146" s="49">
        <v>0</v>
      </c>
      <c r="P146" s="49">
        <v>0</v>
      </c>
      <c r="Q146" s="58">
        <v>0</v>
      </c>
      <c r="R146" s="42">
        <v>1</v>
      </c>
      <c r="S146" s="83">
        <v>1</v>
      </c>
      <c r="T146" s="49">
        <v>25</v>
      </c>
      <c r="U146" s="83">
        <v>1</v>
      </c>
      <c r="V146" s="49">
        <v>1</v>
      </c>
      <c r="W146" s="49">
        <v>2</v>
      </c>
      <c r="X146" s="58"/>
      <c r="Y146" s="83">
        <v>0</v>
      </c>
      <c r="AJ146" s="49">
        <v>0</v>
      </c>
      <c r="AK146" s="83">
        <v>0</v>
      </c>
      <c r="AL146" s="49">
        <v>1</v>
      </c>
      <c r="AM146" s="49">
        <v>0</v>
      </c>
      <c r="AN146" s="49">
        <v>0</v>
      </c>
      <c r="AO146" s="58">
        <v>0</v>
      </c>
      <c r="AP146" s="174">
        <v>186</v>
      </c>
      <c r="AQ146" s="175">
        <v>340</v>
      </c>
      <c r="AR146" s="175">
        <v>0</v>
      </c>
      <c r="AS146" s="175">
        <v>0</v>
      </c>
      <c r="AT146" s="175">
        <v>0</v>
      </c>
      <c r="AU146" s="175">
        <v>0</v>
      </c>
      <c r="AV146" s="175">
        <v>0</v>
      </c>
      <c r="AW146" s="175">
        <v>0</v>
      </c>
      <c r="AX146" s="83">
        <v>0</v>
      </c>
      <c r="AY146" s="49">
        <v>0</v>
      </c>
      <c r="AZ146" s="49">
        <v>0</v>
      </c>
      <c r="BA146" s="49">
        <v>0</v>
      </c>
      <c r="BB146" s="58">
        <v>0</v>
      </c>
      <c r="BC146" s="42">
        <v>132</v>
      </c>
      <c r="BE146" s="159">
        <v>77.31</v>
      </c>
      <c r="BS146" s="58"/>
      <c r="BT146" s="83"/>
      <c r="CE146" s="83"/>
      <c r="CK146" s="58"/>
      <c r="CL146" s="83"/>
      <c r="CO146" s="58"/>
      <c r="CP146" s="83"/>
      <c r="CR146" s="58"/>
      <c r="CS146" s="83"/>
      <c r="CY146" s="83"/>
      <c r="DG146" s="58"/>
      <c r="DH146" s="83"/>
      <c r="DQ146" s="83"/>
      <c r="EE146" s="58"/>
      <c r="EF146" s="83"/>
      <c r="EI146" s="83">
        <v>77.87</v>
      </c>
      <c r="EK146" s="58"/>
      <c r="EL146" s="83"/>
      <c r="EO146" s="58"/>
      <c r="EP146" s="83"/>
      <c r="EQ146" s="58"/>
      <c r="ER146" s="83">
        <v>63.02</v>
      </c>
      <c r="ES146" s="58"/>
      <c r="ET146" s="83"/>
      <c r="EU146" s="58"/>
    </row>
    <row r="147" spans="1:151">
      <c r="A147" s="83" t="s">
        <v>319</v>
      </c>
      <c r="B147" s="173" t="s">
        <v>116</v>
      </c>
      <c r="C147" s="173" t="s">
        <v>500</v>
      </c>
      <c r="D147" s="83" t="s">
        <v>88</v>
      </c>
      <c r="F147" s="49" t="s">
        <v>286</v>
      </c>
      <c r="G147" s="60">
        <v>-5.6630000000000003</v>
      </c>
      <c r="I147" s="49">
        <v>1809</v>
      </c>
      <c r="J147" s="159">
        <v>1.2247799593771158</v>
      </c>
      <c r="K147" s="49">
        <v>1</v>
      </c>
      <c r="L147" s="49">
        <v>3</v>
      </c>
      <c r="M147" s="83">
        <v>0</v>
      </c>
      <c r="N147" s="49">
        <v>0</v>
      </c>
      <c r="O147" s="49">
        <v>1</v>
      </c>
      <c r="P147" s="49">
        <v>1</v>
      </c>
      <c r="Q147" s="58">
        <v>0</v>
      </c>
      <c r="R147" s="42">
        <v>2</v>
      </c>
      <c r="S147" s="83">
        <v>1</v>
      </c>
      <c r="T147" s="49">
        <v>32</v>
      </c>
      <c r="U147" s="83">
        <v>3</v>
      </c>
      <c r="V147" s="49">
        <v>3</v>
      </c>
      <c r="W147" s="49">
        <v>3</v>
      </c>
      <c r="X147" s="58">
        <v>3</v>
      </c>
      <c r="Y147" s="83">
        <v>1</v>
      </c>
      <c r="Z147" s="49">
        <v>15</v>
      </c>
      <c r="AA147" s="49">
        <v>24</v>
      </c>
      <c r="AD147" s="49">
        <v>21</v>
      </c>
      <c r="AE147" s="49">
        <v>51</v>
      </c>
      <c r="AF147" s="49">
        <v>12</v>
      </c>
      <c r="AG147" s="49">
        <v>39</v>
      </c>
      <c r="AH147" s="49">
        <v>18</v>
      </c>
      <c r="AI147" s="49">
        <v>215</v>
      </c>
      <c r="AJ147" s="49">
        <v>0</v>
      </c>
      <c r="AK147" s="83">
        <v>0</v>
      </c>
      <c r="AL147" s="49">
        <v>1</v>
      </c>
      <c r="AM147" s="49">
        <v>1</v>
      </c>
      <c r="AN147" s="49">
        <v>0</v>
      </c>
      <c r="AO147" s="58">
        <v>0</v>
      </c>
      <c r="AP147" s="174">
        <v>0</v>
      </c>
      <c r="AQ147" s="175">
        <v>197</v>
      </c>
      <c r="AR147" s="175">
        <v>0</v>
      </c>
      <c r="AS147" s="175">
        <v>87</v>
      </c>
      <c r="AT147" s="175" t="s">
        <v>284</v>
      </c>
      <c r="AU147" s="175" t="s">
        <v>284</v>
      </c>
      <c r="AV147" s="175" t="s">
        <v>284</v>
      </c>
      <c r="AW147" s="175" t="s">
        <v>284</v>
      </c>
      <c r="AX147" s="83">
        <v>0</v>
      </c>
      <c r="AY147" s="49">
        <v>0</v>
      </c>
      <c r="AZ147" s="49">
        <v>0</v>
      </c>
      <c r="BA147" s="49">
        <v>0</v>
      </c>
      <c r="BB147" s="58">
        <v>0</v>
      </c>
      <c r="BC147" s="42">
        <v>133</v>
      </c>
      <c r="BS147" s="58"/>
      <c r="BT147" s="83"/>
      <c r="CE147" s="83"/>
      <c r="CK147" s="58"/>
      <c r="CL147" s="83"/>
      <c r="CO147" s="58"/>
      <c r="CP147" s="83"/>
      <c r="CR147" s="58"/>
      <c r="CS147" s="83"/>
      <c r="CY147" s="83"/>
      <c r="DG147" s="58"/>
      <c r="DH147" s="83"/>
      <c r="DQ147" s="83"/>
      <c r="EE147" s="58"/>
      <c r="EF147" s="83"/>
      <c r="EI147" s="83"/>
      <c r="EK147" s="58"/>
      <c r="EL147" s="83"/>
      <c r="EO147" s="58"/>
      <c r="EP147" s="83"/>
      <c r="EQ147" s="58"/>
      <c r="ER147" s="83"/>
      <c r="ES147" s="58"/>
      <c r="ET147" s="83"/>
      <c r="EU147" s="58"/>
    </row>
    <row r="148" spans="1:151">
      <c r="A148" s="83" t="s">
        <v>319</v>
      </c>
      <c r="B148" s="173" t="s">
        <v>116</v>
      </c>
      <c r="C148" s="173" t="s">
        <v>500</v>
      </c>
      <c r="D148" s="83" t="s">
        <v>111</v>
      </c>
      <c r="F148" s="49" t="s">
        <v>286</v>
      </c>
      <c r="G148" s="60">
        <v>-5.6630000000000003</v>
      </c>
      <c r="I148" s="49">
        <v>1979</v>
      </c>
      <c r="J148" s="159">
        <v>1.2322540473225405</v>
      </c>
      <c r="K148" s="49">
        <v>4</v>
      </c>
      <c r="L148" s="49">
        <v>4</v>
      </c>
      <c r="M148" s="83">
        <v>0</v>
      </c>
      <c r="N148" s="49">
        <v>0</v>
      </c>
      <c r="O148" s="49">
        <v>0</v>
      </c>
      <c r="P148" s="49">
        <v>1</v>
      </c>
      <c r="Q148" s="58">
        <v>0</v>
      </c>
      <c r="R148" s="42">
        <v>1</v>
      </c>
      <c r="S148" s="83" t="s">
        <v>283</v>
      </c>
      <c r="T148" s="49">
        <v>12</v>
      </c>
      <c r="U148" s="83">
        <v>1</v>
      </c>
      <c r="V148" s="49">
        <v>3</v>
      </c>
      <c r="W148" s="49">
        <v>1</v>
      </c>
      <c r="X148" s="58">
        <v>2</v>
      </c>
      <c r="Y148" s="83">
        <v>2</v>
      </c>
      <c r="AH148" s="49">
        <v>18</v>
      </c>
      <c r="AI148" s="49">
        <v>119</v>
      </c>
      <c r="AJ148" s="49">
        <v>0</v>
      </c>
      <c r="AK148" s="83">
        <v>0</v>
      </c>
      <c r="AL148" s="49">
        <v>0</v>
      </c>
      <c r="AM148" s="49">
        <v>0</v>
      </c>
      <c r="AN148" s="49">
        <v>0</v>
      </c>
      <c r="AO148" s="58">
        <v>0</v>
      </c>
      <c r="AP148" s="174" t="s">
        <v>284</v>
      </c>
      <c r="AQ148" s="175" t="s">
        <v>284</v>
      </c>
      <c r="AR148" s="175" t="s">
        <v>284</v>
      </c>
      <c r="AS148" s="175" t="s">
        <v>284</v>
      </c>
      <c r="AT148" s="175" t="s">
        <v>284</v>
      </c>
      <c r="AU148" s="175" t="s">
        <v>284</v>
      </c>
      <c r="AV148" s="175" t="s">
        <v>284</v>
      </c>
      <c r="AW148" s="175" t="s">
        <v>284</v>
      </c>
      <c r="AX148" s="83">
        <v>0</v>
      </c>
      <c r="AY148" s="49">
        <v>0</v>
      </c>
      <c r="AZ148" s="49">
        <v>0</v>
      </c>
      <c r="BA148" s="49">
        <v>0</v>
      </c>
      <c r="BB148" s="58">
        <v>0</v>
      </c>
      <c r="BC148" s="42">
        <v>156</v>
      </c>
      <c r="BD148" s="49">
        <v>65.510000000000005</v>
      </c>
      <c r="BE148" s="49">
        <v>64.77</v>
      </c>
      <c r="BS148" s="58"/>
      <c r="BT148" s="83">
        <v>66.349999999999994</v>
      </c>
      <c r="CE148" s="83"/>
      <c r="CK148" s="58"/>
      <c r="CL148" s="83"/>
      <c r="CO148" s="58"/>
      <c r="CP148" s="83"/>
      <c r="CR148" s="58"/>
      <c r="CS148" s="83"/>
      <c r="CY148" s="83"/>
      <c r="DG148" s="58"/>
      <c r="DH148" s="83"/>
      <c r="DQ148" s="83"/>
      <c r="EE148" s="58"/>
      <c r="EF148" s="83"/>
      <c r="EI148" s="83"/>
      <c r="EK148" s="58"/>
      <c r="EL148" s="83"/>
      <c r="EO148" s="58"/>
      <c r="EP148" s="83"/>
      <c r="EQ148" s="58"/>
      <c r="ER148" s="83"/>
      <c r="ES148" s="58"/>
      <c r="ET148" s="83"/>
      <c r="EU148" s="58"/>
    </row>
    <row r="149" spans="1:151">
      <c r="A149" s="83" t="s">
        <v>319</v>
      </c>
      <c r="B149" s="173" t="s">
        <v>116</v>
      </c>
      <c r="C149" s="173" t="s">
        <v>500</v>
      </c>
      <c r="D149" s="83" t="s">
        <v>92</v>
      </c>
      <c r="F149" s="49" t="s">
        <v>287</v>
      </c>
      <c r="G149" s="60">
        <v>-5.6630000000000003</v>
      </c>
      <c r="I149" s="49">
        <v>646</v>
      </c>
      <c r="J149" s="159">
        <v>1.2423076923076923</v>
      </c>
      <c r="K149" s="49">
        <v>1</v>
      </c>
      <c r="L149" s="49">
        <v>1</v>
      </c>
      <c r="M149" s="83">
        <v>1</v>
      </c>
      <c r="N149" s="49">
        <v>0</v>
      </c>
      <c r="O149" s="49">
        <v>1</v>
      </c>
      <c r="P149" s="49">
        <v>1</v>
      </c>
      <c r="Q149" s="58">
        <v>0</v>
      </c>
      <c r="R149" s="42">
        <v>3</v>
      </c>
      <c r="S149" s="83" t="s">
        <v>283</v>
      </c>
      <c r="T149" s="49">
        <v>9</v>
      </c>
      <c r="U149" s="83">
        <v>1</v>
      </c>
      <c r="V149" s="49">
        <v>1</v>
      </c>
      <c r="W149" s="49">
        <v>1</v>
      </c>
      <c r="X149" s="58">
        <v>2</v>
      </c>
      <c r="Y149" s="83">
        <v>0</v>
      </c>
      <c r="AJ149" s="49">
        <v>0</v>
      </c>
      <c r="AK149" s="83">
        <v>0</v>
      </c>
      <c r="AL149" s="49">
        <v>1</v>
      </c>
      <c r="AM149" s="49">
        <v>0</v>
      </c>
      <c r="AN149" s="49">
        <v>0</v>
      </c>
      <c r="AO149" s="58">
        <v>0</v>
      </c>
      <c r="AP149" s="174">
        <v>0</v>
      </c>
      <c r="AQ149" s="175">
        <v>0</v>
      </c>
      <c r="AR149" s="175">
        <v>0</v>
      </c>
      <c r="AS149" s="175">
        <v>102</v>
      </c>
      <c r="AT149" s="175">
        <v>0</v>
      </c>
      <c r="AU149" s="175">
        <v>0</v>
      </c>
      <c r="AV149" s="175">
        <v>0</v>
      </c>
      <c r="AW149" s="175">
        <v>0</v>
      </c>
      <c r="AX149" s="83">
        <v>0</v>
      </c>
      <c r="AY149" s="49">
        <v>0</v>
      </c>
      <c r="AZ149" s="49">
        <v>0</v>
      </c>
      <c r="BA149" s="49">
        <v>0</v>
      </c>
      <c r="BB149" s="58">
        <v>0</v>
      </c>
      <c r="BC149" s="42">
        <v>125</v>
      </c>
      <c r="BD149" s="49">
        <v>83.07</v>
      </c>
      <c r="BS149" s="58"/>
      <c r="BT149" s="83">
        <v>81.37</v>
      </c>
      <c r="CE149" s="83"/>
      <c r="CK149" s="58"/>
      <c r="CL149" s="83">
        <v>64.290000000000006</v>
      </c>
      <c r="CO149" s="58"/>
      <c r="CP149" s="83"/>
      <c r="CR149" s="58"/>
      <c r="CS149" s="83"/>
      <c r="CY149" s="83"/>
      <c r="DG149" s="58"/>
      <c r="DH149" s="83"/>
      <c r="DQ149" s="83"/>
      <c r="EE149" s="58"/>
      <c r="EF149" s="83"/>
      <c r="EI149" s="83"/>
      <c r="EK149" s="58"/>
      <c r="EL149" s="83"/>
      <c r="EO149" s="58"/>
      <c r="EP149" s="83"/>
      <c r="EQ149" s="58"/>
      <c r="ER149" s="83"/>
      <c r="ES149" s="58"/>
      <c r="ET149" s="83"/>
      <c r="EU149" s="58"/>
    </row>
    <row r="150" spans="1:151">
      <c r="A150" s="83" t="s">
        <v>319</v>
      </c>
      <c r="B150" s="173" t="s">
        <v>116</v>
      </c>
      <c r="C150" s="173" t="s">
        <v>500</v>
      </c>
      <c r="D150" s="83" t="s">
        <v>93</v>
      </c>
      <c r="F150" s="49" t="s">
        <v>286</v>
      </c>
      <c r="G150" s="60">
        <v>-5.6630000000000003</v>
      </c>
      <c r="I150" s="49">
        <v>2402</v>
      </c>
      <c r="J150" s="159">
        <v>2.1219081272084805</v>
      </c>
      <c r="K150" s="49">
        <v>1</v>
      </c>
      <c r="L150" s="49">
        <v>2</v>
      </c>
      <c r="M150" s="83">
        <v>1</v>
      </c>
      <c r="N150" s="49">
        <v>0</v>
      </c>
      <c r="O150" s="49">
        <v>0</v>
      </c>
      <c r="P150" s="49">
        <v>1</v>
      </c>
      <c r="Q150" s="58">
        <v>0</v>
      </c>
      <c r="R150" s="42">
        <v>2</v>
      </c>
      <c r="S150" s="83">
        <v>1</v>
      </c>
      <c r="T150" s="49">
        <v>28</v>
      </c>
      <c r="U150" s="83">
        <v>0</v>
      </c>
      <c r="V150" s="49">
        <v>0</v>
      </c>
      <c r="W150" s="49">
        <v>0</v>
      </c>
      <c r="X150" s="58"/>
      <c r="Y150" s="83">
        <v>10</v>
      </c>
      <c r="AF150" s="49">
        <v>230</v>
      </c>
      <c r="AG150" s="49">
        <v>600</v>
      </c>
      <c r="AI150" s="49">
        <v>77</v>
      </c>
      <c r="AJ150" s="49">
        <v>0</v>
      </c>
      <c r="AK150" s="83">
        <v>0</v>
      </c>
      <c r="AL150" s="49">
        <v>1</v>
      </c>
      <c r="AM150" s="49">
        <v>0</v>
      </c>
      <c r="AN150" s="49">
        <v>0</v>
      </c>
      <c r="AO150" s="58">
        <v>0</v>
      </c>
      <c r="AP150" s="174">
        <v>0</v>
      </c>
      <c r="AQ150" s="175">
        <v>613</v>
      </c>
      <c r="AR150" s="175">
        <v>0</v>
      </c>
      <c r="AS150" s="175">
        <v>0</v>
      </c>
      <c r="AT150" s="175">
        <v>0</v>
      </c>
      <c r="AU150" s="175">
        <v>0</v>
      </c>
      <c r="AV150" s="175">
        <v>0</v>
      </c>
      <c r="AW150" s="175">
        <v>0</v>
      </c>
      <c r="AX150" s="83">
        <v>0</v>
      </c>
      <c r="AY150" s="49">
        <v>0</v>
      </c>
      <c r="AZ150" s="49">
        <v>0</v>
      </c>
      <c r="BA150" s="49">
        <v>0</v>
      </c>
      <c r="BB150" s="58">
        <v>0</v>
      </c>
      <c r="BC150" s="42">
        <v>158</v>
      </c>
      <c r="BD150" s="49">
        <v>72.790000000000006</v>
      </c>
      <c r="BE150" s="49">
        <v>72.430000000000007</v>
      </c>
      <c r="BF150" s="49">
        <v>70.52</v>
      </c>
      <c r="BG150" s="49">
        <v>68.77</v>
      </c>
      <c r="BH150" s="49">
        <v>69.319999999999993</v>
      </c>
      <c r="BS150" s="58"/>
      <c r="BT150" s="83">
        <v>76.900000000000006</v>
      </c>
      <c r="CE150" s="83"/>
      <c r="CK150" s="58"/>
      <c r="CL150" s="83">
        <v>63.63</v>
      </c>
      <c r="CO150" s="58"/>
      <c r="CP150" s="83"/>
      <c r="CR150" s="58"/>
      <c r="CS150" s="83"/>
      <c r="CY150" s="83"/>
      <c r="DG150" s="58"/>
      <c r="DH150" s="83"/>
      <c r="DQ150" s="83">
        <v>78.010000000000005</v>
      </c>
      <c r="DR150" s="49">
        <v>78.16</v>
      </c>
      <c r="DS150" s="49">
        <v>77.25</v>
      </c>
      <c r="DT150" s="49">
        <v>77.959999999999994</v>
      </c>
      <c r="DU150" s="49">
        <v>76.7</v>
      </c>
      <c r="DV150" s="49">
        <v>77.849999999999994</v>
      </c>
      <c r="EE150" s="58"/>
      <c r="EF150" s="83"/>
      <c r="EI150" s="83"/>
      <c r="EK150" s="58"/>
      <c r="EL150" s="83"/>
      <c r="EO150" s="58"/>
      <c r="EP150" s="83"/>
      <c r="EQ150" s="58"/>
      <c r="ER150" s="83"/>
      <c r="ES150" s="58"/>
      <c r="ET150" s="83"/>
      <c r="EU150" s="58"/>
    </row>
    <row r="151" spans="1:151">
      <c r="A151" s="83" t="s">
        <v>319</v>
      </c>
      <c r="B151" s="173" t="s">
        <v>116</v>
      </c>
      <c r="C151" s="173" t="s">
        <v>500</v>
      </c>
      <c r="D151" s="83" t="s">
        <v>112</v>
      </c>
      <c r="F151" s="49" t="s">
        <v>286</v>
      </c>
      <c r="G151" s="60">
        <v>-5.6630000000000003</v>
      </c>
      <c r="I151" s="49">
        <v>1029</v>
      </c>
      <c r="J151" s="159">
        <v>1.6464000000000001</v>
      </c>
      <c r="K151" s="49">
        <v>1</v>
      </c>
      <c r="L151" s="49">
        <v>2</v>
      </c>
      <c r="M151" s="83">
        <v>0</v>
      </c>
      <c r="N151" s="49">
        <v>0</v>
      </c>
      <c r="O151" s="49">
        <v>1</v>
      </c>
      <c r="P151" s="49">
        <v>1</v>
      </c>
      <c r="Q151" s="58">
        <v>0</v>
      </c>
      <c r="R151" s="42">
        <v>2</v>
      </c>
      <c r="S151" s="83">
        <v>1</v>
      </c>
      <c r="U151" s="83">
        <v>1</v>
      </c>
      <c r="V151" s="49">
        <v>3</v>
      </c>
      <c r="W151" s="49">
        <v>1</v>
      </c>
      <c r="X151" s="58">
        <v>2</v>
      </c>
      <c r="Y151" s="83" t="s">
        <v>78</v>
      </c>
      <c r="AD151" s="49">
        <v>12</v>
      </c>
      <c r="AE151" s="49">
        <v>35</v>
      </c>
      <c r="AH151" s="49">
        <v>5</v>
      </c>
      <c r="AI151" s="49">
        <v>16</v>
      </c>
      <c r="AJ151" s="49">
        <v>0</v>
      </c>
      <c r="AK151" s="83">
        <v>0</v>
      </c>
      <c r="AL151" s="49">
        <v>1</v>
      </c>
      <c r="AM151" s="49">
        <v>0</v>
      </c>
      <c r="AN151" s="49">
        <v>0</v>
      </c>
      <c r="AO151" s="58">
        <v>0</v>
      </c>
      <c r="AP151" s="174">
        <v>0</v>
      </c>
      <c r="AQ151" s="175">
        <v>325</v>
      </c>
      <c r="AR151" s="175">
        <v>0</v>
      </c>
      <c r="AS151" s="175">
        <v>0</v>
      </c>
      <c r="AT151" s="175">
        <v>0</v>
      </c>
      <c r="AU151" s="175">
        <v>0</v>
      </c>
      <c r="AV151" s="175">
        <v>0</v>
      </c>
      <c r="AW151" s="175">
        <v>0</v>
      </c>
      <c r="AX151" s="83">
        <v>0</v>
      </c>
      <c r="AY151" s="49">
        <v>0</v>
      </c>
      <c r="AZ151" s="49">
        <v>0</v>
      </c>
      <c r="BA151" s="49">
        <v>0</v>
      </c>
      <c r="BB151" s="58">
        <v>0</v>
      </c>
      <c r="BC151" s="42">
        <v>119</v>
      </c>
      <c r="BD151" s="49">
        <v>80.400000000000006</v>
      </c>
      <c r="BE151" s="159">
        <v>81.92</v>
      </c>
      <c r="BS151" s="58"/>
      <c r="BT151" s="83">
        <v>69.72</v>
      </c>
      <c r="CE151" s="83"/>
      <c r="CK151" s="58"/>
      <c r="CL151" s="83">
        <v>63.73</v>
      </c>
      <c r="CO151" s="58"/>
      <c r="CP151" s="83"/>
      <c r="CR151" s="58"/>
      <c r="CS151" s="83"/>
      <c r="CY151" s="83"/>
      <c r="DG151" s="58"/>
      <c r="DH151" s="83"/>
      <c r="DQ151" s="83"/>
      <c r="EE151" s="58"/>
      <c r="EF151" s="83"/>
      <c r="EI151" s="83"/>
      <c r="EK151" s="58"/>
      <c r="EL151" s="83"/>
      <c r="EO151" s="58"/>
      <c r="EP151" s="83"/>
      <c r="EQ151" s="58"/>
      <c r="ER151" s="83"/>
      <c r="ES151" s="58"/>
      <c r="ET151" s="83"/>
      <c r="EU151" s="58"/>
    </row>
    <row r="152" spans="1:151">
      <c r="A152" s="83" t="s">
        <v>319</v>
      </c>
      <c r="B152" s="173" t="s">
        <v>116</v>
      </c>
      <c r="C152" s="173" t="s">
        <v>500</v>
      </c>
      <c r="D152" s="83" t="s">
        <v>118</v>
      </c>
      <c r="F152" s="49" t="s">
        <v>286</v>
      </c>
      <c r="G152" s="60">
        <v>-5.6630000000000003</v>
      </c>
      <c r="I152" s="49">
        <v>1627</v>
      </c>
      <c r="J152" s="159">
        <v>3.575824175824176</v>
      </c>
      <c r="K152" s="49">
        <v>1</v>
      </c>
      <c r="L152" s="49">
        <v>3</v>
      </c>
      <c r="M152" s="83">
        <v>1</v>
      </c>
      <c r="N152" s="49">
        <v>0</v>
      </c>
      <c r="O152" s="49">
        <v>1</v>
      </c>
      <c r="P152" s="49">
        <v>0</v>
      </c>
      <c r="Q152" s="58">
        <v>0</v>
      </c>
      <c r="R152" s="42">
        <v>2</v>
      </c>
      <c r="S152" s="83" t="s">
        <v>284</v>
      </c>
      <c r="U152" s="83">
        <v>0</v>
      </c>
      <c r="V152" s="49">
        <v>0</v>
      </c>
      <c r="W152" s="49">
        <v>0</v>
      </c>
      <c r="X152" s="58"/>
      <c r="Y152" s="83">
        <v>5</v>
      </c>
      <c r="AE152" s="49">
        <v>23</v>
      </c>
      <c r="AH152" s="49">
        <v>33</v>
      </c>
      <c r="AI152" s="49">
        <v>767</v>
      </c>
      <c r="AJ152" s="49">
        <v>0</v>
      </c>
      <c r="AK152" s="83">
        <v>0</v>
      </c>
      <c r="AL152" s="49">
        <v>0</v>
      </c>
      <c r="AM152" s="49">
        <v>1</v>
      </c>
      <c r="AN152" s="49">
        <v>0</v>
      </c>
      <c r="AO152" s="58">
        <v>0</v>
      </c>
      <c r="AP152" s="174">
        <v>0</v>
      </c>
      <c r="AQ152" s="175">
        <v>0</v>
      </c>
      <c r="AR152" s="175">
        <v>0</v>
      </c>
      <c r="AS152" s="175">
        <v>326</v>
      </c>
      <c r="AT152" s="175">
        <v>0</v>
      </c>
      <c r="AU152" s="175">
        <v>0</v>
      </c>
      <c r="AV152" s="175">
        <v>0</v>
      </c>
      <c r="AW152" s="175">
        <v>0</v>
      </c>
      <c r="AX152" s="83">
        <v>0</v>
      </c>
      <c r="AY152" s="49">
        <v>0</v>
      </c>
      <c r="AZ152" s="49">
        <v>0</v>
      </c>
      <c r="BA152" s="49">
        <v>0</v>
      </c>
      <c r="BB152" s="58">
        <v>0</v>
      </c>
      <c r="BC152" s="42">
        <v>238</v>
      </c>
      <c r="BS152" s="58"/>
      <c r="BT152" s="83"/>
      <c r="CE152" s="83"/>
      <c r="CK152" s="58"/>
      <c r="CL152" s="83"/>
      <c r="CO152" s="58"/>
      <c r="CP152" s="83"/>
      <c r="CR152" s="58"/>
      <c r="CS152" s="83"/>
      <c r="CY152" s="83"/>
      <c r="DG152" s="58"/>
      <c r="DH152" s="83"/>
      <c r="DQ152" s="83"/>
      <c r="EE152" s="58"/>
      <c r="EF152" s="83"/>
      <c r="EI152" s="83"/>
      <c r="EK152" s="58"/>
      <c r="EL152" s="83"/>
      <c r="EO152" s="58"/>
      <c r="EP152" s="83"/>
      <c r="EQ152" s="58"/>
      <c r="ER152" s="83"/>
      <c r="ES152" s="58"/>
      <c r="ET152" s="83"/>
      <c r="EU152" s="58"/>
    </row>
    <row r="153" spans="1:151">
      <c r="A153" s="83" t="s">
        <v>319</v>
      </c>
      <c r="B153" s="173" t="s">
        <v>116</v>
      </c>
      <c r="C153" s="173" t="s">
        <v>500</v>
      </c>
      <c r="D153" s="83" t="s">
        <v>113</v>
      </c>
      <c r="F153" s="49" t="s">
        <v>286</v>
      </c>
      <c r="G153" s="60">
        <v>-5.6630000000000003</v>
      </c>
      <c r="I153" s="49">
        <v>1673</v>
      </c>
      <c r="J153" s="159">
        <v>1.9296424452133796</v>
      </c>
      <c r="K153" s="49">
        <v>1</v>
      </c>
      <c r="L153" s="49">
        <v>2</v>
      </c>
      <c r="M153" s="83">
        <v>0</v>
      </c>
      <c r="N153" s="49">
        <v>3</v>
      </c>
      <c r="O153" s="49">
        <v>0</v>
      </c>
      <c r="P153" s="49">
        <v>1</v>
      </c>
      <c r="Q153" s="58">
        <v>0</v>
      </c>
      <c r="R153" s="42">
        <v>4</v>
      </c>
      <c r="S153" s="83" t="s">
        <v>283</v>
      </c>
      <c r="T153" s="49">
        <v>16</v>
      </c>
      <c r="U153" s="83">
        <v>1</v>
      </c>
      <c r="V153" s="49">
        <v>2</v>
      </c>
      <c r="W153" s="49">
        <v>2</v>
      </c>
      <c r="X153" s="58"/>
      <c r="Y153" s="83">
        <v>4</v>
      </c>
      <c r="AF153" s="49">
        <v>74</v>
      </c>
      <c r="AG153" s="49">
        <v>215</v>
      </c>
      <c r="AJ153" s="49">
        <v>0</v>
      </c>
      <c r="AK153" s="83">
        <v>0</v>
      </c>
      <c r="AL153" s="49">
        <v>1</v>
      </c>
      <c r="AM153" s="49">
        <v>1</v>
      </c>
      <c r="AN153" s="49">
        <v>0</v>
      </c>
      <c r="AO153" s="58">
        <v>0</v>
      </c>
      <c r="AP153" s="174" t="s">
        <v>501</v>
      </c>
      <c r="AQ153" s="175" t="s">
        <v>501</v>
      </c>
      <c r="AR153" s="175" t="s">
        <v>501</v>
      </c>
      <c r="AS153" s="175" t="s">
        <v>501</v>
      </c>
      <c r="AT153" s="175" t="s">
        <v>284</v>
      </c>
      <c r="AU153" s="175" t="s">
        <v>284</v>
      </c>
      <c r="AV153" s="175" t="s">
        <v>284</v>
      </c>
      <c r="AW153" s="175" t="s">
        <v>284</v>
      </c>
      <c r="AX153" s="83">
        <v>0</v>
      </c>
      <c r="AY153" s="49">
        <v>0</v>
      </c>
      <c r="AZ153" s="49">
        <v>0</v>
      </c>
      <c r="BA153" s="49">
        <v>0</v>
      </c>
      <c r="BB153" s="58">
        <v>0</v>
      </c>
      <c r="BC153" s="42">
        <v>163</v>
      </c>
      <c r="BD153" s="49">
        <v>79.88</v>
      </c>
      <c r="BE153" s="159">
        <v>80.599999999999994</v>
      </c>
      <c r="BS153" s="58"/>
      <c r="BT153" s="83"/>
      <c r="CE153" s="83"/>
      <c r="CK153" s="58"/>
      <c r="CL153" s="83">
        <v>61.45</v>
      </c>
      <c r="CO153" s="58"/>
      <c r="CP153" s="83"/>
      <c r="CR153" s="58"/>
      <c r="CS153" s="83"/>
      <c r="CY153" s="83"/>
      <c r="DG153" s="58"/>
      <c r="DH153" s="83"/>
      <c r="DQ153" s="83">
        <v>73.56</v>
      </c>
      <c r="EE153" s="58"/>
      <c r="EF153" s="83"/>
      <c r="EI153" s="83"/>
      <c r="EK153" s="58"/>
      <c r="EL153" s="83"/>
      <c r="EO153" s="58"/>
      <c r="EP153" s="83"/>
      <c r="EQ153" s="58"/>
      <c r="ER153" s="83"/>
      <c r="ES153" s="58"/>
      <c r="ET153" s="83"/>
      <c r="EU153" s="58"/>
    </row>
    <row r="154" spans="1:151">
      <c r="A154" s="83" t="s">
        <v>319</v>
      </c>
      <c r="B154" s="173" t="s">
        <v>116</v>
      </c>
      <c r="C154" s="173" t="s">
        <v>500</v>
      </c>
      <c r="D154" s="83" t="s">
        <v>96</v>
      </c>
      <c r="F154" s="49" t="s">
        <v>286</v>
      </c>
      <c r="G154" s="60">
        <v>-5.6630000000000003</v>
      </c>
      <c r="I154" s="49">
        <v>1220</v>
      </c>
      <c r="J154" s="159">
        <v>1.5581098339719028</v>
      </c>
      <c r="K154" s="49">
        <v>1</v>
      </c>
      <c r="L154" s="49">
        <v>3</v>
      </c>
      <c r="M154" s="83">
        <v>1</v>
      </c>
      <c r="N154" s="49">
        <v>0</v>
      </c>
      <c r="O154" s="49">
        <v>1</v>
      </c>
      <c r="P154" s="49">
        <v>1</v>
      </c>
      <c r="Q154" s="58">
        <v>0</v>
      </c>
      <c r="R154" s="42">
        <v>3</v>
      </c>
      <c r="S154" s="83">
        <v>1</v>
      </c>
      <c r="U154" s="83">
        <v>2</v>
      </c>
      <c r="V154" s="49">
        <v>3</v>
      </c>
      <c r="W154" s="49">
        <v>1</v>
      </c>
      <c r="X154" s="58">
        <v>3</v>
      </c>
      <c r="Y154" s="83" t="s">
        <v>78</v>
      </c>
      <c r="AA154" s="49">
        <v>19</v>
      </c>
      <c r="AD154" s="49">
        <v>24</v>
      </c>
      <c r="AE154" s="49">
        <v>36</v>
      </c>
      <c r="AJ154" s="49">
        <v>0</v>
      </c>
      <c r="AK154" s="83">
        <v>0</v>
      </c>
      <c r="AL154" s="49">
        <v>0</v>
      </c>
      <c r="AM154" s="49">
        <v>0</v>
      </c>
      <c r="AN154" s="49">
        <v>0</v>
      </c>
      <c r="AO154" s="58">
        <v>0</v>
      </c>
      <c r="AP154" s="174" t="s">
        <v>284</v>
      </c>
      <c r="AQ154" s="175" t="s">
        <v>284</v>
      </c>
      <c r="AR154" s="175" t="s">
        <v>284</v>
      </c>
      <c r="AS154" s="175" t="s">
        <v>284</v>
      </c>
      <c r="AT154" s="175" t="s">
        <v>284</v>
      </c>
      <c r="AU154" s="175" t="s">
        <v>284</v>
      </c>
      <c r="AV154" s="175" t="s">
        <v>284</v>
      </c>
      <c r="AW154" s="175" t="s">
        <v>284</v>
      </c>
      <c r="AX154" s="83">
        <v>0</v>
      </c>
      <c r="AY154" s="49">
        <v>0</v>
      </c>
      <c r="AZ154" s="49">
        <v>0</v>
      </c>
      <c r="BA154" s="49">
        <v>0</v>
      </c>
      <c r="BB154" s="58">
        <v>0</v>
      </c>
      <c r="BC154" s="42">
        <v>143</v>
      </c>
      <c r="BS154" s="58"/>
      <c r="BT154" s="83"/>
      <c r="CE154" s="83"/>
      <c r="CK154" s="58"/>
      <c r="CL154" s="83"/>
      <c r="CO154" s="58"/>
      <c r="CP154" s="83"/>
      <c r="CR154" s="58"/>
      <c r="CS154" s="83"/>
      <c r="CY154" s="83"/>
      <c r="DG154" s="58"/>
      <c r="DH154" s="83"/>
      <c r="DQ154" s="83"/>
      <c r="EE154" s="58"/>
      <c r="EF154" s="83"/>
      <c r="EI154" s="83"/>
      <c r="EK154" s="58"/>
      <c r="EL154" s="83"/>
      <c r="EO154" s="58"/>
      <c r="EP154" s="83"/>
      <c r="EQ154" s="58"/>
      <c r="ER154" s="83"/>
      <c r="ES154" s="58"/>
      <c r="ET154" s="83"/>
      <c r="EU154" s="58"/>
    </row>
    <row r="155" spans="1:151">
      <c r="A155" s="83" t="s">
        <v>319</v>
      </c>
      <c r="B155" s="173" t="s">
        <v>116</v>
      </c>
      <c r="C155" s="173" t="s">
        <v>500</v>
      </c>
      <c r="D155" s="83" t="s">
        <v>97</v>
      </c>
      <c r="F155" s="49" t="s">
        <v>286</v>
      </c>
      <c r="G155" s="60">
        <v>-5.6630000000000003</v>
      </c>
      <c r="I155" s="49">
        <v>1732</v>
      </c>
      <c r="J155" s="159">
        <v>1.0962025316455697</v>
      </c>
      <c r="K155" s="49">
        <v>4</v>
      </c>
      <c r="L155" s="49">
        <v>3</v>
      </c>
      <c r="M155" s="83">
        <v>0</v>
      </c>
      <c r="N155" s="49">
        <v>2</v>
      </c>
      <c r="O155" s="49">
        <v>1</v>
      </c>
      <c r="P155" s="49">
        <v>1</v>
      </c>
      <c r="Q155" s="58">
        <v>0</v>
      </c>
      <c r="R155" s="42">
        <v>4</v>
      </c>
      <c r="S155" s="83" t="s">
        <v>283</v>
      </c>
      <c r="T155" s="49">
        <v>10</v>
      </c>
      <c r="U155" s="83">
        <v>3</v>
      </c>
      <c r="V155" s="49">
        <v>3</v>
      </c>
      <c r="W155" s="49">
        <v>3</v>
      </c>
      <c r="X155" s="58">
        <v>3</v>
      </c>
      <c r="Y155" s="83">
        <v>10</v>
      </c>
      <c r="Z155" s="49">
        <v>15</v>
      </c>
      <c r="AA155" s="49">
        <v>55</v>
      </c>
      <c r="AD155" s="49">
        <v>16</v>
      </c>
      <c r="AE155" s="49">
        <v>136</v>
      </c>
      <c r="AF155" s="49">
        <v>15</v>
      </c>
      <c r="AG155" s="49">
        <v>131</v>
      </c>
      <c r="AH155" s="49">
        <v>30</v>
      </c>
      <c r="AI155" s="49">
        <v>309</v>
      </c>
      <c r="AJ155" s="49">
        <v>0</v>
      </c>
      <c r="AK155" s="83">
        <v>0</v>
      </c>
      <c r="AL155" s="49">
        <v>1</v>
      </c>
      <c r="AM155" s="49">
        <v>1</v>
      </c>
      <c r="AN155" s="49">
        <v>0</v>
      </c>
      <c r="AO155" s="58">
        <v>0</v>
      </c>
      <c r="AP155" s="174">
        <v>0</v>
      </c>
      <c r="AQ155" s="175">
        <v>197</v>
      </c>
      <c r="AR155" s="175">
        <v>110</v>
      </c>
      <c r="AS155" s="175">
        <v>421</v>
      </c>
      <c r="AT155" s="175" t="s">
        <v>284</v>
      </c>
      <c r="AU155" s="175" t="s">
        <v>284</v>
      </c>
      <c r="AV155" s="175" t="s">
        <v>284</v>
      </c>
      <c r="AW155" s="175" t="s">
        <v>284</v>
      </c>
      <c r="AX155" s="83">
        <v>0</v>
      </c>
      <c r="AY155" s="49">
        <v>0</v>
      </c>
      <c r="AZ155" s="49">
        <v>0</v>
      </c>
      <c r="BA155" s="49">
        <v>0</v>
      </c>
      <c r="BB155" s="58">
        <v>0</v>
      </c>
      <c r="BC155" s="42">
        <v>127</v>
      </c>
      <c r="BS155" s="58"/>
      <c r="BT155" s="83">
        <v>75.91</v>
      </c>
      <c r="BU155" s="49">
        <v>74.37</v>
      </c>
      <c r="BV155" s="49">
        <v>68.58</v>
      </c>
      <c r="CE155" s="83"/>
      <c r="CK155" s="58"/>
      <c r="CL155" s="83">
        <v>61.22</v>
      </c>
      <c r="CO155" s="58"/>
      <c r="CP155" s="83"/>
      <c r="CR155" s="58"/>
      <c r="CS155" s="83"/>
      <c r="CY155" s="83"/>
      <c r="DG155" s="58"/>
      <c r="DH155" s="83"/>
      <c r="DQ155" s="83"/>
      <c r="EE155" s="58"/>
      <c r="EF155" s="83"/>
      <c r="EI155" s="83"/>
      <c r="EK155" s="58"/>
      <c r="EL155" s="83"/>
      <c r="EO155" s="58"/>
      <c r="EP155" s="83"/>
      <c r="EQ155" s="58"/>
      <c r="ER155" s="83"/>
      <c r="ES155" s="58"/>
      <c r="ET155" s="83"/>
      <c r="EU155" s="58"/>
    </row>
    <row r="156" spans="1:151">
      <c r="A156" s="83" t="s">
        <v>319</v>
      </c>
      <c r="B156" s="173" t="s">
        <v>116</v>
      </c>
      <c r="C156" s="173" t="s">
        <v>500</v>
      </c>
      <c r="D156" s="83" t="s">
        <v>98</v>
      </c>
      <c r="F156" s="49" t="s">
        <v>286</v>
      </c>
      <c r="G156" s="60">
        <v>-5.6630000000000003</v>
      </c>
      <c r="I156" s="49">
        <v>1191</v>
      </c>
      <c r="J156" s="159">
        <v>1.5269230769230768</v>
      </c>
      <c r="K156" s="49">
        <v>1</v>
      </c>
      <c r="L156" s="49">
        <v>3</v>
      </c>
      <c r="M156" s="83">
        <v>1</v>
      </c>
      <c r="N156" s="49">
        <v>1</v>
      </c>
      <c r="O156" s="49">
        <v>1</v>
      </c>
      <c r="P156" s="49">
        <v>0</v>
      </c>
      <c r="Q156" s="58">
        <v>0</v>
      </c>
      <c r="R156" s="42">
        <v>3</v>
      </c>
      <c r="S156" s="83">
        <v>1</v>
      </c>
      <c r="U156" s="83">
        <v>1</v>
      </c>
      <c r="V156" s="49">
        <v>1</v>
      </c>
      <c r="W156" s="49">
        <v>1</v>
      </c>
      <c r="X156" s="58">
        <v>1</v>
      </c>
      <c r="Y156" s="83">
        <v>0</v>
      </c>
      <c r="AJ156" s="49">
        <v>0</v>
      </c>
      <c r="AK156" s="83">
        <v>0</v>
      </c>
      <c r="AL156" s="49">
        <v>1</v>
      </c>
      <c r="AM156" s="49">
        <v>0</v>
      </c>
      <c r="AN156" s="49">
        <v>0</v>
      </c>
      <c r="AO156" s="58">
        <v>0</v>
      </c>
      <c r="AP156" s="174">
        <v>217</v>
      </c>
      <c r="AQ156" s="175">
        <v>434</v>
      </c>
      <c r="AR156" s="175">
        <v>0</v>
      </c>
      <c r="AS156" s="175">
        <v>0</v>
      </c>
      <c r="AT156" s="175">
        <v>0</v>
      </c>
      <c r="AU156" s="175">
        <v>0</v>
      </c>
      <c r="AV156" s="175">
        <v>0</v>
      </c>
      <c r="AW156" s="175">
        <v>0</v>
      </c>
      <c r="AX156" s="83">
        <v>0</v>
      </c>
      <c r="AY156" s="49">
        <v>0</v>
      </c>
      <c r="AZ156" s="49">
        <v>0</v>
      </c>
      <c r="BA156" s="49">
        <v>0</v>
      </c>
      <c r="BB156" s="58">
        <v>0</v>
      </c>
      <c r="BC156" s="42">
        <v>162</v>
      </c>
      <c r="BS156" s="58"/>
      <c r="BT156" s="83"/>
      <c r="CE156" s="83"/>
      <c r="CK156" s="58"/>
      <c r="CL156" s="83"/>
      <c r="CO156" s="58"/>
      <c r="CP156" s="83"/>
      <c r="CR156" s="58"/>
      <c r="CS156" s="83"/>
      <c r="CY156" s="83"/>
      <c r="DG156" s="58"/>
      <c r="DH156" s="83"/>
      <c r="DQ156" s="83"/>
      <c r="EE156" s="58"/>
      <c r="EF156" s="83"/>
      <c r="EI156" s="83"/>
      <c r="EK156" s="58"/>
      <c r="EL156" s="83"/>
      <c r="EO156" s="58"/>
      <c r="EP156" s="83"/>
      <c r="EQ156" s="58"/>
      <c r="ER156" s="83"/>
      <c r="ES156" s="58"/>
      <c r="ET156" s="83"/>
      <c r="EU156" s="58"/>
    </row>
    <row r="157" spans="1:151">
      <c r="A157" s="83" t="s">
        <v>319</v>
      </c>
      <c r="B157" s="173" t="s">
        <v>116</v>
      </c>
      <c r="C157" s="173" t="s">
        <v>500</v>
      </c>
      <c r="D157" s="83" t="s">
        <v>99</v>
      </c>
      <c r="F157" s="49" t="s">
        <v>286</v>
      </c>
      <c r="G157" s="60">
        <v>-5.6630000000000003</v>
      </c>
      <c r="I157" s="49">
        <v>4907</v>
      </c>
      <c r="J157" s="159">
        <v>1.870758673274876</v>
      </c>
      <c r="K157" s="49">
        <v>1</v>
      </c>
      <c r="L157" s="49">
        <v>2</v>
      </c>
      <c r="M157" s="83">
        <v>0</v>
      </c>
      <c r="N157" s="49">
        <v>4</v>
      </c>
      <c r="O157" s="49">
        <v>1</v>
      </c>
      <c r="P157" s="49">
        <v>1</v>
      </c>
      <c r="Q157" s="58">
        <v>0</v>
      </c>
      <c r="R157" s="42">
        <v>6</v>
      </c>
      <c r="S157" s="83">
        <v>1</v>
      </c>
      <c r="T157" s="49">
        <v>32</v>
      </c>
      <c r="U157" s="83">
        <v>2</v>
      </c>
      <c r="V157" s="49">
        <v>2</v>
      </c>
      <c r="W157" s="49">
        <v>1</v>
      </c>
      <c r="X157" s="58">
        <v>2</v>
      </c>
      <c r="Y157" s="83">
        <v>15</v>
      </c>
      <c r="Z157" s="49">
        <v>10</v>
      </c>
      <c r="AA157" s="49">
        <v>40</v>
      </c>
      <c r="AD157" s="49">
        <v>30</v>
      </c>
      <c r="AE157" s="49">
        <v>310</v>
      </c>
      <c r="AF157" s="49">
        <v>20</v>
      </c>
      <c r="AG157" s="49">
        <v>240</v>
      </c>
      <c r="AH157" s="49">
        <v>40</v>
      </c>
      <c r="AI157" s="49">
        <v>1510</v>
      </c>
      <c r="AJ157" s="49">
        <v>0</v>
      </c>
      <c r="AK157" s="83">
        <v>0</v>
      </c>
      <c r="AL157" s="49">
        <v>1</v>
      </c>
      <c r="AM157" s="49">
        <v>0</v>
      </c>
      <c r="AN157" s="49">
        <v>0</v>
      </c>
      <c r="AO157" s="58">
        <v>0</v>
      </c>
      <c r="AP157" s="174">
        <v>1880</v>
      </c>
      <c r="AQ157" s="175">
        <v>2360</v>
      </c>
      <c r="AR157" s="175">
        <v>0</v>
      </c>
      <c r="AS157" s="175">
        <v>0</v>
      </c>
      <c r="AT157" s="175">
        <v>0</v>
      </c>
      <c r="AU157" s="175">
        <v>0</v>
      </c>
      <c r="AV157" s="175">
        <v>0</v>
      </c>
      <c r="AW157" s="175">
        <v>0</v>
      </c>
      <c r="AX157" s="83">
        <v>0</v>
      </c>
      <c r="AY157" s="49">
        <v>0</v>
      </c>
      <c r="AZ157" s="49">
        <v>0</v>
      </c>
      <c r="BA157" s="49">
        <v>0</v>
      </c>
      <c r="BB157" s="58">
        <v>0</v>
      </c>
      <c r="BC157" s="42">
        <v>230</v>
      </c>
      <c r="BD157" s="49">
        <v>70.28</v>
      </c>
      <c r="BE157" s="159">
        <v>70.33</v>
      </c>
      <c r="BF157" s="49">
        <v>71.36</v>
      </c>
      <c r="BS157" s="58"/>
      <c r="BT157" s="83">
        <v>77.31</v>
      </c>
      <c r="BU157" s="49">
        <v>78.09</v>
      </c>
      <c r="BV157" s="49">
        <v>75.91</v>
      </c>
      <c r="BW157" s="49">
        <v>75.8</v>
      </c>
      <c r="CE157" s="83">
        <v>69.239999999999995</v>
      </c>
      <c r="CK157" s="58"/>
      <c r="CL157" s="83">
        <v>65.67</v>
      </c>
      <c r="CM157" s="49">
        <v>61.34</v>
      </c>
      <c r="CO157" s="58"/>
      <c r="CP157" s="83"/>
      <c r="CR157" s="58"/>
      <c r="CS157" s="83"/>
      <c r="CY157" s="83">
        <v>65.55</v>
      </c>
      <c r="DG157" s="58"/>
      <c r="DH157" s="83"/>
      <c r="DQ157" s="83"/>
      <c r="EE157" s="58"/>
      <c r="EF157" s="83"/>
      <c r="EI157" s="83"/>
      <c r="EK157" s="58"/>
      <c r="EL157" s="83">
        <v>76.3</v>
      </c>
      <c r="EO157" s="58"/>
      <c r="EP157" s="83"/>
      <c r="EQ157" s="58"/>
      <c r="ER157" s="83"/>
      <c r="ES157" s="58"/>
      <c r="ET157" s="83"/>
      <c r="EU157" s="58"/>
    </row>
    <row r="158" spans="1:151">
      <c r="A158" s="83" t="s">
        <v>319</v>
      </c>
      <c r="B158" s="173" t="s">
        <v>116</v>
      </c>
      <c r="C158" s="173" t="s">
        <v>500</v>
      </c>
      <c r="D158" s="83" t="s">
        <v>100</v>
      </c>
      <c r="F158" s="49" t="s">
        <v>286</v>
      </c>
      <c r="G158" s="60">
        <v>-5.6630000000000003</v>
      </c>
      <c r="I158" s="49">
        <v>1937</v>
      </c>
      <c r="J158" s="159">
        <v>4.6450839328537175</v>
      </c>
      <c r="K158" s="49">
        <v>1</v>
      </c>
      <c r="L158" s="49">
        <v>3</v>
      </c>
      <c r="M158" s="83">
        <v>0</v>
      </c>
      <c r="N158" s="49">
        <v>2</v>
      </c>
      <c r="O158" s="49">
        <v>0</v>
      </c>
      <c r="P158" s="49">
        <v>0</v>
      </c>
      <c r="Q158" s="58">
        <v>0</v>
      </c>
      <c r="R158" s="42">
        <v>2</v>
      </c>
      <c r="S158" s="83" t="s">
        <v>283</v>
      </c>
      <c r="T158" s="49">
        <v>29</v>
      </c>
      <c r="U158" s="83">
        <v>1</v>
      </c>
      <c r="V158" s="49">
        <v>3</v>
      </c>
      <c r="W158" s="49">
        <v>2</v>
      </c>
      <c r="X158" s="58"/>
      <c r="Y158" s="83">
        <v>2</v>
      </c>
      <c r="AD158" s="49">
        <v>25</v>
      </c>
      <c r="AE158" s="49">
        <v>72</v>
      </c>
      <c r="AF158" s="49">
        <v>20</v>
      </c>
      <c r="AG158" s="49">
        <v>101</v>
      </c>
      <c r="AI158" s="49">
        <v>185</v>
      </c>
      <c r="AJ158" s="49">
        <v>0</v>
      </c>
      <c r="AK158" s="83">
        <v>0</v>
      </c>
      <c r="AL158" s="49">
        <v>1</v>
      </c>
      <c r="AM158" s="49">
        <v>0</v>
      </c>
      <c r="AN158" s="49">
        <v>0</v>
      </c>
      <c r="AO158" s="58">
        <v>0</v>
      </c>
      <c r="AP158" s="174">
        <v>0</v>
      </c>
      <c r="AQ158" s="175">
        <v>315</v>
      </c>
      <c r="AR158" s="175">
        <v>1158</v>
      </c>
      <c r="AS158" s="175" t="s">
        <v>284</v>
      </c>
      <c r="AT158" s="175" t="s">
        <v>284</v>
      </c>
      <c r="AU158" s="175" t="s">
        <v>284</v>
      </c>
      <c r="AV158" s="175" t="s">
        <v>284</v>
      </c>
      <c r="AW158" s="175" t="s">
        <v>284</v>
      </c>
      <c r="AX158" s="83">
        <v>0</v>
      </c>
      <c r="AY158" s="49">
        <v>0</v>
      </c>
      <c r="AZ158" s="49">
        <v>0</v>
      </c>
      <c r="BA158" s="49">
        <v>0</v>
      </c>
      <c r="BB158" s="58">
        <v>0</v>
      </c>
      <c r="BC158" s="42">
        <v>155</v>
      </c>
      <c r="BS158" s="58"/>
      <c r="BT158" s="83"/>
      <c r="CE158" s="83"/>
      <c r="CK158" s="58"/>
      <c r="CL158" s="83"/>
      <c r="CO158" s="58"/>
      <c r="CP158" s="83"/>
      <c r="CR158" s="58"/>
      <c r="CS158" s="83"/>
      <c r="CY158" s="83"/>
      <c r="DG158" s="58"/>
      <c r="DH158" s="83"/>
      <c r="DQ158" s="83"/>
      <c r="EE158" s="58"/>
      <c r="EF158" s="83"/>
      <c r="EI158" s="83"/>
      <c r="EK158" s="58"/>
      <c r="EL158" s="83"/>
      <c r="EO158" s="58"/>
      <c r="EP158" s="83"/>
      <c r="EQ158" s="58"/>
      <c r="ER158" s="83"/>
      <c r="ES158" s="58"/>
      <c r="ET158" s="83"/>
      <c r="EU158" s="58"/>
    </row>
    <row r="159" spans="1:151">
      <c r="A159" s="83" t="s">
        <v>319</v>
      </c>
      <c r="B159" s="173" t="s">
        <v>116</v>
      </c>
      <c r="C159" s="173" t="s">
        <v>500</v>
      </c>
      <c r="D159" s="83" t="s">
        <v>119</v>
      </c>
      <c r="F159" s="49" t="s">
        <v>286</v>
      </c>
      <c r="G159" s="60">
        <v>-5.6630000000000003</v>
      </c>
      <c r="I159" s="49">
        <v>6740</v>
      </c>
      <c r="J159" s="159">
        <v>1.5494252873563219</v>
      </c>
      <c r="K159" s="49">
        <v>1</v>
      </c>
      <c r="L159" s="49">
        <v>3</v>
      </c>
      <c r="M159" s="83">
        <v>0</v>
      </c>
      <c r="N159" s="49">
        <v>5</v>
      </c>
      <c r="O159" s="49">
        <v>0</v>
      </c>
      <c r="P159" s="49">
        <v>1</v>
      </c>
      <c r="Q159" s="58">
        <v>0</v>
      </c>
      <c r="R159" s="42">
        <v>6</v>
      </c>
      <c r="S159" s="83">
        <v>1</v>
      </c>
      <c r="T159" s="49">
        <v>3</v>
      </c>
      <c r="U159" s="83">
        <v>2</v>
      </c>
      <c r="V159" s="49">
        <v>3</v>
      </c>
      <c r="W159" s="49">
        <v>1</v>
      </c>
      <c r="X159" s="58">
        <v>2</v>
      </c>
      <c r="Y159" s="83">
        <v>15</v>
      </c>
      <c r="Z159" s="49">
        <v>20</v>
      </c>
      <c r="AA159" s="49">
        <v>60</v>
      </c>
      <c r="AD159" s="49">
        <v>40</v>
      </c>
      <c r="AE159" s="49">
        <v>450</v>
      </c>
      <c r="AF159" s="49">
        <v>30</v>
      </c>
      <c r="AG159" s="49">
        <v>660</v>
      </c>
      <c r="AH159" s="49">
        <v>70</v>
      </c>
      <c r="AI159" s="49">
        <v>1160</v>
      </c>
      <c r="AJ159" s="49">
        <v>0</v>
      </c>
      <c r="AK159" s="83">
        <v>0</v>
      </c>
      <c r="AL159" s="49">
        <v>1</v>
      </c>
      <c r="AM159" s="49">
        <v>0</v>
      </c>
      <c r="AN159" s="49">
        <v>0</v>
      </c>
      <c r="AO159" s="58">
        <v>0</v>
      </c>
      <c r="AP159" s="174">
        <v>0</v>
      </c>
      <c r="AQ159" s="175">
        <v>1435</v>
      </c>
      <c r="AR159" s="175">
        <v>0</v>
      </c>
      <c r="AS159" s="175">
        <v>0</v>
      </c>
      <c r="AT159" s="175">
        <v>0</v>
      </c>
      <c r="AU159" s="175">
        <v>0</v>
      </c>
      <c r="AV159" s="175">
        <v>0</v>
      </c>
      <c r="AW159" s="175">
        <v>0</v>
      </c>
      <c r="AX159" s="83">
        <v>0</v>
      </c>
      <c r="AY159" s="49">
        <v>0</v>
      </c>
      <c r="AZ159" s="49">
        <v>0</v>
      </c>
      <c r="BA159" s="49">
        <v>0</v>
      </c>
      <c r="BB159" s="58">
        <v>0</v>
      </c>
      <c r="BC159" s="42">
        <v>260</v>
      </c>
      <c r="BS159" s="58"/>
      <c r="BT159" s="83">
        <v>78.45</v>
      </c>
      <c r="BU159" s="49">
        <v>77.72</v>
      </c>
      <c r="BV159" s="49">
        <v>77.900000000000006</v>
      </c>
      <c r="BW159" s="49">
        <v>78.180000000000007</v>
      </c>
      <c r="CE159" s="83"/>
      <c r="CK159" s="58"/>
      <c r="CL159" s="83">
        <v>61.56</v>
      </c>
      <c r="CM159" s="49">
        <v>62.62</v>
      </c>
      <c r="CO159" s="58"/>
      <c r="CP159" s="83"/>
      <c r="CR159" s="58"/>
      <c r="CS159" s="83"/>
      <c r="CY159" s="83">
        <v>69.25</v>
      </c>
      <c r="CZ159" s="49">
        <v>71.5</v>
      </c>
      <c r="DA159" s="49">
        <v>71.88</v>
      </c>
      <c r="DB159" s="49">
        <v>77.19</v>
      </c>
      <c r="DC159" s="49">
        <v>75.03</v>
      </c>
      <c r="DD159" s="49">
        <v>71.47</v>
      </c>
      <c r="DG159" s="58"/>
      <c r="DH159" s="83"/>
      <c r="DQ159" s="83">
        <v>73.069999999999993</v>
      </c>
      <c r="EE159" s="58"/>
      <c r="EF159" s="83"/>
      <c r="EI159" s="83"/>
      <c r="EK159" s="58"/>
      <c r="EL159" s="83"/>
      <c r="EO159" s="58"/>
      <c r="EP159" s="83"/>
      <c r="EQ159" s="58"/>
      <c r="ER159" s="83"/>
      <c r="ES159" s="58"/>
      <c r="ET159" s="83"/>
      <c r="EU159" s="58"/>
    </row>
    <row r="160" spans="1:151">
      <c r="A160" s="83" t="s">
        <v>319</v>
      </c>
      <c r="B160" s="173" t="s">
        <v>116</v>
      </c>
      <c r="C160" s="173" t="s">
        <v>500</v>
      </c>
      <c r="D160" s="83" t="s">
        <v>120</v>
      </c>
      <c r="F160" s="49" t="s">
        <v>286</v>
      </c>
      <c r="G160" s="60">
        <v>-5.6630000000000003</v>
      </c>
      <c r="I160" s="49">
        <v>2457</v>
      </c>
      <c r="J160" s="159">
        <v>2.7149171270718231</v>
      </c>
      <c r="K160" s="49">
        <v>1</v>
      </c>
      <c r="L160" s="49">
        <v>3</v>
      </c>
      <c r="M160" s="83">
        <v>0</v>
      </c>
      <c r="N160" s="49">
        <v>2</v>
      </c>
      <c r="O160" s="49">
        <v>0</v>
      </c>
      <c r="P160" s="49">
        <v>0</v>
      </c>
      <c r="Q160" s="58">
        <v>0</v>
      </c>
      <c r="R160" s="42">
        <v>2</v>
      </c>
      <c r="S160" s="83">
        <v>1</v>
      </c>
      <c r="U160" s="83">
        <v>1</v>
      </c>
      <c r="V160" s="49">
        <v>2</v>
      </c>
      <c r="W160" s="49">
        <v>1</v>
      </c>
      <c r="X160" s="58">
        <v>2</v>
      </c>
      <c r="Y160" s="83">
        <v>15</v>
      </c>
      <c r="Z160" s="49">
        <v>17</v>
      </c>
      <c r="AA160" s="49">
        <v>21</v>
      </c>
      <c r="AH160" s="49">
        <v>20</v>
      </c>
      <c r="AI160" s="49">
        <v>1324</v>
      </c>
      <c r="AJ160" s="49">
        <v>0</v>
      </c>
      <c r="AK160" s="83">
        <v>0</v>
      </c>
      <c r="AL160" s="49">
        <v>0</v>
      </c>
      <c r="AM160" s="49">
        <v>1</v>
      </c>
      <c r="AN160" s="49">
        <v>0</v>
      </c>
      <c r="AO160" s="58">
        <v>0</v>
      </c>
      <c r="AP160" s="174" t="s">
        <v>284</v>
      </c>
      <c r="AQ160" s="175" t="s">
        <v>284</v>
      </c>
      <c r="AR160" s="175">
        <v>0</v>
      </c>
      <c r="AS160" s="175">
        <v>188</v>
      </c>
      <c r="AT160" s="175" t="s">
        <v>284</v>
      </c>
      <c r="AU160" s="175" t="s">
        <v>284</v>
      </c>
      <c r="AV160" s="175" t="s">
        <v>284</v>
      </c>
      <c r="AW160" s="175" t="s">
        <v>284</v>
      </c>
      <c r="AX160" s="83">
        <v>0</v>
      </c>
      <c r="AY160" s="49">
        <v>0</v>
      </c>
      <c r="AZ160" s="49">
        <v>0</v>
      </c>
      <c r="BA160" s="49">
        <v>0</v>
      </c>
      <c r="BB160" s="58">
        <v>0</v>
      </c>
      <c r="BC160" s="42">
        <v>235</v>
      </c>
      <c r="BS160" s="58"/>
      <c r="BT160" s="83"/>
      <c r="CE160" s="83"/>
      <c r="CK160" s="58"/>
      <c r="CL160" s="83"/>
      <c r="CO160" s="58"/>
      <c r="CP160" s="83"/>
      <c r="CR160" s="58"/>
      <c r="CS160" s="83"/>
      <c r="CY160" s="83"/>
      <c r="DG160" s="58"/>
      <c r="DH160" s="83"/>
      <c r="DQ160" s="83"/>
      <c r="EE160" s="58"/>
      <c r="EF160" s="83"/>
      <c r="EI160" s="83"/>
      <c r="EK160" s="58"/>
      <c r="EL160" s="83"/>
      <c r="EO160" s="58"/>
      <c r="EP160" s="83"/>
      <c r="EQ160" s="58"/>
      <c r="ER160" s="83"/>
      <c r="ES160" s="58"/>
      <c r="ET160" s="83"/>
      <c r="EU160" s="58"/>
    </row>
    <row r="161" spans="1:151">
      <c r="A161" s="83" t="s">
        <v>319</v>
      </c>
      <c r="B161" s="173" t="s">
        <v>116</v>
      </c>
      <c r="C161" s="173" t="s">
        <v>500</v>
      </c>
      <c r="D161" s="83" t="s">
        <v>66</v>
      </c>
      <c r="F161" s="49" t="s">
        <v>286</v>
      </c>
      <c r="G161" s="60">
        <v>-5.6630000000000003</v>
      </c>
      <c r="I161" s="49">
        <v>1380</v>
      </c>
      <c r="J161" s="159">
        <v>1.2321428571428572</v>
      </c>
      <c r="K161" s="49">
        <v>4</v>
      </c>
      <c r="L161" s="49">
        <v>2</v>
      </c>
      <c r="M161" s="83">
        <v>0</v>
      </c>
      <c r="N161" s="49">
        <v>1</v>
      </c>
      <c r="O161" s="49">
        <v>0</v>
      </c>
      <c r="P161" s="49">
        <v>0</v>
      </c>
      <c r="Q161" s="58">
        <v>0</v>
      </c>
      <c r="R161" s="42">
        <v>1</v>
      </c>
      <c r="S161" s="83" t="s">
        <v>283</v>
      </c>
      <c r="T161" s="49">
        <v>24</v>
      </c>
      <c r="U161" s="83">
        <v>1</v>
      </c>
      <c r="V161" s="49">
        <v>3</v>
      </c>
      <c r="W161" s="49">
        <v>2</v>
      </c>
      <c r="X161" s="58"/>
      <c r="Y161" s="83">
        <v>25</v>
      </c>
      <c r="AD161" s="49">
        <v>50</v>
      </c>
      <c r="AE161" s="49">
        <v>400</v>
      </c>
      <c r="AF161" s="49">
        <v>190</v>
      </c>
      <c r="AG161" s="49">
        <v>410</v>
      </c>
      <c r="AH161" s="49">
        <v>50</v>
      </c>
      <c r="AI161" s="49">
        <v>530</v>
      </c>
      <c r="AJ161" s="49">
        <v>0</v>
      </c>
      <c r="AK161" s="83">
        <v>0</v>
      </c>
      <c r="AL161" s="49">
        <v>1</v>
      </c>
      <c r="AM161" s="49">
        <v>0</v>
      </c>
      <c r="AN161" s="49">
        <v>0</v>
      </c>
      <c r="AO161" s="58">
        <v>0</v>
      </c>
      <c r="AP161" s="174">
        <v>0</v>
      </c>
      <c r="AQ161" s="175">
        <v>945</v>
      </c>
      <c r="AR161" s="175" t="s">
        <v>284</v>
      </c>
      <c r="AS161" s="175" t="s">
        <v>284</v>
      </c>
      <c r="AT161" s="175" t="s">
        <v>284</v>
      </c>
      <c r="AU161" s="175" t="s">
        <v>284</v>
      </c>
      <c r="AV161" s="175" t="s">
        <v>284</v>
      </c>
      <c r="AW161" s="175" t="s">
        <v>284</v>
      </c>
      <c r="AX161" s="83">
        <v>0</v>
      </c>
      <c r="AY161" s="49">
        <v>0</v>
      </c>
      <c r="AZ161" s="49">
        <v>0</v>
      </c>
      <c r="BA161" s="49">
        <v>0</v>
      </c>
      <c r="BB161" s="58">
        <v>0</v>
      </c>
      <c r="BC161" s="42">
        <v>158</v>
      </c>
      <c r="BS161" s="58"/>
      <c r="BT161" s="83"/>
      <c r="CE161" s="83"/>
      <c r="CK161" s="58"/>
      <c r="CL161" s="83"/>
      <c r="CO161" s="58"/>
      <c r="CP161" s="83"/>
      <c r="CR161" s="58"/>
      <c r="CS161" s="83"/>
      <c r="CY161" s="83"/>
      <c r="DG161" s="58"/>
      <c r="DH161" s="83"/>
      <c r="DQ161" s="83"/>
      <c r="EE161" s="58"/>
      <c r="EF161" s="83"/>
      <c r="EI161" s="83"/>
      <c r="EK161" s="58"/>
      <c r="EL161" s="83"/>
      <c r="EO161" s="58"/>
      <c r="EP161" s="83"/>
      <c r="EQ161" s="58"/>
      <c r="ER161" s="83"/>
      <c r="ES161" s="58"/>
      <c r="ET161" s="83"/>
      <c r="EU161" s="58"/>
    </row>
    <row r="162" spans="1:151">
      <c r="A162" s="83" t="s">
        <v>319</v>
      </c>
      <c r="B162" s="173" t="s">
        <v>116</v>
      </c>
      <c r="C162" s="173" t="s">
        <v>500</v>
      </c>
      <c r="D162" s="83" t="s">
        <v>67</v>
      </c>
      <c r="F162" s="49" t="s">
        <v>287</v>
      </c>
      <c r="G162" s="60">
        <v>-5.6630000000000003</v>
      </c>
      <c r="I162" s="49">
        <v>827</v>
      </c>
      <c r="J162" s="159">
        <v>1.82560706401766</v>
      </c>
      <c r="K162" s="49">
        <v>1</v>
      </c>
      <c r="L162" s="49">
        <v>2</v>
      </c>
      <c r="M162" s="83">
        <v>1</v>
      </c>
      <c r="N162" s="49">
        <v>0</v>
      </c>
      <c r="O162" s="49">
        <v>1</v>
      </c>
      <c r="P162" s="49">
        <v>0</v>
      </c>
      <c r="Q162" s="58">
        <v>0</v>
      </c>
      <c r="R162" s="42">
        <v>2</v>
      </c>
      <c r="S162" s="83" t="s">
        <v>283</v>
      </c>
      <c r="T162" s="49">
        <v>8</v>
      </c>
      <c r="U162" s="83">
        <v>1</v>
      </c>
      <c r="V162" s="49">
        <v>3</v>
      </c>
      <c r="W162" s="49">
        <v>1</v>
      </c>
      <c r="X162" s="58">
        <v>1</v>
      </c>
      <c r="Y162" s="83">
        <v>0</v>
      </c>
      <c r="AJ162" s="49">
        <v>0</v>
      </c>
      <c r="AK162" s="83">
        <v>0</v>
      </c>
      <c r="AL162" s="49">
        <v>0</v>
      </c>
      <c r="AM162" s="49">
        <v>0</v>
      </c>
      <c r="AN162" s="49">
        <v>0</v>
      </c>
      <c r="AO162" s="58">
        <v>0</v>
      </c>
      <c r="AP162" s="174" t="s">
        <v>284</v>
      </c>
      <c r="AQ162" s="175" t="s">
        <v>284</v>
      </c>
      <c r="AR162" s="175" t="s">
        <v>284</v>
      </c>
      <c r="AS162" s="175" t="s">
        <v>284</v>
      </c>
      <c r="AT162" s="175" t="s">
        <v>284</v>
      </c>
      <c r="AU162" s="175" t="s">
        <v>284</v>
      </c>
      <c r="AV162" s="175" t="s">
        <v>284</v>
      </c>
      <c r="AW162" s="175" t="s">
        <v>284</v>
      </c>
      <c r="AX162" s="83">
        <v>0</v>
      </c>
      <c r="AY162" s="49">
        <v>0</v>
      </c>
      <c r="AZ162" s="49">
        <v>0</v>
      </c>
      <c r="BA162" s="49">
        <v>0</v>
      </c>
      <c r="BB162" s="58">
        <v>0</v>
      </c>
      <c r="BC162" s="42">
        <v>127</v>
      </c>
      <c r="BD162" s="49">
        <v>81.150000000000006</v>
      </c>
      <c r="BS162" s="58"/>
      <c r="BT162" s="83">
        <v>69.11</v>
      </c>
      <c r="CE162" s="83"/>
      <c r="CK162" s="58"/>
      <c r="CL162" s="83">
        <v>43.56</v>
      </c>
      <c r="CO162" s="58"/>
      <c r="CP162" s="83"/>
      <c r="CR162" s="58"/>
      <c r="CS162" s="83"/>
      <c r="CY162" s="83"/>
      <c r="DG162" s="58"/>
      <c r="DH162" s="83"/>
      <c r="DQ162" s="83"/>
      <c r="EE162" s="58"/>
      <c r="EF162" s="83"/>
      <c r="EI162" s="83"/>
      <c r="EK162" s="58"/>
      <c r="EL162" s="83"/>
      <c r="EO162" s="58"/>
      <c r="EP162" s="83"/>
      <c r="EQ162" s="58"/>
      <c r="ER162" s="83"/>
      <c r="ES162" s="58"/>
      <c r="ET162" s="83"/>
      <c r="EU162" s="58"/>
    </row>
    <row r="163" spans="1:151">
      <c r="A163" s="83" t="s">
        <v>319</v>
      </c>
      <c r="B163" s="173" t="s">
        <v>116</v>
      </c>
      <c r="C163" s="173" t="s">
        <v>500</v>
      </c>
      <c r="D163" s="83" t="s">
        <v>68</v>
      </c>
      <c r="F163" s="49" t="s">
        <v>286</v>
      </c>
      <c r="G163" s="60">
        <v>-5.6630000000000003</v>
      </c>
      <c r="I163" s="49">
        <v>1676</v>
      </c>
      <c r="J163" s="159">
        <v>3.168241965973535</v>
      </c>
      <c r="K163" s="49">
        <v>1</v>
      </c>
      <c r="L163" s="49">
        <v>3</v>
      </c>
      <c r="M163" s="83">
        <v>0</v>
      </c>
      <c r="N163" s="49">
        <v>0</v>
      </c>
      <c r="O163" s="49">
        <v>0</v>
      </c>
      <c r="P163" s="49">
        <v>0</v>
      </c>
      <c r="Q163" s="58">
        <v>0</v>
      </c>
      <c r="R163" s="42">
        <v>0</v>
      </c>
      <c r="S163" s="83" t="s">
        <v>283</v>
      </c>
      <c r="T163" s="49">
        <v>23</v>
      </c>
      <c r="U163" s="83">
        <v>1</v>
      </c>
      <c r="V163" s="49">
        <v>2</v>
      </c>
      <c r="W163" s="49">
        <v>2</v>
      </c>
      <c r="X163" s="58"/>
      <c r="Y163" s="83">
        <v>1</v>
      </c>
      <c r="AA163" s="49">
        <v>18</v>
      </c>
      <c r="AI163" s="49">
        <v>128</v>
      </c>
      <c r="AJ163" s="49">
        <v>0</v>
      </c>
      <c r="AK163" s="83">
        <v>0</v>
      </c>
      <c r="AL163" s="49">
        <v>0</v>
      </c>
      <c r="AM163" s="49">
        <v>0</v>
      </c>
      <c r="AN163" s="49">
        <v>0</v>
      </c>
      <c r="AO163" s="58">
        <v>0</v>
      </c>
      <c r="AP163" s="174" t="s">
        <v>284</v>
      </c>
      <c r="AQ163" s="175" t="s">
        <v>284</v>
      </c>
      <c r="AR163" s="175" t="s">
        <v>284</v>
      </c>
      <c r="AS163" s="175" t="s">
        <v>284</v>
      </c>
      <c r="AT163" s="175" t="s">
        <v>284</v>
      </c>
      <c r="AU163" s="175" t="s">
        <v>284</v>
      </c>
      <c r="AV163" s="175" t="s">
        <v>284</v>
      </c>
      <c r="AW163" s="175" t="s">
        <v>284</v>
      </c>
      <c r="AX163" s="83">
        <v>0</v>
      </c>
      <c r="AY163" s="49">
        <v>0</v>
      </c>
      <c r="AZ163" s="49">
        <v>0</v>
      </c>
      <c r="BA163" s="49">
        <v>0</v>
      </c>
      <c r="BB163" s="58">
        <v>0</v>
      </c>
      <c r="BC163" s="42">
        <v>149</v>
      </c>
      <c r="BS163" s="58"/>
      <c r="BT163" s="83"/>
      <c r="CE163" s="83"/>
      <c r="CK163" s="58"/>
      <c r="CL163" s="83"/>
      <c r="CO163" s="58"/>
      <c r="CP163" s="83"/>
      <c r="CR163" s="58"/>
      <c r="CS163" s="83"/>
      <c r="CY163" s="83"/>
      <c r="DG163" s="58"/>
      <c r="DH163" s="83"/>
      <c r="DQ163" s="83"/>
      <c r="EE163" s="58"/>
      <c r="EF163" s="83"/>
      <c r="EI163" s="83"/>
      <c r="EK163" s="58"/>
      <c r="EL163" s="83"/>
      <c r="EO163" s="58"/>
      <c r="EP163" s="83"/>
      <c r="EQ163" s="58"/>
      <c r="ER163" s="83"/>
      <c r="ES163" s="58"/>
      <c r="ET163" s="83"/>
      <c r="EU163" s="58"/>
    </row>
    <row r="164" spans="1:151">
      <c r="A164" s="83" t="s">
        <v>319</v>
      </c>
      <c r="B164" s="173" t="s">
        <v>116</v>
      </c>
      <c r="C164" s="173" t="s">
        <v>500</v>
      </c>
      <c r="D164" s="83" t="s">
        <v>69</v>
      </c>
      <c r="F164" s="49" t="s">
        <v>286</v>
      </c>
      <c r="G164" s="60">
        <v>-5.6630000000000003</v>
      </c>
      <c r="I164" s="49">
        <v>2670</v>
      </c>
      <c r="J164" s="159">
        <v>1.6898734177215189</v>
      </c>
      <c r="K164" s="49">
        <v>1</v>
      </c>
      <c r="L164" s="49">
        <v>1</v>
      </c>
      <c r="M164" s="83">
        <v>1</v>
      </c>
      <c r="N164" s="49">
        <v>0</v>
      </c>
      <c r="O164" s="49">
        <v>1</v>
      </c>
      <c r="P164" s="49">
        <v>1</v>
      </c>
      <c r="Q164" s="58">
        <v>0</v>
      </c>
      <c r="R164" s="42">
        <v>3</v>
      </c>
      <c r="S164" s="83" t="s">
        <v>283</v>
      </c>
      <c r="T164" s="49">
        <v>42</v>
      </c>
      <c r="U164" s="83">
        <v>1</v>
      </c>
      <c r="V164" s="49">
        <v>1</v>
      </c>
      <c r="W164" s="49">
        <v>1</v>
      </c>
      <c r="X164" s="58">
        <v>2</v>
      </c>
      <c r="Y164" s="83">
        <v>3</v>
      </c>
      <c r="Z164" s="49">
        <v>10</v>
      </c>
      <c r="AA164" s="49">
        <v>40</v>
      </c>
      <c r="AD164" s="49">
        <v>30</v>
      </c>
      <c r="AE164" s="49">
        <v>80</v>
      </c>
      <c r="AG164" s="49">
        <v>110</v>
      </c>
      <c r="AI164" s="49">
        <v>90</v>
      </c>
      <c r="AJ164" s="49">
        <v>0</v>
      </c>
      <c r="AK164" s="83">
        <v>0</v>
      </c>
      <c r="AL164" s="49">
        <v>1</v>
      </c>
      <c r="AM164" s="49">
        <v>0</v>
      </c>
      <c r="AN164" s="49">
        <v>0</v>
      </c>
      <c r="AO164" s="58">
        <v>0</v>
      </c>
      <c r="AP164" s="174">
        <v>0</v>
      </c>
      <c r="AQ164" s="175">
        <v>786</v>
      </c>
      <c r="AR164" s="175" t="s">
        <v>284</v>
      </c>
      <c r="AS164" s="175" t="s">
        <v>284</v>
      </c>
      <c r="AT164" s="175" t="s">
        <v>284</v>
      </c>
      <c r="AU164" s="175" t="s">
        <v>284</v>
      </c>
      <c r="AV164" s="175" t="s">
        <v>284</v>
      </c>
      <c r="AW164" s="175" t="s">
        <v>284</v>
      </c>
      <c r="AX164" s="83">
        <v>0</v>
      </c>
      <c r="AY164" s="49">
        <v>0</v>
      </c>
      <c r="AZ164" s="49">
        <v>0</v>
      </c>
      <c r="BA164" s="49">
        <v>0</v>
      </c>
      <c r="BB164" s="58">
        <v>0</v>
      </c>
      <c r="BC164" s="42">
        <v>138</v>
      </c>
      <c r="BD164" s="49">
        <v>78.260000000000005</v>
      </c>
      <c r="BS164" s="58"/>
      <c r="BT164" s="83">
        <v>76.58</v>
      </c>
      <c r="BU164" s="49">
        <v>77.55</v>
      </c>
      <c r="BV164" s="49">
        <v>79.64</v>
      </c>
      <c r="CE164" s="83"/>
      <c r="CK164" s="58"/>
      <c r="CL164" s="83">
        <v>61.71</v>
      </c>
      <c r="CO164" s="58"/>
      <c r="CP164" s="83"/>
      <c r="CR164" s="58"/>
      <c r="CS164" s="83"/>
      <c r="CY164" s="83"/>
      <c r="DG164" s="58"/>
      <c r="DH164" s="83"/>
      <c r="DQ164" s="83"/>
      <c r="EE164" s="58"/>
      <c r="EF164" s="83"/>
      <c r="EI164" s="83"/>
      <c r="EK164" s="58"/>
      <c r="EL164" s="83"/>
      <c r="EO164" s="58"/>
      <c r="EP164" s="83"/>
      <c r="EQ164" s="58"/>
      <c r="ER164" s="83"/>
      <c r="ES164" s="58"/>
      <c r="ET164" s="83"/>
      <c r="EU164" s="58"/>
    </row>
    <row r="165" spans="1:151">
      <c r="A165" s="83" t="s">
        <v>319</v>
      </c>
      <c r="B165" s="173" t="s">
        <v>116</v>
      </c>
      <c r="C165" s="173" t="s">
        <v>500</v>
      </c>
      <c r="D165" s="83" t="s">
        <v>121</v>
      </c>
      <c r="F165" s="49" t="s">
        <v>286</v>
      </c>
      <c r="G165" s="60">
        <v>-5.6630000000000003</v>
      </c>
      <c r="I165" s="49">
        <v>4250</v>
      </c>
      <c r="J165" s="159">
        <v>2.5914634146341462</v>
      </c>
      <c r="K165" s="49">
        <v>4</v>
      </c>
      <c r="L165" s="49">
        <v>2</v>
      </c>
      <c r="M165" s="83">
        <v>0</v>
      </c>
      <c r="N165" s="49">
        <v>0</v>
      </c>
      <c r="O165" s="49">
        <v>0</v>
      </c>
      <c r="P165" s="49">
        <v>1</v>
      </c>
      <c r="Q165" s="58">
        <v>0</v>
      </c>
      <c r="R165" s="42">
        <v>1</v>
      </c>
      <c r="S165" s="83">
        <v>1</v>
      </c>
      <c r="U165" s="83">
        <v>1</v>
      </c>
      <c r="V165" s="49">
        <v>3</v>
      </c>
      <c r="W165" s="49">
        <v>1</v>
      </c>
      <c r="X165" s="58">
        <v>2</v>
      </c>
      <c r="Y165" s="83">
        <v>5</v>
      </c>
      <c r="AF165" s="49">
        <v>150</v>
      </c>
      <c r="AG165" s="49">
        <v>330</v>
      </c>
      <c r="AJ165" s="49">
        <v>0</v>
      </c>
      <c r="AK165" s="83">
        <v>0</v>
      </c>
      <c r="AL165" s="49">
        <v>0</v>
      </c>
      <c r="AM165" s="49">
        <v>0</v>
      </c>
      <c r="AN165" s="49">
        <v>0</v>
      </c>
      <c r="AO165" s="58">
        <v>0</v>
      </c>
      <c r="AP165" s="174" t="s">
        <v>284</v>
      </c>
      <c r="AQ165" s="175" t="s">
        <v>284</v>
      </c>
      <c r="AR165" s="175" t="s">
        <v>284</v>
      </c>
      <c r="AS165" s="175" t="s">
        <v>284</v>
      </c>
      <c r="AT165" s="175" t="s">
        <v>284</v>
      </c>
      <c r="AU165" s="175" t="s">
        <v>284</v>
      </c>
      <c r="AV165" s="175" t="s">
        <v>284</v>
      </c>
      <c r="AW165" s="175" t="s">
        <v>284</v>
      </c>
      <c r="AX165" s="83">
        <v>0</v>
      </c>
      <c r="AY165" s="49">
        <v>0</v>
      </c>
      <c r="AZ165" s="49">
        <v>0</v>
      </c>
      <c r="BA165" s="49">
        <v>0</v>
      </c>
      <c r="BB165" s="58">
        <v>0</v>
      </c>
      <c r="BC165" s="42">
        <v>200</v>
      </c>
      <c r="BD165" s="49">
        <v>64.040000000000006</v>
      </c>
      <c r="BE165" s="159">
        <v>64.08</v>
      </c>
      <c r="BS165" s="58"/>
      <c r="BT165" s="83"/>
      <c r="CE165" s="83">
        <v>72.2</v>
      </c>
      <c r="CK165" s="58"/>
      <c r="CL165" s="83"/>
      <c r="CO165" s="58"/>
      <c r="CP165" s="83"/>
      <c r="CR165" s="58"/>
      <c r="CS165" s="83"/>
      <c r="CY165" s="83"/>
      <c r="DG165" s="58"/>
      <c r="DH165" s="83"/>
      <c r="DQ165" s="83"/>
      <c r="EE165" s="58"/>
      <c r="EF165" s="83"/>
      <c r="EI165" s="83"/>
      <c r="EK165" s="58"/>
      <c r="EL165" s="83"/>
      <c r="EO165" s="58"/>
      <c r="EP165" s="83"/>
      <c r="EQ165" s="58"/>
      <c r="ER165" s="83"/>
      <c r="ES165" s="58"/>
      <c r="ET165" s="83"/>
      <c r="EU165" s="58"/>
    </row>
    <row r="166" spans="1:151">
      <c r="A166" s="83" t="s">
        <v>319</v>
      </c>
      <c r="B166" s="173" t="s">
        <v>116</v>
      </c>
      <c r="C166" s="173" t="s">
        <v>500</v>
      </c>
      <c r="D166" s="83" t="s">
        <v>75</v>
      </c>
      <c r="F166" s="49" t="s">
        <v>286</v>
      </c>
      <c r="G166" s="60">
        <v>-5.6630000000000003</v>
      </c>
      <c r="I166" s="49">
        <v>4270</v>
      </c>
      <c r="J166" s="159">
        <v>1.3427672955974843</v>
      </c>
      <c r="K166" s="49">
        <v>1</v>
      </c>
      <c r="L166" s="49">
        <v>2</v>
      </c>
      <c r="M166" s="83">
        <v>0</v>
      </c>
      <c r="N166" s="49">
        <v>0</v>
      </c>
      <c r="O166" s="49">
        <v>0</v>
      </c>
      <c r="P166" s="49">
        <v>1</v>
      </c>
      <c r="Q166" s="58">
        <v>0</v>
      </c>
      <c r="R166" s="42">
        <v>1</v>
      </c>
      <c r="S166" s="83">
        <v>1</v>
      </c>
      <c r="U166" s="83">
        <v>1</v>
      </c>
      <c r="V166" s="49">
        <v>2</v>
      </c>
      <c r="W166" s="49">
        <v>1</v>
      </c>
      <c r="X166" s="58">
        <v>2</v>
      </c>
      <c r="Y166" s="83">
        <v>0</v>
      </c>
      <c r="AF166" s="49">
        <v>50</v>
      </c>
      <c r="AG166" s="49">
        <v>380</v>
      </c>
      <c r="AH166" s="49">
        <v>80</v>
      </c>
      <c r="AI166" s="49">
        <v>370</v>
      </c>
      <c r="AJ166" s="49">
        <v>0</v>
      </c>
      <c r="AK166" s="83">
        <v>0</v>
      </c>
      <c r="AL166" s="49">
        <v>0</v>
      </c>
      <c r="AM166" s="49">
        <v>0</v>
      </c>
      <c r="AN166" s="49">
        <v>0</v>
      </c>
      <c r="AO166" s="58">
        <v>0</v>
      </c>
      <c r="AP166" s="174" t="s">
        <v>284</v>
      </c>
      <c r="AQ166" s="175" t="s">
        <v>284</v>
      </c>
      <c r="AR166" s="175" t="s">
        <v>284</v>
      </c>
      <c r="AS166" s="175" t="s">
        <v>284</v>
      </c>
      <c r="AT166" s="175" t="s">
        <v>284</v>
      </c>
      <c r="AU166" s="175" t="s">
        <v>284</v>
      </c>
      <c r="AV166" s="175" t="s">
        <v>284</v>
      </c>
      <c r="AW166" s="175" t="s">
        <v>284</v>
      </c>
      <c r="AX166" s="83">
        <v>0</v>
      </c>
      <c r="AY166" s="49">
        <v>0</v>
      </c>
      <c r="AZ166" s="49">
        <v>0</v>
      </c>
      <c r="BA166" s="49">
        <v>0</v>
      </c>
      <c r="BB166" s="58">
        <v>0</v>
      </c>
      <c r="BC166" s="42">
        <v>242</v>
      </c>
      <c r="BS166" s="58"/>
      <c r="BT166" s="83"/>
      <c r="CE166" s="83"/>
      <c r="CK166" s="58"/>
      <c r="CL166" s="83"/>
      <c r="CO166" s="58"/>
      <c r="CP166" s="83"/>
      <c r="CR166" s="58"/>
      <c r="CS166" s="83"/>
      <c r="CY166" s="83"/>
      <c r="DG166" s="58"/>
      <c r="DH166" s="83"/>
      <c r="DQ166" s="83"/>
      <c r="EE166" s="58"/>
      <c r="EF166" s="83"/>
      <c r="EI166" s="83"/>
      <c r="EK166" s="58"/>
      <c r="EL166" s="83"/>
      <c r="EO166" s="58"/>
      <c r="EP166" s="83"/>
      <c r="EQ166" s="58"/>
      <c r="ER166" s="83"/>
      <c r="ES166" s="58"/>
      <c r="ET166" s="83"/>
      <c r="EU166" s="58"/>
    </row>
    <row r="167" spans="1:151" ht="17" thickBot="1">
      <c r="A167" s="83" t="s">
        <v>319</v>
      </c>
      <c r="B167" s="47" t="s">
        <v>116</v>
      </c>
      <c r="C167" s="47" t="s">
        <v>500</v>
      </c>
      <c r="D167" s="84" t="s">
        <v>76</v>
      </c>
      <c r="E167" s="57"/>
      <c r="F167" s="57" t="s">
        <v>287</v>
      </c>
      <c r="G167" s="74">
        <v>-5.6630000000000003</v>
      </c>
      <c r="H167" s="57"/>
      <c r="I167" s="57">
        <v>930</v>
      </c>
      <c r="J167" s="75">
        <v>1.2252964426877471</v>
      </c>
      <c r="K167" s="57">
        <v>4</v>
      </c>
      <c r="L167" s="57">
        <v>3</v>
      </c>
      <c r="M167" s="84">
        <v>1</v>
      </c>
      <c r="N167" s="57">
        <v>0</v>
      </c>
      <c r="O167" s="57">
        <v>1</v>
      </c>
      <c r="P167" s="57">
        <v>0</v>
      </c>
      <c r="Q167" s="56">
        <v>0</v>
      </c>
      <c r="R167" s="55">
        <v>2</v>
      </c>
      <c r="S167" s="84">
        <v>1</v>
      </c>
      <c r="T167" s="57"/>
      <c r="U167" s="84">
        <v>1</v>
      </c>
      <c r="V167" s="57">
        <v>4</v>
      </c>
      <c r="W167" s="57">
        <v>1</v>
      </c>
      <c r="X167" s="56">
        <v>1</v>
      </c>
      <c r="Y167" s="84">
        <v>1</v>
      </c>
      <c r="Z167" s="57"/>
      <c r="AA167" s="57"/>
      <c r="AB167" s="57"/>
      <c r="AC167" s="57"/>
      <c r="AD167" s="57"/>
      <c r="AE167" s="57"/>
      <c r="AF167" s="57"/>
      <c r="AG167" s="57"/>
      <c r="AH167" s="57">
        <v>29</v>
      </c>
      <c r="AI167" s="57">
        <v>49</v>
      </c>
      <c r="AJ167" s="57">
        <v>0</v>
      </c>
      <c r="AK167" s="84">
        <v>0</v>
      </c>
      <c r="AL167" s="57">
        <v>0</v>
      </c>
      <c r="AM167" s="57">
        <v>0</v>
      </c>
      <c r="AN167" s="57">
        <v>0</v>
      </c>
      <c r="AO167" s="56">
        <v>0</v>
      </c>
      <c r="AP167" s="178" t="s">
        <v>284</v>
      </c>
      <c r="AQ167" s="179" t="s">
        <v>284</v>
      </c>
      <c r="AR167" s="179" t="s">
        <v>284</v>
      </c>
      <c r="AS167" s="179" t="s">
        <v>284</v>
      </c>
      <c r="AT167" s="179" t="s">
        <v>284</v>
      </c>
      <c r="AU167" s="179" t="s">
        <v>284</v>
      </c>
      <c r="AV167" s="179" t="s">
        <v>284</v>
      </c>
      <c r="AW167" s="179" t="s">
        <v>284</v>
      </c>
      <c r="AX167" s="84">
        <v>0</v>
      </c>
      <c r="AY167" s="57">
        <v>0</v>
      </c>
      <c r="AZ167" s="57">
        <v>0</v>
      </c>
      <c r="BA167" s="57">
        <v>0</v>
      </c>
      <c r="BB167" s="56">
        <v>0</v>
      </c>
      <c r="BC167" s="55">
        <v>245</v>
      </c>
      <c r="BD167" s="57">
        <v>83.59</v>
      </c>
      <c r="BE167" s="75">
        <v>83.68</v>
      </c>
      <c r="BF167" s="57"/>
      <c r="BG167" s="57"/>
      <c r="BH167" s="57"/>
      <c r="BI167" s="57"/>
      <c r="BJ167" s="57"/>
      <c r="BK167" s="57"/>
      <c r="BL167" s="57"/>
      <c r="BM167" s="57"/>
      <c r="BN167" s="57"/>
      <c r="BO167" s="57"/>
      <c r="BP167" s="57"/>
      <c r="BQ167" s="57"/>
      <c r="BR167" s="57"/>
      <c r="BS167" s="56"/>
      <c r="BT167" s="84">
        <v>66.849999999999994</v>
      </c>
      <c r="BU167" s="57">
        <v>69.11</v>
      </c>
      <c r="BV167" s="182">
        <v>67.1092534</v>
      </c>
      <c r="BW167" s="182">
        <v>68.25975115</v>
      </c>
      <c r="BX167" s="57"/>
      <c r="BY167" s="57"/>
      <c r="BZ167" s="57"/>
      <c r="CA167" s="57"/>
      <c r="CB167" s="57"/>
      <c r="CC167" s="57"/>
      <c r="CD167" s="57"/>
      <c r="CE167" s="84"/>
      <c r="CF167" s="57"/>
      <c r="CG167" s="57"/>
      <c r="CH167" s="57"/>
      <c r="CI167" s="57"/>
      <c r="CJ167" s="57"/>
      <c r="CK167" s="56"/>
      <c r="CL167" s="84">
        <v>64.87</v>
      </c>
      <c r="CM167" s="182">
        <v>63.277574340000001</v>
      </c>
      <c r="CN167" s="57"/>
      <c r="CO167" s="56"/>
      <c r="CP167" s="84"/>
      <c r="CQ167" s="57"/>
      <c r="CR167" s="56"/>
      <c r="CS167" s="84"/>
      <c r="CT167" s="57"/>
      <c r="CU167" s="57"/>
      <c r="CV167" s="57"/>
      <c r="CW167" s="57"/>
      <c r="CX167" s="57"/>
      <c r="CY167" s="84"/>
      <c r="CZ167" s="57"/>
      <c r="DA167" s="57"/>
      <c r="DB167" s="57"/>
      <c r="DC167" s="57"/>
      <c r="DD167" s="57"/>
      <c r="DE167" s="57"/>
      <c r="DF167" s="57"/>
      <c r="DG167" s="56"/>
      <c r="DH167" s="84"/>
      <c r="DI167" s="57"/>
      <c r="DJ167" s="57"/>
      <c r="DK167" s="57"/>
      <c r="DL167" s="57"/>
      <c r="DM167" s="57"/>
      <c r="DN167" s="57"/>
      <c r="DO167" s="57"/>
      <c r="DP167" s="57"/>
      <c r="DQ167" s="84"/>
      <c r="DR167" s="57"/>
      <c r="DS167" s="57"/>
      <c r="DT167" s="57"/>
      <c r="DU167" s="57"/>
      <c r="DV167" s="57"/>
      <c r="DW167" s="57"/>
      <c r="DX167" s="57"/>
      <c r="DY167" s="57"/>
      <c r="DZ167" s="57"/>
      <c r="EA167" s="57"/>
      <c r="EB167" s="57"/>
      <c r="EC167" s="57"/>
      <c r="ED167" s="57"/>
      <c r="EE167" s="56"/>
      <c r="EF167" s="84"/>
      <c r="EG167" s="57"/>
      <c r="EH167" s="57"/>
      <c r="EI167" s="84"/>
      <c r="EJ167" s="57"/>
      <c r="EK167" s="56"/>
      <c r="EL167" s="84"/>
      <c r="EM167" s="57"/>
      <c r="EN167" s="57"/>
      <c r="EO167" s="56"/>
      <c r="EP167" s="84"/>
      <c r="EQ167" s="56"/>
      <c r="ER167" s="84"/>
      <c r="ES167" s="56"/>
      <c r="ET167" s="84"/>
      <c r="EU167" s="56"/>
    </row>
    <row r="168" spans="1:151">
      <c r="A168" s="87" t="s">
        <v>319</v>
      </c>
      <c r="B168" s="7" t="s">
        <v>122</v>
      </c>
      <c r="C168" s="7" t="s">
        <v>500</v>
      </c>
      <c r="D168" s="147" t="s">
        <v>64</v>
      </c>
      <c r="E168" s="148"/>
      <c r="F168" s="148" t="s">
        <v>286</v>
      </c>
      <c r="G168" s="73">
        <v>-5.6630000000000003</v>
      </c>
      <c r="H168" s="148"/>
      <c r="I168" s="148">
        <v>1657</v>
      </c>
      <c r="J168" s="158">
        <v>1.1514940931202224</v>
      </c>
      <c r="K168" s="148">
        <v>1</v>
      </c>
      <c r="L168" s="148">
        <v>3</v>
      </c>
      <c r="M168" s="147">
        <v>0</v>
      </c>
      <c r="N168" s="148">
        <v>0</v>
      </c>
      <c r="O168" s="148">
        <v>0</v>
      </c>
      <c r="P168" s="148">
        <v>1</v>
      </c>
      <c r="Q168" s="149">
        <v>0</v>
      </c>
      <c r="R168" s="87">
        <v>1</v>
      </c>
      <c r="S168" s="147" t="s">
        <v>283</v>
      </c>
      <c r="T168" s="148">
        <v>13</v>
      </c>
      <c r="U168" s="147">
        <v>1</v>
      </c>
      <c r="V168" s="148">
        <v>3</v>
      </c>
      <c r="W168" s="148">
        <v>1</v>
      </c>
      <c r="X168" s="149">
        <v>2</v>
      </c>
      <c r="Y168" s="147">
        <v>2</v>
      </c>
      <c r="Z168" s="148">
        <v>17</v>
      </c>
      <c r="AA168" s="148">
        <v>55</v>
      </c>
      <c r="AB168" s="148"/>
      <c r="AC168" s="148"/>
      <c r="AD168" s="148">
        <v>21</v>
      </c>
      <c r="AE168" s="148">
        <v>42</v>
      </c>
      <c r="AF168" s="148"/>
      <c r="AG168" s="148"/>
      <c r="AH168" s="148"/>
      <c r="AI168" s="148"/>
      <c r="AJ168" s="148">
        <v>0</v>
      </c>
      <c r="AK168" s="147"/>
      <c r="AL168" s="148"/>
      <c r="AM168" s="148"/>
      <c r="AN168" s="148"/>
      <c r="AO168" s="149"/>
      <c r="AP168" s="169" t="s">
        <v>284</v>
      </c>
      <c r="AQ168" s="170" t="s">
        <v>284</v>
      </c>
      <c r="AR168" s="170" t="s">
        <v>284</v>
      </c>
      <c r="AS168" s="170" t="s">
        <v>284</v>
      </c>
      <c r="AT168" s="170" t="s">
        <v>284</v>
      </c>
      <c r="AU168" s="170" t="s">
        <v>284</v>
      </c>
      <c r="AV168" s="170" t="s">
        <v>284</v>
      </c>
      <c r="AW168" s="170" t="s">
        <v>284</v>
      </c>
      <c r="AX168" s="147">
        <v>0</v>
      </c>
      <c r="AY168" s="148">
        <v>0</v>
      </c>
      <c r="AZ168" s="148">
        <v>0</v>
      </c>
      <c r="BA168" s="148">
        <v>0</v>
      </c>
      <c r="BB168" s="149">
        <v>0</v>
      </c>
      <c r="BC168" s="87">
        <v>188</v>
      </c>
      <c r="BD168" s="148"/>
      <c r="BE168" s="158"/>
      <c r="BF168" s="148"/>
      <c r="BG168" s="148"/>
      <c r="BH168" s="148"/>
      <c r="BI168" s="148"/>
      <c r="BJ168" s="148"/>
      <c r="BK168" s="148"/>
      <c r="BL168" s="148"/>
      <c r="BM168" s="148"/>
      <c r="BN168" s="148"/>
      <c r="BO168" s="148"/>
      <c r="BP168" s="148"/>
      <c r="BQ168" s="148"/>
      <c r="BR168" s="148"/>
      <c r="BS168" s="149"/>
      <c r="BT168" s="147"/>
      <c r="BU168" s="148"/>
      <c r="BV168" s="148"/>
      <c r="BW168" s="148"/>
      <c r="BX168" s="148"/>
      <c r="BY168" s="148"/>
      <c r="BZ168" s="148"/>
      <c r="CA168" s="148"/>
      <c r="CB168" s="148"/>
      <c r="CC168" s="148"/>
      <c r="CD168" s="148"/>
      <c r="CE168" s="147"/>
      <c r="CF168" s="148"/>
      <c r="CG168" s="148"/>
      <c r="CH168" s="148"/>
      <c r="CI168" s="148"/>
      <c r="CJ168" s="148"/>
      <c r="CK168" s="149"/>
      <c r="CL168" s="147"/>
      <c r="CM168" s="148"/>
      <c r="CN168" s="148"/>
      <c r="CO168" s="149"/>
      <c r="CP168" s="147"/>
      <c r="CQ168" s="148"/>
      <c r="CR168" s="149"/>
      <c r="CS168" s="147"/>
      <c r="CT168" s="148"/>
      <c r="CU168" s="148"/>
      <c r="CV168" s="148"/>
      <c r="CW168" s="148"/>
      <c r="CX168" s="148"/>
      <c r="CY168" s="147"/>
      <c r="CZ168" s="148"/>
      <c r="DA168" s="148"/>
      <c r="DB168" s="148"/>
      <c r="DC168" s="148"/>
      <c r="DD168" s="148"/>
      <c r="DE168" s="148"/>
      <c r="DF168" s="148"/>
      <c r="DG168" s="149"/>
      <c r="DH168" s="147"/>
      <c r="DI168" s="148"/>
      <c r="DJ168" s="148"/>
      <c r="DK168" s="148"/>
      <c r="DL168" s="148"/>
      <c r="DM168" s="148"/>
      <c r="DN168" s="148"/>
      <c r="DO168" s="148"/>
      <c r="DP168" s="148"/>
      <c r="DQ168" s="147"/>
      <c r="DR168" s="148"/>
      <c r="DS168" s="148"/>
      <c r="DT168" s="148"/>
      <c r="DU168" s="148"/>
      <c r="DV168" s="148"/>
      <c r="DW168" s="148"/>
      <c r="DX168" s="148"/>
      <c r="DY168" s="148"/>
      <c r="DZ168" s="148"/>
      <c r="EA168" s="148"/>
      <c r="EB168" s="148"/>
      <c r="EC168" s="148"/>
      <c r="ED168" s="148"/>
      <c r="EE168" s="149"/>
      <c r="EF168" s="147"/>
      <c r="EG168" s="148"/>
      <c r="EH168" s="148"/>
      <c r="EI168" s="147"/>
      <c r="EJ168" s="148"/>
      <c r="EK168" s="149"/>
      <c r="EL168" s="147"/>
      <c r="EM168" s="148"/>
      <c r="EN168" s="148"/>
      <c r="EO168" s="149"/>
      <c r="EP168" s="147"/>
      <c r="EQ168" s="149"/>
      <c r="ER168" s="147"/>
      <c r="ES168" s="149"/>
      <c r="ET168" s="147"/>
      <c r="EU168" s="149"/>
    </row>
    <row r="169" spans="1:151">
      <c r="A169" s="42" t="s">
        <v>319</v>
      </c>
      <c r="B169" s="173" t="s">
        <v>122</v>
      </c>
      <c r="C169" s="173" t="s">
        <v>500</v>
      </c>
      <c r="D169" s="83" t="s">
        <v>65</v>
      </c>
      <c r="F169" s="49" t="s">
        <v>286</v>
      </c>
      <c r="G169" s="60">
        <v>-5.6630000000000003</v>
      </c>
      <c r="I169" s="49">
        <v>4503</v>
      </c>
      <c r="J169" s="159">
        <v>1.9776021080368906</v>
      </c>
      <c r="K169" s="49">
        <v>1</v>
      </c>
      <c r="L169" s="49">
        <v>3</v>
      </c>
      <c r="M169" s="83">
        <v>0</v>
      </c>
      <c r="N169" s="49">
        <v>3</v>
      </c>
      <c r="O169" s="49">
        <v>1</v>
      </c>
      <c r="P169" s="49">
        <v>1</v>
      </c>
      <c r="Q169" s="58">
        <v>0</v>
      </c>
      <c r="R169" s="42">
        <v>5</v>
      </c>
      <c r="S169" s="83">
        <v>1</v>
      </c>
      <c r="T169" s="49">
        <v>4</v>
      </c>
      <c r="U169" s="83">
        <v>2</v>
      </c>
      <c r="V169" s="49">
        <v>3</v>
      </c>
      <c r="W169" s="49">
        <v>1</v>
      </c>
      <c r="X169" s="58">
        <v>1</v>
      </c>
      <c r="Y169" s="83">
        <v>5</v>
      </c>
      <c r="Z169" s="49">
        <v>20</v>
      </c>
      <c r="AA169" s="49">
        <v>30</v>
      </c>
      <c r="AD169" s="49">
        <v>50</v>
      </c>
      <c r="AE169" s="49">
        <v>240</v>
      </c>
      <c r="AF169" s="49">
        <v>20</v>
      </c>
      <c r="AG169" s="49">
        <v>220</v>
      </c>
      <c r="AH169" s="49">
        <v>140</v>
      </c>
      <c r="AI169" s="49">
        <v>2080</v>
      </c>
      <c r="AJ169" s="49">
        <v>0</v>
      </c>
      <c r="AK169" s="83">
        <v>0</v>
      </c>
      <c r="AL169" s="49">
        <v>1</v>
      </c>
      <c r="AM169" s="49">
        <v>0</v>
      </c>
      <c r="AN169" s="49">
        <v>0</v>
      </c>
      <c r="AO169" s="58">
        <v>0</v>
      </c>
      <c r="AP169" s="174">
        <v>0</v>
      </c>
      <c r="AQ169" s="175">
        <v>1978</v>
      </c>
      <c r="AR169" s="175">
        <v>0</v>
      </c>
      <c r="AS169" s="175">
        <v>0</v>
      </c>
      <c r="AT169" s="175">
        <v>0</v>
      </c>
      <c r="AU169" s="175">
        <v>0</v>
      </c>
      <c r="AV169" s="175">
        <v>0</v>
      </c>
      <c r="AW169" s="175">
        <v>0</v>
      </c>
      <c r="AX169" s="83">
        <v>0</v>
      </c>
      <c r="AY169" s="49">
        <v>0</v>
      </c>
      <c r="AZ169" s="49">
        <v>0</v>
      </c>
      <c r="BA169" s="49">
        <v>0</v>
      </c>
      <c r="BB169" s="58">
        <v>0</v>
      </c>
      <c r="BC169" s="42">
        <v>150</v>
      </c>
      <c r="BD169" s="49">
        <v>81.72</v>
      </c>
      <c r="BS169" s="58"/>
      <c r="BT169" s="83">
        <v>75.53</v>
      </c>
      <c r="BU169" s="49">
        <v>74.62</v>
      </c>
      <c r="CE169" s="83"/>
      <c r="CK169" s="58"/>
      <c r="CL169" s="83"/>
      <c r="CO169" s="58"/>
      <c r="CP169" s="83"/>
      <c r="CR169" s="58"/>
      <c r="CS169" s="83"/>
      <c r="CY169" s="83"/>
      <c r="DG169" s="58"/>
      <c r="DH169" s="83"/>
      <c r="DQ169" s="83">
        <v>72.41</v>
      </c>
      <c r="EE169" s="58"/>
      <c r="EF169" s="83"/>
      <c r="EI169" s="83"/>
      <c r="EK169" s="58"/>
      <c r="EL169" s="83"/>
      <c r="EO169" s="58"/>
      <c r="EP169" s="83"/>
      <c r="EQ169" s="58"/>
      <c r="ER169" s="83"/>
      <c r="ES169" s="58"/>
      <c r="ET169" s="83"/>
      <c r="EU169" s="58"/>
    </row>
    <row r="170" spans="1:151">
      <c r="A170" s="42" t="s">
        <v>319</v>
      </c>
      <c r="B170" s="173" t="s">
        <v>122</v>
      </c>
      <c r="C170" s="173" t="s">
        <v>500</v>
      </c>
      <c r="D170" s="83" t="s">
        <v>66</v>
      </c>
      <c r="F170" s="49" t="s">
        <v>287</v>
      </c>
      <c r="G170" s="60">
        <v>-5.6630000000000003</v>
      </c>
      <c r="I170" s="49">
        <v>588</v>
      </c>
      <c r="J170" s="159">
        <v>1.4306569343065694</v>
      </c>
      <c r="K170" s="49">
        <v>1</v>
      </c>
      <c r="L170" s="49">
        <v>3</v>
      </c>
      <c r="M170" s="83">
        <v>0</v>
      </c>
      <c r="N170" s="49">
        <v>0</v>
      </c>
      <c r="O170" s="49">
        <v>0</v>
      </c>
      <c r="P170" s="49">
        <v>0</v>
      </c>
      <c r="Q170" s="58">
        <v>1</v>
      </c>
      <c r="R170" s="42">
        <v>1</v>
      </c>
      <c r="S170" s="83">
        <v>1</v>
      </c>
      <c r="T170" s="49">
        <v>11</v>
      </c>
      <c r="U170" s="83">
        <v>1</v>
      </c>
      <c r="V170" s="49">
        <v>1</v>
      </c>
      <c r="W170" s="49">
        <v>2</v>
      </c>
      <c r="X170" s="58"/>
      <c r="Y170" s="83">
        <v>3</v>
      </c>
      <c r="AD170" s="49">
        <v>18</v>
      </c>
      <c r="AE170" s="49">
        <v>28</v>
      </c>
      <c r="AJ170" s="49">
        <v>0</v>
      </c>
      <c r="AK170" s="83">
        <v>0</v>
      </c>
      <c r="AL170" s="49">
        <v>1</v>
      </c>
      <c r="AM170" s="49">
        <v>0</v>
      </c>
      <c r="AN170" s="49">
        <v>0</v>
      </c>
      <c r="AO170" s="58">
        <v>0</v>
      </c>
      <c r="AP170" s="174">
        <v>0</v>
      </c>
      <c r="AQ170" s="175">
        <v>462</v>
      </c>
      <c r="AR170" s="175">
        <v>0</v>
      </c>
      <c r="AS170" s="175">
        <v>0</v>
      </c>
      <c r="AT170" s="175">
        <v>0</v>
      </c>
      <c r="AU170" s="175">
        <v>0</v>
      </c>
      <c r="AV170" s="175">
        <v>0</v>
      </c>
      <c r="AW170" s="175">
        <v>0</v>
      </c>
      <c r="AX170" s="83">
        <v>0</v>
      </c>
      <c r="AY170" s="49">
        <v>0</v>
      </c>
      <c r="AZ170" s="49">
        <v>0</v>
      </c>
      <c r="BA170" s="49">
        <v>0</v>
      </c>
      <c r="BB170" s="58">
        <v>0</v>
      </c>
      <c r="BC170" s="42">
        <v>75</v>
      </c>
      <c r="BS170" s="58"/>
      <c r="BT170" s="83"/>
      <c r="CE170" s="83"/>
      <c r="CK170" s="58"/>
      <c r="CL170" s="83"/>
      <c r="CO170" s="58"/>
      <c r="CP170" s="83"/>
      <c r="CR170" s="58"/>
      <c r="CS170" s="83"/>
      <c r="CY170" s="83"/>
      <c r="DG170" s="58"/>
      <c r="DH170" s="83"/>
      <c r="DQ170" s="83"/>
      <c r="EE170" s="58"/>
      <c r="EF170" s="83"/>
      <c r="EI170" s="83"/>
      <c r="EK170" s="58"/>
      <c r="EL170" s="83"/>
      <c r="EO170" s="58"/>
      <c r="EP170" s="83"/>
      <c r="EQ170" s="58"/>
      <c r="ER170" s="83"/>
      <c r="ES170" s="58"/>
      <c r="ET170" s="83"/>
      <c r="EU170" s="58"/>
    </row>
    <row r="171" spans="1:151">
      <c r="A171" s="42" t="s">
        <v>319</v>
      </c>
      <c r="B171" s="173" t="s">
        <v>122</v>
      </c>
      <c r="C171" s="173" t="s">
        <v>500</v>
      </c>
      <c r="D171" s="83" t="s">
        <v>67</v>
      </c>
      <c r="F171" s="49" t="s">
        <v>286</v>
      </c>
      <c r="G171" s="60">
        <v>-5.6630000000000003</v>
      </c>
      <c r="I171" s="49">
        <v>2154</v>
      </c>
      <c r="J171" s="159">
        <v>3.5369458128078817</v>
      </c>
      <c r="K171" s="49">
        <v>1</v>
      </c>
      <c r="L171" s="49">
        <v>3</v>
      </c>
      <c r="M171" s="83">
        <v>0</v>
      </c>
      <c r="N171" s="49">
        <v>1</v>
      </c>
      <c r="O171" s="49">
        <v>0</v>
      </c>
      <c r="P171" s="49">
        <v>1</v>
      </c>
      <c r="Q171" s="58">
        <v>0</v>
      </c>
      <c r="R171" s="42">
        <v>2</v>
      </c>
      <c r="S171" s="83">
        <v>1</v>
      </c>
      <c r="T171" s="49">
        <v>17</v>
      </c>
      <c r="U171" s="83">
        <v>1</v>
      </c>
      <c r="V171" s="49">
        <v>3</v>
      </c>
      <c r="W171" s="49">
        <v>1</v>
      </c>
      <c r="X171" s="58">
        <v>2</v>
      </c>
      <c r="Y171" s="83">
        <v>10</v>
      </c>
      <c r="Z171" s="49">
        <v>51</v>
      </c>
      <c r="AA171" s="49">
        <v>156</v>
      </c>
      <c r="AE171" s="49">
        <v>22</v>
      </c>
      <c r="AI171" s="49">
        <v>604</v>
      </c>
      <c r="AJ171" s="49">
        <v>0</v>
      </c>
      <c r="AK171" s="83">
        <v>0</v>
      </c>
      <c r="AL171" s="49">
        <v>1</v>
      </c>
      <c r="AM171" s="49">
        <v>0</v>
      </c>
      <c r="AN171" s="49">
        <v>0</v>
      </c>
      <c r="AO171" s="58">
        <v>0</v>
      </c>
      <c r="AP171" s="174">
        <v>0</v>
      </c>
      <c r="AQ171" s="175">
        <v>440</v>
      </c>
      <c r="AR171" s="175">
        <v>0</v>
      </c>
      <c r="AS171" s="175">
        <v>0</v>
      </c>
      <c r="AT171" s="175">
        <v>0</v>
      </c>
      <c r="AU171" s="175">
        <v>0</v>
      </c>
      <c r="AV171" s="175">
        <v>0</v>
      </c>
      <c r="AW171" s="175">
        <v>0</v>
      </c>
      <c r="AX171" s="83">
        <v>0</v>
      </c>
      <c r="AY171" s="49">
        <v>0</v>
      </c>
      <c r="AZ171" s="49">
        <v>0</v>
      </c>
      <c r="BA171" s="49">
        <v>0</v>
      </c>
      <c r="BB171" s="58">
        <v>0</v>
      </c>
      <c r="BC171" s="42">
        <v>103</v>
      </c>
      <c r="BS171" s="58"/>
      <c r="BT171" s="83"/>
      <c r="CE171" s="83"/>
      <c r="CK171" s="58"/>
      <c r="CL171" s="83"/>
      <c r="CO171" s="58"/>
      <c r="CP171" s="83"/>
      <c r="CR171" s="58"/>
      <c r="CS171" s="83"/>
      <c r="CY171" s="83"/>
      <c r="DG171" s="58"/>
      <c r="DH171" s="83"/>
      <c r="DQ171" s="83"/>
      <c r="EE171" s="58"/>
      <c r="EF171" s="83"/>
      <c r="EI171" s="83"/>
      <c r="EK171" s="58"/>
      <c r="EL171" s="83"/>
      <c r="EO171" s="58"/>
      <c r="EP171" s="83"/>
      <c r="EQ171" s="58"/>
      <c r="ER171" s="83"/>
      <c r="ES171" s="58"/>
      <c r="ET171" s="83"/>
      <c r="EU171" s="58"/>
    </row>
    <row r="172" spans="1:151">
      <c r="A172" s="42" t="s">
        <v>319</v>
      </c>
      <c r="B172" s="173" t="s">
        <v>122</v>
      </c>
      <c r="C172" s="173" t="s">
        <v>500</v>
      </c>
      <c r="D172" s="83" t="s">
        <v>68</v>
      </c>
      <c r="F172" s="49" t="s">
        <v>286</v>
      </c>
      <c r="G172" s="60">
        <v>-5.6630000000000003</v>
      </c>
      <c r="I172" s="49">
        <v>4097</v>
      </c>
      <c r="J172" s="159">
        <v>5.3069948186528499</v>
      </c>
      <c r="K172" s="49">
        <v>1</v>
      </c>
      <c r="L172" s="49">
        <v>1</v>
      </c>
      <c r="M172" s="83">
        <v>1</v>
      </c>
      <c r="N172" s="49">
        <v>0</v>
      </c>
      <c r="O172" s="49">
        <v>0</v>
      </c>
      <c r="P172" s="49">
        <v>1</v>
      </c>
      <c r="Q172" s="58">
        <v>0</v>
      </c>
      <c r="R172" s="42">
        <v>2</v>
      </c>
      <c r="S172" s="83">
        <v>1</v>
      </c>
      <c r="T172" s="49">
        <v>11</v>
      </c>
      <c r="U172" s="83">
        <v>1</v>
      </c>
      <c r="V172" s="49">
        <v>1</v>
      </c>
      <c r="W172" s="49">
        <v>1</v>
      </c>
      <c r="X172" s="58">
        <v>2</v>
      </c>
      <c r="Y172" s="83">
        <v>1</v>
      </c>
      <c r="Z172" s="49">
        <v>3</v>
      </c>
      <c r="AA172" s="49">
        <v>8</v>
      </c>
      <c r="AD172" s="49">
        <v>29</v>
      </c>
      <c r="AE172" s="49">
        <v>75</v>
      </c>
      <c r="AG172" s="49">
        <v>208</v>
      </c>
      <c r="AH172" s="49">
        <v>32</v>
      </c>
      <c r="AI172" s="49">
        <v>788</v>
      </c>
      <c r="AJ172" s="49">
        <v>0</v>
      </c>
      <c r="AK172" s="83">
        <v>0</v>
      </c>
      <c r="AL172" s="49">
        <v>1</v>
      </c>
      <c r="AM172" s="49">
        <v>0</v>
      </c>
      <c r="AN172" s="49">
        <v>0</v>
      </c>
      <c r="AO172" s="58">
        <v>0</v>
      </c>
      <c r="AP172" s="174">
        <v>339</v>
      </c>
      <c r="AQ172" s="175">
        <v>892</v>
      </c>
      <c r="AR172" s="175">
        <v>0</v>
      </c>
      <c r="AS172" s="175">
        <v>0</v>
      </c>
      <c r="AT172" s="175">
        <v>0</v>
      </c>
      <c r="AU172" s="175">
        <v>0</v>
      </c>
      <c r="AV172" s="175">
        <v>0</v>
      </c>
      <c r="AW172" s="175">
        <v>0</v>
      </c>
      <c r="AX172" s="83">
        <v>0</v>
      </c>
      <c r="AY172" s="49">
        <v>0</v>
      </c>
      <c r="AZ172" s="49">
        <v>0</v>
      </c>
      <c r="BA172" s="49">
        <v>0</v>
      </c>
      <c r="BB172" s="58">
        <v>0</v>
      </c>
      <c r="BC172" s="42">
        <v>111</v>
      </c>
      <c r="BS172" s="58"/>
      <c r="BT172" s="83">
        <v>76.27</v>
      </c>
      <c r="BU172" s="49">
        <v>77.55</v>
      </c>
      <c r="BV172" s="49">
        <v>72.349999999999994</v>
      </c>
      <c r="BW172" s="49">
        <v>77.22</v>
      </c>
      <c r="CE172" s="83"/>
      <c r="CK172" s="58"/>
      <c r="CL172" s="83"/>
      <c r="CO172" s="58"/>
      <c r="CP172" s="83"/>
      <c r="CR172" s="58"/>
      <c r="CS172" s="83"/>
      <c r="CY172" s="83"/>
      <c r="DG172" s="58"/>
      <c r="DH172" s="83">
        <v>69.48</v>
      </c>
      <c r="DI172" s="49">
        <v>69.3</v>
      </c>
      <c r="DJ172" s="49">
        <v>69.8</v>
      </c>
      <c r="DK172" s="49">
        <v>70.67</v>
      </c>
      <c r="DL172" s="49">
        <v>70.88</v>
      </c>
      <c r="DM172" s="49">
        <v>70.12</v>
      </c>
      <c r="DN172" s="49">
        <v>69.569999999999993</v>
      </c>
      <c r="DO172" s="49">
        <v>69.91</v>
      </c>
      <c r="DQ172" s="83"/>
      <c r="EE172" s="58"/>
      <c r="EF172" s="83"/>
      <c r="EI172" s="83">
        <v>70.261219641706589</v>
      </c>
      <c r="EK172" s="58"/>
      <c r="EL172" s="83">
        <v>73.425454355905117</v>
      </c>
      <c r="EO172" s="58"/>
      <c r="EP172" s="83"/>
      <c r="EQ172" s="58"/>
      <c r="ER172" s="83"/>
      <c r="ES172" s="58"/>
      <c r="ET172" s="83"/>
      <c r="EU172" s="58"/>
    </row>
    <row r="173" spans="1:151">
      <c r="A173" s="42" t="s">
        <v>319</v>
      </c>
      <c r="B173" s="173" t="s">
        <v>122</v>
      </c>
      <c r="C173" s="173" t="s">
        <v>500</v>
      </c>
      <c r="D173" s="83" t="s">
        <v>74</v>
      </c>
      <c r="F173" s="49" t="s">
        <v>286</v>
      </c>
      <c r="G173" s="60">
        <v>-5.6630000000000003</v>
      </c>
      <c r="I173" s="49">
        <v>1581</v>
      </c>
      <c r="J173" s="159">
        <v>2.3215859030837005</v>
      </c>
      <c r="K173" s="49">
        <v>1</v>
      </c>
      <c r="L173" s="49">
        <v>2</v>
      </c>
      <c r="M173" s="83">
        <v>0</v>
      </c>
      <c r="N173" s="49">
        <v>2</v>
      </c>
      <c r="O173" s="49">
        <v>1</v>
      </c>
      <c r="P173" s="49">
        <v>1</v>
      </c>
      <c r="Q173" s="58">
        <v>0</v>
      </c>
      <c r="R173" s="42">
        <v>4</v>
      </c>
      <c r="S173" s="83">
        <v>1</v>
      </c>
      <c r="T173" s="49">
        <v>7</v>
      </c>
      <c r="U173" s="83">
        <v>2</v>
      </c>
      <c r="V173" s="49">
        <v>3</v>
      </c>
      <c r="W173" s="49">
        <v>1</v>
      </c>
      <c r="X173" s="58">
        <v>3</v>
      </c>
      <c r="Y173" s="83">
        <v>1</v>
      </c>
      <c r="AD173" s="49">
        <v>23</v>
      </c>
      <c r="AE173" s="49">
        <v>40</v>
      </c>
      <c r="AI173" s="49">
        <v>93</v>
      </c>
      <c r="AJ173" s="49">
        <v>0</v>
      </c>
      <c r="AK173" s="83">
        <v>0</v>
      </c>
      <c r="AL173" s="49">
        <v>1</v>
      </c>
      <c r="AM173" s="49">
        <v>0</v>
      </c>
      <c r="AN173" s="49">
        <v>0</v>
      </c>
      <c r="AO173" s="58">
        <v>0</v>
      </c>
      <c r="AP173" s="174">
        <v>301</v>
      </c>
      <c r="AQ173" s="175">
        <v>583</v>
      </c>
      <c r="AR173" s="175">
        <v>0</v>
      </c>
      <c r="AS173" s="175">
        <v>0</v>
      </c>
      <c r="AT173" s="175">
        <v>0</v>
      </c>
      <c r="AU173" s="175">
        <v>0</v>
      </c>
      <c r="AV173" s="175">
        <v>0</v>
      </c>
      <c r="AW173" s="175">
        <v>0</v>
      </c>
      <c r="AX173" s="83">
        <v>0</v>
      </c>
      <c r="AY173" s="49">
        <v>0</v>
      </c>
      <c r="AZ173" s="49">
        <v>0</v>
      </c>
      <c r="BA173" s="49">
        <v>0</v>
      </c>
      <c r="BB173" s="58"/>
      <c r="BC173" s="42">
        <v>114</v>
      </c>
      <c r="BS173" s="58"/>
      <c r="BT173" s="83">
        <v>78.599999999999994</v>
      </c>
      <c r="CE173" s="83">
        <v>72.58</v>
      </c>
      <c r="CF173" s="49">
        <v>72.09</v>
      </c>
      <c r="CK173" s="58"/>
      <c r="CL173" s="83">
        <v>62.91</v>
      </c>
      <c r="CO173" s="58"/>
      <c r="CP173" s="83"/>
      <c r="CR173" s="58"/>
      <c r="CS173" s="83"/>
      <c r="CY173" s="83">
        <v>71.83</v>
      </c>
      <c r="CZ173" s="49">
        <v>77.900000000000006</v>
      </c>
      <c r="DG173" s="58"/>
      <c r="DH173" s="83"/>
      <c r="DQ173" s="83"/>
      <c r="EE173" s="58"/>
      <c r="EF173" s="83"/>
      <c r="EI173" s="83"/>
      <c r="EK173" s="58"/>
      <c r="EL173" s="83"/>
      <c r="EO173" s="58"/>
      <c r="EP173" s="83"/>
      <c r="EQ173" s="58"/>
      <c r="ER173" s="83"/>
      <c r="ES173" s="58"/>
      <c r="ET173" s="83"/>
      <c r="EU173" s="58"/>
    </row>
    <row r="174" spans="1:151">
      <c r="A174" s="42" t="s">
        <v>319</v>
      </c>
      <c r="B174" s="173" t="s">
        <v>122</v>
      </c>
      <c r="C174" s="173" t="s">
        <v>500</v>
      </c>
      <c r="D174" s="83" t="s">
        <v>73</v>
      </c>
      <c r="F174" s="49" t="s">
        <v>286</v>
      </c>
      <c r="G174" s="60">
        <v>-5.6630000000000003</v>
      </c>
      <c r="I174" s="49">
        <v>3117</v>
      </c>
      <c r="J174" s="159">
        <v>4.7227272727272727</v>
      </c>
      <c r="K174" s="49">
        <v>4</v>
      </c>
      <c r="L174" s="49">
        <v>4</v>
      </c>
      <c r="M174" s="83">
        <v>0</v>
      </c>
      <c r="N174" s="49">
        <v>0</v>
      </c>
      <c r="O174" s="49">
        <v>1</v>
      </c>
      <c r="P174" s="49">
        <v>0</v>
      </c>
      <c r="Q174" s="58">
        <v>0</v>
      </c>
      <c r="R174" s="42">
        <v>1</v>
      </c>
      <c r="S174" s="83" t="s">
        <v>283</v>
      </c>
      <c r="T174" s="49">
        <v>7</v>
      </c>
      <c r="U174" s="83">
        <v>1</v>
      </c>
      <c r="V174" s="49">
        <v>3</v>
      </c>
      <c r="W174" s="49">
        <v>1</v>
      </c>
      <c r="X174" s="58">
        <v>1</v>
      </c>
      <c r="Y174" s="83">
        <v>30</v>
      </c>
      <c r="Z174" s="49">
        <v>17</v>
      </c>
      <c r="AA174" s="49">
        <v>63</v>
      </c>
      <c r="AD174" s="49">
        <v>19</v>
      </c>
      <c r="AE174" s="49">
        <v>113</v>
      </c>
      <c r="AF174" s="49">
        <v>17</v>
      </c>
      <c r="AG174" s="49">
        <v>490</v>
      </c>
      <c r="AJ174" s="49">
        <v>0</v>
      </c>
      <c r="AK174" s="83"/>
      <c r="AO174" s="58"/>
      <c r="AP174" s="174" t="s">
        <v>284</v>
      </c>
      <c r="AQ174" s="175" t="s">
        <v>284</v>
      </c>
      <c r="AR174" s="175" t="s">
        <v>284</v>
      </c>
      <c r="AS174" s="175" t="s">
        <v>284</v>
      </c>
      <c r="AT174" s="175" t="s">
        <v>284</v>
      </c>
      <c r="AU174" s="175" t="s">
        <v>284</v>
      </c>
      <c r="AV174" s="175" t="s">
        <v>284</v>
      </c>
      <c r="AW174" s="175" t="s">
        <v>284</v>
      </c>
      <c r="AX174" s="83">
        <v>0</v>
      </c>
      <c r="AY174" s="49">
        <v>0</v>
      </c>
      <c r="AZ174" s="49">
        <v>0</v>
      </c>
      <c r="BA174" s="49">
        <v>0</v>
      </c>
      <c r="BB174" s="58">
        <v>0</v>
      </c>
      <c r="BC174" s="42">
        <v>99</v>
      </c>
      <c r="BD174" s="49">
        <v>82.49</v>
      </c>
      <c r="BE174" s="159">
        <v>82.43</v>
      </c>
      <c r="BS174" s="58"/>
      <c r="BT174" s="83">
        <v>81.25</v>
      </c>
      <c r="CE174" s="83">
        <v>73.930000000000007</v>
      </c>
      <c r="CK174" s="58"/>
      <c r="CL174" s="83"/>
      <c r="CO174" s="58"/>
      <c r="CP174" s="83"/>
      <c r="CR174" s="58"/>
      <c r="CS174" s="83"/>
      <c r="CY174" s="83"/>
      <c r="DG174" s="58"/>
      <c r="DH174" s="83"/>
      <c r="DQ174" s="83"/>
      <c r="EE174" s="58"/>
      <c r="EF174" s="83"/>
      <c r="EI174" s="83"/>
      <c r="EK174" s="58"/>
      <c r="EL174" s="83"/>
      <c r="EO174" s="58"/>
      <c r="EP174" s="83"/>
      <c r="EQ174" s="58"/>
      <c r="ER174" s="83"/>
      <c r="ES174" s="58"/>
      <c r="ET174" s="83"/>
      <c r="EU174" s="58"/>
    </row>
    <row r="175" spans="1:151">
      <c r="A175" s="42" t="s">
        <v>319</v>
      </c>
      <c r="B175" s="173" t="s">
        <v>122</v>
      </c>
      <c r="C175" s="173" t="s">
        <v>500</v>
      </c>
      <c r="D175" s="83" t="s">
        <v>81</v>
      </c>
      <c r="F175" s="49" t="s">
        <v>286</v>
      </c>
      <c r="G175" s="60">
        <v>-5.6630000000000003</v>
      </c>
      <c r="I175" s="49">
        <v>4796</v>
      </c>
      <c r="J175" s="159">
        <v>2.1671938544961589</v>
      </c>
      <c r="K175" s="49">
        <v>4</v>
      </c>
      <c r="L175" s="49">
        <v>3</v>
      </c>
      <c r="M175" s="83">
        <v>0</v>
      </c>
      <c r="N175" s="49">
        <v>0</v>
      </c>
      <c r="O175" s="49">
        <v>1</v>
      </c>
      <c r="P175" s="49">
        <v>1</v>
      </c>
      <c r="Q175" s="58">
        <v>0</v>
      </c>
      <c r="R175" s="42">
        <v>2</v>
      </c>
      <c r="S175" s="83">
        <v>1</v>
      </c>
      <c r="T175" s="49">
        <v>15</v>
      </c>
      <c r="U175" s="83">
        <v>3</v>
      </c>
      <c r="V175" s="49">
        <v>3</v>
      </c>
      <c r="W175" s="49">
        <v>3</v>
      </c>
      <c r="X175" s="58">
        <v>3</v>
      </c>
      <c r="Y175" s="83">
        <v>3</v>
      </c>
      <c r="Z175" s="49">
        <v>10</v>
      </c>
      <c r="AA175" s="49">
        <v>30</v>
      </c>
      <c r="AD175" s="49">
        <v>10</v>
      </c>
      <c r="AE175" s="49">
        <v>130</v>
      </c>
      <c r="AF175" s="49">
        <v>100</v>
      </c>
      <c r="AG175" s="49">
        <v>350</v>
      </c>
      <c r="AJ175" s="49">
        <v>0</v>
      </c>
      <c r="AK175" s="83">
        <v>0</v>
      </c>
      <c r="AL175" s="49">
        <v>1</v>
      </c>
      <c r="AM175" s="49">
        <v>0</v>
      </c>
      <c r="AN175" s="49">
        <v>0</v>
      </c>
      <c r="AO175" s="58">
        <v>0</v>
      </c>
      <c r="AP175" s="174">
        <v>505</v>
      </c>
      <c r="AQ175" s="175">
        <v>1574</v>
      </c>
      <c r="AR175" s="175">
        <v>0</v>
      </c>
      <c r="AS175" s="175">
        <v>0</v>
      </c>
      <c r="AT175" s="175">
        <v>0</v>
      </c>
      <c r="AU175" s="175">
        <v>0</v>
      </c>
      <c r="AV175" s="175">
        <v>0</v>
      </c>
      <c r="AW175" s="175">
        <v>0</v>
      </c>
      <c r="AX175" s="83">
        <v>0</v>
      </c>
      <c r="AY175" s="49">
        <v>0</v>
      </c>
      <c r="AZ175" s="49">
        <v>0</v>
      </c>
      <c r="BA175" s="49">
        <v>0</v>
      </c>
      <c r="BB175" s="58">
        <v>0</v>
      </c>
      <c r="BC175" s="42">
        <v>124</v>
      </c>
      <c r="BD175" s="49">
        <v>80.23</v>
      </c>
      <c r="BE175" s="159">
        <v>78.349999999999994</v>
      </c>
      <c r="BF175" s="49">
        <v>77.03</v>
      </c>
      <c r="BS175" s="58"/>
      <c r="BT175" s="83">
        <v>78.989999999999995</v>
      </c>
      <c r="BU175" s="49">
        <v>74.28</v>
      </c>
      <c r="CE175" s="83"/>
      <c r="CK175" s="58"/>
      <c r="CL175" s="83">
        <v>70.06</v>
      </c>
      <c r="CO175" s="58"/>
      <c r="CP175" s="83"/>
      <c r="CR175" s="58"/>
      <c r="CS175" s="83"/>
      <c r="CY175" s="83"/>
      <c r="DG175" s="58"/>
      <c r="DH175" s="83"/>
      <c r="DQ175" s="83"/>
      <c r="EE175" s="58"/>
      <c r="EF175" s="83"/>
      <c r="EI175" s="83"/>
      <c r="EK175" s="58"/>
      <c r="EL175" s="83"/>
      <c r="EO175" s="58"/>
      <c r="EP175" s="83"/>
      <c r="EQ175" s="58"/>
      <c r="ER175" s="83"/>
      <c r="ES175" s="58"/>
      <c r="ET175" s="83"/>
      <c r="EU175" s="58"/>
    </row>
    <row r="176" spans="1:151">
      <c r="A176" s="42" t="s">
        <v>319</v>
      </c>
      <c r="B176" s="173" t="s">
        <v>122</v>
      </c>
      <c r="C176" s="173" t="s">
        <v>500</v>
      </c>
      <c r="D176" s="83" t="s">
        <v>87</v>
      </c>
      <c r="F176" s="49" t="s">
        <v>286</v>
      </c>
      <c r="G176" s="60">
        <v>-5.6630000000000003</v>
      </c>
      <c r="I176" s="49">
        <v>4186</v>
      </c>
      <c r="J176" s="159">
        <v>3.0734214390602057</v>
      </c>
      <c r="K176" s="49">
        <v>1</v>
      </c>
      <c r="L176" s="49">
        <v>1</v>
      </c>
      <c r="M176" s="83">
        <v>0</v>
      </c>
      <c r="N176" s="49">
        <v>0</v>
      </c>
      <c r="O176" s="49">
        <v>0</v>
      </c>
      <c r="P176" s="49">
        <v>1</v>
      </c>
      <c r="Q176" s="58">
        <v>0</v>
      </c>
      <c r="R176" s="42">
        <v>1</v>
      </c>
      <c r="S176" s="83">
        <v>1</v>
      </c>
      <c r="T176" s="49">
        <v>7</v>
      </c>
      <c r="U176" s="83">
        <v>1</v>
      </c>
      <c r="V176" s="49">
        <v>3</v>
      </c>
      <c r="W176" s="49">
        <v>1</v>
      </c>
      <c r="X176" s="58">
        <v>2</v>
      </c>
      <c r="Y176" s="83">
        <v>3</v>
      </c>
      <c r="AF176" s="49">
        <v>114</v>
      </c>
      <c r="AG176" s="49">
        <v>341</v>
      </c>
      <c r="AH176" s="49">
        <v>200</v>
      </c>
      <c r="AI176" s="49">
        <v>392</v>
      </c>
      <c r="AJ176" s="49">
        <v>0</v>
      </c>
      <c r="AK176" s="83">
        <v>0</v>
      </c>
      <c r="AL176" s="49">
        <v>1</v>
      </c>
      <c r="AM176" s="49">
        <v>0</v>
      </c>
      <c r="AN176" s="49">
        <v>0</v>
      </c>
      <c r="AO176" s="58">
        <v>0</v>
      </c>
      <c r="AP176" s="174">
        <v>0</v>
      </c>
      <c r="AQ176" s="175">
        <v>473</v>
      </c>
      <c r="AR176" s="175">
        <v>0</v>
      </c>
      <c r="AS176" s="175">
        <v>0</v>
      </c>
      <c r="AT176" s="175">
        <v>0</v>
      </c>
      <c r="AU176" s="175">
        <v>0</v>
      </c>
      <c r="AV176" s="175">
        <v>0</v>
      </c>
      <c r="AW176" s="175">
        <v>0</v>
      </c>
      <c r="AX176" s="83">
        <v>0</v>
      </c>
      <c r="AY176" s="49">
        <v>0</v>
      </c>
      <c r="AZ176" s="49">
        <v>0</v>
      </c>
      <c r="BA176" s="49">
        <v>0</v>
      </c>
      <c r="BB176" s="58">
        <v>0</v>
      </c>
      <c r="BC176" s="42">
        <v>129</v>
      </c>
      <c r="BS176" s="58"/>
      <c r="BT176" s="83">
        <v>74.81</v>
      </c>
      <c r="BU176" s="49">
        <v>75.61</v>
      </c>
      <c r="BV176" s="49">
        <v>70.89</v>
      </c>
      <c r="BW176" s="49">
        <v>74.59</v>
      </c>
      <c r="CE176" s="83"/>
      <c r="CK176" s="58"/>
      <c r="CL176" s="83">
        <v>65.05</v>
      </c>
      <c r="CO176" s="58"/>
      <c r="CP176" s="83"/>
      <c r="CR176" s="58"/>
      <c r="CS176" s="83"/>
      <c r="CY176" s="83"/>
      <c r="DG176" s="58"/>
      <c r="DH176" s="83">
        <v>68.03</v>
      </c>
      <c r="DI176" s="49">
        <v>67.36</v>
      </c>
      <c r="DJ176" s="49">
        <v>67.77</v>
      </c>
      <c r="DK176" s="49">
        <v>67.34</v>
      </c>
      <c r="DQ176" s="83"/>
      <c r="EE176" s="58"/>
      <c r="EF176" s="83"/>
      <c r="EI176" s="83"/>
      <c r="EK176" s="58"/>
      <c r="EL176" s="83"/>
      <c r="EO176" s="58"/>
      <c r="EP176" s="83"/>
      <c r="EQ176" s="58"/>
      <c r="ER176" s="83"/>
      <c r="ES176" s="58"/>
      <c r="ET176" s="83"/>
      <c r="EU176" s="58"/>
    </row>
    <row r="177" spans="1:151">
      <c r="A177" s="42" t="s">
        <v>319</v>
      </c>
      <c r="B177" s="173" t="s">
        <v>122</v>
      </c>
      <c r="C177" s="173" t="s">
        <v>500</v>
      </c>
      <c r="D177" s="83" t="s">
        <v>88</v>
      </c>
      <c r="F177" s="49" t="s">
        <v>286</v>
      </c>
      <c r="G177" s="60">
        <v>-5.6630000000000003</v>
      </c>
      <c r="I177" s="49">
        <v>1422</v>
      </c>
      <c r="J177" s="159">
        <v>1.8395860284605434</v>
      </c>
      <c r="K177" s="49">
        <v>1</v>
      </c>
      <c r="L177" s="49">
        <v>1</v>
      </c>
      <c r="M177" s="83">
        <v>1</v>
      </c>
      <c r="N177" s="49">
        <v>0</v>
      </c>
      <c r="O177" s="49">
        <v>0</v>
      </c>
      <c r="P177" s="49">
        <v>1</v>
      </c>
      <c r="Q177" s="58">
        <v>0</v>
      </c>
      <c r="R177" s="42">
        <v>2</v>
      </c>
      <c r="S177" s="83" t="s">
        <v>283</v>
      </c>
      <c r="T177" s="49">
        <v>14</v>
      </c>
      <c r="U177" s="83">
        <v>1</v>
      </c>
      <c r="V177" s="49">
        <v>4</v>
      </c>
      <c r="W177" s="49">
        <v>1</v>
      </c>
      <c r="X177" s="58">
        <v>2</v>
      </c>
      <c r="Y177" s="83">
        <v>5</v>
      </c>
      <c r="AF177" s="49">
        <v>81</v>
      </c>
      <c r="AG177" s="49">
        <v>208</v>
      </c>
      <c r="AJ177" s="49">
        <v>0</v>
      </c>
      <c r="AK177" s="83"/>
      <c r="AO177" s="58"/>
      <c r="AP177" s="174" t="s">
        <v>284</v>
      </c>
      <c r="AQ177" s="175" t="s">
        <v>284</v>
      </c>
      <c r="AR177" s="175" t="s">
        <v>284</v>
      </c>
      <c r="AS177" s="175" t="s">
        <v>284</v>
      </c>
      <c r="AT177" s="175" t="s">
        <v>284</v>
      </c>
      <c r="AU177" s="175" t="s">
        <v>284</v>
      </c>
      <c r="AV177" s="175" t="s">
        <v>284</v>
      </c>
      <c r="AW177" s="175" t="s">
        <v>284</v>
      </c>
      <c r="AX177" s="83">
        <v>0</v>
      </c>
      <c r="AY177" s="49">
        <v>0</v>
      </c>
      <c r="AZ177" s="49">
        <v>0</v>
      </c>
      <c r="BA177" s="49">
        <v>0</v>
      </c>
      <c r="BB177" s="58">
        <v>0</v>
      </c>
      <c r="BC177" s="42">
        <v>79</v>
      </c>
      <c r="BD177" s="49">
        <v>71.33</v>
      </c>
      <c r="BS177" s="58"/>
      <c r="BT177" s="83">
        <v>74.62</v>
      </c>
      <c r="BU177" s="49">
        <v>77.86</v>
      </c>
      <c r="CE177" s="83"/>
      <c r="CK177" s="58"/>
      <c r="CL177" s="83">
        <v>63.99</v>
      </c>
      <c r="CO177" s="58"/>
      <c r="CP177" s="83"/>
      <c r="CR177" s="58"/>
      <c r="CS177" s="83"/>
      <c r="CY177" s="83"/>
      <c r="DG177" s="58"/>
      <c r="DH177" s="83"/>
      <c r="DQ177" s="83"/>
      <c r="EE177" s="58"/>
      <c r="EF177" s="83"/>
      <c r="EI177" s="83"/>
      <c r="EK177" s="58"/>
      <c r="EL177" s="83"/>
      <c r="EO177" s="58"/>
      <c r="EP177" s="83"/>
      <c r="EQ177" s="58"/>
      <c r="ER177" s="83"/>
      <c r="ES177" s="58"/>
      <c r="ET177" s="83"/>
      <c r="EU177" s="58"/>
    </row>
    <row r="178" spans="1:151">
      <c r="A178" s="42" t="s">
        <v>319</v>
      </c>
      <c r="B178" s="173" t="s">
        <v>122</v>
      </c>
      <c r="C178" s="173" t="s">
        <v>500</v>
      </c>
      <c r="D178" s="83" t="s">
        <v>111</v>
      </c>
      <c r="F178" s="49" t="s">
        <v>287</v>
      </c>
      <c r="G178" s="60">
        <v>-5.6630000000000003</v>
      </c>
      <c r="I178" s="49">
        <v>442</v>
      </c>
      <c r="J178" s="159">
        <v>1.4587458745874586</v>
      </c>
      <c r="K178" s="49">
        <v>1</v>
      </c>
      <c r="L178" s="49">
        <v>3</v>
      </c>
      <c r="M178" s="83">
        <v>0</v>
      </c>
      <c r="N178" s="49">
        <v>0</v>
      </c>
      <c r="O178" s="49">
        <v>0</v>
      </c>
      <c r="P178" s="49">
        <v>1</v>
      </c>
      <c r="Q178" s="58">
        <v>0</v>
      </c>
      <c r="R178" s="42">
        <v>1</v>
      </c>
      <c r="S178" s="83" t="s">
        <v>283</v>
      </c>
      <c r="T178" s="49">
        <v>9</v>
      </c>
      <c r="U178" s="83">
        <v>1</v>
      </c>
      <c r="V178" s="49">
        <v>2</v>
      </c>
      <c r="W178" s="49">
        <v>1</v>
      </c>
      <c r="X178" s="58">
        <v>2</v>
      </c>
      <c r="Y178" s="83">
        <v>1</v>
      </c>
      <c r="AD178" s="49">
        <v>7</v>
      </c>
      <c r="AE178" s="49">
        <v>26</v>
      </c>
      <c r="AJ178" s="49">
        <v>0</v>
      </c>
      <c r="AK178" s="83"/>
      <c r="AO178" s="58"/>
      <c r="AP178" s="174" t="s">
        <v>284</v>
      </c>
      <c r="AQ178" s="175" t="s">
        <v>284</v>
      </c>
      <c r="AR178" s="175" t="s">
        <v>284</v>
      </c>
      <c r="AS178" s="175" t="s">
        <v>284</v>
      </c>
      <c r="AT178" s="175" t="s">
        <v>284</v>
      </c>
      <c r="AU178" s="175" t="s">
        <v>284</v>
      </c>
      <c r="AV178" s="175" t="s">
        <v>284</v>
      </c>
      <c r="AW178" s="175" t="s">
        <v>284</v>
      </c>
      <c r="AX178" s="83">
        <v>0</v>
      </c>
      <c r="AY178" s="49">
        <v>0</v>
      </c>
      <c r="AZ178" s="49">
        <v>0</v>
      </c>
      <c r="BA178" s="49">
        <v>0</v>
      </c>
      <c r="BB178" s="58">
        <v>0</v>
      </c>
      <c r="BC178" s="42">
        <v>86</v>
      </c>
      <c r="BS178" s="58"/>
      <c r="BT178" s="83"/>
      <c r="CE178" s="83"/>
      <c r="CK178" s="58"/>
      <c r="CL178" s="83"/>
      <c r="CO178" s="58"/>
      <c r="CP178" s="83"/>
      <c r="CR178" s="58"/>
      <c r="CS178" s="83"/>
      <c r="CY178" s="83"/>
      <c r="DG178" s="58"/>
      <c r="DH178" s="83"/>
      <c r="DQ178" s="83"/>
      <c r="EE178" s="58"/>
      <c r="EF178" s="83"/>
      <c r="EI178" s="83"/>
      <c r="EK178" s="58"/>
      <c r="EL178" s="83"/>
      <c r="EO178" s="58"/>
      <c r="EP178" s="83"/>
      <c r="EQ178" s="58"/>
      <c r="ER178" s="83"/>
      <c r="ES178" s="58"/>
      <c r="ET178" s="83"/>
      <c r="EU178" s="58"/>
    </row>
    <row r="179" spans="1:151">
      <c r="A179" s="42" t="s">
        <v>319</v>
      </c>
      <c r="B179" s="173" t="s">
        <v>122</v>
      </c>
      <c r="C179" s="173" t="s">
        <v>500</v>
      </c>
      <c r="D179" s="83" t="s">
        <v>92</v>
      </c>
      <c r="F179" s="49" t="s">
        <v>286</v>
      </c>
      <c r="G179" s="60">
        <v>-5.6630000000000003</v>
      </c>
      <c r="I179" s="49">
        <v>1681</v>
      </c>
      <c r="J179" s="159">
        <v>1.6759720837487537</v>
      </c>
      <c r="K179" s="49">
        <v>4</v>
      </c>
      <c r="L179" s="49">
        <v>3</v>
      </c>
      <c r="M179" s="83">
        <v>0</v>
      </c>
      <c r="N179" s="49">
        <v>1</v>
      </c>
      <c r="O179" s="49">
        <v>0</v>
      </c>
      <c r="P179" s="49">
        <v>1</v>
      </c>
      <c r="Q179" s="58">
        <v>0</v>
      </c>
      <c r="R179" s="42">
        <v>2</v>
      </c>
      <c r="S179" s="83" t="s">
        <v>283</v>
      </c>
      <c r="T179" s="49">
        <v>7</v>
      </c>
      <c r="U179" s="83">
        <v>1</v>
      </c>
      <c r="V179" s="49">
        <v>2</v>
      </c>
      <c r="W179" s="49">
        <v>1</v>
      </c>
      <c r="X179" s="58">
        <v>2</v>
      </c>
      <c r="Y179" s="83">
        <v>40</v>
      </c>
      <c r="Z179" s="49">
        <v>9</v>
      </c>
      <c r="AA179" s="49">
        <v>20</v>
      </c>
      <c r="AD179" s="49">
        <v>11</v>
      </c>
      <c r="AE179" s="49">
        <v>409</v>
      </c>
      <c r="AF179" s="49">
        <v>21</v>
      </c>
      <c r="AG179" s="49">
        <v>128</v>
      </c>
      <c r="AH179" s="49">
        <v>23</v>
      </c>
      <c r="AI179" s="49">
        <v>881</v>
      </c>
      <c r="AJ179" s="49">
        <v>0</v>
      </c>
      <c r="AK179" s="83"/>
      <c r="AO179" s="58"/>
      <c r="AP179" s="174" t="s">
        <v>284</v>
      </c>
      <c r="AQ179" s="175" t="s">
        <v>284</v>
      </c>
      <c r="AR179" s="175" t="s">
        <v>284</v>
      </c>
      <c r="AS179" s="175" t="s">
        <v>284</v>
      </c>
      <c r="AT179" s="175" t="s">
        <v>284</v>
      </c>
      <c r="AU179" s="175" t="s">
        <v>284</v>
      </c>
      <c r="AV179" s="175" t="s">
        <v>284</v>
      </c>
      <c r="AW179" s="175" t="s">
        <v>284</v>
      </c>
      <c r="AX179" s="83">
        <v>0</v>
      </c>
      <c r="AY179" s="49">
        <v>0</v>
      </c>
      <c r="AZ179" s="49">
        <v>0</v>
      </c>
      <c r="BA179" s="49">
        <v>0</v>
      </c>
      <c r="BB179" s="58">
        <v>0</v>
      </c>
      <c r="BC179" s="42">
        <v>89</v>
      </c>
      <c r="BS179" s="58"/>
      <c r="BT179" s="83"/>
      <c r="CE179" s="83"/>
      <c r="CK179" s="58"/>
      <c r="CL179" s="83"/>
      <c r="CO179" s="58"/>
      <c r="CP179" s="83"/>
      <c r="CR179" s="58"/>
      <c r="CS179" s="83"/>
      <c r="CY179" s="83"/>
      <c r="DG179" s="58"/>
      <c r="DH179" s="83"/>
      <c r="DQ179" s="83"/>
      <c r="EE179" s="58"/>
      <c r="EF179" s="83"/>
      <c r="EI179" s="83"/>
      <c r="EK179" s="58"/>
      <c r="EL179" s="83"/>
      <c r="EO179" s="58"/>
      <c r="EP179" s="83"/>
      <c r="EQ179" s="58"/>
      <c r="ER179" s="83"/>
      <c r="ES179" s="58"/>
      <c r="ET179" s="83"/>
      <c r="EU179" s="58"/>
    </row>
    <row r="180" spans="1:151">
      <c r="A180" s="42" t="s">
        <v>319</v>
      </c>
      <c r="B180" s="173" t="s">
        <v>122</v>
      </c>
      <c r="C180" s="173" t="s">
        <v>500</v>
      </c>
      <c r="D180" s="83" t="s">
        <v>93</v>
      </c>
      <c r="F180" s="49" t="s">
        <v>286</v>
      </c>
      <c r="G180" s="60">
        <v>-5.6630000000000003</v>
      </c>
      <c r="I180" s="49">
        <v>4289</v>
      </c>
      <c r="J180" s="159">
        <v>8.2959381044487426</v>
      </c>
      <c r="K180" s="49">
        <v>1</v>
      </c>
      <c r="L180" s="49">
        <v>1</v>
      </c>
      <c r="M180" s="83">
        <v>0</v>
      </c>
      <c r="N180" s="49">
        <v>3</v>
      </c>
      <c r="O180" s="49">
        <v>0</v>
      </c>
      <c r="P180" s="49">
        <v>1</v>
      </c>
      <c r="Q180" s="58">
        <v>0</v>
      </c>
      <c r="R180" s="42">
        <v>4</v>
      </c>
      <c r="S180" s="83" t="s">
        <v>283</v>
      </c>
      <c r="T180" s="49">
        <v>9</v>
      </c>
      <c r="U180" s="83">
        <v>1</v>
      </c>
      <c r="V180" s="49">
        <v>1</v>
      </c>
      <c r="W180" s="49">
        <v>1</v>
      </c>
      <c r="X180" s="58">
        <v>2</v>
      </c>
      <c r="Y180" s="83">
        <v>15</v>
      </c>
      <c r="AA180" s="49">
        <v>13</v>
      </c>
      <c r="AE180" s="49">
        <v>47</v>
      </c>
      <c r="AF180" s="49">
        <v>15</v>
      </c>
      <c r="AG180" s="49">
        <v>407</v>
      </c>
      <c r="AH180" s="49">
        <v>47</v>
      </c>
      <c r="AI180" s="49">
        <v>296</v>
      </c>
      <c r="AJ180" s="49">
        <v>0</v>
      </c>
      <c r="AK180" s="83"/>
      <c r="AO180" s="58"/>
      <c r="AP180" s="174" t="s">
        <v>284</v>
      </c>
      <c r="AQ180" s="175" t="s">
        <v>284</v>
      </c>
      <c r="AR180" s="175" t="s">
        <v>284</v>
      </c>
      <c r="AS180" s="175" t="s">
        <v>284</v>
      </c>
      <c r="AT180" s="175" t="s">
        <v>284</v>
      </c>
      <c r="AU180" s="175" t="s">
        <v>284</v>
      </c>
      <c r="AV180" s="175" t="s">
        <v>284</v>
      </c>
      <c r="AW180" s="175" t="s">
        <v>284</v>
      </c>
      <c r="AX180" s="83">
        <v>0</v>
      </c>
      <c r="AY180" s="49">
        <v>0</v>
      </c>
      <c r="AZ180" s="49">
        <v>0</v>
      </c>
      <c r="BA180" s="49">
        <v>0</v>
      </c>
      <c r="BB180" s="58">
        <v>0</v>
      </c>
      <c r="BC180" s="42">
        <v>90</v>
      </c>
      <c r="BS180" s="58"/>
      <c r="BT180" s="83">
        <v>77.069999999999993</v>
      </c>
      <c r="BU180" s="49">
        <v>76.92</v>
      </c>
      <c r="CE180" s="83"/>
      <c r="CK180" s="58"/>
      <c r="CL180" s="83"/>
      <c r="CO180" s="58"/>
      <c r="CP180" s="83"/>
      <c r="CR180" s="58"/>
      <c r="CS180" s="83"/>
      <c r="CY180" s="83"/>
      <c r="DG180" s="58"/>
      <c r="DH180" s="83">
        <v>69.569999999999993</v>
      </c>
      <c r="DI180" s="49">
        <v>70.31</v>
      </c>
      <c r="DQ180" s="83"/>
      <c r="EE180" s="58"/>
      <c r="EF180" s="83"/>
      <c r="EI180" s="83"/>
      <c r="EK180" s="58"/>
      <c r="EL180" s="83"/>
      <c r="EO180" s="58"/>
      <c r="EP180" s="83"/>
      <c r="EQ180" s="58"/>
      <c r="ER180" s="83"/>
      <c r="ES180" s="58"/>
      <c r="ET180" s="83"/>
      <c r="EU180" s="58"/>
    </row>
    <row r="181" spans="1:151">
      <c r="A181" s="42" t="s">
        <v>319</v>
      </c>
      <c r="B181" s="173" t="s">
        <v>122</v>
      </c>
      <c r="C181" s="173" t="s">
        <v>500</v>
      </c>
      <c r="D181" s="83" t="s">
        <v>75</v>
      </c>
      <c r="F181" s="49" t="s">
        <v>287</v>
      </c>
      <c r="G181" s="60">
        <v>-5.6630000000000003</v>
      </c>
      <c r="I181" s="49">
        <v>706</v>
      </c>
      <c r="J181" s="159">
        <v>1.1925675675675675</v>
      </c>
      <c r="K181" s="49">
        <v>1</v>
      </c>
      <c r="L181" s="49">
        <v>3</v>
      </c>
      <c r="M181" s="83">
        <v>0</v>
      </c>
      <c r="N181" s="49">
        <v>3</v>
      </c>
      <c r="O181" s="49">
        <v>0</v>
      </c>
      <c r="P181" s="49">
        <v>1</v>
      </c>
      <c r="Q181" s="58">
        <v>0</v>
      </c>
      <c r="R181" s="42">
        <v>4</v>
      </c>
      <c r="S181" s="83" t="s">
        <v>283</v>
      </c>
      <c r="T181" s="49">
        <v>7</v>
      </c>
      <c r="U181" s="83">
        <v>1</v>
      </c>
      <c r="V181" s="49">
        <v>3</v>
      </c>
      <c r="W181" s="49">
        <v>1</v>
      </c>
      <c r="X181" s="58">
        <v>2</v>
      </c>
      <c r="Y181" s="83" t="s">
        <v>78</v>
      </c>
      <c r="AH181" s="49">
        <v>9</v>
      </c>
      <c r="AI181" s="49">
        <v>16</v>
      </c>
      <c r="AJ181" s="49">
        <v>0</v>
      </c>
      <c r="AK181" s="83"/>
      <c r="AO181" s="58"/>
      <c r="AP181" s="174" t="s">
        <v>284</v>
      </c>
      <c r="AQ181" s="175" t="s">
        <v>284</v>
      </c>
      <c r="AR181" s="175" t="s">
        <v>284</v>
      </c>
      <c r="AS181" s="175" t="s">
        <v>284</v>
      </c>
      <c r="AT181" s="175" t="s">
        <v>284</v>
      </c>
      <c r="AU181" s="175" t="s">
        <v>284</v>
      </c>
      <c r="AV181" s="175" t="s">
        <v>284</v>
      </c>
      <c r="AW181" s="175" t="s">
        <v>284</v>
      </c>
      <c r="AX181" s="83">
        <v>0</v>
      </c>
      <c r="AY181" s="49">
        <v>0</v>
      </c>
      <c r="AZ181" s="49">
        <v>0</v>
      </c>
      <c r="BA181" s="49">
        <v>0</v>
      </c>
      <c r="BB181" s="58">
        <v>0</v>
      </c>
      <c r="BC181" s="42">
        <v>74</v>
      </c>
      <c r="BS181" s="58"/>
      <c r="BT181" s="83"/>
      <c r="CE181" s="83"/>
      <c r="CK181" s="58"/>
      <c r="CL181" s="83"/>
      <c r="CO181" s="58"/>
      <c r="CP181" s="83"/>
      <c r="CR181" s="58"/>
      <c r="CS181" s="83"/>
      <c r="CY181" s="83"/>
      <c r="DG181" s="58"/>
      <c r="DH181" s="83"/>
      <c r="DQ181" s="83"/>
      <c r="EE181" s="58"/>
      <c r="EF181" s="83"/>
      <c r="EI181" s="83"/>
      <c r="EK181" s="58"/>
      <c r="EL181" s="83"/>
      <c r="EO181" s="58"/>
      <c r="EP181" s="83"/>
      <c r="EQ181" s="58"/>
      <c r="ER181" s="83"/>
      <c r="ES181" s="58"/>
      <c r="ET181" s="83"/>
      <c r="EU181" s="58"/>
    </row>
    <row r="182" spans="1:151" ht="17" thickBot="1">
      <c r="A182" s="55" t="s">
        <v>319</v>
      </c>
      <c r="B182" s="47" t="s">
        <v>122</v>
      </c>
      <c r="C182" s="47" t="s">
        <v>500</v>
      </c>
      <c r="D182" s="84" t="s">
        <v>76</v>
      </c>
      <c r="E182" s="57"/>
      <c r="F182" s="57" t="s">
        <v>287</v>
      </c>
      <c r="G182" s="74">
        <v>-5.6630000000000003</v>
      </c>
      <c r="H182" s="57"/>
      <c r="I182" s="57">
        <v>620</v>
      </c>
      <c r="J182" s="75">
        <v>1.3419913419913421</v>
      </c>
      <c r="K182" s="57">
        <v>4</v>
      </c>
      <c r="L182" s="57">
        <v>5</v>
      </c>
      <c r="M182" s="84">
        <v>0</v>
      </c>
      <c r="N182" s="57">
        <v>0</v>
      </c>
      <c r="O182" s="57">
        <v>0</v>
      </c>
      <c r="P182" s="57">
        <v>1</v>
      </c>
      <c r="Q182" s="56">
        <v>0</v>
      </c>
      <c r="R182" s="55">
        <v>1</v>
      </c>
      <c r="S182" s="84" t="s">
        <v>283</v>
      </c>
      <c r="T182" s="57">
        <v>12</v>
      </c>
      <c r="U182" s="84">
        <v>2</v>
      </c>
      <c r="V182" s="57">
        <v>5</v>
      </c>
      <c r="W182" s="57">
        <v>3</v>
      </c>
      <c r="X182" s="56">
        <v>2</v>
      </c>
      <c r="Y182" s="84" t="s">
        <v>78</v>
      </c>
      <c r="Z182" s="57"/>
      <c r="AA182" s="57">
        <v>6</v>
      </c>
      <c r="AB182" s="57"/>
      <c r="AC182" s="57"/>
      <c r="AD182" s="57"/>
      <c r="AE182" s="57"/>
      <c r="AF182" s="57"/>
      <c r="AG182" s="57"/>
      <c r="AH182" s="57"/>
      <c r="AI182" s="57">
        <v>10</v>
      </c>
      <c r="AJ182" s="57">
        <v>0</v>
      </c>
      <c r="AK182" s="84"/>
      <c r="AL182" s="57"/>
      <c r="AM182" s="57"/>
      <c r="AN182" s="57"/>
      <c r="AO182" s="56"/>
      <c r="AP182" s="178" t="s">
        <v>284</v>
      </c>
      <c r="AQ182" s="179" t="s">
        <v>284</v>
      </c>
      <c r="AR182" s="179" t="s">
        <v>284</v>
      </c>
      <c r="AS182" s="179" t="s">
        <v>284</v>
      </c>
      <c r="AT182" s="179" t="s">
        <v>284</v>
      </c>
      <c r="AU182" s="179" t="s">
        <v>284</v>
      </c>
      <c r="AV182" s="179" t="s">
        <v>284</v>
      </c>
      <c r="AW182" s="179" t="s">
        <v>284</v>
      </c>
      <c r="AX182" s="84">
        <v>0</v>
      </c>
      <c r="AY182" s="57">
        <v>0</v>
      </c>
      <c r="AZ182" s="57">
        <v>0</v>
      </c>
      <c r="BA182" s="57">
        <v>0</v>
      </c>
      <c r="BB182" s="56">
        <v>0</v>
      </c>
      <c r="BC182" s="55">
        <v>96</v>
      </c>
      <c r="BD182" s="57"/>
      <c r="BE182" s="75"/>
      <c r="BF182" s="57"/>
      <c r="BG182" s="57"/>
      <c r="BH182" s="57"/>
      <c r="BI182" s="57"/>
      <c r="BJ182" s="57"/>
      <c r="BK182" s="57"/>
      <c r="BL182" s="57"/>
      <c r="BM182" s="57"/>
      <c r="BN182" s="57"/>
      <c r="BO182" s="57"/>
      <c r="BP182" s="57"/>
      <c r="BQ182" s="57"/>
      <c r="BR182" s="57"/>
      <c r="BS182" s="56"/>
      <c r="BT182" s="84"/>
      <c r="BU182" s="57"/>
      <c r="BV182" s="57"/>
      <c r="BW182" s="57"/>
      <c r="BX182" s="57"/>
      <c r="BY182" s="57"/>
      <c r="BZ182" s="57"/>
      <c r="CA182" s="57"/>
      <c r="CB182" s="57"/>
      <c r="CC182" s="57"/>
      <c r="CD182" s="57"/>
      <c r="CE182" s="84"/>
      <c r="CF182" s="57"/>
      <c r="CG182" s="57"/>
      <c r="CH182" s="57"/>
      <c r="CI182" s="57"/>
      <c r="CJ182" s="57"/>
      <c r="CK182" s="56"/>
      <c r="CL182" s="84"/>
      <c r="CM182" s="57"/>
      <c r="CN182" s="57"/>
      <c r="CO182" s="56"/>
      <c r="CP182" s="84"/>
      <c r="CQ182" s="57"/>
      <c r="CR182" s="56"/>
      <c r="CS182" s="84"/>
      <c r="CT182" s="57"/>
      <c r="CU182" s="57"/>
      <c r="CV182" s="57"/>
      <c r="CW182" s="57"/>
      <c r="CX182" s="57"/>
      <c r="CY182" s="84"/>
      <c r="CZ182" s="57"/>
      <c r="DA182" s="57"/>
      <c r="DB182" s="57"/>
      <c r="DC182" s="57"/>
      <c r="DD182" s="57"/>
      <c r="DE182" s="57"/>
      <c r="DF182" s="57"/>
      <c r="DG182" s="56"/>
      <c r="DH182" s="84"/>
      <c r="DI182" s="57"/>
      <c r="DJ182" s="57"/>
      <c r="DK182" s="57"/>
      <c r="DL182" s="57"/>
      <c r="DM182" s="57"/>
      <c r="DN182" s="57"/>
      <c r="DO182" s="57"/>
      <c r="DP182" s="57"/>
      <c r="DQ182" s="84"/>
      <c r="DR182" s="57"/>
      <c r="DS182" s="57"/>
      <c r="DT182" s="57"/>
      <c r="DU182" s="57"/>
      <c r="DV182" s="57"/>
      <c r="DW182" s="57"/>
      <c r="DX182" s="57"/>
      <c r="DY182" s="57"/>
      <c r="DZ182" s="57"/>
      <c r="EA182" s="57"/>
      <c r="EB182" s="57"/>
      <c r="EC182" s="57"/>
      <c r="ED182" s="57"/>
      <c r="EE182" s="56"/>
      <c r="EF182" s="84"/>
      <c r="EG182" s="57"/>
      <c r="EH182" s="57"/>
      <c r="EI182" s="84"/>
      <c r="EJ182" s="57"/>
      <c r="EK182" s="56"/>
      <c r="EL182" s="84"/>
      <c r="EM182" s="57"/>
      <c r="EN182" s="57"/>
      <c r="EO182" s="56"/>
      <c r="EP182" s="84"/>
      <c r="EQ182" s="56"/>
      <c r="ER182" s="84"/>
      <c r="ES182" s="56"/>
      <c r="ET182" s="84"/>
      <c r="EU182" s="56"/>
    </row>
    <row r="183" spans="1:151">
      <c r="A183" s="83" t="s">
        <v>319</v>
      </c>
      <c r="B183" s="7" t="s">
        <v>123</v>
      </c>
      <c r="C183" s="7" t="s">
        <v>500</v>
      </c>
      <c r="D183" s="147" t="s">
        <v>64</v>
      </c>
      <c r="E183" s="148"/>
      <c r="F183" s="148" t="s">
        <v>286</v>
      </c>
      <c r="G183" s="73">
        <v>-5.6630000000000003</v>
      </c>
      <c r="H183" s="148"/>
      <c r="I183" s="148">
        <v>2560</v>
      </c>
      <c r="J183" s="158">
        <v>2.6391752577319587</v>
      </c>
      <c r="K183" s="148">
        <v>1</v>
      </c>
      <c r="L183" s="148">
        <v>3</v>
      </c>
      <c r="M183" s="147">
        <v>0</v>
      </c>
      <c r="N183" s="148">
        <v>3</v>
      </c>
      <c r="O183" s="148">
        <v>1</v>
      </c>
      <c r="P183" s="148">
        <v>1</v>
      </c>
      <c r="Q183" s="149">
        <v>0</v>
      </c>
      <c r="R183" s="87">
        <v>5</v>
      </c>
      <c r="S183" s="147" t="s">
        <v>283</v>
      </c>
      <c r="T183" s="148">
        <v>24</v>
      </c>
      <c r="U183" s="147">
        <v>1</v>
      </c>
      <c r="V183" s="148">
        <v>3</v>
      </c>
      <c r="W183" s="148">
        <v>1</v>
      </c>
      <c r="X183" s="149">
        <v>3</v>
      </c>
      <c r="Y183" s="147">
        <v>5</v>
      </c>
      <c r="Z183" s="148">
        <v>10</v>
      </c>
      <c r="AA183" s="148">
        <v>20</v>
      </c>
      <c r="AB183" s="148"/>
      <c r="AC183" s="148"/>
      <c r="AD183" s="148">
        <v>20</v>
      </c>
      <c r="AE183" s="148">
        <v>100</v>
      </c>
      <c r="AF183" s="148">
        <v>10</v>
      </c>
      <c r="AG183" s="148">
        <v>130</v>
      </c>
      <c r="AH183" s="148">
        <v>30</v>
      </c>
      <c r="AI183" s="148">
        <v>360</v>
      </c>
      <c r="AJ183" s="148">
        <v>0</v>
      </c>
      <c r="AK183" s="147">
        <v>0</v>
      </c>
      <c r="AL183" s="148">
        <v>0</v>
      </c>
      <c r="AM183" s="148">
        <v>0</v>
      </c>
      <c r="AN183" s="148">
        <v>0</v>
      </c>
      <c r="AO183" s="149">
        <v>0</v>
      </c>
      <c r="AP183" s="169" t="s">
        <v>284</v>
      </c>
      <c r="AQ183" s="170" t="s">
        <v>284</v>
      </c>
      <c r="AR183" s="170" t="s">
        <v>284</v>
      </c>
      <c r="AS183" s="170" t="s">
        <v>284</v>
      </c>
      <c r="AT183" s="170" t="s">
        <v>284</v>
      </c>
      <c r="AU183" s="170" t="s">
        <v>284</v>
      </c>
      <c r="AV183" s="170" t="s">
        <v>284</v>
      </c>
      <c r="AW183" s="170" t="s">
        <v>284</v>
      </c>
      <c r="AX183" s="147">
        <v>0</v>
      </c>
      <c r="AY183" s="148">
        <v>0</v>
      </c>
      <c r="AZ183" s="148">
        <v>0</v>
      </c>
      <c r="BA183" s="148">
        <v>0</v>
      </c>
      <c r="BB183" s="149">
        <v>0</v>
      </c>
      <c r="BC183" s="87">
        <v>102</v>
      </c>
      <c r="BD183" s="148"/>
      <c r="BE183" s="158"/>
      <c r="BF183" s="148"/>
      <c r="BG183" s="148"/>
      <c r="BH183" s="148"/>
      <c r="BI183" s="148"/>
      <c r="BJ183" s="148"/>
      <c r="BK183" s="148"/>
      <c r="BL183" s="148"/>
      <c r="BM183" s="148"/>
      <c r="BN183" s="148"/>
      <c r="BO183" s="148"/>
      <c r="BP183" s="148"/>
      <c r="BQ183" s="148"/>
      <c r="BR183" s="148"/>
      <c r="BS183" s="149"/>
      <c r="BT183" s="147"/>
      <c r="BU183" s="148"/>
      <c r="BV183" s="148"/>
      <c r="BW183" s="148"/>
      <c r="BX183" s="148"/>
      <c r="BY183" s="148"/>
      <c r="BZ183" s="148"/>
      <c r="CA183" s="148"/>
      <c r="CB183" s="148"/>
      <c r="CC183" s="148"/>
      <c r="CD183" s="148"/>
      <c r="CE183" s="147"/>
      <c r="CF183" s="148"/>
      <c r="CG183" s="148"/>
      <c r="CH183" s="148"/>
      <c r="CI183" s="148"/>
      <c r="CJ183" s="148"/>
      <c r="CK183" s="149"/>
      <c r="CL183" s="147">
        <v>68.790000000000006</v>
      </c>
      <c r="CM183" s="148"/>
      <c r="CN183" s="148"/>
      <c r="CO183" s="149"/>
      <c r="CP183" s="147"/>
      <c r="CQ183" s="148"/>
      <c r="CR183" s="149"/>
      <c r="CS183" s="147"/>
      <c r="CT183" s="148"/>
      <c r="CU183" s="148"/>
      <c r="CV183" s="148"/>
      <c r="CW183" s="148"/>
      <c r="CX183" s="148"/>
      <c r="CY183" s="147">
        <v>78.010000000000005</v>
      </c>
      <c r="CZ183" s="148">
        <v>77.239999999999995</v>
      </c>
      <c r="DA183" s="148">
        <v>79.88</v>
      </c>
      <c r="DB183" s="148">
        <v>79.02</v>
      </c>
      <c r="DC183" s="148"/>
      <c r="DD183" s="148"/>
      <c r="DE183" s="148"/>
      <c r="DF183" s="148"/>
      <c r="DG183" s="149"/>
      <c r="DH183" s="147"/>
      <c r="DI183" s="148"/>
      <c r="DJ183" s="148"/>
      <c r="DK183" s="148"/>
      <c r="DL183" s="148"/>
      <c r="DM183" s="148"/>
      <c r="DN183" s="148"/>
      <c r="DO183" s="148"/>
      <c r="DP183" s="148"/>
      <c r="DQ183" s="147"/>
      <c r="DR183" s="148"/>
      <c r="DS183" s="148"/>
      <c r="DT183" s="148"/>
      <c r="DU183" s="148"/>
      <c r="DV183" s="148"/>
      <c r="DW183" s="148"/>
      <c r="DX183" s="148"/>
      <c r="DY183" s="148"/>
      <c r="DZ183" s="148"/>
      <c r="EA183" s="148"/>
      <c r="EB183" s="148"/>
      <c r="EC183" s="148"/>
      <c r="ED183" s="148"/>
      <c r="EE183" s="149"/>
      <c r="EF183" s="147"/>
      <c r="EG183" s="148"/>
      <c r="EH183" s="148"/>
      <c r="EI183" s="147"/>
      <c r="EJ183" s="148"/>
      <c r="EK183" s="149"/>
      <c r="EL183" s="147"/>
      <c r="EM183" s="148"/>
      <c r="EN183" s="148"/>
      <c r="EO183" s="149"/>
      <c r="EP183" s="147"/>
      <c r="EQ183" s="149"/>
      <c r="ER183" s="147"/>
      <c r="ES183" s="149"/>
      <c r="ET183" s="147"/>
      <c r="EU183" s="149"/>
    </row>
    <row r="184" spans="1:151">
      <c r="A184" s="83" t="s">
        <v>319</v>
      </c>
      <c r="B184" s="173" t="s">
        <v>123</v>
      </c>
      <c r="C184" s="173" t="s">
        <v>500</v>
      </c>
      <c r="D184" s="83" t="s">
        <v>66</v>
      </c>
      <c r="F184" s="49" t="s">
        <v>286</v>
      </c>
      <c r="G184" s="60">
        <v>-5.6630000000000003</v>
      </c>
      <c r="I184" s="49">
        <v>2626</v>
      </c>
      <c r="J184" s="159">
        <v>1.473625140291807</v>
      </c>
      <c r="K184" s="49">
        <v>4</v>
      </c>
      <c r="L184" s="49">
        <v>3</v>
      </c>
      <c r="M184" s="83">
        <v>0</v>
      </c>
      <c r="N184" s="49">
        <v>1</v>
      </c>
      <c r="O184" s="49">
        <v>0</v>
      </c>
      <c r="P184" s="49">
        <v>1</v>
      </c>
      <c r="Q184" s="58">
        <v>0</v>
      </c>
      <c r="R184" s="42">
        <v>2</v>
      </c>
      <c r="S184" s="83" t="s">
        <v>283</v>
      </c>
      <c r="T184" s="49">
        <v>9</v>
      </c>
      <c r="U184" s="83">
        <v>2</v>
      </c>
      <c r="V184" s="49">
        <v>2</v>
      </c>
      <c r="W184" s="49">
        <v>1</v>
      </c>
      <c r="X184" s="58">
        <v>2</v>
      </c>
      <c r="Y184" s="83">
        <v>1</v>
      </c>
      <c r="Z184" s="49">
        <v>15</v>
      </c>
      <c r="AA184" s="49">
        <v>19</v>
      </c>
      <c r="AG184" s="49">
        <v>293</v>
      </c>
      <c r="AJ184" s="49">
        <v>0</v>
      </c>
      <c r="AK184" s="83">
        <v>0</v>
      </c>
      <c r="AL184" s="49">
        <v>1</v>
      </c>
      <c r="AM184" s="49">
        <v>1</v>
      </c>
      <c r="AN184" s="49">
        <v>0</v>
      </c>
      <c r="AO184" s="58">
        <v>0</v>
      </c>
      <c r="AP184" s="174" t="s">
        <v>501</v>
      </c>
      <c r="AQ184" s="175" t="s">
        <v>501</v>
      </c>
      <c r="AR184" s="175" t="s">
        <v>501</v>
      </c>
      <c r="AS184" s="175" t="s">
        <v>501</v>
      </c>
      <c r="AT184" s="175" t="s">
        <v>284</v>
      </c>
      <c r="AU184" s="175" t="s">
        <v>284</v>
      </c>
      <c r="AV184" s="175" t="s">
        <v>284</v>
      </c>
      <c r="AW184" s="175" t="s">
        <v>284</v>
      </c>
      <c r="AX184" s="83">
        <v>0</v>
      </c>
      <c r="AY184" s="49">
        <v>0</v>
      </c>
      <c r="AZ184" s="49">
        <v>0</v>
      </c>
      <c r="BA184" s="49">
        <v>0</v>
      </c>
      <c r="BB184" s="58">
        <v>0</v>
      </c>
      <c r="BC184" s="42">
        <v>108</v>
      </c>
      <c r="BS184" s="58"/>
      <c r="BT184" s="83">
        <v>75.59</v>
      </c>
      <c r="CE184" s="83">
        <v>72.989999999999995</v>
      </c>
      <c r="CF184" s="49">
        <v>79.77</v>
      </c>
      <c r="CK184" s="58"/>
      <c r="CL184" s="83">
        <v>64.45</v>
      </c>
      <c r="CO184" s="58"/>
      <c r="CP184" s="83"/>
      <c r="CR184" s="58"/>
      <c r="CS184" s="83"/>
      <c r="CY184" s="83"/>
      <c r="DG184" s="58"/>
      <c r="DH184" s="83">
        <v>67.97</v>
      </c>
      <c r="DQ184" s="83">
        <v>70.510000000000005</v>
      </c>
      <c r="EE184" s="58"/>
      <c r="EF184" s="83"/>
      <c r="EI184" s="83"/>
      <c r="EK184" s="58"/>
      <c r="EL184" s="83"/>
      <c r="EO184" s="58"/>
      <c r="EP184" s="83"/>
      <c r="EQ184" s="58"/>
      <c r="ER184" s="83"/>
      <c r="ES184" s="58"/>
      <c r="ET184" s="83"/>
      <c r="EU184" s="58"/>
    </row>
    <row r="185" spans="1:151">
      <c r="A185" s="83" t="s">
        <v>319</v>
      </c>
      <c r="B185" s="173" t="s">
        <v>123</v>
      </c>
      <c r="C185" s="173" t="s">
        <v>500</v>
      </c>
      <c r="D185" s="83" t="s">
        <v>68</v>
      </c>
      <c r="F185" s="49" t="s">
        <v>286</v>
      </c>
      <c r="G185" s="60">
        <v>-5.6630000000000003</v>
      </c>
      <c r="I185" s="49">
        <v>1296</v>
      </c>
      <c r="J185" s="159">
        <v>1.3117408906882591</v>
      </c>
      <c r="K185" s="49">
        <v>4</v>
      </c>
      <c r="L185" s="49">
        <v>3</v>
      </c>
      <c r="M185" s="83">
        <v>0</v>
      </c>
      <c r="N185" s="49">
        <v>2</v>
      </c>
      <c r="O185" s="49">
        <v>0</v>
      </c>
      <c r="P185" s="49">
        <v>1</v>
      </c>
      <c r="Q185" s="58">
        <v>0</v>
      </c>
      <c r="R185" s="42">
        <v>3</v>
      </c>
      <c r="S185" s="83">
        <v>1</v>
      </c>
      <c r="T185" s="49">
        <v>8</v>
      </c>
      <c r="U185" s="83">
        <v>1</v>
      </c>
      <c r="V185" s="49">
        <v>3</v>
      </c>
      <c r="W185" s="49">
        <v>1</v>
      </c>
      <c r="X185" s="58">
        <v>2</v>
      </c>
      <c r="Y185" s="83">
        <v>10</v>
      </c>
      <c r="AA185" s="49">
        <v>44</v>
      </c>
      <c r="AD185" s="49">
        <v>20</v>
      </c>
      <c r="AE185" s="49">
        <v>244</v>
      </c>
      <c r="AF185" s="49">
        <v>72</v>
      </c>
      <c r="AG185" s="49">
        <v>111</v>
      </c>
      <c r="AJ185" s="49">
        <v>0</v>
      </c>
      <c r="AK185" s="83">
        <v>0</v>
      </c>
      <c r="AL185" s="49">
        <v>1</v>
      </c>
      <c r="AM185" s="49">
        <v>0</v>
      </c>
      <c r="AN185" s="49">
        <v>0</v>
      </c>
      <c r="AO185" s="58">
        <v>0</v>
      </c>
      <c r="AP185" s="174">
        <v>242</v>
      </c>
      <c r="AQ185" s="175">
        <v>633</v>
      </c>
      <c r="AR185" s="175">
        <v>0</v>
      </c>
      <c r="AS185" s="175">
        <v>0</v>
      </c>
      <c r="AT185" s="175">
        <v>0</v>
      </c>
      <c r="AU185" s="175">
        <v>0</v>
      </c>
      <c r="AV185" s="175">
        <v>0</v>
      </c>
      <c r="AW185" s="175">
        <v>0</v>
      </c>
      <c r="AX185" s="83">
        <v>0</v>
      </c>
      <c r="AY185" s="49">
        <v>0</v>
      </c>
      <c r="AZ185" s="49">
        <v>0</v>
      </c>
      <c r="BA185" s="49">
        <v>0</v>
      </c>
      <c r="BB185" s="58">
        <v>0</v>
      </c>
      <c r="BC185" s="42">
        <v>93</v>
      </c>
      <c r="BS185" s="58"/>
      <c r="BT185" s="83"/>
      <c r="CE185" s="83"/>
      <c r="CK185" s="58"/>
      <c r="CL185" s="83"/>
      <c r="CO185" s="58"/>
      <c r="CP185" s="83"/>
      <c r="CR185" s="58"/>
      <c r="CS185" s="83"/>
      <c r="CY185" s="83"/>
      <c r="DG185" s="58"/>
      <c r="DH185" s="83"/>
      <c r="DQ185" s="83"/>
      <c r="EE185" s="58"/>
      <c r="EF185" s="83"/>
      <c r="EI185" s="83"/>
      <c r="EK185" s="58"/>
      <c r="EL185" s="83"/>
      <c r="EO185" s="58"/>
      <c r="EP185" s="83"/>
      <c r="EQ185" s="58"/>
      <c r="ER185" s="83"/>
      <c r="ES185" s="58"/>
      <c r="ET185" s="83"/>
      <c r="EU185" s="58"/>
    </row>
    <row r="186" spans="1:151">
      <c r="A186" s="83" t="s">
        <v>319</v>
      </c>
      <c r="B186" s="173" t="s">
        <v>123</v>
      </c>
      <c r="C186" s="173" t="s">
        <v>500</v>
      </c>
      <c r="D186" s="83" t="s">
        <v>69</v>
      </c>
      <c r="F186" s="49" t="s">
        <v>286</v>
      </c>
      <c r="G186" s="60">
        <v>-5.6630000000000003</v>
      </c>
      <c r="I186" s="49">
        <v>1340</v>
      </c>
      <c r="J186" s="159">
        <v>1.7724867724867726</v>
      </c>
      <c r="K186" s="49">
        <v>1</v>
      </c>
      <c r="L186" s="49">
        <v>3</v>
      </c>
      <c r="M186" s="83">
        <v>0</v>
      </c>
      <c r="N186" s="49">
        <v>0</v>
      </c>
      <c r="O186" s="49">
        <v>0</v>
      </c>
      <c r="P186" s="49">
        <v>1</v>
      </c>
      <c r="Q186" s="58">
        <v>0</v>
      </c>
      <c r="R186" s="42">
        <v>1</v>
      </c>
      <c r="S186" s="83">
        <v>1</v>
      </c>
      <c r="T186" s="49">
        <v>11</v>
      </c>
      <c r="U186" s="83">
        <v>1</v>
      </c>
      <c r="V186" s="49">
        <v>2</v>
      </c>
      <c r="W186" s="49">
        <v>2</v>
      </c>
      <c r="X186" s="58"/>
      <c r="Y186" s="83">
        <v>3</v>
      </c>
      <c r="Z186" s="49">
        <v>6</v>
      </c>
      <c r="AA186" s="49">
        <v>20</v>
      </c>
      <c r="AG186" s="49">
        <v>50</v>
      </c>
      <c r="AJ186" s="49">
        <v>0</v>
      </c>
      <c r="AK186" s="83">
        <v>0</v>
      </c>
      <c r="AL186" s="49">
        <v>1</v>
      </c>
      <c r="AM186" s="49">
        <v>0</v>
      </c>
      <c r="AN186" s="49">
        <v>0</v>
      </c>
      <c r="AO186" s="58">
        <v>0</v>
      </c>
      <c r="AP186" s="174">
        <v>0</v>
      </c>
      <c r="AQ186" s="175">
        <v>506</v>
      </c>
      <c r="AR186" s="175">
        <v>0</v>
      </c>
      <c r="AS186" s="175">
        <v>0</v>
      </c>
      <c r="AT186" s="175">
        <v>0</v>
      </c>
      <c r="AU186" s="175">
        <v>0</v>
      </c>
      <c r="AV186" s="175">
        <v>0</v>
      </c>
      <c r="AW186" s="175">
        <v>0</v>
      </c>
      <c r="AX186" s="83">
        <v>0</v>
      </c>
      <c r="AY186" s="49">
        <v>0</v>
      </c>
      <c r="AZ186" s="49">
        <v>0</v>
      </c>
      <c r="BA186" s="49">
        <v>0</v>
      </c>
      <c r="BB186" s="58">
        <v>0</v>
      </c>
      <c r="BC186" s="42">
        <v>120</v>
      </c>
      <c r="BS186" s="58"/>
      <c r="BT186" s="83">
        <v>81.61</v>
      </c>
      <c r="BU186" s="49">
        <v>81.739999999999995</v>
      </c>
      <c r="CE186" s="83"/>
      <c r="CK186" s="58"/>
      <c r="CL186" s="83">
        <v>60.65</v>
      </c>
      <c r="CO186" s="58"/>
      <c r="CP186" s="83"/>
      <c r="CR186" s="58"/>
      <c r="CS186" s="83"/>
      <c r="CY186" s="83"/>
      <c r="DG186" s="58"/>
      <c r="DH186" s="83"/>
      <c r="DQ186" s="83"/>
      <c r="EE186" s="58"/>
      <c r="EF186" s="83"/>
      <c r="EI186" s="83"/>
      <c r="EK186" s="58"/>
      <c r="EL186" s="83"/>
      <c r="EO186" s="58"/>
      <c r="EP186" s="83"/>
      <c r="EQ186" s="58"/>
      <c r="ER186" s="83"/>
      <c r="ES186" s="58"/>
      <c r="ET186" s="83"/>
      <c r="EU186" s="58"/>
    </row>
    <row r="187" spans="1:151">
      <c r="A187" s="83" t="s">
        <v>319</v>
      </c>
      <c r="B187" s="173" t="s">
        <v>123</v>
      </c>
      <c r="C187" s="173" t="s">
        <v>500</v>
      </c>
      <c r="D187" s="83" t="s">
        <v>74</v>
      </c>
      <c r="F187" s="49" t="s">
        <v>287</v>
      </c>
      <c r="G187" s="60">
        <v>-5.6630000000000003</v>
      </c>
      <c r="I187" s="49">
        <v>450</v>
      </c>
      <c r="J187" s="159">
        <v>1.1278195488721805</v>
      </c>
      <c r="K187" s="49">
        <v>1</v>
      </c>
      <c r="L187" s="49">
        <v>3</v>
      </c>
      <c r="M187" s="83">
        <v>0</v>
      </c>
      <c r="N187" s="49">
        <v>0</v>
      </c>
      <c r="O187" s="49">
        <v>0</v>
      </c>
      <c r="P187" s="49">
        <v>1</v>
      </c>
      <c r="Q187" s="58">
        <v>0</v>
      </c>
      <c r="R187" s="42">
        <v>1</v>
      </c>
      <c r="S187" s="83" t="s">
        <v>283</v>
      </c>
      <c r="T187" s="49">
        <v>15</v>
      </c>
      <c r="U187" s="83">
        <v>1</v>
      </c>
      <c r="V187" s="49">
        <v>2</v>
      </c>
      <c r="W187" s="49">
        <v>1</v>
      </c>
      <c r="X187" s="58">
        <v>2</v>
      </c>
      <c r="Y187" s="83">
        <v>0</v>
      </c>
      <c r="AJ187" s="49">
        <v>0</v>
      </c>
      <c r="AK187" s="83"/>
      <c r="AO187" s="58"/>
      <c r="AP187" s="174" t="s">
        <v>284</v>
      </c>
      <c r="AQ187" s="175" t="s">
        <v>284</v>
      </c>
      <c r="AR187" s="175" t="s">
        <v>284</v>
      </c>
      <c r="AS187" s="175" t="s">
        <v>284</v>
      </c>
      <c r="AT187" s="175" t="s">
        <v>284</v>
      </c>
      <c r="AU187" s="175" t="s">
        <v>284</v>
      </c>
      <c r="AV187" s="175" t="s">
        <v>284</v>
      </c>
      <c r="AW187" s="175" t="s">
        <v>284</v>
      </c>
      <c r="AX187" s="83">
        <v>0</v>
      </c>
      <c r="AY187" s="49">
        <v>0</v>
      </c>
      <c r="AZ187" s="49">
        <v>0</v>
      </c>
      <c r="BA187" s="49">
        <v>0</v>
      </c>
      <c r="BB187" s="58">
        <v>0</v>
      </c>
      <c r="BC187" s="42">
        <v>89</v>
      </c>
      <c r="BD187" s="49">
        <v>79.7</v>
      </c>
      <c r="BE187" s="159">
        <v>80.73</v>
      </c>
      <c r="BS187" s="58"/>
      <c r="BT187" s="83"/>
      <c r="CE187" s="83"/>
      <c r="CK187" s="58"/>
      <c r="CL187" s="83">
        <v>62.78</v>
      </c>
      <c r="CO187" s="58"/>
      <c r="CP187" s="83"/>
      <c r="CR187" s="58"/>
      <c r="CS187" s="83"/>
      <c r="CY187" s="83"/>
      <c r="DG187" s="58"/>
      <c r="DH187" s="83"/>
      <c r="DQ187" s="83"/>
      <c r="EE187" s="58"/>
      <c r="EF187" s="83"/>
      <c r="EI187" s="83"/>
      <c r="EK187" s="58"/>
      <c r="EL187" s="83"/>
      <c r="EO187" s="58"/>
      <c r="EP187" s="83"/>
      <c r="EQ187" s="58"/>
      <c r="ER187" s="83"/>
      <c r="ES187" s="58"/>
      <c r="ET187" s="83"/>
      <c r="EU187" s="58"/>
    </row>
    <row r="188" spans="1:151">
      <c r="A188" s="83" t="s">
        <v>319</v>
      </c>
      <c r="B188" s="173" t="s">
        <v>123</v>
      </c>
      <c r="C188" s="173" t="s">
        <v>500</v>
      </c>
      <c r="D188" s="83" t="s">
        <v>75</v>
      </c>
      <c r="F188" s="49" t="s">
        <v>286</v>
      </c>
      <c r="G188" s="60">
        <v>-5.6630000000000003</v>
      </c>
      <c r="I188" s="49">
        <v>2029</v>
      </c>
      <c r="J188" s="159">
        <v>1.6115965051628276</v>
      </c>
      <c r="K188" s="49">
        <v>1</v>
      </c>
      <c r="L188" s="49">
        <v>3</v>
      </c>
      <c r="M188" s="83">
        <v>0</v>
      </c>
      <c r="N188" s="49">
        <v>0</v>
      </c>
      <c r="O188" s="49">
        <v>1</v>
      </c>
      <c r="P188" s="49">
        <v>1</v>
      </c>
      <c r="Q188" s="58">
        <v>0</v>
      </c>
      <c r="R188" s="42">
        <v>2</v>
      </c>
      <c r="S188" s="83">
        <v>1</v>
      </c>
      <c r="T188" s="49">
        <v>12</v>
      </c>
      <c r="U188" s="83">
        <v>2</v>
      </c>
      <c r="V188" s="49">
        <v>3</v>
      </c>
      <c r="W188" s="49">
        <v>1</v>
      </c>
      <c r="X188" s="58">
        <v>3</v>
      </c>
      <c r="Y188" s="83">
        <v>1</v>
      </c>
      <c r="AA188" s="49">
        <v>6</v>
      </c>
      <c r="AD188" s="49">
        <v>18</v>
      </c>
      <c r="AJ188" s="49">
        <v>0</v>
      </c>
      <c r="AK188" s="83">
        <v>0</v>
      </c>
      <c r="AL188" s="49">
        <v>1</v>
      </c>
      <c r="AM188" s="49">
        <v>0</v>
      </c>
      <c r="AN188" s="49">
        <v>0</v>
      </c>
      <c r="AO188" s="58">
        <v>0</v>
      </c>
      <c r="AP188" s="174">
        <v>718</v>
      </c>
      <c r="AQ188" s="175">
        <v>1317</v>
      </c>
      <c r="AR188" s="175">
        <v>0</v>
      </c>
      <c r="AS188" s="175">
        <v>0</v>
      </c>
      <c r="AT188" s="175">
        <v>0</v>
      </c>
      <c r="AU188" s="175">
        <v>0</v>
      </c>
      <c r="AV188" s="175">
        <v>0</v>
      </c>
      <c r="AW188" s="175">
        <v>0</v>
      </c>
      <c r="AX188" s="83">
        <v>0</v>
      </c>
      <c r="AY188" s="49">
        <v>0</v>
      </c>
      <c r="AZ188" s="49">
        <v>0</v>
      </c>
      <c r="BA188" s="49">
        <v>0</v>
      </c>
      <c r="BB188" s="58">
        <v>0</v>
      </c>
      <c r="BC188" s="42">
        <v>126</v>
      </c>
      <c r="BS188" s="58"/>
      <c r="BT188" s="83"/>
      <c r="CE188" s="83"/>
      <c r="CK188" s="58"/>
      <c r="CL188" s="83">
        <v>63.34</v>
      </c>
      <c r="CO188" s="58"/>
      <c r="CP188" s="83"/>
      <c r="CR188" s="58"/>
      <c r="CS188" s="83"/>
      <c r="CY188" s="83">
        <v>77.13</v>
      </c>
      <c r="CZ188" s="49">
        <v>71.180000000000007</v>
      </c>
      <c r="DG188" s="58"/>
      <c r="DH188" s="83"/>
      <c r="DQ188" s="83"/>
      <c r="EE188" s="58"/>
      <c r="EF188" s="83"/>
      <c r="EI188" s="83"/>
      <c r="EK188" s="58"/>
      <c r="EL188" s="83"/>
      <c r="EO188" s="58"/>
      <c r="EP188" s="83"/>
      <c r="EQ188" s="58"/>
      <c r="ER188" s="83"/>
      <c r="ES188" s="58"/>
      <c r="ET188" s="83"/>
      <c r="EU188" s="58"/>
    </row>
    <row r="189" spans="1:151">
      <c r="A189" s="83" t="s">
        <v>319</v>
      </c>
      <c r="B189" s="173" t="s">
        <v>123</v>
      </c>
      <c r="C189" s="173" t="s">
        <v>500</v>
      </c>
      <c r="D189" s="83" t="s">
        <v>76</v>
      </c>
      <c r="F189" s="49" t="s">
        <v>286</v>
      </c>
      <c r="G189" s="60">
        <v>-5.6630000000000003</v>
      </c>
      <c r="I189" s="49">
        <v>9381</v>
      </c>
      <c r="J189" s="159">
        <v>1.2742461287693561</v>
      </c>
      <c r="K189" s="49">
        <v>1</v>
      </c>
      <c r="L189" s="49">
        <v>2</v>
      </c>
      <c r="M189" s="83">
        <v>1</v>
      </c>
      <c r="N189" s="49">
        <v>5</v>
      </c>
      <c r="O189" s="49">
        <v>1</v>
      </c>
      <c r="P189" s="49">
        <v>1</v>
      </c>
      <c r="Q189" s="58">
        <v>0</v>
      </c>
      <c r="R189" s="42">
        <v>8</v>
      </c>
      <c r="S189" s="83">
        <v>1</v>
      </c>
      <c r="T189" s="49">
        <v>12</v>
      </c>
      <c r="U189" s="83">
        <v>3</v>
      </c>
      <c r="V189" s="49">
        <v>3</v>
      </c>
      <c r="W189" s="49">
        <v>1</v>
      </c>
      <c r="X189" s="58">
        <v>3</v>
      </c>
      <c r="Y189" s="83">
        <v>5</v>
      </c>
      <c r="Z189" s="49">
        <v>10</v>
      </c>
      <c r="AA189" s="49">
        <v>140</v>
      </c>
      <c r="AD189" s="49">
        <v>30</v>
      </c>
      <c r="AE189" s="49">
        <v>280</v>
      </c>
      <c r="AF189" s="49">
        <v>40</v>
      </c>
      <c r="AG189" s="49">
        <v>1550</v>
      </c>
      <c r="AH189" s="49">
        <v>120</v>
      </c>
      <c r="AI189" s="49">
        <v>1350</v>
      </c>
      <c r="AJ189" s="49">
        <v>0</v>
      </c>
      <c r="AK189" s="83">
        <v>0</v>
      </c>
      <c r="AL189" s="49">
        <v>1</v>
      </c>
      <c r="AM189" s="49">
        <v>0</v>
      </c>
      <c r="AN189" s="49">
        <v>0</v>
      </c>
      <c r="AO189" s="58">
        <v>0</v>
      </c>
      <c r="AP189" s="174">
        <v>0</v>
      </c>
      <c r="AQ189" s="175">
        <v>1529</v>
      </c>
      <c r="AR189" s="175">
        <v>0</v>
      </c>
      <c r="AS189" s="175">
        <v>0</v>
      </c>
      <c r="AT189" s="175">
        <v>0</v>
      </c>
      <c r="AU189" s="175">
        <v>0</v>
      </c>
      <c r="AV189" s="175">
        <v>0</v>
      </c>
      <c r="AW189" s="175">
        <v>0</v>
      </c>
      <c r="AX189" s="83">
        <v>0</v>
      </c>
      <c r="AY189" s="49">
        <v>0</v>
      </c>
      <c r="AZ189" s="49">
        <v>0</v>
      </c>
      <c r="BA189" s="49">
        <v>0</v>
      </c>
      <c r="BB189" s="58">
        <v>0</v>
      </c>
      <c r="BC189" s="42">
        <v>182</v>
      </c>
      <c r="BD189" s="49">
        <v>78.569999999999993</v>
      </c>
      <c r="BE189" s="159">
        <v>78.599999999999994</v>
      </c>
      <c r="BF189" s="49">
        <v>76.44</v>
      </c>
      <c r="BG189" s="49">
        <v>78.05</v>
      </c>
      <c r="BH189" s="49">
        <v>79.069999999999993</v>
      </c>
      <c r="BI189" s="49">
        <v>79.900000000000006</v>
      </c>
      <c r="BJ189" s="49">
        <v>75.16</v>
      </c>
      <c r="BS189" s="58"/>
      <c r="BT189" s="83">
        <v>75.44</v>
      </c>
      <c r="BU189" s="49">
        <v>73.2</v>
      </c>
      <c r="BV189" s="49">
        <v>71.010000000000005</v>
      </c>
      <c r="BW189" s="49">
        <v>75.06</v>
      </c>
      <c r="BX189" s="49">
        <v>73.39</v>
      </c>
      <c r="BY189" s="49">
        <v>73.17</v>
      </c>
      <c r="CE189" s="83">
        <v>78.62</v>
      </c>
      <c r="CF189" s="49">
        <v>78.39</v>
      </c>
      <c r="CG189" s="49">
        <v>79.8</v>
      </c>
      <c r="CK189" s="58"/>
      <c r="CL189" s="83"/>
      <c r="CO189" s="58"/>
      <c r="CP189" s="83"/>
      <c r="CR189" s="58"/>
      <c r="CS189" s="83">
        <v>78.08</v>
      </c>
      <c r="CY189" s="83"/>
      <c r="DG189" s="58"/>
      <c r="DH189" s="83"/>
      <c r="DQ189" s="83">
        <v>69.13</v>
      </c>
      <c r="DR189" s="49">
        <v>77.209999999999994</v>
      </c>
      <c r="DS189" s="49">
        <v>76.7</v>
      </c>
      <c r="DT189" s="49">
        <v>74.349999999999994</v>
      </c>
      <c r="DU189" s="49">
        <v>74.11</v>
      </c>
      <c r="DV189" s="49">
        <v>70.56</v>
      </c>
      <c r="DW189" s="49">
        <v>75.09</v>
      </c>
      <c r="DX189" s="49">
        <v>79.47</v>
      </c>
      <c r="DY189" s="49">
        <v>70.599999999999994</v>
      </c>
      <c r="DZ189" s="49">
        <v>75.36</v>
      </c>
      <c r="EA189" s="49">
        <v>71.72</v>
      </c>
      <c r="EB189" s="49">
        <v>75.14</v>
      </c>
      <c r="EC189" s="49">
        <v>69.8</v>
      </c>
      <c r="ED189" s="49">
        <v>68.87</v>
      </c>
      <c r="EE189" s="58">
        <v>79.14</v>
      </c>
      <c r="EF189" s="83"/>
      <c r="EI189" s="83"/>
      <c r="EK189" s="58"/>
      <c r="EL189" s="83"/>
      <c r="EO189" s="58"/>
      <c r="EP189" s="83"/>
      <c r="EQ189" s="58"/>
      <c r="ER189" s="83"/>
      <c r="ES189" s="58"/>
      <c r="ET189" s="83"/>
      <c r="EU189" s="58"/>
    </row>
    <row r="190" spans="1:151">
      <c r="A190" s="83" t="s">
        <v>319</v>
      </c>
      <c r="B190" s="173" t="s">
        <v>123</v>
      </c>
      <c r="C190" s="173" t="s">
        <v>500</v>
      </c>
      <c r="D190" s="83" t="s">
        <v>73</v>
      </c>
      <c r="F190" s="49" t="s">
        <v>286</v>
      </c>
      <c r="G190" s="60">
        <v>-5.6630000000000003</v>
      </c>
      <c r="I190" s="49">
        <v>3177</v>
      </c>
      <c r="J190" s="159">
        <v>1.4627071823204421</v>
      </c>
      <c r="K190" s="49">
        <v>1</v>
      </c>
      <c r="L190" s="49">
        <v>2</v>
      </c>
      <c r="M190" s="83">
        <v>0</v>
      </c>
      <c r="N190" s="49">
        <v>0</v>
      </c>
      <c r="O190" s="49">
        <v>1</v>
      </c>
      <c r="P190" s="49">
        <v>1</v>
      </c>
      <c r="Q190" s="58">
        <v>0</v>
      </c>
      <c r="R190" s="42">
        <v>2</v>
      </c>
      <c r="S190" s="83">
        <v>1</v>
      </c>
      <c r="T190" s="49">
        <v>8</v>
      </c>
      <c r="U190" s="83">
        <v>2</v>
      </c>
      <c r="V190" s="49">
        <v>3</v>
      </c>
      <c r="W190" s="49">
        <v>1</v>
      </c>
      <c r="X190" s="58">
        <v>3</v>
      </c>
      <c r="Y190" s="83">
        <v>1</v>
      </c>
      <c r="Z190" s="49">
        <v>7</v>
      </c>
      <c r="AA190" s="49">
        <v>14</v>
      </c>
      <c r="AJ190" s="49">
        <v>0</v>
      </c>
      <c r="AK190" s="83">
        <v>0</v>
      </c>
      <c r="AL190" s="49">
        <v>1</v>
      </c>
      <c r="AM190" s="49">
        <v>0</v>
      </c>
      <c r="AN190" s="49">
        <v>0</v>
      </c>
      <c r="AO190" s="58">
        <v>0</v>
      </c>
      <c r="AP190" s="174">
        <v>401</v>
      </c>
      <c r="AQ190" s="175">
        <v>1127</v>
      </c>
      <c r="AR190" s="175">
        <v>0</v>
      </c>
      <c r="AS190" s="175">
        <v>0</v>
      </c>
      <c r="AT190" s="175">
        <v>0</v>
      </c>
      <c r="AU190" s="175">
        <v>0</v>
      </c>
      <c r="AV190" s="175">
        <v>0</v>
      </c>
      <c r="AW190" s="175">
        <v>0</v>
      </c>
      <c r="AX190" s="83">
        <v>0</v>
      </c>
      <c r="AY190" s="49">
        <v>0</v>
      </c>
      <c r="AZ190" s="49">
        <v>0</v>
      </c>
      <c r="BA190" s="49">
        <v>0</v>
      </c>
      <c r="BB190" s="58">
        <v>0</v>
      </c>
      <c r="BC190" s="42">
        <v>97</v>
      </c>
      <c r="BD190" s="49">
        <v>80.17</v>
      </c>
      <c r="BS190" s="58"/>
      <c r="BT190" s="83">
        <v>78.13</v>
      </c>
      <c r="BU190" s="49">
        <v>78.680000000000007</v>
      </c>
      <c r="BV190" s="49">
        <v>78.56</v>
      </c>
      <c r="CE190" s="83"/>
      <c r="CK190" s="58"/>
      <c r="CL190" s="83"/>
      <c r="CO190" s="58"/>
      <c r="CP190" s="83"/>
      <c r="CR190" s="58"/>
      <c r="CS190" s="83"/>
      <c r="CY190" s="83"/>
      <c r="DG190" s="58"/>
      <c r="DH190" s="83"/>
      <c r="DQ190" s="83"/>
      <c r="EE190" s="58"/>
      <c r="EF190" s="83"/>
      <c r="EI190" s="83"/>
      <c r="EK190" s="58"/>
      <c r="EL190" s="83"/>
      <c r="EO190" s="58"/>
      <c r="EP190" s="83"/>
      <c r="EQ190" s="58"/>
      <c r="ER190" s="83"/>
      <c r="ES190" s="58"/>
      <c r="ET190" s="83"/>
      <c r="EU190" s="58"/>
    </row>
    <row r="191" spans="1:151" ht="17" thickBot="1">
      <c r="A191" s="83" t="s">
        <v>319</v>
      </c>
      <c r="B191" s="47" t="s">
        <v>123</v>
      </c>
      <c r="C191" s="47" t="s">
        <v>500</v>
      </c>
      <c r="D191" s="84" t="s">
        <v>81</v>
      </c>
      <c r="E191" s="57"/>
      <c r="F191" s="57" t="s">
        <v>286</v>
      </c>
      <c r="G191" s="74">
        <v>-5.6630000000000003</v>
      </c>
      <c r="H191" s="57"/>
      <c r="I191" s="57">
        <v>1438</v>
      </c>
      <c r="J191" s="75">
        <v>1.533049040511727</v>
      </c>
      <c r="K191" s="57">
        <v>1</v>
      </c>
      <c r="L191" s="57">
        <v>2</v>
      </c>
      <c r="M191" s="84">
        <v>0</v>
      </c>
      <c r="N191" s="57">
        <v>1</v>
      </c>
      <c r="O191" s="57">
        <v>1</v>
      </c>
      <c r="P191" s="57">
        <v>1</v>
      </c>
      <c r="Q191" s="56">
        <v>0</v>
      </c>
      <c r="R191" s="55">
        <v>3</v>
      </c>
      <c r="S191" s="84">
        <v>1</v>
      </c>
      <c r="T191" s="57">
        <v>7</v>
      </c>
      <c r="U191" s="84">
        <v>2</v>
      </c>
      <c r="V191" s="57">
        <v>2</v>
      </c>
      <c r="W191" s="57">
        <v>1</v>
      </c>
      <c r="X191" s="56">
        <v>1</v>
      </c>
      <c r="Y191" s="84">
        <v>1</v>
      </c>
      <c r="Z191" s="57"/>
      <c r="AA191" s="57"/>
      <c r="AB191" s="57"/>
      <c r="AC191" s="57"/>
      <c r="AD191" s="57"/>
      <c r="AE191" s="57"/>
      <c r="AF191" s="57"/>
      <c r="AG191" s="57"/>
      <c r="AH191" s="57"/>
      <c r="AI191" s="57">
        <v>93</v>
      </c>
      <c r="AJ191" s="57">
        <v>0</v>
      </c>
      <c r="AK191" s="84">
        <v>0</v>
      </c>
      <c r="AL191" s="57">
        <v>1</v>
      </c>
      <c r="AM191" s="57">
        <v>0</v>
      </c>
      <c r="AN191" s="57">
        <v>0</v>
      </c>
      <c r="AO191" s="56">
        <v>0</v>
      </c>
      <c r="AP191" s="178">
        <v>260</v>
      </c>
      <c r="AQ191" s="179">
        <v>307</v>
      </c>
      <c r="AR191" s="179">
        <v>0</v>
      </c>
      <c r="AS191" s="179">
        <v>0</v>
      </c>
      <c r="AT191" s="179">
        <v>0</v>
      </c>
      <c r="AU191" s="179">
        <v>0</v>
      </c>
      <c r="AV191" s="179">
        <v>0</v>
      </c>
      <c r="AW191" s="179">
        <v>0</v>
      </c>
      <c r="AX191" s="84">
        <v>0</v>
      </c>
      <c r="AY191" s="57">
        <v>0</v>
      </c>
      <c r="AZ191" s="57">
        <v>0</v>
      </c>
      <c r="BA191" s="57">
        <v>0</v>
      </c>
      <c r="BB191" s="56">
        <v>0</v>
      </c>
      <c r="BC191" s="55">
        <v>101</v>
      </c>
      <c r="BD191" s="57"/>
      <c r="BE191" s="75"/>
      <c r="BF191" s="57"/>
      <c r="BG191" s="57"/>
      <c r="BH191" s="57"/>
      <c r="BI191" s="57"/>
      <c r="BJ191" s="57"/>
      <c r="BK191" s="57"/>
      <c r="BL191" s="57"/>
      <c r="BM191" s="57"/>
      <c r="BN191" s="57"/>
      <c r="BO191" s="57"/>
      <c r="BP191" s="57"/>
      <c r="BQ191" s="57"/>
      <c r="BR191" s="57"/>
      <c r="BS191" s="56"/>
      <c r="BT191" s="84"/>
      <c r="BU191" s="57"/>
      <c r="BV191" s="57"/>
      <c r="BW191" s="57"/>
      <c r="BX191" s="57"/>
      <c r="BY191" s="57"/>
      <c r="BZ191" s="57" t="s">
        <v>124</v>
      </c>
      <c r="CA191" s="57"/>
      <c r="CB191" s="57"/>
      <c r="CC191" s="57"/>
      <c r="CD191" s="57"/>
      <c r="CE191" s="84"/>
      <c r="CF191" s="57"/>
      <c r="CG191" s="57"/>
      <c r="CH191" s="57"/>
      <c r="CI191" s="57"/>
      <c r="CJ191" s="57"/>
      <c r="CK191" s="56"/>
      <c r="CL191" s="84"/>
      <c r="CM191" s="57"/>
      <c r="CN191" s="57"/>
      <c r="CO191" s="56"/>
      <c r="CP191" s="84"/>
      <c r="CQ191" s="57"/>
      <c r="CR191" s="56"/>
      <c r="CS191" s="84"/>
      <c r="CT191" s="57"/>
      <c r="CU191" s="57"/>
      <c r="CV191" s="57"/>
      <c r="CW191" s="57"/>
      <c r="CX191" s="57"/>
      <c r="CY191" s="84"/>
      <c r="CZ191" s="57"/>
      <c r="DA191" s="57"/>
      <c r="DB191" s="57"/>
      <c r="DC191" s="57"/>
      <c r="DD191" s="57"/>
      <c r="DE191" s="57"/>
      <c r="DF191" s="57"/>
      <c r="DG191" s="56"/>
      <c r="DH191" s="84"/>
      <c r="DI191" s="57"/>
      <c r="DJ191" s="57"/>
      <c r="DK191" s="57"/>
      <c r="DL191" s="57"/>
      <c r="DM191" s="57"/>
      <c r="DN191" s="57"/>
      <c r="DO191" s="57"/>
      <c r="DP191" s="57"/>
      <c r="DQ191" s="84"/>
      <c r="DR191" s="57"/>
      <c r="DS191" s="57"/>
      <c r="DT191" s="57"/>
      <c r="DU191" s="57"/>
      <c r="DV191" s="57"/>
      <c r="DW191" s="57"/>
      <c r="DX191" s="57"/>
      <c r="DY191" s="57"/>
      <c r="DZ191" s="57"/>
      <c r="EA191" s="57"/>
      <c r="EB191" s="57"/>
      <c r="EC191" s="57"/>
      <c r="ED191" s="57"/>
      <c r="EE191" s="56"/>
      <c r="EF191" s="84"/>
      <c r="EG191" s="57"/>
      <c r="EH191" s="57"/>
      <c r="EI191" s="84"/>
      <c r="EJ191" s="57"/>
      <c r="EK191" s="56"/>
      <c r="EL191" s="84"/>
      <c r="EM191" s="57"/>
      <c r="EN191" s="57"/>
      <c r="EO191" s="56"/>
      <c r="EP191" s="84"/>
      <c r="EQ191" s="56"/>
      <c r="ER191" s="84"/>
      <c r="ES191" s="56"/>
      <c r="ET191" s="84"/>
      <c r="EU191" s="56"/>
    </row>
    <row r="192" spans="1:151">
      <c r="A192" s="87" t="s">
        <v>319</v>
      </c>
      <c r="B192" s="7" t="s">
        <v>125</v>
      </c>
      <c r="C192" s="7" t="s">
        <v>502</v>
      </c>
      <c r="D192" s="147" t="s">
        <v>64</v>
      </c>
      <c r="E192" s="148"/>
      <c r="F192" s="148" t="s">
        <v>286</v>
      </c>
      <c r="G192" s="73">
        <v>-4.3979999999999997</v>
      </c>
      <c r="H192" s="148"/>
      <c r="I192" s="148">
        <v>3370</v>
      </c>
      <c r="J192" s="158">
        <v>9.3611111111111107</v>
      </c>
      <c r="K192" s="148">
        <v>2</v>
      </c>
      <c r="L192" s="148">
        <v>3</v>
      </c>
      <c r="M192" s="147">
        <v>0</v>
      </c>
      <c r="N192" s="148">
        <v>0</v>
      </c>
      <c r="O192" s="148">
        <v>0</v>
      </c>
      <c r="P192" s="148">
        <v>0</v>
      </c>
      <c r="Q192" s="149">
        <v>0</v>
      </c>
      <c r="R192" s="87">
        <v>0</v>
      </c>
      <c r="S192" s="147">
        <v>1</v>
      </c>
      <c r="T192" s="148"/>
      <c r="U192" s="147">
        <v>0</v>
      </c>
      <c r="V192" s="148">
        <v>0</v>
      </c>
      <c r="W192" s="148">
        <v>0</v>
      </c>
      <c r="X192" s="149"/>
      <c r="Y192" s="147">
        <v>10</v>
      </c>
      <c r="Z192" s="148"/>
      <c r="AA192" s="148"/>
      <c r="AB192" s="148"/>
      <c r="AC192" s="148"/>
      <c r="AD192" s="148">
        <v>30</v>
      </c>
      <c r="AE192" s="148">
        <v>640</v>
      </c>
      <c r="AF192" s="148"/>
      <c r="AG192" s="148">
        <v>630</v>
      </c>
      <c r="AH192" s="148">
        <v>90</v>
      </c>
      <c r="AI192" s="148">
        <v>130</v>
      </c>
      <c r="AJ192" s="148">
        <v>0</v>
      </c>
      <c r="AK192" s="147">
        <v>0</v>
      </c>
      <c r="AL192" s="148">
        <v>0</v>
      </c>
      <c r="AM192" s="148">
        <v>0</v>
      </c>
      <c r="AN192" s="148">
        <v>0</v>
      </c>
      <c r="AO192" s="149">
        <v>0</v>
      </c>
      <c r="AP192" s="169" t="s">
        <v>284</v>
      </c>
      <c r="AQ192" s="170" t="s">
        <v>284</v>
      </c>
      <c r="AR192" s="170" t="s">
        <v>284</v>
      </c>
      <c r="AS192" s="170" t="s">
        <v>284</v>
      </c>
      <c r="AT192" s="170" t="s">
        <v>284</v>
      </c>
      <c r="AU192" s="170" t="s">
        <v>284</v>
      </c>
      <c r="AV192" s="170" t="s">
        <v>284</v>
      </c>
      <c r="AW192" s="170" t="s">
        <v>284</v>
      </c>
      <c r="AX192" s="147">
        <v>0</v>
      </c>
      <c r="AY192" s="148">
        <v>0</v>
      </c>
      <c r="AZ192" s="148">
        <v>0</v>
      </c>
      <c r="BA192" s="148">
        <v>0</v>
      </c>
      <c r="BB192" s="149">
        <v>0</v>
      </c>
      <c r="BC192" s="87">
        <v>118</v>
      </c>
      <c r="BD192" s="148">
        <v>69.02</v>
      </c>
      <c r="BE192" s="158"/>
      <c r="BF192" s="148"/>
      <c r="BG192" s="148"/>
      <c r="BH192" s="148"/>
      <c r="BI192" s="148"/>
      <c r="BJ192" s="148"/>
      <c r="BK192" s="148"/>
      <c r="BL192" s="148"/>
      <c r="BM192" s="148"/>
      <c r="BN192" s="148"/>
      <c r="BO192" s="148"/>
      <c r="BP192" s="148"/>
      <c r="BQ192" s="148"/>
      <c r="BR192" s="148"/>
      <c r="BS192" s="149"/>
      <c r="BT192" s="147">
        <v>67.66</v>
      </c>
      <c r="BU192" s="148"/>
      <c r="BV192" s="148"/>
      <c r="BW192" s="148"/>
      <c r="BX192" s="148"/>
      <c r="BY192" s="148"/>
      <c r="BZ192" s="148"/>
      <c r="CA192" s="148"/>
      <c r="CB192" s="148"/>
      <c r="CC192" s="148"/>
      <c r="CD192" s="148"/>
      <c r="CE192" s="147">
        <v>68.33</v>
      </c>
      <c r="CF192" s="148"/>
      <c r="CG192" s="148"/>
      <c r="CH192" s="148"/>
      <c r="CI192" s="148"/>
      <c r="CJ192" s="148"/>
      <c r="CK192" s="149"/>
      <c r="CL192" s="147"/>
      <c r="CM192" s="148"/>
      <c r="CN192" s="148"/>
      <c r="CO192" s="149"/>
      <c r="CP192" s="147"/>
      <c r="CQ192" s="148"/>
      <c r="CR192" s="149"/>
      <c r="CS192" s="147"/>
      <c r="CT192" s="148"/>
      <c r="CU192" s="148"/>
      <c r="CV192" s="148"/>
      <c r="CW192" s="148"/>
      <c r="CX192" s="148"/>
      <c r="CY192" s="147"/>
      <c r="CZ192" s="148"/>
      <c r="DA192" s="148"/>
      <c r="DB192" s="148"/>
      <c r="DC192" s="148"/>
      <c r="DD192" s="148"/>
      <c r="DE192" s="148"/>
      <c r="DF192" s="148"/>
      <c r="DG192" s="149"/>
      <c r="DH192" s="147"/>
      <c r="DI192" s="148"/>
      <c r="DJ192" s="148"/>
      <c r="DK192" s="148"/>
      <c r="DL192" s="148"/>
      <c r="DM192" s="148"/>
      <c r="DN192" s="148"/>
      <c r="DO192" s="148"/>
      <c r="DP192" s="148"/>
      <c r="DQ192" s="147"/>
      <c r="DR192" s="148"/>
      <c r="DS192" s="148"/>
      <c r="DT192" s="148"/>
      <c r="DU192" s="148"/>
      <c r="DV192" s="148"/>
      <c r="DW192" s="148"/>
      <c r="DX192" s="148"/>
      <c r="DY192" s="148"/>
      <c r="DZ192" s="148"/>
      <c r="EA192" s="148"/>
      <c r="EB192" s="148"/>
      <c r="EC192" s="148"/>
      <c r="ED192" s="148"/>
      <c r="EE192" s="149"/>
      <c r="EF192" s="147"/>
      <c r="EG192" s="148"/>
      <c r="EH192" s="148"/>
      <c r="EI192" s="147"/>
      <c r="EJ192" s="148"/>
      <c r="EK192" s="149"/>
      <c r="EL192" s="147"/>
      <c r="EM192" s="148"/>
      <c r="EN192" s="148"/>
      <c r="EO192" s="149"/>
      <c r="EP192" s="147"/>
      <c r="EQ192" s="149"/>
      <c r="ER192" s="147"/>
      <c r="ES192" s="149"/>
      <c r="ET192" s="147"/>
      <c r="EU192" s="149"/>
    </row>
    <row r="193" spans="1:151">
      <c r="A193" s="42" t="s">
        <v>319</v>
      </c>
      <c r="B193" s="173" t="s">
        <v>125</v>
      </c>
      <c r="C193" s="173" t="s">
        <v>502</v>
      </c>
      <c r="D193" s="83" t="s">
        <v>68</v>
      </c>
      <c r="F193" s="49" t="s">
        <v>286</v>
      </c>
      <c r="G193" s="60">
        <v>-4.3979999999999997</v>
      </c>
      <c r="I193" s="49">
        <v>4566</v>
      </c>
      <c r="J193" s="159">
        <v>1.2747068676716917</v>
      </c>
      <c r="K193" s="49">
        <v>4</v>
      </c>
      <c r="L193" s="49">
        <v>4</v>
      </c>
      <c r="M193" s="83">
        <v>0</v>
      </c>
      <c r="N193" s="49">
        <v>1</v>
      </c>
      <c r="O193" s="49">
        <v>1</v>
      </c>
      <c r="P193" s="49">
        <v>1</v>
      </c>
      <c r="Q193" s="58">
        <v>0</v>
      </c>
      <c r="R193" s="42">
        <v>3</v>
      </c>
      <c r="S193" s="83">
        <v>1</v>
      </c>
      <c r="U193" s="83">
        <v>1</v>
      </c>
      <c r="V193" s="49">
        <v>3</v>
      </c>
      <c r="W193" s="49">
        <v>1</v>
      </c>
      <c r="X193" s="58">
        <v>3</v>
      </c>
      <c r="Y193" s="83">
        <v>5</v>
      </c>
      <c r="Z193" s="49">
        <v>10</v>
      </c>
      <c r="AA193" s="49">
        <v>50</v>
      </c>
      <c r="AD193" s="49">
        <v>30</v>
      </c>
      <c r="AE193" s="49">
        <v>60</v>
      </c>
      <c r="AF193" s="49">
        <v>20</v>
      </c>
      <c r="AG193" s="49">
        <v>190</v>
      </c>
      <c r="AH193" s="49">
        <v>3</v>
      </c>
      <c r="AI193" s="49">
        <v>260</v>
      </c>
      <c r="AJ193" s="49">
        <v>0</v>
      </c>
      <c r="AK193" s="83">
        <v>0</v>
      </c>
      <c r="AL193" s="49">
        <v>0</v>
      </c>
      <c r="AM193" s="49">
        <v>0</v>
      </c>
      <c r="AN193" s="49">
        <v>0</v>
      </c>
      <c r="AO193" s="58">
        <v>0</v>
      </c>
      <c r="AP193" s="174" t="s">
        <v>284</v>
      </c>
      <c r="AQ193" s="175" t="s">
        <v>284</v>
      </c>
      <c r="AR193" s="175" t="s">
        <v>284</v>
      </c>
      <c r="AS193" s="175" t="s">
        <v>284</v>
      </c>
      <c r="AT193" s="175" t="s">
        <v>284</v>
      </c>
      <c r="AU193" s="175" t="s">
        <v>284</v>
      </c>
      <c r="AV193" s="175" t="s">
        <v>284</v>
      </c>
      <c r="AW193" s="175" t="s">
        <v>284</v>
      </c>
      <c r="AX193" s="83">
        <v>0</v>
      </c>
      <c r="AY193" s="49">
        <v>0</v>
      </c>
      <c r="AZ193" s="49">
        <v>0</v>
      </c>
      <c r="BA193" s="49">
        <v>0</v>
      </c>
      <c r="BB193" s="58">
        <v>0</v>
      </c>
      <c r="BC193" s="42">
        <v>172</v>
      </c>
      <c r="BS193" s="58"/>
      <c r="BT193" s="83"/>
      <c r="CE193" s="83"/>
      <c r="CK193" s="58"/>
      <c r="CL193" s="83"/>
      <c r="CO193" s="58"/>
      <c r="CP193" s="83"/>
      <c r="CR193" s="58"/>
      <c r="CS193" s="83"/>
      <c r="CY193" s="83"/>
      <c r="DG193" s="58"/>
      <c r="DH193" s="83"/>
      <c r="DQ193" s="83"/>
      <c r="EE193" s="58"/>
      <c r="EF193" s="83"/>
      <c r="EI193" s="83"/>
      <c r="EK193" s="58"/>
      <c r="EL193" s="83"/>
      <c r="EO193" s="58"/>
      <c r="EP193" s="83"/>
      <c r="EQ193" s="58"/>
      <c r="ER193" s="83"/>
      <c r="ES193" s="58"/>
      <c r="ET193" s="83"/>
      <c r="EU193" s="58"/>
    </row>
    <row r="194" spans="1:151">
      <c r="A194" s="42" t="s">
        <v>319</v>
      </c>
      <c r="B194" s="173" t="s">
        <v>125</v>
      </c>
      <c r="C194" s="173" t="s">
        <v>502</v>
      </c>
      <c r="D194" s="83" t="s">
        <v>76</v>
      </c>
      <c r="F194" s="49" t="s">
        <v>286</v>
      </c>
      <c r="G194" s="60">
        <v>-4.3979999999999997</v>
      </c>
      <c r="I194" s="49">
        <v>1424</v>
      </c>
      <c r="J194" s="159">
        <v>1.4456852791878172</v>
      </c>
      <c r="K194" s="49">
        <v>1</v>
      </c>
      <c r="L194" s="49">
        <v>2</v>
      </c>
      <c r="M194" s="83">
        <v>0</v>
      </c>
      <c r="N194" s="49">
        <v>1</v>
      </c>
      <c r="O194" s="49">
        <v>1</v>
      </c>
      <c r="P194" s="49">
        <v>0</v>
      </c>
      <c r="Q194" s="58">
        <v>0</v>
      </c>
      <c r="R194" s="42">
        <v>2</v>
      </c>
      <c r="S194" s="83">
        <v>1</v>
      </c>
      <c r="U194" s="83">
        <v>1</v>
      </c>
      <c r="V194" s="49">
        <v>3</v>
      </c>
      <c r="W194" s="49">
        <v>1</v>
      </c>
      <c r="X194" s="58">
        <v>1</v>
      </c>
      <c r="Y194" s="83">
        <v>3</v>
      </c>
      <c r="Z194" s="49">
        <v>10</v>
      </c>
      <c r="AA194" s="49">
        <v>30</v>
      </c>
      <c r="AD194" s="49">
        <v>10</v>
      </c>
      <c r="AE194" s="49">
        <v>20</v>
      </c>
      <c r="AH194" s="49">
        <v>60</v>
      </c>
      <c r="AI194" s="49">
        <v>100</v>
      </c>
      <c r="AJ194" s="49">
        <v>0</v>
      </c>
      <c r="AK194" s="83">
        <v>0</v>
      </c>
      <c r="AL194" s="49">
        <v>1</v>
      </c>
      <c r="AM194" s="49">
        <v>0</v>
      </c>
      <c r="AN194" s="49">
        <v>0</v>
      </c>
      <c r="AO194" s="58">
        <v>0</v>
      </c>
      <c r="AP194" s="174">
        <v>188</v>
      </c>
      <c r="AQ194" s="175">
        <v>526</v>
      </c>
      <c r="AR194" s="175" t="s">
        <v>284</v>
      </c>
      <c r="AS194" s="175" t="s">
        <v>284</v>
      </c>
      <c r="AT194" s="175" t="s">
        <v>284</v>
      </c>
      <c r="AU194" s="175" t="s">
        <v>284</v>
      </c>
      <c r="AV194" s="175" t="s">
        <v>284</v>
      </c>
      <c r="AW194" s="175" t="s">
        <v>284</v>
      </c>
      <c r="AX194" s="83">
        <v>0</v>
      </c>
      <c r="AY194" s="49">
        <v>0</v>
      </c>
      <c r="AZ194" s="49">
        <v>0</v>
      </c>
      <c r="BA194" s="49">
        <v>0</v>
      </c>
      <c r="BB194" s="58">
        <v>0</v>
      </c>
      <c r="BC194" s="42">
        <v>108</v>
      </c>
      <c r="BS194" s="58"/>
      <c r="BT194" s="83"/>
      <c r="CE194" s="83"/>
      <c r="CK194" s="58"/>
      <c r="CL194" s="83"/>
      <c r="CO194" s="58"/>
      <c r="CP194" s="83"/>
      <c r="CR194" s="58"/>
      <c r="CS194" s="83"/>
      <c r="CY194" s="83"/>
      <c r="DG194" s="58"/>
      <c r="DH194" s="83"/>
      <c r="DQ194" s="83"/>
      <c r="EE194" s="58"/>
      <c r="EF194" s="83"/>
      <c r="EI194" s="83"/>
      <c r="EK194" s="58"/>
      <c r="EL194" s="83"/>
      <c r="EO194" s="58"/>
      <c r="EP194" s="83"/>
      <c r="EQ194" s="58"/>
      <c r="ER194" s="83"/>
      <c r="ES194" s="58"/>
      <c r="ET194" s="83"/>
      <c r="EU194" s="58"/>
    </row>
    <row r="195" spans="1:151">
      <c r="A195" s="42" t="s">
        <v>319</v>
      </c>
      <c r="B195" s="173" t="s">
        <v>125</v>
      </c>
      <c r="C195" s="173" t="s">
        <v>502</v>
      </c>
      <c r="D195" s="83" t="s">
        <v>73</v>
      </c>
      <c r="F195" s="49" t="s">
        <v>286</v>
      </c>
      <c r="G195" s="60">
        <v>-4.3979999999999997</v>
      </c>
      <c r="I195" s="49">
        <v>1440</v>
      </c>
      <c r="J195" s="159">
        <v>1.0643015521064301</v>
      </c>
      <c r="K195" s="49">
        <v>1</v>
      </c>
      <c r="L195" s="49">
        <v>3</v>
      </c>
      <c r="M195" s="83">
        <v>0</v>
      </c>
      <c r="N195" s="49">
        <v>1</v>
      </c>
      <c r="O195" s="49">
        <v>1</v>
      </c>
      <c r="P195" s="49">
        <v>0</v>
      </c>
      <c r="Q195" s="58">
        <v>0</v>
      </c>
      <c r="R195" s="42">
        <v>2</v>
      </c>
      <c r="S195" s="83">
        <v>1</v>
      </c>
      <c r="U195" s="83">
        <v>1</v>
      </c>
      <c r="V195" s="49">
        <v>2</v>
      </c>
      <c r="W195" s="49">
        <v>1</v>
      </c>
      <c r="X195" s="58">
        <v>1</v>
      </c>
      <c r="Y195" s="83">
        <v>2</v>
      </c>
      <c r="Z195" s="49">
        <v>8</v>
      </c>
      <c r="AA195" s="49">
        <v>15</v>
      </c>
      <c r="AD195" s="49">
        <v>11</v>
      </c>
      <c r="AE195" s="49">
        <v>33</v>
      </c>
      <c r="AF195" s="49">
        <v>12</v>
      </c>
      <c r="AG195" s="49">
        <v>34</v>
      </c>
      <c r="AJ195" s="49">
        <v>0</v>
      </c>
      <c r="AK195" s="83">
        <v>0</v>
      </c>
      <c r="AL195" s="49">
        <v>1</v>
      </c>
      <c r="AM195" s="49">
        <v>0</v>
      </c>
      <c r="AN195" s="49">
        <v>0</v>
      </c>
      <c r="AO195" s="58">
        <v>0</v>
      </c>
      <c r="AP195" s="174">
        <v>402</v>
      </c>
      <c r="AQ195" s="175">
        <v>1204</v>
      </c>
      <c r="AR195" s="175" t="s">
        <v>284</v>
      </c>
      <c r="AS195" s="175" t="s">
        <v>284</v>
      </c>
      <c r="AT195" s="175" t="s">
        <v>284</v>
      </c>
      <c r="AU195" s="175" t="s">
        <v>284</v>
      </c>
      <c r="AV195" s="175" t="s">
        <v>284</v>
      </c>
      <c r="AW195" s="175" t="s">
        <v>284</v>
      </c>
      <c r="AX195" s="83">
        <v>0</v>
      </c>
      <c r="AY195" s="49">
        <v>0</v>
      </c>
      <c r="AZ195" s="49">
        <v>0</v>
      </c>
      <c r="BA195" s="49">
        <v>0</v>
      </c>
      <c r="BB195" s="58">
        <v>0</v>
      </c>
      <c r="BC195" s="42">
        <v>103</v>
      </c>
      <c r="BD195" s="49">
        <v>81.22</v>
      </c>
      <c r="BS195" s="58"/>
      <c r="BT195" s="83">
        <v>68.7</v>
      </c>
      <c r="CE195" s="83"/>
      <c r="CK195" s="58"/>
      <c r="CL195" s="83">
        <v>56.48</v>
      </c>
      <c r="CO195" s="58"/>
      <c r="CP195" s="83"/>
      <c r="CR195" s="58"/>
      <c r="CS195" s="83"/>
      <c r="CY195" s="83"/>
      <c r="DG195" s="58"/>
      <c r="DH195" s="83"/>
      <c r="DQ195" s="83"/>
      <c r="EE195" s="58"/>
      <c r="EF195" s="83"/>
      <c r="EI195" s="83"/>
      <c r="EK195" s="58"/>
      <c r="EL195" s="83"/>
      <c r="EO195" s="58"/>
      <c r="EP195" s="83"/>
      <c r="EQ195" s="58"/>
      <c r="ER195" s="83"/>
      <c r="ES195" s="58"/>
      <c r="ET195" s="83"/>
      <c r="EU195" s="58"/>
    </row>
    <row r="196" spans="1:151">
      <c r="A196" s="42" t="s">
        <v>319</v>
      </c>
      <c r="B196" s="173" t="s">
        <v>125</v>
      </c>
      <c r="C196" s="173" t="s">
        <v>502</v>
      </c>
      <c r="D196" s="83" t="s">
        <v>81</v>
      </c>
      <c r="F196" s="49" t="s">
        <v>286</v>
      </c>
      <c r="G196" s="60">
        <v>-4.3979999999999997</v>
      </c>
      <c r="I196" s="49">
        <v>1581</v>
      </c>
      <c r="J196" s="159">
        <v>1.9422604422604424</v>
      </c>
      <c r="K196" s="49">
        <v>4</v>
      </c>
      <c r="L196" s="49">
        <v>3</v>
      </c>
      <c r="M196" s="83">
        <v>0</v>
      </c>
      <c r="N196" s="49">
        <v>0</v>
      </c>
      <c r="O196" s="49">
        <v>1</v>
      </c>
      <c r="P196" s="49">
        <v>1</v>
      </c>
      <c r="Q196" s="58">
        <v>0</v>
      </c>
      <c r="R196" s="42">
        <v>2</v>
      </c>
      <c r="S196" s="83">
        <v>1</v>
      </c>
      <c r="U196" s="83">
        <v>1</v>
      </c>
      <c r="V196" s="49">
        <v>3</v>
      </c>
      <c r="W196" s="49">
        <v>1</v>
      </c>
      <c r="X196" s="58">
        <v>2</v>
      </c>
      <c r="Y196" s="83">
        <v>5</v>
      </c>
      <c r="AH196" s="49">
        <v>62</v>
      </c>
      <c r="AI196" s="49">
        <v>240</v>
      </c>
      <c r="AJ196" s="49">
        <v>0</v>
      </c>
      <c r="AK196" s="83">
        <v>0</v>
      </c>
      <c r="AL196" s="49">
        <v>1</v>
      </c>
      <c r="AM196" s="49">
        <v>0</v>
      </c>
      <c r="AN196" s="49">
        <v>0</v>
      </c>
      <c r="AO196" s="58">
        <v>0</v>
      </c>
      <c r="AP196" s="174">
        <v>0</v>
      </c>
      <c r="AQ196" s="175">
        <v>679</v>
      </c>
      <c r="AR196" s="175" t="s">
        <v>284</v>
      </c>
      <c r="AS196" s="175" t="s">
        <v>284</v>
      </c>
      <c r="AT196" s="175" t="s">
        <v>284</v>
      </c>
      <c r="AU196" s="175" t="s">
        <v>284</v>
      </c>
      <c r="AV196" s="175" t="s">
        <v>284</v>
      </c>
      <c r="AW196" s="175" t="s">
        <v>284</v>
      </c>
      <c r="AX196" s="83">
        <v>0</v>
      </c>
      <c r="AY196" s="49">
        <v>0</v>
      </c>
      <c r="AZ196" s="49">
        <v>0</v>
      </c>
      <c r="BA196" s="49">
        <v>0</v>
      </c>
      <c r="BB196" s="58">
        <v>0</v>
      </c>
      <c r="BC196" s="42">
        <v>120</v>
      </c>
      <c r="BS196" s="58"/>
      <c r="BT196" s="83"/>
      <c r="CE196" s="83">
        <v>68.67</v>
      </c>
      <c r="CK196" s="58"/>
      <c r="CL196" s="83"/>
      <c r="CO196" s="58"/>
      <c r="CP196" s="83"/>
      <c r="CR196" s="58"/>
      <c r="CS196" s="83"/>
      <c r="CY196" s="83"/>
      <c r="DG196" s="58"/>
      <c r="DH196" s="83"/>
      <c r="DQ196" s="83"/>
      <c r="EE196" s="58"/>
      <c r="EF196" s="83"/>
      <c r="EI196" s="83"/>
      <c r="EK196" s="58"/>
      <c r="EL196" s="83"/>
      <c r="EO196" s="58"/>
      <c r="EP196" s="83"/>
      <c r="EQ196" s="58"/>
      <c r="ER196" s="83"/>
      <c r="ES196" s="58"/>
      <c r="ET196" s="83"/>
      <c r="EU196" s="58"/>
    </row>
    <row r="197" spans="1:151">
      <c r="A197" s="42" t="s">
        <v>319</v>
      </c>
      <c r="B197" s="173" t="s">
        <v>125</v>
      </c>
      <c r="C197" s="173" t="s">
        <v>502</v>
      </c>
      <c r="D197" s="83" t="s">
        <v>87</v>
      </c>
      <c r="F197" s="49" t="s">
        <v>286</v>
      </c>
      <c r="G197" s="60">
        <v>-4.3979999999999997</v>
      </c>
      <c r="I197" s="49">
        <v>5152</v>
      </c>
      <c r="J197" s="159">
        <v>1.903213889915035</v>
      </c>
      <c r="K197" s="49">
        <v>4</v>
      </c>
      <c r="L197" s="49">
        <v>3</v>
      </c>
      <c r="M197" s="83">
        <v>0</v>
      </c>
      <c r="N197" s="49">
        <v>0</v>
      </c>
      <c r="O197" s="49">
        <v>1</v>
      </c>
      <c r="P197" s="49">
        <v>0</v>
      </c>
      <c r="Q197" s="58">
        <v>0</v>
      </c>
      <c r="R197" s="42">
        <v>1</v>
      </c>
      <c r="S197" s="83">
        <v>1</v>
      </c>
      <c r="U197" s="83">
        <v>1</v>
      </c>
      <c r="V197" s="49">
        <v>3</v>
      </c>
      <c r="W197" s="49">
        <v>1</v>
      </c>
      <c r="X197" s="58">
        <v>1</v>
      </c>
      <c r="Y197" s="83">
        <v>10</v>
      </c>
      <c r="Z197" s="49">
        <v>13</v>
      </c>
      <c r="AA197" s="49">
        <v>249</v>
      </c>
      <c r="AD197" s="49">
        <v>37</v>
      </c>
      <c r="AE197" s="49">
        <v>141</v>
      </c>
      <c r="AF197" s="49">
        <v>30</v>
      </c>
      <c r="AG197" s="49">
        <v>519</v>
      </c>
      <c r="AH197" s="49">
        <v>41</v>
      </c>
      <c r="AI197" s="49">
        <v>732</v>
      </c>
      <c r="AJ197" s="49">
        <v>0</v>
      </c>
      <c r="AK197" s="83">
        <v>0</v>
      </c>
      <c r="AL197" s="49">
        <v>0</v>
      </c>
      <c r="AM197" s="49">
        <v>1</v>
      </c>
      <c r="AN197" s="49">
        <v>0</v>
      </c>
      <c r="AO197" s="58">
        <v>0</v>
      </c>
      <c r="AP197" s="174" t="s">
        <v>284</v>
      </c>
      <c r="AQ197" s="175" t="s">
        <v>284</v>
      </c>
      <c r="AR197" s="175" t="s">
        <v>501</v>
      </c>
      <c r="AS197" s="175" t="s">
        <v>501</v>
      </c>
      <c r="AT197" s="175" t="s">
        <v>284</v>
      </c>
      <c r="AU197" s="175" t="s">
        <v>284</v>
      </c>
      <c r="AV197" s="175" t="s">
        <v>284</v>
      </c>
      <c r="AW197" s="175" t="s">
        <v>284</v>
      </c>
      <c r="AX197" s="83">
        <v>0</v>
      </c>
      <c r="AY197" s="49">
        <v>0</v>
      </c>
      <c r="AZ197" s="49">
        <v>0</v>
      </c>
      <c r="BA197" s="49">
        <v>0</v>
      </c>
      <c r="BB197" s="58">
        <v>0</v>
      </c>
      <c r="BC197" s="42">
        <v>206</v>
      </c>
      <c r="BD197" s="49">
        <v>83.79</v>
      </c>
      <c r="BE197" s="159">
        <v>82.15</v>
      </c>
      <c r="BS197" s="58"/>
      <c r="BT197" s="83"/>
      <c r="CE197" s="83">
        <v>69.040000000000006</v>
      </c>
      <c r="CK197" s="58"/>
      <c r="CL197" s="83"/>
      <c r="CO197" s="58"/>
      <c r="CP197" s="83"/>
      <c r="CR197" s="58"/>
      <c r="CS197" s="83"/>
      <c r="CY197" s="83"/>
      <c r="DG197" s="58"/>
      <c r="DH197" s="83"/>
      <c r="DQ197" s="83"/>
      <c r="EE197" s="58"/>
      <c r="EF197" s="83"/>
      <c r="EI197" s="83"/>
      <c r="EK197" s="58"/>
      <c r="EL197" s="83"/>
      <c r="EO197" s="58"/>
      <c r="EP197" s="83"/>
      <c r="EQ197" s="58"/>
      <c r="ER197" s="83"/>
      <c r="ES197" s="58"/>
      <c r="ET197" s="83"/>
      <c r="EU197" s="58"/>
    </row>
    <row r="198" spans="1:151">
      <c r="A198" s="42" t="s">
        <v>319</v>
      </c>
      <c r="B198" s="173" t="s">
        <v>125</v>
      </c>
      <c r="C198" s="173" t="s">
        <v>502</v>
      </c>
      <c r="D198" s="83" t="s">
        <v>88</v>
      </c>
      <c r="F198" s="49" t="s">
        <v>286</v>
      </c>
      <c r="G198" s="60">
        <v>-4.3979999999999997</v>
      </c>
      <c r="I198" s="49">
        <v>1521</v>
      </c>
      <c r="J198" s="159">
        <v>2.7806215722120657</v>
      </c>
      <c r="K198" s="49">
        <v>1</v>
      </c>
      <c r="L198" s="49">
        <v>2</v>
      </c>
      <c r="M198" s="83">
        <v>1</v>
      </c>
      <c r="N198" s="49">
        <v>0</v>
      </c>
      <c r="O198" s="49">
        <v>0</v>
      </c>
      <c r="P198" s="49">
        <v>0</v>
      </c>
      <c r="Q198" s="58">
        <v>0</v>
      </c>
      <c r="R198" s="42">
        <v>1</v>
      </c>
      <c r="S198" s="83">
        <v>1</v>
      </c>
      <c r="U198" s="83">
        <v>0</v>
      </c>
      <c r="V198" s="49">
        <v>0</v>
      </c>
      <c r="W198" s="49">
        <v>0</v>
      </c>
      <c r="X198" s="58"/>
      <c r="Y198" s="83">
        <v>1</v>
      </c>
      <c r="AD198" s="49">
        <v>59</v>
      </c>
      <c r="AE198" s="49">
        <v>137</v>
      </c>
      <c r="AJ198" s="49">
        <v>0</v>
      </c>
      <c r="AK198" s="83">
        <v>0</v>
      </c>
      <c r="AL198" s="49">
        <v>1</v>
      </c>
      <c r="AM198" s="49">
        <v>0</v>
      </c>
      <c r="AN198" s="49">
        <v>0</v>
      </c>
      <c r="AO198" s="58">
        <v>0</v>
      </c>
      <c r="AP198" s="174">
        <v>128</v>
      </c>
      <c r="AQ198" s="175">
        <v>728</v>
      </c>
      <c r="AR198" s="175" t="s">
        <v>284</v>
      </c>
      <c r="AS198" s="175" t="s">
        <v>284</v>
      </c>
      <c r="AT198" s="175" t="s">
        <v>284</v>
      </c>
      <c r="AU198" s="175" t="s">
        <v>284</v>
      </c>
      <c r="AV198" s="175" t="s">
        <v>284</v>
      </c>
      <c r="AW198" s="175" t="s">
        <v>284</v>
      </c>
      <c r="AX198" s="83">
        <v>0</v>
      </c>
      <c r="AY198" s="49">
        <v>0</v>
      </c>
      <c r="AZ198" s="49">
        <v>0</v>
      </c>
      <c r="BA198" s="49">
        <v>0</v>
      </c>
      <c r="BB198" s="58">
        <v>0</v>
      </c>
      <c r="BC198" s="42">
        <v>88</v>
      </c>
      <c r="BS198" s="58"/>
      <c r="BT198" s="83"/>
      <c r="CE198" s="83"/>
      <c r="CK198" s="58"/>
      <c r="CL198" s="83"/>
      <c r="CO198" s="58"/>
      <c r="CP198" s="83"/>
      <c r="CR198" s="58"/>
      <c r="CS198" s="83"/>
      <c r="CY198" s="83"/>
      <c r="DG198" s="58"/>
      <c r="DH198" s="83"/>
      <c r="DQ198" s="83"/>
      <c r="EE198" s="58"/>
      <c r="EF198" s="83"/>
      <c r="EI198" s="83"/>
      <c r="EK198" s="58"/>
      <c r="EL198" s="83"/>
      <c r="EO198" s="58"/>
      <c r="EP198" s="83"/>
      <c r="EQ198" s="58"/>
      <c r="ER198" s="83"/>
      <c r="ES198" s="58"/>
      <c r="ET198" s="83"/>
      <c r="EU198" s="58"/>
    </row>
    <row r="199" spans="1:151">
      <c r="A199" s="42" t="s">
        <v>319</v>
      </c>
      <c r="B199" s="173" t="s">
        <v>125</v>
      </c>
      <c r="C199" s="173" t="s">
        <v>502</v>
      </c>
      <c r="D199" s="83" t="s">
        <v>92</v>
      </c>
      <c r="E199" s="49" t="s">
        <v>0</v>
      </c>
      <c r="F199" s="49" t="s">
        <v>286</v>
      </c>
      <c r="G199" s="60">
        <v>-4.3979999999999997</v>
      </c>
      <c r="I199" s="49">
        <v>1563</v>
      </c>
      <c r="J199" s="159">
        <v>1.5787878787878789</v>
      </c>
      <c r="K199" s="49">
        <v>4</v>
      </c>
      <c r="L199" s="49">
        <v>3</v>
      </c>
      <c r="M199" s="83">
        <v>0</v>
      </c>
      <c r="N199" s="49">
        <v>0</v>
      </c>
      <c r="O199" s="49">
        <v>0</v>
      </c>
      <c r="P199" s="49">
        <v>0</v>
      </c>
      <c r="Q199" s="58">
        <v>0</v>
      </c>
      <c r="R199" s="42">
        <v>0</v>
      </c>
      <c r="S199" s="83" t="s">
        <v>284</v>
      </c>
      <c r="U199" s="83">
        <v>1</v>
      </c>
      <c r="V199" s="49">
        <v>4</v>
      </c>
      <c r="W199" s="49">
        <v>2</v>
      </c>
      <c r="X199" s="58"/>
      <c r="Y199" s="83">
        <v>0</v>
      </c>
      <c r="AJ199" s="49">
        <v>0</v>
      </c>
      <c r="AK199" s="83">
        <v>0</v>
      </c>
      <c r="AL199" s="49">
        <v>0</v>
      </c>
      <c r="AM199" s="49">
        <v>0</v>
      </c>
      <c r="AN199" s="49">
        <v>0</v>
      </c>
      <c r="AO199" s="58">
        <v>0</v>
      </c>
      <c r="AP199" s="174" t="s">
        <v>284</v>
      </c>
      <c r="AQ199" s="175" t="s">
        <v>284</v>
      </c>
      <c r="AR199" s="175" t="s">
        <v>284</v>
      </c>
      <c r="AS199" s="175" t="s">
        <v>284</v>
      </c>
      <c r="AT199" s="175" t="s">
        <v>284</v>
      </c>
      <c r="AU199" s="175" t="s">
        <v>284</v>
      </c>
      <c r="AV199" s="175" t="s">
        <v>284</v>
      </c>
      <c r="AW199" s="175" t="s">
        <v>284</v>
      </c>
      <c r="AX199" s="83">
        <v>0</v>
      </c>
      <c r="AY199" s="49">
        <v>0</v>
      </c>
      <c r="AZ199" s="49">
        <v>0</v>
      </c>
      <c r="BA199" s="49">
        <v>0</v>
      </c>
      <c r="BB199" s="58">
        <v>0</v>
      </c>
      <c r="BC199" s="42">
        <v>114</v>
      </c>
      <c r="BD199" s="49">
        <v>82.71</v>
      </c>
      <c r="BE199" s="159">
        <v>82.71</v>
      </c>
      <c r="BS199" s="58"/>
      <c r="BT199" s="83"/>
      <c r="CE199" s="83">
        <v>70.05</v>
      </c>
      <c r="CK199" s="58"/>
      <c r="CL199" s="83">
        <v>66.42</v>
      </c>
      <c r="CO199" s="58"/>
      <c r="CP199" s="83"/>
      <c r="CR199" s="58"/>
      <c r="CS199" s="83"/>
      <c r="CY199" s="83"/>
      <c r="DG199" s="58"/>
      <c r="DH199" s="83"/>
      <c r="DQ199" s="83"/>
      <c r="EE199" s="58"/>
      <c r="EF199" s="83"/>
      <c r="EI199" s="83"/>
      <c r="EK199" s="58"/>
      <c r="EL199" s="83"/>
      <c r="EO199" s="58"/>
      <c r="EP199" s="83"/>
      <c r="EQ199" s="58"/>
      <c r="ER199" s="83"/>
      <c r="ES199" s="58"/>
      <c r="ET199" s="83"/>
      <c r="EU199" s="58"/>
    </row>
    <row r="200" spans="1:151">
      <c r="A200" s="42" t="s">
        <v>319</v>
      </c>
      <c r="B200" s="173" t="s">
        <v>125</v>
      </c>
      <c r="C200" s="173" t="s">
        <v>502</v>
      </c>
      <c r="D200" s="83" t="s">
        <v>92</v>
      </c>
      <c r="E200" s="49" t="s">
        <v>1</v>
      </c>
      <c r="F200" s="49" t="s">
        <v>287</v>
      </c>
      <c r="G200" s="60">
        <v>-4.3979999999999997</v>
      </c>
      <c r="I200" s="49">
        <v>852</v>
      </c>
      <c r="J200" s="159">
        <v>1.2889561270801815</v>
      </c>
      <c r="K200" s="49">
        <v>4</v>
      </c>
      <c r="L200" s="49">
        <v>3</v>
      </c>
      <c r="M200" s="83">
        <v>0</v>
      </c>
      <c r="N200" s="49">
        <v>0</v>
      </c>
      <c r="O200" s="49">
        <v>0</v>
      </c>
      <c r="P200" s="49">
        <v>0</v>
      </c>
      <c r="Q200" s="58">
        <v>0</v>
      </c>
      <c r="R200" s="42">
        <v>0</v>
      </c>
      <c r="S200" s="83" t="s">
        <v>284</v>
      </c>
      <c r="U200" s="83">
        <v>1</v>
      </c>
      <c r="V200" s="49">
        <v>4</v>
      </c>
      <c r="W200" s="49">
        <v>2</v>
      </c>
      <c r="X200" s="58"/>
      <c r="Y200" s="83">
        <v>15</v>
      </c>
      <c r="AA200" s="49">
        <v>26</v>
      </c>
      <c r="AI200" s="49">
        <v>193</v>
      </c>
      <c r="AJ200" s="49">
        <v>0</v>
      </c>
      <c r="AK200" s="83">
        <v>0</v>
      </c>
      <c r="AL200" s="49">
        <v>0</v>
      </c>
      <c r="AM200" s="49">
        <v>0</v>
      </c>
      <c r="AN200" s="49">
        <v>0</v>
      </c>
      <c r="AO200" s="58">
        <v>0</v>
      </c>
      <c r="AP200" s="174" t="s">
        <v>284</v>
      </c>
      <c r="AQ200" s="175" t="s">
        <v>284</v>
      </c>
      <c r="AR200" s="175" t="s">
        <v>284</v>
      </c>
      <c r="AS200" s="175" t="s">
        <v>284</v>
      </c>
      <c r="AT200" s="175" t="s">
        <v>284</v>
      </c>
      <c r="AU200" s="175" t="s">
        <v>284</v>
      </c>
      <c r="AV200" s="175" t="s">
        <v>284</v>
      </c>
      <c r="AW200" s="175" t="s">
        <v>284</v>
      </c>
      <c r="AX200" s="83">
        <v>0</v>
      </c>
      <c r="AY200" s="49">
        <v>0</v>
      </c>
      <c r="AZ200" s="49">
        <v>0</v>
      </c>
      <c r="BA200" s="49">
        <v>0</v>
      </c>
      <c r="BB200" s="58">
        <v>0</v>
      </c>
      <c r="BC200" s="42">
        <v>114</v>
      </c>
      <c r="BD200" s="49">
        <v>81.64</v>
      </c>
      <c r="BS200" s="58"/>
      <c r="BT200" s="83"/>
      <c r="CE200" s="83">
        <v>69.67</v>
      </c>
      <c r="CK200" s="58"/>
      <c r="CL200" s="83"/>
      <c r="CO200" s="58"/>
      <c r="CP200" s="83"/>
      <c r="CR200" s="58"/>
      <c r="CS200" s="83"/>
      <c r="CY200" s="83"/>
      <c r="DG200" s="58"/>
      <c r="DH200" s="83"/>
      <c r="DQ200" s="83"/>
      <c r="EE200" s="58"/>
      <c r="EF200" s="83"/>
      <c r="EI200" s="83"/>
      <c r="EK200" s="58"/>
      <c r="EL200" s="83"/>
      <c r="EO200" s="58"/>
      <c r="EP200" s="83"/>
      <c r="EQ200" s="58"/>
      <c r="ER200" s="83"/>
      <c r="ES200" s="58"/>
      <c r="ET200" s="83"/>
      <c r="EU200" s="58"/>
    </row>
    <row r="201" spans="1:151">
      <c r="A201" s="42" t="s">
        <v>319</v>
      </c>
      <c r="B201" s="173" t="s">
        <v>125</v>
      </c>
      <c r="C201" s="173" t="s">
        <v>502</v>
      </c>
      <c r="D201" s="83" t="s">
        <v>112</v>
      </c>
      <c r="F201" s="49" t="s">
        <v>286</v>
      </c>
      <c r="G201" s="60">
        <v>-4.3979999999999997</v>
      </c>
      <c r="I201" s="49">
        <v>2332</v>
      </c>
      <c r="J201" s="159">
        <v>2.0138169257340244</v>
      </c>
      <c r="K201" s="49">
        <v>4</v>
      </c>
      <c r="L201" s="49">
        <v>4</v>
      </c>
      <c r="M201" s="83">
        <v>0</v>
      </c>
      <c r="N201" s="49">
        <v>0</v>
      </c>
      <c r="O201" s="49">
        <v>1</v>
      </c>
      <c r="P201" s="49">
        <v>1</v>
      </c>
      <c r="Q201" s="58">
        <v>0</v>
      </c>
      <c r="R201" s="42">
        <v>2</v>
      </c>
      <c r="S201" s="83">
        <v>1</v>
      </c>
      <c r="U201" s="83">
        <v>1</v>
      </c>
      <c r="V201" s="49">
        <v>4</v>
      </c>
      <c r="W201" s="49">
        <v>1</v>
      </c>
      <c r="X201" s="58">
        <v>2</v>
      </c>
      <c r="Y201" s="83">
        <v>2</v>
      </c>
      <c r="Z201" s="49">
        <v>12</v>
      </c>
      <c r="AA201" s="49">
        <v>17</v>
      </c>
      <c r="AD201" s="49">
        <v>21</v>
      </c>
      <c r="AE201" s="49">
        <v>55</v>
      </c>
      <c r="AI201" s="49">
        <v>295</v>
      </c>
      <c r="AJ201" s="49">
        <v>0</v>
      </c>
      <c r="AK201" s="83">
        <v>0</v>
      </c>
      <c r="AL201" s="49">
        <v>1</v>
      </c>
      <c r="AM201" s="49">
        <v>0</v>
      </c>
      <c r="AN201" s="49">
        <v>0</v>
      </c>
      <c r="AO201" s="58">
        <v>0</v>
      </c>
      <c r="AP201" s="174">
        <v>0</v>
      </c>
      <c r="AQ201" s="175">
        <v>663</v>
      </c>
      <c r="AR201" s="175" t="s">
        <v>284</v>
      </c>
      <c r="AS201" s="175" t="s">
        <v>284</v>
      </c>
      <c r="AT201" s="175" t="s">
        <v>284</v>
      </c>
      <c r="AU201" s="175" t="s">
        <v>284</v>
      </c>
      <c r="AV201" s="175" t="s">
        <v>284</v>
      </c>
      <c r="AW201" s="175" t="s">
        <v>284</v>
      </c>
      <c r="AX201" s="83">
        <v>0</v>
      </c>
      <c r="AY201" s="49">
        <v>0</v>
      </c>
      <c r="AZ201" s="49">
        <v>0</v>
      </c>
      <c r="BA201" s="49">
        <v>0</v>
      </c>
      <c r="BB201" s="58">
        <v>0</v>
      </c>
      <c r="BC201" s="42">
        <v>134</v>
      </c>
      <c r="BS201" s="58"/>
      <c r="BT201" s="83"/>
      <c r="CE201" s="83"/>
      <c r="CK201" s="58"/>
      <c r="CL201" s="83"/>
      <c r="CO201" s="58"/>
      <c r="CP201" s="83"/>
      <c r="CR201" s="58"/>
      <c r="CS201" s="83"/>
      <c r="CY201" s="83"/>
      <c r="DG201" s="58"/>
      <c r="DH201" s="83"/>
      <c r="DQ201" s="83"/>
      <c r="EE201" s="58"/>
      <c r="EF201" s="83"/>
      <c r="EI201" s="83"/>
      <c r="EK201" s="58"/>
      <c r="EL201" s="83"/>
      <c r="EO201" s="58"/>
      <c r="EP201" s="83"/>
      <c r="EQ201" s="58"/>
      <c r="ER201" s="83"/>
      <c r="ES201" s="58"/>
      <c r="ET201" s="83"/>
      <c r="EU201" s="58"/>
    </row>
    <row r="202" spans="1:151">
      <c r="A202" s="42" t="s">
        <v>319</v>
      </c>
      <c r="B202" s="173" t="s">
        <v>125</v>
      </c>
      <c r="C202" s="173" t="s">
        <v>502</v>
      </c>
      <c r="D202" s="83" t="s">
        <v>65</v>
      </c>
      <c r="F202" s="49" t="s">
        <v>286</v>
      </c>
      <c r="G202" s="60">
        <v>-4.3979999999999997</v>
      </c>
      <c r="I202" s="49">
        <v>3250</v>
      </c>
      <c r="J202" s="159">
        <v>12.357414448669202</v>
      </c>
      <c r="K202" s="49">
        <v>4</v>
      </c>
      <c r="L202" s="49">
        <v>3</v>
      </c>
      <c r="M202" s="83">
        <v>0</v>
      </c>
      <c r="N202" s="49">
        <v>0</v>
      </c>
      <c r="O202" s="49">
        <v>1</v>
      </c>
      <c r="P202" s="49">
        <v>1</v>
      </c>
      <c r="Q202" s="58">
        <v>0</v>
      </c>
      <c r="R202" s="42">
        <v>2</v>
      </c>
      <c r="S202" s="83" t="s">
        <v>283</v>
      </c>
      <c r="T202" s="49">
        <v>128</v>
      </c>
      <c r="U202" s="83">
        <v>2</v>
      </c>
      <c r="V202" s="49">
        <v>3</v>
      </c>
      <c r="W202" s="49">
        <v>1</v>
      </c>
      <c r="X202" s="58">
        <v>2</v>
      </c>
      <c r="Y202" s="83">
        <v>5</v>
      </c>
      <c r="Z202" s="49">
        <v>10</v>
      </c>
      <c r="AA202" s="49">
        <v>30</v>
      </c>
      <c r="AD202" s="49">
        <v>20</v>
      </c>
      <c r="AE202" s="49">
        <v>130</v>
      </c>
      <c r="AF202" s="49">
        <v>10</v>
      </c>
      <c r="AG202" s="49">
        <v>100</v>
      </c>
      <c r="AH202" s="49">
        <v>60</v>
      </c>
      <c r="AI202" s="49">
        <v>370</v>
      </c>
      <c r="AJ202" s="49">
        <v>0</v>
      </c>
      <c r="AK202" s="83">
        <v>0</v>
      </c>
      <c r="AL202" s="49">
        <v>0</v>
      </c>
      <c r="AM202" s="49">
        <v>0</v>
      </c>
      <c r="AN202" s="49">
        <v>0</v>
      </c>
      <c r="AO202" s="58">
        <v>0</v>
      </c>
      <c r="AP202" s="174" t="s">
        <v>284</v>
      </c>
      <c r="AQ202" s="175" t="s">
        <v>284</v>
      </c>
      <c r="AR202" s="175" t="s">
        <v>284</v>
      </c>
      <c r="AS202" s="175" t="s">
        <v>284</v>
      </c>
      <c r="AT202" s="175" t="s">
        <v>284</v>
      </c>
      <c r="AU202" s="175" t="s">
        <v>284</v>
      </c>
      <c r="AV202" s="175" t="s">
        <v>284</v>
      </c>
      <c r="AW202" s="175" t="s">
        <v>284</v>
      </c>
      <c r="AX202" s="83">
        <v>0</v>
      </c>
      <c r="AY202" s="49">
        <v>0</v>
      </c>
      <c r="AZ202" s="49">
        <v>0</v>
      </c>
      <c r="BA202" s="49">
        <v>0</v>
      </c>
      <c r="BB202" s="58">
        <v>0</v>
      </c>
      <c r="BC202" s="42">
        <v>122</v>
      </c>
      <c r="BD202" s="49">
        <v>81.14</v>
      </c>
      <c r="BE202" s="159">
        <v>80.12</v>
      </c>
      <c r="BS202" s="58"/>
      <c r="BT202" s="83">
        <v>81.540000000000006</v>
      </c>
      <c r="CE202" s="83">
        <v>67.290000000000006</v>
      </c>
      <c r="CK202" s="58"/>
      <c r="CL202" s="83"/>
      <c r="CO202" s="58"/>
      <c r="CP202" s="83"/>
      <c r="CR202" s="58"/>
      <c r="CS202" s="83"/>
      <c r="CY202" s="83"/>
      <c r="DG202" s="58"/>
      <c r="DH202" s="83"/>
      <c r="DQ202" s="83"/>
      <c r="EE202" s="58"/>
      <c r="EF202" s="83"/>
      <c r="EI202" s="83"/>
      <c r="EK202" s="58"/>
      <c r="EL202" s="83"/>
      <c r="EO202" s="58"/>
      <c r="EP202" s="83"/>
      <c r="EQ202" s="58"/>
      <c r="ER202" s="83"/>
      <c r="ES202" s="58"/>
      <c r="ET202" s="83"/>
      <c r="EU202" s="58"/>
    </row>
    <row r="203" spans="1:151">
      <c r="A203" s="42" t="s">
        <v>319</v>
      </c>
      <c r="B203" s="173" t="s">
        <v>125</v>
      </c>
      <c r="C203" s="173" t="s">
        <v>502</v>
      </c>
      <c r="D203" s="83" t="s">
        <v>95</v>
      </c>
      <c r="F203" s="49" t="s">
        <v>286</v>
      </c>
      <c r="G203" s="60">
        <v>-4.3979999999999997</v>
      </c>
      <c r="I203" s="49">
        <v>2999</v>
      </c>
      <c r="J203" s="159">
        <v>1.7098061573546179</v>
      </c>
      <c r="K203" s="49">
        <v>4</v>
      </c>
      <c r="L203" s="49">
        <v>3</v>
      </c>
      <c r="M203" s="83">
        <v>0</v>
      </c>
      <c r="N203" s="49">
        <v>0</v>
      </c>
      <c r="O203" s="49">
        <v>1</v>
      </c>
      <c r="P203" s="49">
        <v>1</v>
      </c>
      <c r="Q203" s="58">
        <v>0</v>
      </c>
      <c r="R203" s="42">
        <v>2</v>
      </c>
      <c r="S203" s="83">
        <v>1</v>
      </c>
      <c r="U203" s="83">
        <v>1</v>
      </c>
      <c r="V203" s="49">
        <v>3</v>
      </c>
      <c r="W203" s="49">
        <v>1</v>
      </c>
      <c r="X203" s="58">
        <v>3</v>
      </c>
      <c r="Y203" s="83">
        <v>2</v>
      </c>
      <c r="Z203" s="49">
        <v>8</v>
      </c>
      <c r="AA203" s="49">
        <v>23</v>
      </c>
      <c r="AD203" s="49">
        <v>14</v>
      </c>
      <c r="AE203" s="49">
        <v>39</v>
      </c>
      <c r="AJ203" s="49">
        <v>0</v>
      </c>
      <c r="AK203" s="83">
        <v>0</v>
      </c>
      <c r="AL203" s="49">
        <v>1</v>
      </c>
      <c r="AM203" s="49">
        <v>0</v>
      </c>
      <c r="AN203" s="49">
        <v>0</v>
      </c>
      <c r="AO203" s="58">
        <v>0</v>
      </c>
      <c r="AP203" s="174">
        <v>0</v>
      </c>
      <c r="AQ203" s="175">
        <v>1212</v>
      </c>
      <c r="AR203" s="175" t="s">
        <v>284</v>
      </c>
      <c r="AS203" s="175" t="s">
        <v>284</v>
      </c>
      <c r="AT203" s="175" t="s">
        <v>284</v>
      </c>
      <c r="AU203" s="175" t="s">
        <v>284</v>
      </c>
      <c r="AV203" s="175" t="s">
        <v>284</v>
      </c>
      <c r="AW203" s="175" t="s">
        <v>284</v>
      </c>
      <c r="AX203" s="83">
        <v>0</v>
      </c>
      <c r="AY203" s="49">
        <v>0</v>
      </c>
      <c r="AZ203" s="49">
        <v>0</v>
      </c>
      <c r="BA203" s="49">
        <v>0</v>
      </c>
      <c r="BB203" s="58">
        <v>0</v>
      </c>
      <c r="BC203" s="42">
        <v>169</v>
      </c>
      <c r="BS203" s="58"/>
      <c r="BT203" s="83">
        <v>81.81</v>
      </c>
      <c r="CE203" s="83">
        <v>68.31</v>
      </c>
      <c r="CK203" s="58"/>
      <c r="CL203" s="83">
        <v>61.17</v>
      </c>
      <c r="CO203" s="58"/>
      <c r="CP203" s="83"/>
      <c r="CR203" s="58"/>
      <c r="CS203" s="83"/>
      <c r="CY203" s="83"/>
      <c r="DG203" s="58"/>
      <c r="DH203" s="83"/>
      <c r="DQ203" s="83"/>
      <c r="EE203" s="58"/>
      <c r="EF203" s="83"/>
      <c r="EI203" s="83"/>
      <c r="EK203" s="58"/>
      <c r="EL203" s="83"/>
      <c r="EO203" s="58"/>
      <c r="EP203" s="83"/>
      <c r="EQ203" s="58"/>
      <c r="ER203" s="83"/>
      <c r="ES203" s="58"/>
      <c r="ET203" s="83"/>
      <c r="EU203" s="58"/>
    </row>
    <row r="204" spans="1:151">
      <c r="A204" s="42" t="s">
        <v>319</v>
      </c>
      <c r="B204" s="173" t="s">
        <v>125</v>
      </c>
      <c r="C204" s="173" t="s">
        <v>502</v>
      </c>
      <c r="D204" s="83" t="s">
        <v>96</v>
      </c>
      <c r="F204" s="49" t="s">
        <v>286</v>
      </c>
      <c r="G204" s="60">
        <v>-4.3979999999999997</v>
      </c>
      <c r="I204" s="49">
        <v>2345</v>
      </c>
      <c r="J204" s="159">
        <v>1.7268041237113403</v>
      </c>
      <c r="K204" s="49">
        <v>1</v>
      </c>
      <c r="L204" s="49">
        <v>3</v>
      </c>
      <c r="M204" s="83">
        <v>0</v>
      </c>
      <c r="N204" s="49">
        <v>0</v>
      </c>
      <c r="O204" s="49">
        <v>1</v>
      </c>
      <c r="P204" s="49">
        <v>1</v>
      </c>
      <c r="Q204" s="58">
        <v>0</v>
      </c>
      <c r="R204" s="42">
        <v>2</v>
      </c>
      <c r="S204" s="83">
        <v>1</v>
      </c>
      <c r="U204" s="83">
        <v>1</v>
      </c>
      <c r="V204" s="49">
        <v>3</v>
      </c>
      <c r="W204" s="49">
        <v>1</v>
      </c>
      <c r="X204" s="58">
        <v>3</v>
      </c>
      <c r="Y204" s="83">
        <v>3</v>
      </c>
      <c r="Z204" s="49">
        <v>10</v>
      </c>
      <c r="AA204" s="49">
        <v>150</v>
      </c>
      <c r="AD204" s="49">
        <v>30</v>
      </c>
      <c r="AE204" s="49">
        <v>320</v>
      </c>
      <c r="AG204" s="49">
        <v>450</v>
      </c>
      <c r="AH204" s="49">
        <v>130</v>
      </c>
      <c r="AI204" s="49">
        <v>420</v>
      </c>
      <c r="AJ204" s="49">
        <v>0</v>
      </c>
      <c r="AK204" s="83">
        <v>0</v>
      </c>
      <c r="AL204" s="49">
        <v>1</v>
      </c>
      <c r="AM204" s="49">
        <v>0</v>
      </c>
      <c r="AN204" s="49">
        <v>0</v>
      </c>
      <c r="AO204" s="58">
        <v>0</v>
      </c>
      <c r="AP204" s="174">
        <v>305</v>
      </c>
      <c r="AQ204" s="175">
        <v>1025</v>
      </c>
      <c r="AR204" s="175" t="s">
        <v>284</v>
      </c>
      <c r="AS204" s="175" t="s">
        <v>284</v>
      </c>
      <c r="AT204" s="175" t="s">
        <v>284</v>
      </c>
      <c r="AU204" s="175" t="s">
        <v>284</v>
      </c>
      <c r="AV204" s="175" t="s">
        <v>284</v>
      </c>
      <c r="AW204" s="175" t="s">
        <v>284</v>
      </c>
      <c r="AX204" s="83">
        <v>0</v>
      </c>
      <c r="AY204" s="49">
        <v>0</v>
      </c>
      <c r="AZ204" s="49">
        <v>0</v>
      </c>
      <c r="BA204" s="49">
        <v>0</v>
      </c>
      <c r="BB204" s="58">
        <v>0</v>
      </c>
      <c r="BC204" s="42">
        <v>162</v>
      </c>
      <c r="BS204" s="58"/>
      <c r="BT204" s="83"/>
      <c r="CE204" s="83"/>
      <c r="CK204" s="58"/>
      <c r="CL204" s="83"/>
      <c r="CO204" s="58"/>
      <c r="CP204" s="83"/>
      <c r="CR204" s="58"/>
      <c r="CS204" s="83"/>
      <c r="CY204" s="83"/>
      <c r="DG204" s="58"/>
      <c r="DH204" s="83"/>
      <c r="DQ204" s="83"/>
      <c r="EE204" s="58"/>
      <c r="EF204" s="83"/>
      <c r="EI204" s="83"/>
      <c r="EK204" s="58"/>
      <c r="EL204" s="83"/>
      <c r="EO204" s="58"/>
      <c r="EP204" s="83"/>
      <c r="EQ204" s="58"/>
      <c r="ER204" s="83"/>
      <c r="ES204" s="58"/>
      <c r="ET204" s="83"/>
      <c r="EU204" s="58"/>
    </row>
    <row r="205" spans="1:151">
      <c r="A205" s="42" t="s">
        <v>319</v>
      </c>
      <c r="B205" s="173" t="s">
        <v>125</v>
      </c>
      <c r="C205" s="173" t="s">
        <v>502</v>
      </c>
      <c r="D205" s="83" t="s">
        <v>98</v>
      </c>
      <c r="F205" s="49" t="s">
        <v>286</v>
      </c>
      <c r="G205" s="60">
        <v>-4.3979999999999997</v>
      </c>
      <c r="I205" s="49">
        <v>3210</v>
      </c>
      <c r="J205" s="159">
        <v>1.6632124352331605</v>
      </c>
      <c r="K205" s="49">
        <v>4</v>
      </c>
      <c r="L205" s="49">
        <v>3</v>
      </c>
      <c r="M205" s="83">
        <v>0</v>
      </c>
      <c r="N205" s="49">
        <v>0</v>
      </c>
      <c r="O205" s="49">
        <v>1</v>
      </c>
      <c r="P205" s="49">
        <v>1</v>
      </c>
      <c r="Q205" s="58">
        <v>0</v>
      </c>
      <c r="R205" s="42">
        <v>2</v>
      </c>
      <c r="S205" s="83" t="s">
        <v>284</v>
      </c>
      <c r="U205" s="83">
        <v>1</v>
      </c>
      <c r="V205" s="49">
        <v>4</v>
      </c>
      <c r="W205" s="49">
        <v>1</v>
      </c>
      <c r="X205" s="58">
        <v>3</v>
      </c>
      <c r="Y205" s="83">
        <v>2</v>
      </c>
      <c r="Z205" s="49">
        <v>10</v>
      </c>
      <c r="AA205" s="49">
        <v>120</v>
      </c>
      <c r="AF205" s="49">
        <v>30</v>
      </c>
      <c r="AG205" s="49">
        <v>50</v>
      </c>
      <c r="AJ205" s="49">
        <v>0</v>
      </c>
      <c r="AK205" s="83">
        <v>0</v>
      </c>
      <c r="AL205" s="49">
        <v>0</v>
      </c>
      <c r="AM205" s="49">
        <v>0</v>
      </c>
      <c r="AN205" s="49">
        <v>0</v>
      </c>
      <c r="AO205" s="58">
        <v>0</v>
      </c>
      <c r="AP205" s="174" t="s">
        <v>284</v>
      </c>
      <c r="AQ205" s="175" t="s">
        <v>284</v>
      </c>
      <c r="AR205" s="175" t="s">
        <v>284</v>
      </c>
      <c r="AS205" s="175" t="s">
        <v>284</v>
      </c>
      <c r="AT205" s="175" t="s">
        <v>284</v>
      </c>
      <c r="AU205" s="175" t="s">
        <v>284</v>
      </c>
      <c r="AV205" s="175" t="s">
        <v>284</v>
      </c>
      <c r="AW205" s="175" t="s">
        <v>284</v>
      </c>
      <c r="AX205" s="83">
        <v>0</v>
      </c>
      <c r="AY205" s="49">
        <v>0</v>
      </c>
      <c r="AZ205" s="49">
        <v>0</v>
      </c>
      <c r="BA205" s="49">
        <v>0</v>
      </c>
      <c r="BB205" s="58">
        <v>0</v>
      </c>
      <c r="BC205" s="42">
        <v>140</v>
      </c>
      <c r="BS205" s="58"/>
      <c r="BT205" s="83"/>
      <c r="CE205" s="83"/>
      <c r="CK205" s="58"/>
      <c r="CL205" s="83"/>
      <c r="CO205" s="58"/>
      <c r="CP205" s="83"/>
      <c r="CR205" s="58"/>
      <c r="CS205" s="83"/>
      <c r="CY205" s="83"/>
      <c r="DG205" s="58"/>
      <c r="DH205" s="83"/>
      <c r="DQ205" s="83"/>
      <c r="EE205" s="58"/>
      <c r="EF205" s="83"/>
      <c r="EI205" s="83"/>
      <c r="EK205" s="58"/>
      <c r="EL205" s="83"/>
      <c r="EO205" s="58"/>
      <c r="EP205" s="83"/>
      <c r="EQ205" s="58"/>
      <c r="ER205" s="83"/>
      <c r="ES205" s="58"/>
      <c r="ET205" s="83"/>
      <c r="EU205" s="58"/>
    </row>
    <row r="206" spans="1:151">
      <c r="A206" s="42" t="s">
        <v>319</v>
      </c>
      <c r="B206" s="173" t="s">
        <v>125</v>
      </c>
      <c r="C206" s="173" t="s">
        <v>502</v>
      </c>
      <c r="D206" s="83" t="s">
        <v>99</v>
      </c>
      <c r="F206" s="49" t="s">
        <v>286</v>
      </c>
      <c r="G206" s="60">
        <v>-4.3979999999999997</v>
      </c>
      <c r="I206" s="49">
        <v>2447</v>
      </c>
      <c r="J206" s="159">
        <v>1.1429238673517048</v>
      </c>
      <c r="K206" s="49">
        <v>1</v>
      </c>
      <c r="L206" s="49">
        <v>2</v>
      </c>
      <c r="M206" s="83">
        <v>0</v>
      </c>
      <c r="N206" s="49">
        <v>0</v>
      </c>
      <c r="O206" s="49">
        <v>0</v>
      </c>
      <c r="P206" s="49">
        <v>1</v>
      </c>
      <c r="Q206" s="58">
        <v>0</v>
      </c>
      <c r="R206" s="42">
        <v>1</v>
      </c>
      <c r="S206" s="83">
        <v>1</v>
      </c>
      <c r="U206" s="83">
        <v>1</v>
      </c>
      <c r="V206" s="49">
        <v>3</v>
      </c>
      <c r="W206" s="49">
        <v>1</v>
      </c>
      <c r="X206" s="58">
        <v>2</v>
      </c>
      <c r="Y206" s="83">
        <v>1</v>
      </c>
      <c r="Z206" s="49">
        <v>10</v>
      </c>
      <c r="AA206" s="49">
        <v>60</v>
      </c>
      <c r="AD206" s="49">
        <v>20</v>
      </c>
      <c r="AE206" s="49">
        <v>40</v>
      </c>
      <c r="AF206" s="49">
        <v>20</v>
      </c>
      <c r="AG206" s="49">
        <v>80</v>
      </c>
      <c r="AH206" s="49">
        <v>80</v>
      </c>
      <c r="AI206" s="49">
        <v>140</v>
      </c>
      <c r="AJ206" s="49">
        <v>0</v>
      </c>
      <c r="AK206" s="83">
        <v>0</v>
      </c>
      <c r="AL206" s="49">
        <v>1</v>
      </c>
      <c r="AM206" s="49">
        <v>0</v>
      </c>
      <c r="AN206" s="49">
        <v>0</v>
      </c>
      <c r="AO206" s="58">
        <v>0</v>
      </c>
      <c r="AP206" s="174">
        <v>648</v>
      </c>
      <c r="AQ206" s="175">
        <v>1690</v>
      </c>
      <c r="AR206" s="175" t="s">
        <v>284</v>
      </c>
      <c r="AS206" s="175" t="s">
        <v>284</v>
      </c>
      <c r="AT206" s="175" t="s">
        <v>284</v>
      </c>
      <c r="AU206" s="175" t="s">
        <v>284</v>
      </c>
      <c r="AV206" s="175" t="s">
        <v>284</v>
      </c>
      <c r="AW206" s="175" t="s">
        <v>284</v>
      </c>
      <c r="AX206" s="83">
        <v>0</v>
      </c>
      <c r="AY206" s="49">
        <v>0</v>
      </c>
      <c r="AZ206" s="49">
        <v>0</v>
      </c>
      <c r="BA206" s="49">
        <v>0</v>
      </c>
      <c r="BB206" s="58">
        <v>0</v>
      </c>
      <c r="BC206" s="42">
        <v>174</v>
      </c>
      <c r="BS206" s="58"/>
      <c r="BT206" s="83"/>
      <c r="CE206" s="83"/>
      <c r="CK206" s="58"/>
      <c r="CL206" s="83"/>
      <c r="CO206" s="58"/>
      <c r="CP206" s="83"/>
      <c r="CR206" s="58"/>
      <c r="CS206" s="83"/>
      <c r="CY206" s="83"/>
      <c r="DG206" s="58"/>
      <c r="DH206" s="83"/>
      <c r="DQ206" s="83"/>
      <c r="EE206" s="58"/>
      <c r="EF206" s="83"/>
      <c r="EI206" s="83"/>
      <c r="EK206" s="58"/>
      <c r="EL206" s="83"/>
      <c r="EO206" s="58"/>
      <c r="EP206" s="83"/>
      <c r="EQ206" s="58"/>
      <c r="ER206" s="83"/>
      <c r="ES206" s="58"/>
      <c r="ET206" s="83"/>
      <c r="EU206" s="58"/>
    </row>
    <row r="207" spans="1:151">
      <c r="A207" s="42" t="s">
        <v>319</v>
      </c>
      <c r="B207" s="173" t="s">
        <v>125</v>
      </c>
      <c r="C207" s="173" t="s">
        <v>502</v>
      </c>
      <c r="D207" s="83" t="s">
        <v>114</v>
      </c>
      <c r="F207" s="49" t="s">
        <v>286</v>
      </c>
      <c r="G207" s="60">
        <v>-4.3979999999999997</v>
      </c>
      <c r="I207" s="49">
        <v>1103</v>
      </c>
      <c r="J207" s="159">
        <v>1.3305186972255729</v>
      </c>
      <c r="K207" s="49">
        <v>1</v>
      </c>
      <c r="L207" s="49">
        <v>3</v>
      </c>
      <c r="M207" s="83">
        <v>1</v>
      </c>
      <c r="N207" s="49">
        <v>0</v>
      </c>
      <c r="O207" s="49">
        <v>0</v>
      </c>
      <c r="P207" s="49">
        <v>1</v>
      </c>
      <c r="Q207" s="58">
        <v>0</v>
      </c>
      <c r="R207" s="42">
        <v>2</v>
      </c>
      <c r="S207" s="83" t="s">
        <v>283</v>
      </c>
      <c r="T207" s="49">
        <v>10</v>
      </c>
      <c r="U207" s="83">
        <v>1</v>
      </c>
      <c r="V207" s="49">
        <v>1</v>
      </c>
      <c r="W207" s="49">
        <v>1</v>
      </c>
      <c r="X207" s="58">
        <v>2</v>
      </c>
      <c r="Y207" s="83">
        <v>10</v>
      </c>
      <c r="AE207" s="49">
        <v>15</v>
      </c>
      <c r="AH207" s="49">
        <v>37</v>
      </c>
      <c r="AI207" s="49">
        <v>394</v>
      </c>
      <c r="AJ207" s="49">
        <v>0</v>
      </c>
      <c r="AK207" s="83">
        <v>0</v>
      </c>
      <c r="AL207" s="49">
        <v>0</v>
      </c>
      <c r="AM207" s="49">
        <v>0</v>
      </c>
      <c r="AN207" s="49">
        <v>0</v>
      </c>
      <c r="AO207" s="58">
        <v>0</v>
      </c>
      <c r="AP207" s="174" t="s">
        <v>284</v>
      </c>
      <c r="AQ207" s="175" t="s">
        <v>284</v>
      </c>
      <c r="AR207" s="175" t="s">
        <v>284</v>
      </c>
      <c r="AS207" s="175" t="s">
        <v>284</v>
      </c>
      <c r="AT207" s="175" t="s">
        <v>284</v>
      </c>
      <c r="AU207" s="175" t="s">
        <v>284</v>
      </c>
      <c r="AV207" s="175" t="s">
        <v>284</v>
      </c>
      <c r="AW207" s="175" t="s">
        <v>284</v>
      </c>
      <c r="AX207" s="83">
        <v>0</v>
      </c>
      <c r="AY207" s="49">
        <v>0</v>
      </c>
      <c r="AZ207" s="49">
        <v>0</v>
      </c>
      <c r="BA207" s="49">
        <v>0</v>
      </c>
      <c r="BB207" s="58">
        <v>0</v>
      </c>
      <c r="BC207" s="42">
        <v>160</v>
      </c>
      <c r="BS207" s="58"/>
      <c r="BT207" s="83"/>
      <c r="CE207" s="83"/>
      <c r="CK207" s="58"/>
      <c r="CL207" s="83"/>
      <c r="CO207" s="58"/>
      <c r="CP207" s="83"/>
      <c r="CR207" s="58"/>
      <c r="CS207" s="83"/>
      <c r="CY207" s="83"/>
      <c r="DG207" s="58"/>
      <c r="DH207" s="83"/>
      <c r="DQ207" s="83"/>
      <c r="EE207" s="58"/>
      <c r="EF207" s="83"/>
      <c r="EI207" s="83"/>
      <c r="EK207" s="58"/>
      <c r="EL207" s="83"/>
      <c r="EO207" s="58"/>
      <c r="EP207" s="83"/>
      <c r="EQ207" s="58"/>
      <c r="ER207" s="83"/>
      <c r="ES207" s="58"/>
      <c r="ET207" s="83"/>
      <c r="EU207" s="58"/>
    </row>
    <row r="208" spans="1:151">
      <c r="A208" s="42" t="s">
        <v>319</v>
      </c>
      <c r="B208" s="173" t="s">
        <v>125</v>
      </c>
      <c r="C208" s="173" t="s">
        <v>502</v>
      </c>
      <c r="D208" s="83" t="s">
        <v>119</v>
      </c>
      <c r="E208" s="49" t="s">
        <v>0</v>
      </c>
      <c r="F208" s="49" t="s">
        <v>286</v>
      </c>
      <c r="G208" s="60">
        <v>-4.3979999999999997</v>
      </c>
      <c r="I208" s="49">
        <v>1352</v>
      </c>
      <c r="J208" s="159">
        <v>1.3372898120672601</v>
      </c>
      <c r="K208" s="49">
        <v>1</v>
      </c>
      <c r="L208" s="49">
        <v>3</v>
      </c>
      <c r="M208" s="83">
        <v>1</v>
      </c>
      <c r="N208" s="49">
        <v>0</v>
      </c>
      <c r="O208" s="49">
        <v>1</v>
      </c>
      <c r="P208" s="49">
        <v>0</v>
      </c>
      <c r="Q208" s="58">
        <v>0</v>
      </c>
      <c r="R208" s="42">
        <v>2</v>
      </c>
      <c r="S208" s="83" t="s">
        <v>283</v>
      </c>
      <c r="T208" s="49">
        <v>10</v>
      </c>
      <c r="U208" s="83">
        <v>1</v>
      </c>
      <c r="V208" s="49">
        <v>3</v>
      </c>
      <c r="W208" s="49">
        <v>1</v>
      </c>
      <c r="X208" s="58">
        <v>1</v>
      </c>
      <c r="Y208" s="83">
        <v>5</v>
      </c>
      <c r="AA208" s="49">
        <v>56</v>
      </c>
      <c r="AD208" s="49">
        <v>12</v>
      </c>
      <c r="AE208" s="49">
        <v>219</v>
      </c>
      <c r="AF208" s="49">
        <v>50</v>
      </c>
      <c r="AG208" s="49">
        <v>139</v>
      </c>
      <c r="AH208" s="49">
        <v>33</v>
      </c>
      <c r="AI208" s="49">
        <v>100</v>
      </c>
      <c r="AJ208" s="49">
        <v>0</v>
      </c>
      <c r="AK208" s="83">
        <v>0</v>
      </c>
      <c r="AL208" s="49">
        <v>0</v>
      </c>
      <c r="AM208" s="49">
        <v>1</v>
      </c>
      <c r="AN208" s="49">
        <v>0</v>
      </c>
      <c r="AO208" s="58">
        <v>0</v>
      </c>
      <c r="AP208" s="174" t="s">
        <v>284</v>
      </c>
      <c r="AQ208" s="175" t="s">
        <v>284</v>
      </c>
      <c r="AR208" s="175" t="s">
        <v>501</v>
      </c>
      <c r="AS208" s="175" t="s">
        <v>501</v>
      </c>
      <c r="AT208" s="175" t="s">
        <v>284</v>
      </c>
      <c r="AU208" s="175" t="s">
        <v>284</v>
      </c>
      <c r="AV208" s="175" t="s">
        <v>284</v>
      </c>
      <c r="AW208" s="175" t="s">
        <v>284</v>
      </c>
      <c r="AX208" s="83">
        <v>0</v>
      </c>
      <c r="AY208" s="49">
        <v>0</v>
      </c>
      <c r="AZ208" s="49">
        <v>0</v>
      </c>
      <c r="BA208" s="49">
        <v>0</v>
      </c>
      <c r="BB208" s="58">
        <v>0</v>
      </c>
      <c r="BC208" s="42">
        <v>142</v>
      </c>
      <c r="BD208" s="49">
        <v>81.48</v>
      </c>
      <c r="BS208" s="58"/>
      <c r="BT208" s="83">
        <v>68.87</v>
      </c>
      <c r="CE208" s="83"/>
      <c r="CK208" s="58"/>
      <c r="CL208" s="83"/>
      <c r="CO208" s="58"/>
      <c r="CP208" s="83"/>
      <c r="CR208" s="58"/>
      <c r="CS208" s="83"/>
      <c r="CY208" s="83"/>
      <c r="DG208" s="58"/>
      <c r="DH208" s="83"/>
      <c r="DQ208" s="83"/>
      <c r="EE208" s="58"/>
      <c r="EF208" s="83"/>
      <c r="EI208" s="83"/>
      <c r="EK208" s="58"/>
      <c r="EL208" s="83"/>
      <c r="EO208" s="58"/>
      <c r="EP208" s="83"/>
      <c r="EQ208" s="58"/>
      <c r="ER208" s="83"/>
      <c r="ES208" s="58"/>
      <c r="ET208" s="83"/>
      <c r="EU208" s="58"/>
    </row>
    <row r="209" spans="1:151">
      <c r="A209" s="42" t="s">
        <v>319</v>
      </c>
      <c r="B209" s="173" t="s">
        <v>125</v>
      </c>
      <c r="C209" s="173" t="s">
        <v>502</v>
      </c>
      <c r="D209" s="83" t="s">
        <v>119</v>
      </c>
      <c r="E209" s="49" t="s">
        <v>1</v>
      </c>
      <c r="F209" s="49" t="s">
        <v>287</v>
      </c>
      <c r="G209" s="60">
        <v>-4.3979999999999997</v>
      </c>
      <c r="I209" s="49">
        <v>874</v>
      </c>
      <c r="J209" s="159">
        <v>3.0347222222222223</v>
      </c>
      <c r="K209" s="49">
        <v>1</v>
      </c>
      <c r="L209" s="49">
        <v>3</v>
      </c>
      <c r="M209" s="83">
        <v>1</v>
      </c>
      <c r="N209" s="49">
        <v>0</v>
      </c>
      <c r="O209" s="49">
        <v>0</v>
      </c>
      <c r="P209" s="49">
        <v>0</v>
      </c>
      <c r="Q209" s="58">
        <v>0</v>
      </c>
      <c r="R209" s="42">
        <v>1</v>
      </c>
      <c r="S209" s="83" t="s">
        <v>283</v>
      </c>
      <c r="T209" s="49">
        <v>8</v>
      </c>
      <c r="U209" s="83">
        <v>1</v>
      </c>
      <c r="V209" s="49">
        <v>2</v>
      </c>
      <c r="W209" s="49">
        <v>1</v>
      </c>
      <c r="X209" s="58"/>
      <c r="Y209" s="83">
        <v>0</v>
      </c>
      <c r="AJ209" s="49">
        <v>0</v>
      </c>
      <c r="AK209" s="83">
        <v>0</v>
      </c>
      <c r="AL209" s="49">
        <v>0</v>
      </c>
      <c r="AM209" s="49">
        <v>0</v>
      </c>
      <c r="AN209" s="49">
        <v>0</v>
      </c>
      <c r="AO209" s="58">
        <v>0</v>
      </c>
      <c r="AP209" s="174" t="s">
        <v>284</v>
      </c>
      <c r="AQ209" s="175" t="s">
        <v>284</v>
      </c>
      <c r="AR209" s="175" t="s">
        <v>284</v>
      </c>
      <c r="AS209" s="175" t="s">
        <v>284</v>
      </c>
      <c r="AT209" s="175" t="s">
        <v>284</v>
      </c>
      <c r="AU209" s="175" t="s">
        <v>284</v>
      </c>
      <c r="AV209" s="175" t="s">
        <v>284</v>
      </c>
      <c r="AW209" s="175" t="s">
        <v>284</v>
      </c>
      <c r="AX209" s="83">
        <v>0</v>
      </c>
      <c r="AY209" s="49">
        <v>0</v>
      </c>
      <c r="AZ209" s="49">
        <v>0</v>
      </c>
      <c r="BA209" s="49">
        <v>0</v>
      </c>
      <c r="BB209" s="58">
        <v>0</v>
      </c>
      <c r="BC209" s="42">
        <v>142</v>
      </c>
      <c r="BD209" s="49">
        <v>67.900000000000006</v>
      </c>
      <c r="BS209" s="58"/>
      <c r="BT209" s="83">
        <v>67.7</v>
      </c>
      <c r="CE209" s="83"/>
      <c r="CK209" s="58"/>
      <c r="CL209" s="83">
        <v>63.1</v>
      </c>
      <c r="CO209" s="58"/>
      <c r="CP209" s="83"/>
      <c r="CR209" s="58"/>
      <c r="CS209" s="83"/>
      <c r="CY209" s="83"/>
      <c r="DG209" s="58"/>
      <c r="DH209" s="83"/>
      <c r="DQ209" s="83"/>
      <c r="EE209" s="58"/>
      <c r="EF209" s="83"/>
      <c r="EI209" s="83"/>
      <c r="EK209" s="58"/>
      <c r="EL209" s="83"/>
      <c r="EO209" s="58"/>
      <c r="EP209" s="83"/>
      <c r="EQ209" s="58"/>
      <c r="ER209" s="83"/>
      <c r="ES209" s="58"/>
      <c r="ET209" s="83"/>
      <c r="EU209" s="58"/>
    </row>
    <row r="210" spans="1:151">
      <c r="A210" s="42" t="s">
        <v>319</v>
      </c>
      <c r="B210" s="173" t="s">
        <v>125</v>
      </c>
      <c r="C210" s="173" t="s">
        <v>502</v>
      </c>
      <c r="D210" s="83" t="s">
        <v>120</v>
      </c>
      <c r="F210" s="49" t="s">
        <v>286</v>
      </c>
      <c r="G210" s="60">
        <v>-4.3979999999999997</v>
      </c>
      <c r="I210" s="49">
        <v>6953</v>
      </c>
      <c r="J210" s="159">
        <v>3.5438328236493373</v>
      </c>
      <c r="K210" s="49">
        <v>1</v>
      </c>
      <c r="L210" s="49">
        <v>2</v>
      </c>
      <c r="M210" s="83">
        <v>0</v>
      </c>
      <c r="N210" s="49">
        <v>0</v>
      </c>
      <c r="O210" s="49">
        <v>1</v>
      </c>
      <c r="P210" s="49">
        <v>1</v>
      </c>
      <c r="Q210" s="58">
        <v>0</v>
      </c>
      <c r="R210" s="42">
        <v>2</v>
      </c>
      <c r="S210" s="83">
        <v>1</v>
      </c>
      <c r="U210" s="83">
        <v>2</v>
      </c>
      <c r="V210" s="49">
        <v>3</v>
      </c>
      <c r="W210" s="49">
        <v>1</v>
      </c>
      <c r="X210" s="58">
        <v>3</v>
      </c>
      <c r="Y210" s="83">
        <v>5</v>
      </c>
      <c r="Z210" s="49">
        <v>13</v>
      </c>
      <c r="AA210" s="49">
        <v>187</v>
      </c>
      <c r="AD210" s="49">
        <v>21</v>
      </c>
      <c r="AE210" s="49">
        <v>279</v>
      </c>
      <c r="AF210" s="49">
        <v>15</v>
      </c>
      <c r="AG210" s="49">
        <v>527</v>
      </c>
      <c r="AH210" s="49">
        <v>48</v>
      </c>
      <c r="AI210" s="49">
        <v>979</v>
      </c>
      <c r="AJ210" s="49">
        <v>0</v>
      </c>
      <c r="AK210" s="83">
        <v>0</v>
      </c>
      <c r="AL210" s="49">
        <v>0</v>
      </c>
      <c r="AM210" s="49">
        <v>1</v>
      </c>
      <c r="AN210" s="49">
        <v>0</v>
      </c>
      <c r="AO210" s="58">
        <v>0</v>
      </c>
      <c r="AP210" s="174" t="s">
        <v>284</v>
      </c>
      <c r="AQ210" s="175" t="s">
        <v>284</v>
      </c>
      <c r="AR210" s="175" t="s">
        <v>501</v>
      </c>
      <c r="AS210" s="175" t="s">
        <v>501</v>
      </c>
      <c r="AT210" s="175" t="s">
        <v>284</v>
      </c>
      <c r="AU210" s="175" t="s">
        <v>284</v>
      </c>
      <c r="AV210" s="175" t="s">
        <v>284</v>
      </c>
      <c r="AW210" s="175" t="s">
        <v>284</v>
      </c>
      <c r="AX210" s="83">
        <v>0</v>
      </c>
      <c r="AY210" s="49">
        <v>0</v>
      </c>
      <c r="AZ210" s="49">
        <v>0</v>
      </c>
      <c r="BA210" s="49">
        <v>0</v>
      </c>
      <c r="BB210" s="58">
        <v>0</v>
      </c>
      <c r="BC210" s="42">
        <v>189</v>
      </c>
      <c r="BD210" s="49">
        <v>81.17</v>
      </c>
      <c r="BE210" s="159">
        <v>80.739999999999995</v>
      </c>
      <c r="BS210" s="58"/>
      <c r="BT210" s="83"/>
      <c r="CE210" s="83">
        <v>69.27</v>
      </c>
      <c r="CF210" s="49">
        <v>68.239999999999995</v>
      </c>
      <c r="CK210" s="58"/>
      <c r="CL210" s="83">
        <v>60.18</v>
      </c>
      <c r="CO210" s="58"/>
      <c r="CP210" s="83"/>
      <c r="CR210" s="58"/>
      <c r="CS210" s="83"/>
      <c r="CY210" s="83"/>
      <c r="DG210" s="58"/>
      <c r="DH210" s="83"/>
      <c r="DQ210" s="83"/>
      <c r="EE210" s="58"/>
      <c r="EF210" s="83"/>
      <c r="EI210" s="83"/>
      <c r="EK210" s="58"/>
      <c r="EL210" s="83"/>
      <c r="EO210" s="58"/>
      <c r="EP210" s="83"/>
      <c r="EQ210" s="58"/>
      <c r="ER210" s="83"/>
      <c r="ES210" s="58"/>
      <c r="ET210" s="83"/>
      <c r="EU210" s="58"/>
    </row>
    <row r="211" spans="1:151">
      <c r="A211" s="42" t="s">
        <v>319</v>
      </c>
      <c r="B211" s="173" t="s">
        <v>125</v>
      </c>
      <c r="C211" s="173" t="s">
        <v>502</v>
      </c>
      <c r="D211" s="83" t="s">
        <v>101</v>
      </c>
      <c r="F211" s="49" t="s">
        <v>286</v>
      </c>
      <c r="G211" s="60">
        <v>-4.3979999999999997</v>
      </c>
      <c r="I211" s="49">
        <v>4800</v>
      </c>
      <c r="J211" s="159">
        <v>4.4444444444444446</v>
      </c>
      <c r="K211" s="49">
        <v>1</v>
      </c>
      <c r="L211" s="49">
        <v>3</v>
      </c>
      <c r="M211" s="83">
        <v>0</v>
      </c>
      <c r="N211" s="49">
        <v>1</v>
      </c>
      <c r="O211" s="49">
        <v>1</v>
      </c>
      <c r="P211" s="49">
        <v>0</v>
      </c>
      <c r="Q211" s="58">
        <v>0</v>
      </c>
      <c r="R211" s="42">
        <v>2</v>
      </c>
      <c r="S211" s="83" t="s">
        <v>283</v>
      </c>
      <c r="U211" s="83">
        <v>1</v>
      </c>
      <c r="V211" s="49">
        <v>3</v>
      </c>
      <c r="W211" s="49">
        <v>1</v>
      </c>
      <c r="X211" s="58">
        <v>2</v>
      </c>
      <c r="Y211" s="83">
        <v>10</v>
      </c>
      <c r="Z211" s="49">
        <v>10</v>
      </c>
      <c r="AA211" s="49">
        <v>30</v>
      </c>
      <c r="AD211" s="49">
        <v>40</v>
      </c>
      <c r="AE211" s="49">
        <v>430</v>
      </c>
      <c r="AF211" s="49">
        <v>10</v>
      </c>
      <c r="AG211" s="49">
        <v>1300</v>
      </c>
      <c r="AH211" s="49">
        <v>40</v>
      </c>
      <c r="AI211" s="49">
        <v>270</v>
      </c>
      <c r="AJ211" s="49">
        <v>0</v>
      </c>
      <c r="AK211" s="83">
        <v>0</v>
      </c>
      <c r="AL211" s="49">
        <v>0</v>
      </c>
      <c r="AM211" s="49">
        <v>1</v>
      </c>
      <c r="AN211" s="49">
        <v>0</v>
      </c>
      <c r="AO211" s="58">
        <v>0</v>
      </c>
      <c r="AP211" s="174" t="s">
        <v>284</v>
      </c>
      <c r="AQ211" s="175" t="s">
        <v>284</v>
      </c>
      <c r="AR211" s="175">
        <v>0</v>
      </c>
      <c r="AS211" s="175">
        <v>187</v>
      </c>
      <c r="AT211" s="175" t="s">
        <v>284</v>
      </c>
      <c r="AU211" s="175" t="s">
        <v>284</v>
      </c>
      <c r="AV211" s="175" t="s">
        <v>284</v>
      </c>
      <c r="AW211" s="175" t="s">
        <v>284</v>
      </c>
      <c r="AX211" s="83">
        <v>0</v>
      </c>
      <c r="AY211" s="49">
        <v>0</v>
      </c>
      <c r="AZ211" s="49">
        <v>0</v>
      </c>
      <c r="BA211" s="49">
        <v>0</v>
      </c>
      <c r="BB211" s="58">
        <v>0</v>
      </c>
      <c r="BC211" s="42">
        <v>170</v>
      </c>
      <c r="BD211" s="49">
        <v>80.650000000000006</v>
      </c>
      <c r="BE211" s="159">
        <v>79.83</v>
      </c>
      <c r="BS211" s="58"/>
      <c r="BT211" s="83"/>
      <c r="CE211" s="83">
        <v>70.849999999999994</v>
      </c>
      <c r="CK211" s="58"/>
      <c r="CL211" s="83"/>
      <c r="CO211" s="58"/>
      <c r="CP211" s="83">
        <v>63.21</v>
      </c>
      <c r="CR211" s="58"/>
      <c r="CS211" s="83"/>
      <c r="CY211" s="83"/>
      <c r="DG211" s="58"/>
      <c r="DH211" s="83"/>
      <c r="DQ211" s="83"/>
      <c r="EE211" s="58"/>
      <c r="EF211" s="83"/>
      <c r="EI211" s="83"/>
      <c r="EK211" s="58"/>
      <c r="EL211" s="83"/>
      <c r="EO211" s="58"/>
      <c r="EP211" s="83"/>
      <c r="EQ211" s="58"/>
      <c r="ER211" s="83"/>
      <c r="ES211" s="58"/>
      <c r="ET211" s="83"/>
      <c r="EU211" s="58"/>
    </row>
    <row r="212" spans="1:151">
      <c r="A212" s="42" t="s">
        <v>319</v>
      </c>
      <c r="B212" s="173" t="s">
        <v>125</v>
      </c>
      <c r="C212" s="173" t="s">
        <v>502</v>
      </c>
      <c r="D212" s="83" t="s">
        <v>103</v>
      </c>
      <c r="F212" s="49" t="s">
        <v>286</v>
      </c>
      <c r="G212" s="60">
        <v>-4.3979999999999997</v>
      </c>
      <c r="I212" s="49">
        <v>1013</v>
      </c>
      <c r="J212" s="159">
        <v>2.1016597510373445</v>
      </c>
      <c r="K212" s="49">
        <v>1</v>
      </c>
      <c r="L212" s="49">
        <v>2</v>
      </c>
      <c r="M212" s="83">
        <v>1</v>
      </c>
      <c r="N212" s="49">
        <v>0</v>
      </c>
      <c r="O212" s="49">
        <v>0</v>
      </c>
      <c r="P212" s="49">
        <v>0</v>
      </c>
      <c r="Q212" s="58">
        <v>0</v>
      </c>
      <c r="R212" s="42">
        <v>1</v>
      </c>
      <c r="S212" s="83">
        <v>1</v>
      </c>
      <c r="U212" s="83">
        <v>0</v>
      </c>
      <c r="V212" s="49">
        <v>0</v>
      </c>
      <c r="W212" s="49">
        <v>0</v>
      </c>
      <c r="X212" s="58"/>
      <c r="Y212" s="83">
        <v>0</v>
      </c>
      <c r="Z212" s="49">
        <v>0</v>
      </c>
      <c r="AA212" s="49">
        <v>0</v>
      </c>
      <c r="AB212" s="49">
        <v>0</v>
      </c>
      <c r="AC212" s="49">
        <v>0</v>
      </c>
      <c r="AD212" s="49">
        <v>0</v>
      </c>
      <c r="AE212" s="49">
        <v>0</v>
      </c>
      <c r="AF212" s="49">
        <v>0</v>
      </c>
      <c r="AG212" s="49">
        <v>0</v>
      </c>
      <c r="AH212" s="49">
        <v>0</v>
      </c>
      <c r="AI212" s="49">
        <v>0</v>
      </c>
      <c r="AJ212" s="49">
        <v>0</v>
      </c>
      <c r="AK212" s="83">
        <v>0</v>
      </c>
      <c r="AL212" s="49">
        <v>1</v>
      </c>
      <c r="AM212" s="49">
        <v>0</v>
      </c>
      <c r="AN212" s="49">
        <v>0</v>
      </c>
      <c r="AO212" s="58">
        <v>0</v>
      </c>
      <c r="AP212" s="174">
        <v>292</v>
      </c>
      <c r="AQ212" s="175">
        <v>836</v>
      </c>
      <c r="AR212" s="175">
        <v>0</v>
      </c>
      <c r="AS212" s="175">
        <v>0</v>
      </c>
      <c r="AT212" s="175">
        <v>0</v>
      </c>
      <c r="AU212" s="175">
        <v>0</v>
      </c>
      <c r="AV212" s="175">
        <v>0</v>
      </c>
      <c r="AW212" s="175">
        <v>0</v>
      </c>
      <c r="AX212" s="83">
        <v>0</v>
      </c>
      <c r="AY212" s="49">
        <v>0</v>
      </c>
      <c r="AZ212" s="49">
        <v>0</v>
      </c>
      <c r="BA212" s="49">
        <v>0</v>
      </c>
      <c r="BB212" s="58">
        <v>0</v>
      </c>
      <c r="BC212" s="42">
        <v>136</v>
      </c>
      <c r="BS212" s="58"/>
      <c r="BT212" s="83"/>
      <c r="CE212" s="83"/>
      <c r="CK212" s="58"/>
      <c r="CL212" s="83"/>
      <c r="CO212" s="58"/>
      <c r="CP212" s="83"/>
      <c r="CR212" s="58"/>
      <c r="CS212" s="83"/>
      <c r="CY212" s="83"/>
      <c r="DG212" s="58"/>
      <c r="DH212" s="83"/>
      <c r="DQ212" s="83"/>
      <c r="EE212" s="58"/>
      <c r="EF212" s="83"/>
      <c r="EI212" s="83"/>
      <c r="EK212" s="58"/>
      <c r="EL212" s="83"/>
      <c r="EO212" s="58"/>
      <c r="EP212" s="83"/>
      <c r="EQ212" s="58"/>
      <c r="ER212" s="83"/>
      <c r="ES212" s="58"/>
      <c r="ET212" s="83"/>
      <c r="EU212" s="58"/>
    </row>
    <row r="213" spans="1:151">
      <c r="A213" s="42" t="s">
        <v>319</v>
      </c>
      <c r="B213" s="173" t="s">
        <v>125</v>
      </c>
      <c r="C213" s="173" t="s">
        <v>502</v>
      </c>
      <c r="D213" s="83" t="s">
        <v>66</v>
      </c>
      <c r="F213" s="49" t="s">
        <v>286</v>
      </c>
      <c r="G213" s="60">
        <v>-4.3979999999999997</v>
      </c>
      <c r="I213" s="49">
        <v>2120</v>
      </c>
      <c r="J213" s="159">
        <v>16.69291338582677</v>
      </c>
      <c r="K213" s="49">
        <v>4</v>
      </c>
      <c r="L213" s="49">
        <v>4</v>
      </c>
      <c r="M213" s="83">
        <v>0</v>
      </c>
      <c r="N213" s="49">
        <v>2</v>
      </c>
      <c r="O213" s="49">
        <v>0</v>
      </c>
      <c r="P213" s="49">
        <v>0</v>
      </c>
      <c r="Q213" s="58">
        <v>0</v>
      </c>
      <c r="R213" s="42">
        <v>2</v>
      </c>
      <c r="S213" s="83" t="s">
        <v>283</v>
      </c>
      <c r="T213" s="49">
        <v>28</v>
      </c>
      <c r="U213" s="83">
        <v>1</v>
      </c>
      <c r="V213" s="49">
        <v>4</v>
      </c>
      <c r="W213" s="49">
        <v>2</v>
      </c>
      <c r="X213" s="58"/>
      <c r="Y213" s="83">
        <v>1</v>
      </c>
      <c r="Z213" s="49">
        <v>10</v>
      </c>
      <c r="AA213" s="49">
        <v>20</v>
      </c>
      <c r="AD213" s="49">
        <v>10</v>
      </c>
      <c r="AE213" s="49">
        <v>70</v>
      </c>
      <c r="AF213" s="49">
        <v>10</v>
      </c>
      <c r="AG213" s="49">
        <v>20</v>
      </c>
      <c r="AH213" s="49">
        <v>70</v>
      </c>
      <c r="AI213" s="49">
        <v>120</v>
      </c>
      <c r="AJ213" s="49">
        <v>0</v>
      </c>
      <c r="AK213" s="83"/>
      <c r="AO213" s="58"/>
      <c r="AP213" s="174" t="s">
        <v>284</v>
      </c>
      <c r="AQ213" s="175" t="s">
        <v>284</v>
      </c>
      <c r="AR213" s="175" t="s">
        <v>284</v>
      </c>
      <c r="AS213" s="175" t="s">
        <v>284</v>
      </c>
      <c r="AT213" s="175" t="s">
        <v>284</v>
      </c>
      <c r="AU213" s="175" t="s">
        <v>284</v>
      </c>
      <c r="AV213" s="175" t="s">
        <v>284</v>
      </c>
      <c r="AW213" s="175" t="s">
        <v>284</v>
      </c>
      <c r="AX213" s="83">
        <v>0</v>
      </c>
      <c r="AY213" s="49">
        <v>0</v>
      </c>
      <c r="AZ213" s="49">
        <v>0</v>
      </c>
      <c r="BA213" s="49">
        <v>0</v>
      </c>
      <c r="BB213" s="58">
        <v>0</v>
      </c>
      <c r="BC213" s="42">
        <v>110</v>
      </c>
      <c r="BS213" s="58"/>
      <c r="BT213" s="83"/>
      <c r="CE213" s="83"/>
      <c r="CK213" s="58"/>
      <c r="CL213" s="83"/>
      <c r="CO213" s="58"/>
      <c r="CP213" s="83"/>
      <c r="CR213" s="58"/>
      <c r="CS213" s="83"/>
      <c r="CY213" s="83"/>
      <c r="DG213" s="58"/>
      <c r="DH213" s="83"/>
      <c r="DQ213" s="83"/>
      <c r="EE213" s="58"/>
      <c r="EF213" s="83"/>
      <c r="EI213" s="83"/>
      <c r="EK213" s="58"/>
      <c r="EL213" s="83"/>
      <c r="EO213" s="58"/>
      <c r="EP213" s="83"/>
      <c r="EQ213" s="58"/>
      <c r="ER213" s="83"/>
      <c r="ES213" s="58"/>
      <c r="ET213" s="83"/>
      <c r="EU213" s="58"/>
    </row>
    <row r="214" spans="1:151">
      <c r="A214" s="42" t="s">
        <v>319</v>
      </c>
      <c r="B214" s="173" t="s">
        <v>125</v>
      </c>
      <c r="C214" s="173" t="s">
        <v>502</v>
      </c>
      <c r="D214" s="83">
        <v>32</v>
      </c>
      <c r="E214" s="49" t="s">
        <v>0</v>
      </c>
      <c r="F214" s="49" t="s">
        <v>286</v>
      </c>
      <c r="G214" s="60">
        <v>-4.3979999999999997</v>
      </c>
      <c r="I214" s="49">
        <v>4236</v>
      </c>
      <c r="J214" s="159">
        <v>1.3695441319107662</v>
      </c>
      <c r="K214" s="49">
        <v>4</v>
      </c>
      <c r="L214" s="49">
        <v>3</v>
      </c>
      <c r="M214" s="83">
        <v>0</v>
      </c>
      <c r="N214" s="49">
        <v>0</v>
      </c>
      <c r="O214" s="49">
        <v>1</v>
      </c>
      <c r="P214" s="49">
        <v>1</v>
      </c>
      <c r="Q214" s="58">
        <v>0</v>
      </c>
      <c r="R214" s="42">
        <v>2</v>
      </c>
      <c r="S214" s="83">
        <v>1</v>
      </c>
      <c r="U214" s="83">
        <v>2</v>
      </c>
      <c r="V214" s="49">
        <v>3</v>
      </c>
      <c r="W214" s="49">
        <v>3</v>
      </c>
      <c r="X214" s="58">
        <v>2</v>
      </c>
      <c r="Y214" s="83">
        <v>5</v>
      </c>
      <c r="Z214" s="49">
        <v>10</v>
      </c>
      <c r="AA214" s="49">
        <v>30</v>
      </c>
      <c r="AD214" s="49">
        <v>20</v>
      </c>
      <c r="AE214" s="49">
        <v>510</v>
      </c>
      <c r="AF214" s="49">
        <v>10</v>
      </c>
      <c r="AG214" s="49">
        <v>240</v>
      </c>
      <c r="AH214" s="49">
        <v>90</v>
      </c>
      <c r="AI214" s="49">
        <v>230</v>
      </c>
      <c r="AJ214" s="49">
        <v>0</v>
      </c>
      <c r="AK214" s="83">
        <v>0</v>
      </c>
      <c r="AL214" s="49">
        <v>1</v>
      </c>
      <c r="AM214" s="49">
        <v>0</v>
      </c>
      <c r="AN214" s="49">
        <v>0</v>
      </c>
      <c r="AO214" s="58">
        <v>0</v>
      </c>
      <c r="AP214" s="174">
        <v>1280</v>
      </c>
      <c r="AQ214" s="175">
        <v>1289</v>
      </c>
      <c r="AR214" s="175" t="s">
        <v>284</v>
      </c>
      <c r="AS214" s="175" t="s">
        <v>284</v>
      </c>
      <c r="AT214" s="175" t="s">
        <v>284</v>
      </c>
      <c r="AU214" s="175" t="s">
        <v>284</v>
      </c>
      <c r="AV214" s="175" t="s">
        <v>284</v>
      </c>
      <c r="AW214" s="175" t="s">
        <v>284</v>
      </c>
      <c r="AX214" s="83">
        <v>0</v>
      </c>
      <c r="AY214" s="49">
        <v>0</v>
      </c>
      <c r="AZ214" s="49">
        <v>0</v>
      </c>
      <c r="BA214" s="49">
        <v>0</v>
      </c>
      <c r="BB214" s="58">
        <v>0</v>
      </c>
      <c r="BC214" s="42">
        <v>160</v>
      </c>
      <c r="BD214" s="49">
        <v>82.75</v>
      </c>
      <c r="BS214" s="58"/>
      <c r="BT214" s="83"/>
      <c r="CE214" s="83"/>
      <c r="CK214" s="58"/>
      <c r="CL214" s="83"/>
      <c r="CO214" s="58"/>
      <c r="CP214" s="83"/>
      <c r="CR214" s="58"/>
      <c r="CS214" s="83"/>
      <c r="CY214" s="83"/>
      <c r="DG214" s="58"/>
      <c r="DH214" s="83"/>
      <c r="DQ214" s="83"/>
      <c r="EE214" s="58"/>
      <c r="EF214" s="83"/>
      <c r="EI214" s="83"/>
      <c r="EK214" s="58"/>
      <c r="EL214" s="83">
        <v>78.16</v>
      </c>
      <c r="EO214" s="58"/>
      <c r="EP214" s="83">
        <v>64.37</v>
      </c>
      <c r="EQ214" s="58"/>
      <c r="ER214" s="83"/>
      <c r="ES214" s="58"/>
      <c r="ET214" s="83"/>
      <c r="EU214" s="58"/>
    </row>
    <row r="215" spans="1:151">
      <c r="A215" s="42" t="s">
        <v>319</v>
      </c>
      <c r="B215" s="173" t="s">
        <v>125</v>
      </c>
      <c r="C215" s="173" t="s">
        <v>502</v>
      </c>
      <c r="D215" s="83">
        <v>32</v>
      </c>
      <c r="E215" s="49" t="s">
        <v>1</v>
      </c>
      <c r="F215" s="49" t="s">
        <v>286</v>
      </c>
      <c r="G215" s="60">
        <v>-4.3979999999999997</v>
      </c>
      <c r="I215" s="49">
        <v>1532</v>
      </c>
      <c r="J215" s="159">
        <v>34.81818181818182</v>
      </c>
      <c r="K215" s="49">
        <v>1</v>
      </c>
      <c r="L215" s="49">
        <v>2</v>
      </c>
      <c r="M215" s="83">
        <v>0</v>
      </c>
      <c r="N215" s="49">
        <v>0</v>
      </c>
      <c r="O215" s="49">
        <v>1</v>
      </c>
      <c r="P215" s="49">
        <v>1</v>
      </c>
      <c r="Q215" s="58">
        <v>0</v>
      </c>
      <c r="R215" s="42">
        <v>2</v>
      </c>
      <c r="S215" s="83">
        <v>1</v>
      </c>
      <c r="U215" s="83">
        <v>2</v>
      </c>
      <c r="V215" s="49">
        <v>3</v>
      </c>
      <c r="W215" s="49">
        <v>1</v>
      </c>
      <c r="X215" s="58">
        <v>2</v>
      </c>
      <c r="Y215" s="83">
        <v>1</v>
      </c>
      <c r="AD215" s="49">
        <v>18</v>
      </c>
      <c r="AE215" s="49">
        <v>92</v>
      </c>
      <c r="AG215" s="49">
        <v>38</v>
      </c>
      <c r="AJ215" s="49">
        <v>0</v>
      </c>
      <c r="AK215" s="83">
        <v>0</v>
      </c>
      <c r="AL215" s="49">
        <v>1</v>
      </c>
      <c r="AM215" s="49">
        <v>0</v>
      </c>
      <c r="AN215" s="49">
        <v>0</v>
      </c>
      <c r="AO215" s="58">
        <v>0</v>
      </c>
      <c r="AP215" s="174">
        <v>0</v>
      </c>
      <c r="AQ215" s="175">
        <v>44</v>
      </c>
      <c r="AR215" s="175" t="s">
        <v>284</v>
      </c>
      <c r="AS215" s="175" t="s">
        <v>284</v>
      </c>
      <c r="AT215" s="175" t="s">
        <v>284</v>
      </c>
      <c r="AU215" s="175" t="s">
        <v>284</v>
      </c>
      <c r="AV215" s="175" t="s">
        <v>284</v>
      </c>
      <c r="AW215" s="175" t="s">
        <v>284</v>
      </c>
      <c r="AX215" s="83">
        <v>0</v>
      </c>
      <c r="AY215" s="49">
        <v>0</v>
      </c>
      <c r="AZ215" s="49">
        <v>0</v>
      </c>
      <c r="BA215" s="49">
        <v>0</v>
      </c>
      <c r="BB215" s="58">
        <v>0</v>
      </c>
      <c r="BC215" s="42">
        <v>160</v>
      </c>
      <c r="BS215" s="58"/>
      <c r="BT215" s="83">
        <v>81.319999999999993</v>
      </c>
      <c r="BU215" s="49">
        <v>81.17</v>
      </c>
      <c r="CE215" s="83">
        <v>69.69</v>
      </c>
      <c r="CK215" s="58"/>
      <c r="CL215" s="83"/>
      <c r="CO215" s="58"/>
      <c r="CP215" s="83"/>
      <c r="CR215" s="58"/>
      <c r="CS215" s="83"/>
      <c r="CY215" s="83"/>
      <c r="DG215" s="58"/>
      <c r="DH215" s="83"/>
      <c r="DQ215" s="83"/>
      <c r="EE215" s="58"/>
      <c r="EF215" s="83"/>
      <c r="EI215" s="83"/>
      <c r="EK215" s="58"/>
      <c r="EL215" s="83"/>
      <c r="EO215" s="58"/>
      <c r="EP215" s="83"/>
      <c r="EQ215" s="58"/>
      <c r="ER215" s="83"/>
      <c r="ES215" s="58"/>
      <c r="ET215" s="83"/>
      <c r="EU215" s="58"/>
    </row>
    <row r="216" spans="1:151">
      <c r="A216" s="42" t="s">
        <v>319</v>
      </c>
      <c r="B216" s="173" t="s">
        <v>125</v>
      </c>
      <c r="C216" s="173" t="s">
        <v>502</v>
      </c>
      <c r="D216" s="83" t="s">
        <v>69</v>
      </c>
      <c r="F216" s="49" t="s">
        <v>286</v>
      </c>
      <c r="G216" s="60">
        <v>-4.3979999999999997</v>
      </c>
      <c r="I216" s="49">
        <v>1652</v>
      </c>
      <c r="J216" s="159">
        <v>1.5599622285174692</v>
      </c>
      <c r="K216" s="49">
        <v>4</v>
      </c>
      <c r="L216" s="49">
        <v>3</v>
      </c>
      <c r="M216" s="83">
        <v>0</v>
      </c>
      <c r="N216" s="49">
        <v>0</v>
      </c>
      <c r="O216" s="49">
        <v>1</v>
      </c>
      <c r="P216" s="49">
        <v>1</v>
      </c>
      <c r="Q216" s="58">
        <v>0</v>
      </c>
      <c r="R216" s="42">
        <v>2</v>
      </c>
      <c r="S216" s="83" t="s">
        <v>283</v>
      </c>
      <c r="T216" s="49">
        <v>9</v>
      </c>
      <c r="U216" s="83">
        <v>2</v>
      </c>
      <c r="V216" s="49">
        <v>4</v>
      </c>
      <c r="W216" s="49">
        <v>1</v>
      </c>
      <c r="X216" s="58">
        <v>2</v>
      </c>
      <c r="Y216" s="83">
        <v>2</v>
      </c>
      <c r="Z216" s="49">
        <v>7</v>
      </c>
      <c r="AA216" s="49">
        <v>12</v>
      </c>
      <c r="AD216" s="49">
        <v>16</v>
      </c>
      <c r="AE216" s="49">
        <v>23</v>
      </c>
      <c r="AG216" s="49">
        <v>46</v>
      </c>
      <c r="AH216" s="49">
        <v>37</v>
      </c>
      <c r="AI216" s="49">
        <v>165</v>
      </c>
      <c r="AJ216" s="49">
        <v>0</v>
      </c>
      <c r="AK216" s="83">
        <v>0</v>
      </c>
      <c r="AL216" s="49">
        <v>0</v>
      </c>
      <c r="AM216" s="49">
        <v>1</v>
      </c>
      <c r="AN216" s="49">
        <v>0</v>
      </c>
      <c r="AO216" s="58">
        <v>0</v>
      </c>
      <c r="AP216" s="174" t="s">
        <v>284</v>
      </c>
      <c r="AQ216" s="175" t="s">
        <v>284</v>
      </c>
      <c r="AR216" s="175">
        <v>0</v>
      </c>
      <c r="AS216" s="175">
        <v>79</v>
      </c>
      <c r="AT216" s="175" t="s">
        <v>284</v>
      </c>
      <c r="AU216" s="175" t="s">
        <v>284</v>
      </c>
      <c r="AV216" s="175" t="s">
        <v>284</v>
      </c>
      <c r="AW216" s="175" t="s">
        <v>284</v>
      </c>
      <c r="AX216" s="83">
        <v>0</v>
      </c>
      <c r="AY216" s="49">
        <v>0</v>
      </c>
      <c r="AZ216" s="49">
        <v>0</v>
      </c>
      <c r="BA216" s="49">
        <v>0</v>
      </c>
      <c r="BB216" s="58">
        <v>0</v>
      </c>
      <c r="BC216" s="42">
        <v>128</v>
      </c>
      <c r="BS216" s="58"/>
      <c r="BT216" s="83"/>
      <c r="CE216" s="83"/>
      <c r="CK216" s="58"/>
      <c r="CL216" s="83"/>
      <c r="CO216" s="58"/>
      <c r="CP216" s="83"/>
      <c r="CR216" s="58"/>
      <c r="CS216" s="83"/>
      <c r="CY216" s="83"/>
      <c r="DG216" s="58"/>
      <c r="DH216" s="83"/>
      <c r="DQ216" s="83"/>
      <c r="EE216" s="58"/>
      <c r="EF216" s="83"/>
      <c r="EI216" s="83"/>
      <c r="EK216" s="58"/>
      <c r="EL216" s="83"/>
      <c r="EO216" s="58"/>
      <c r="EP216" s="83"/>
      <c r="EQ216" s="58"/>
      <c r="ER216" s="83"/>
      <c r="ES216" s="58"/>
      <c r="ET216" s="83"/>
      <c r="EU216" s="58"/>
    </row>
    <row r="217" spans="1:151">
      <c r="A217" s="42" t="s">
        <v>319</v>
      </c>
      <c r="B217" s="173" t="s">
        <v>125</v>
      </c>
      <c r="C217" s="173" t="s">
        <v>502</v>
      </c>
      <c r="D217" s="83" t="s">
        <v>75</v>
      </c>
      <c r="F217" s="49" t="s">
        <v>286</v>
      </c>
      <c r="G217" s="60">
        <v>-4.3979999999999997</v>
      </c>
      <c r="I217" s="49">
        <v>5090</v>
      </c>
      <c r="J217" s="159">
        <v>1.1948356807511737</v>
      </c>
      <c r="K217" s="49">
        <v>1</v>
      </c>
      <c r="L217" s="49">
        <v>3</v>
      </c>
      <c r="M217" s="83">
        <v>0</v>
      </c>
      <c r="N217" s="49">
        <v>0</v>
      </c>
      <c r="O217" s="49">
        <v>0</v>
      </c>
      <c r="P217" s="49">
        <v>1</v>
      </c>
      <c r="Q217" s="58">
        <v>0</v>
      </c>
      <c r="R217" s="42">
        <v>1</v>
      </c>
      <c r="S217" s="83" t="s">
        <v>283</v>
      </c>
      <c r="T217" s="49">
        <v>22</v>
      </c>
      <c r="U217" s="83">
        <v>1</v>
      </c>
      <c r="V217" s="49">
        <v>2</v>
      </c>
      <c r="W217" s="49">
        <v>1</v>
      </c>
      <c r="X217" s="58">
        <v>2</v>
      </c>
      <c r="Y217" s="83">
        <v>5</v>
      </c>
      <c r="Z217" s="49">
        <v>20</v>
      </c>
      <c r="AA217" s="49">
        <v>130</v>
      </c>
      <c r="AD217" s="49">
        <v>10</v>
      </c>
      <c r="AE217" s="49">
        <v>80</v>
      </c>
      <c r="AF217" s="49">
        <v>20</v>
      </c>
      <c r="AG217" s="49">
        <v>140</v>
      </c>
      <c r="AH217" s="49">
        <v>30</v>
      </c>
      <c r="AI217" s="49">
        <v>620</v>
      </c>
      <c r="AJ217" s="49">
        <v>0</v>
      </c>
      <c r="AK217" s="83">
        <v>0</v>
      </c>
      <c r="AL217" s="49">
        <v>1</v>
      </c>
      <c r="AM217" s="49">
        <v>0</v>
      </c>
      <c r="AN217" s="49">
        <v>0</v>
      </c>
      <c r="AO217" s="58">
        <v>0</v>
      </c>
      <c r="AP217" s="174">
        <v>278</v>
      </c>
      <c r="AQ217" s="175">
        <v>936</v>
      </c>
      <c r="AR217" s="175" t="s">
        <v>284</v>
      </c>
      <c r="AS217" s="175" t="s">
        <v>284</v>
      </c>
      <c r="AT217" s="175" t="s">
        <v>284</v>
      </c>
      <c r="AU217" s="175" t="s">
        <v>284</v>
      </c>
      <c r="AV217" s="175" t="s">
        <v>284</v>
      </c>
      <c r="AW217" s="175" t="s">
        <v>284</v>
      </c>
      <c r="AX217" s="83">
        <v>0</v>
      </c>
      <c r="AY217" s="49">
        <v>0</v>
      </c>
      <c r="AZ217" s="49">
        <v>0</v>
      </c>
      <c r="BA217" s="49">
        <v>0</v>
      </c>
      <c r="BB217" s="58">
        <v>0</v>
      </c>
      <c r="BC217" s="42">
        <v>130</v>
      </c>
      <c r="BS217" s="58"/>
      <c r="BT217" s="83"/>
      <c r="CE217" s="83"/>
      <c r="CK217" s="58"/>
      <c r="CL217" s="83"/>
      <c r="CO217" s="58"/>
      <c r="CP217" s="83"/>
      <c r="CR217" s="58"/>
      <c r="CS217" s="83"/>
      <c r="CY217" s="83"/>
      <c r="DG217" s="58"/>
      <c r="DH217" s="83"/>
      <c r="DQ217" s="83"/>
      <c r="EE217" s="58"/>
      <c r="EF217" s="83"/>
      <c r="EI217" s="83"/>
      <c r="EK217" s="58"/>
      <c r="EL217" s="83"/>
      <c r="EO217" s="58"/>
      <c r="EP217" s="83"/>
      <c r="EQ217" s="58"/>
      <c r="ER217" s="83"/>
      <c r="ES217" s="58"/>
      <c r="ET217" s="83"/>
      <c r="EU217" s="58"/>
    </row>
    <row r="218" spans="1:151" ht="17" thickBot="1">
      <c r="A218" s="55" t="s">
        <v>319</v>
      </c>
      <c r="B218" s="47" t="s">
        <v>125</v>
      </c>
      <c r="C218" s="47" t="s">
        <v>502</v>
      </c>
      <c r="D218" s="84" t="s">
        <v>126</v>
      </c>
      <c r="E218" s="57"/>
      <c r="F218" s="57" t="s">
        <v>7</v>
      </c>
      <c r="G218" s="74">
        <v>-4.3979999999999997</v>
      </c>
      <c r="H218" s="57"/>
      <c r="I218" s="57">
        <v>2370</v>
      </c>
      <c r="J218" s="75">
        <v>1.2915531335149864</v>
      </c>
      <c r="K218" s="57">
        <v>4</v>
      </c>
      <c r="L218" s="57">
        <v>3</v>
      </c>
      <c r="M218" s="84">
        <v>0</v>
      </c>
      <c r="N218" s="57">
        <v>0</v>
      </c>
      <c r="O218" s="57">
        <v>1</v>
      </c>
      <c r="P218" s="57">
        <v>1</v>
      </c>
      <c r="Q218" s="56">
        <v>0</v>
      </c>
      <c r="R218" s="55">
        <v>2</v>
      </c>
      <c r="S218" s="84">
        <v>1</v>
      </c>
      <c r="T218" s="57"/>
      <c r="U218" s="84">
        <v>1</v>
      </c>
      <c r="V218" s="57">
        <v>3</v>
      </c>
      <c r="W218" s="57">
        <v>2</v>
      </c>
      <c r="X218" s="56"/>
      <c r="Y218" s="84">
        <v>5</v>
      </c>
      <c r="Z218" s="57">
        <v>9</v>
      </c>
      <c r="AA218" s="57">
        <v>38</v>
      </c>
      <c r="AB218" s="57">
        <v>0</v>
      </c>
      <c r="AC218" s="57">
        <v>0</v>
      </c>
      <c r="AD218" s="57">
        <v>13</v>
      </c>
      <c r="AE218" s="57">
        <v>429</v>
      </c>
      <c r="AF218" s="57">
        <v>18</v>
      </c>
      <c r="AG218" s="57">
        <v>176</v>
      </c>
      <c r="AH218" s="57">
        <v>51</v>
      </c>
      <c r="AI218" s="57">
        <v>234</v>
      </c>
      <c r="AJ218" s="57">
        <v>0</v>
      </c>
      <c r="AK218" s="84">
        <v>0</v>
      </c>
      <c r="AL218" s="57">
        <v>0</v>
      </c>
      <c r="AM218" s="57">
        <v>0</v>
      </c>
      <c r="AN218" s="57">
        <v>1</v>
      </c>
      <c r="AO218" s="56">
        <v>0</v>
      </c>
      <c r="AP218" s="178">
        <v>0</v>
      </c>
      <c r="AQ218" s="179">
        <v>0</v>
      </c>
      <c r="AR218" s="179" t="s">
        <v>284</v>
      </c>
      <c r="AS218" s="179" t="s">
        <v>284</v>
      </c>
      <c r="AT218" s="179">
        <v>386</v>
      </c>
      <c r="AU218" s="179">
        <v>925</v>
      </c>
      <c r="AV218" s="179" t="s">
        <v>284</v>
      </c>
      <c r="AW218" s="179" t="s">
        <v>284</v>
      </c>
      <c r="AX218" s="84">
        <v>0</v>
      </c>
      <c r="AY218" s="57">
        <v>0</v>
      </c>
      <c r="AZ218" s="57">
        <v>0</v>
      </c>
      <c r="BA218" s="57">
        <v>0</v>
      </c>
      <c r="BB218" s="56">
        <v>0</v>
      </c>
      <c r="BC218" s="55"/>
      <c r="BD218" s="57">
        <v>80.209999999999994</v>
      </c>
      <c r="BE218" s="57"/>
      <c r="BF218" s="57"/>
      <c r="BG218" s="57"/>
      <c r="BH218" s="57"/>
      <c r="BI218" s="57"/>
      <c r="BJ218" s="57"/>
      <c r="BK218" s="57"/>
      <c r="BL218" s="57"/>
      <c r="BM218" s="57"/>
      <c r="BN218" s="57"/>
      <c r="BO218" s="57"/>
      <c r="BP218" s="57"/>
      <c r="BQ218" s="57"/>
      <c r="BR218" s="57"/>
      <c r="BS218" s="56"/>
      <c r="BT218" s="84"/>
      <c r="BU218" s="57"/>
      <c r="BV218" s="57"/>
      <c r="BW218" s="57"/>
      <c r="BX218" s="57"/>
      <c r="BY218" s="57"/>
      <c r="BZ218" s="57"/>
      <c r="CA218" s="57"/>
      <c r="CB218" s="57"/>
      <c r="CC218" s="57"/>
      <c r="CD218" s="57"/>
      <c r="CE218" s="84">
        <v>66.17</v>
      </c>
      <c r="CF218" s="57">
        <v>66.63</v>
      </c>
      <c r="CG218" s="57"/>
      <c r="CH218" s="57"/>
      <c r="CI218" s="57"/>
      <c r="CJ218" s="57"/>
      <c r="CK218" s="56"/>
      <c r="CL218" s="84"/>
      <c r="CM218" s="57"/>
      <c r="CN218" s="57"/>
      <c r="CO218" s="56"/>
      <c r="CP218" s="84"/>
      <c r="CQ218" s="57"/>
      <c r="CR218" s="56"/>
      <c r="CS218" s="84"/>
      <c r="CT218" s="57"/>
      <c r="CU218" s="57"/>
      <c r="CV218" s="57"/>
      <c r="CW218" s="57"/>
      <c r="CX218" s="57"/>
      <c r="CY218" s="84"/>
      <c r="CZ218" s="57"/>
      <c r="DA218" s="57"/>
      <c r="DB218" s="57"/>
      <c r="DC218" s="57"/>
      <c r="DD218" s="57"/>
      <c r="DE218" s="57"/>
      <c r="DF218" s="57"/>
      <c r="DG218" s="56"/>
      <c r="DH218" s="84"/>
      <c r="DI218" s="57"/>
      <c r="DJ218" s="57"/>
      <c r="DK218" s="57"/>
      <c r="DL218" s="57"/>
      <c r="DM218" s="57"/>
      <c r="DN218" s="57"/>
      <c r="DO218" s="57"/>
      <c r="DP218" s="57"/>
      <c r="DQ218" s="84"/>
      <c r="DR218" s="57"/>
      <c r="DS218" s="57"/>
      <c r="DT218" s="57"/>
      <c r="DU218" s="57"/>
      <c r="DV218" s="57"/>
      <c r="DW218" s="57"/>
      <c r="DX218" s="57"/>
      <c r="DY218" s="57"/>
      <c r="DZ218" s="57"/>
      <c r="EA218" s="57"/>
      <c r="EB218" s="57"/>
      <c r="EC218" s="57"/>
      <c r="ED218" s="57"/>
      <c r="EE218" s="56"/>
      <c r="EF218" s="84"/>
      <c r="EG218" s="57"/>
      <c r="EH218" s="57"/>
      <c r="EI218" s="84"/>
      <c r="EJ218" s="57"/>
      <c r="EK218" s="56"/>
      <c r="EL218" s="84"/>
      <c r="EM218" s="57"/>
      <c r="EN218" s="57"/>
      <c r="EO218" s="56"/>
      <c r="EP218" s="84"/>
      <c r="EQ218" s="56"/>
      <c r="ER218" s="84"/>
      <c r="ES218" s="56"/>
      <c r="ET218" s="84"/>
      <c r="EU218" s="56"/>
    </row>
    <row r="219" spans="1:151">
      <c r="A219" s="83" t="s">
        <v>326</v>
      </c>
      <c r="B219" s="7" t="s">
        <v>127</v>
      </c>
      <c r="C219" s="7" t="s">
        <v>503</v>
      </c>
      <c r="D219" s="147" t="s">
        <v>64</v>
      </c>
      <c r="E219" s="148" t="s">
        <v>0</v>
      </c>
      <c r="F219" s="148" t="s">
        <v>287</v>
      </c>
      <c r="G219" s="148">
        <v>46.86</v>
      </c>
      <c r="H219" s="148">
        <v>4742</v>
      </c>
      <c r="I219" s="148">
        <v>84</v>
      </c>
      <c r="J219" s="158">
        <v>1.2537313432835822</v>
      </c>
      <c r="K219" s="148">
        <v>1</v>
      </c>
      <c r="L219" s="148">
        <v>1</v>
      </c>
      <c r="M219" s="147">
        <v>0</v>
      </c>
      <c r="N219" s="148">
        <v>0</v>
      </c>
      <c r="O219" s="148">
        <v>0</v>
      </c>
      <c r="P219" s="148">
        <v>0</v>
      </c>
      <c r="Q219" s="149">
        <v>0</v>
      </c>
      <c r="R219" s="87">
        <v>0</v>
      </c>
      <c r="S219" s="147">
        <v>1</v>
      </c>
      <c r="T219" s="148"/>
      <c r="U219" s="147">
        <v>0</v>
      </c>
      <c r="V219" s="148">
        <v>0</v>
      </c>
      <c r="W219" s="148">
        <v>0</v>
      </c>
      <c r="X219" s="149"/>
      <c r="Y219" s="147">
        <v>0</v>
      </c>
      <c r="Z219" s="148"/>
      <c r="AA219" s="148"/>
      <c r="AB219" s="148"/>
      <c r="AC219" s="148"/>
      <c r="AD219" s="148"/>
      <c r="AE219" s="148"/>
      <c r="AF219" s="148"/>
      <c r="AG219" s="148"/>
      <c r="AH219" s="148"/>
      <c r="AI219" s="148"/>
      <c r="AJ219" s="148">
        <v>0</v>
      </c>
      <c r="AK219" s="147">
        <v>0</v>
      </c>
      <c r="AL219" s="148">
        <v>0</v>
      </c>
      <c r="AM219" s="148">
        <v>0</v>
      </c>
      <c r="AN219" s="148">
        <v>0</v>
      </c>
      <c r="AO219" s="149">
        <v>0</v>
      </c>
      <c r="AP219" s="169" t="s">
        <v>284</v>
      </c>
      <c r="AQ219" s="170" t="s">
        <v>284</v>
      </c>
      <c r="AR219" s="170" t="s">
        <v>284</v>
      </c>
      <c r="AS219" s="170" t="s">
        <v>284</v>
      </c>
      <c r="AT219" s="170" t="s">
        <v>284</v>
      </c>
      <c r="AU219" s="170" t="s">
        <v>284</v>
      </c>
      <c r="AV219" s="170" t="s">
        <v>284</v>
      </c>
      <c r="AW219" s="170" t="s">
        <v>284</v>
      </c>
      <c r="AX219" s="147">
        <v>0</v>
      </c>
      <c r="AY219" s="148">
        <v>0</v>
      </c>
      <c r="AZ219" s="148">
        <v>0</v>
      </c>
      <c r="BA219" s="148">
        <v>0</v>
      </c>
      <c r="BB219" s="149">
        <v>0</v>
      </c>
      <c r="BC219" s="87">
        <v>32</v>
      </c>
      <c r="BD219" s="148">
        <v>74.36</v>
      </c>
      <c r="BE219" s="158"/>
      <c r="BF219" s="148"/>
      <c r="BG219" s="148"/>
      <c r="BH219" s="148"/>
      <c r="BI219" s="148"/>
      <c r="BJ219" s="148"/>
      <c r="BK219" s="148"/>
      <c r="BL219" s="148"/>
      <c r="BM219" s="148"/>
      <c r="BN219" s="148"/>
      <c r="BO219" s="148"/>
      <c r="BP219" s="148"/>
      <c r="BQ219" s="148"/>
      <c r="BR219" s="148"/>
      <c r="BS219" s="149"/>
      <c r="BT219" s="147"/>
      <c r="BU219" s="148"/>
      <c r="BV219" s="148"/>
      <c r="BW219" s="148"/>
      <c r="BX219" s="148"/>
      <c r="BY219" s="148"/>
      <c r="BZ219" s="148"/>
      <c r="CA219" s="148"/>
      <c r="CB219" s="148"/>
      <c r="CC219" s="148"/>
      <c r="CD219" s="148"/>
      <c r="CE219" s="147">
        <v>74.06</v>
      </c>
      <c r="CF219" s="148"/>
      <c r="CG219" s="148"/>
      <c r="CH219" s="148"/>
      <c r="CI219" s="148"/>
      <c r="CJ219" s="148"/>
      <c r="CK219" s="149"/>
      <c r="CL219" s="147"/>
      <c r="CM219" s="148"/>
      <c r="CN219" s="148"/>
      <c r="CO219" s="149"/>
      <c r="CP219" s="147"/>
      <c r="CQ219" s="148"/>
      <c r="CR219" s="149"/>
      <c r="CS219" s="147"/>
      <c r="CT219" s="148"/>
      <c r="CU219" s="148"/>
      <c r="CV219" s="148"/>
      <c r="CW219" s="148"/>
      <c r="CX219" s="148"/>
      <c r="CY219" s="147"/>
      <c r="CZ219" s="148"/>
      <c r="DA219" s="148"/>
      <c r="DB219" s="148"/>
      <c r="DC219" s="148"/>
      <c r="DD219" s="148"/>
      <c r="DE219" s="148"/>
      <c r="DF219" s="148"/>
      <c r="DG219" s="149"/>
      <c r="DH219" s="147"/>
      <c r="DI219" s="148"/>
      <c r="DJ219" s="148"/>
      <c r="DK219" s="148"/>
      <c r="DL219" s="148"/>
      <c r="DM219" s="148"/>
      <c r="DN219" s="148"/>
      <c r="DO219" s="148"/>
      <c r="DP219" s="148"/>
      <c r="DQ219" s="147"/>
      <c r="DR219" s="148"/>
      <c r="DS219" s="148"/>
      <c r="DT219" s="148"/>
      <c r="DU219" s="148"/>
      <c r="DV219" s="148"/>
      <c r="DW219" s="148"/>
      <c r="DX219" s="148"/>
      <c r="DY219" s="148"/>
      <c r="DZ219" s="148"/>
      <c r="EA219" s="148"/>
      <c r="EB219" s="148"/>
      <c r="EC219" s="148"/>
      <c r="ED219" s="148"/>
      <c r="EE219" s="149"/>
      <c r="EF219" s="147"/>
      <c r="EG219" s="148"/>
      <c r="EH219" s="148"/>
      <c r="EI219" s="147"/>
      <c r="EJ219" s="148"/>
      <c r="EK219" s="149"/>
      <c r="EL219" s="147"/>
      <c r="EM219" s="148"/>
      <c r="EN219" s="148"/>
      <c r="EO219" s="149"/>
      <c r="EP219" s="147"/>
      <c r="EQ219" s="149"/>
      <c r="ER219" s="147"/>
      <c r="ES219" s="149"/>
      <c r="ET219" s="147"/>
      <c r="EU219" s="149"/>
    </row>
    <row r="220" spans="1:151">
      <c r="A220" s="83" t="s">
        <v>326</v>
      </c>
      <c r="B220" s="173" t="s">
        <v>127</v>
      </c>
      <c r="C220" s="173" t="s">
        <v>503</v>
      </c>
      <c r="D220" s="83" t="s">
        <v>64</v>
      </c>
      <c r="E220" s="49" t="s">
        <v>1</v>
      </c>
      <c r="F220" s="49" t="s">
        <v>287</v>
      </c>
      <c r="G220" s="49">
        <v>46.86</v>
      </c>
      <c r="H220" s="49">
        <v>4742</v>
      </c>
      <c r="I220" s="49">
        <v>259</v>
      </c>
      <c r="J220" s="159">
        <v>4.709090909090909</v>
      </c>
      <c r="K220" s="49">
        <v>4</v>
      </c>
      <c r="L220" s="49">
        <v>3</v>
      </c>
      <c r="M220" s="83">
        <v>0</v>
      </c>
      <c r="N220" s="49">
        <v>0</v>
      </c>
      <c r="O220" s="49">
        <v>0</v>
      </c>
      <c r="P220" s="49">
        <v>0</v>
      </c>
      <c r="Q220" s="58">
        <v>0</v>
      </c>
      <c r="R220" s="42">
        <v>0</v>
      </c>
      <c r="S220" s="83">
        <v>0</v>
      </c>
      <c r="U220" s="83">
        <v>1</v>
      </c>
      <c r="V220" s="49">
        <v>2</v>
      </c>
      <c r="W220" s="49">
        <v>2</v>
      </c>
      <c r="X220" s="58"/>
      <c r="Y220" s="83">
        <v>0</v>
      </c>
      <c r="AJ220" s="49">
        <v>0</v>
      </c>
      <c r="AK220" s="83">
        <v>0</v>
      </c>
      <c r="AL220" s="49">
        <v>0</v>
      </c>
      <c r="AM220" s="49">
        <v>0</v>
      </c>
      <c r="AN220" s="49">
        <v>0</v>
      </c>
      <c r="AO220" s="58">
        <v>0</v>
      </c>
      <c r="AP220" s="174" t="s">
        <v>284</v>
      </c>
      <c r="AQ220" s="175" t="s">
        <v>284</v>
      </c>
      <c r="AR220" s="175" t="s">
        <v>284</v>
      </c>
      <c r="AS220" s="175" t="s">
        <v>284</v>
      </c>
      <c r="AT220" s="175" t="s">
        <v>284</v>
      </c>
      <c r="AU220" s="175" t="s">
        <v>284</v>
      </c>
      <c r="AV220" s="175" t="s">
        <v>284</v>
      </c>
      <c r="AW220" s="175" t="s">
        <v>284</v>
      </c>
      <c r="AX220" s="83">
        <v>0</v>
      </c>
      <c r="AY220" s="49">
        <v>0</v>
      </c>
      <c r="AZ220" s="49">
        <v>0</v>
      </c>
      <c r="BA220" s="49">
        <v>0</v>
      </c>
      <c r="BB220" s="58">
        <v>0</v>
      </c>
      <c r="BC220" s="42">
        <v>32</v>
      </c>
      <c r="BS220" s="58"/>
      <c r="BT220" s="83"/>
      <c r="CE220" s="83"/>
      <c r="CK220" s="58"/>
      <c r="CL220" s="83"/>
      <c r="CO220" s="58"/>
      <c r="CP220" s="83"/>
      <c r="CR220" s="58"/>
      <c r="CS220" s="83"/>
      <c r="CY220" s="83"/>
      <c r="DG220" s="58"/>
      <c r="DH220" s="83"/>
      <c r="DQ220" s="83"/>
      <c r="EE220" s="58"/>
      <c r="EF220" s="83"/>
      <c r="EI220" s="83"/>
      <c r="EK220" s="58"/>
      <c r="EL220" s="83"/>
      <c r="EO220" s="58"/>
      <c r="EP220" s="83"/>
      <c r="EQ220" s="58"/>
      <c r="ER220" s="83"/>
      <c r="ES220" s="58"/>
      <c r="ET220" s="83"/>
      <c r="EU220" s="58"/>
    </row>
    <row r="221" spans="1:151">
      <c r="A221" s="83" t="s">
        <v>326</v>
      </c>
      <c r="B221" s="173" t="s">
        <v>127</v>
      </c>
      <c r="C221" s="173" t="s">
        <v>503</v>
      </c>
      <c r="D221" s="83" t="s">
        <v>65</v>
      </c>
      <c r="E221" s="49" t="s">
        <v>0</v>
      </c>
      <c r="F221" s="49" t="s">
        <v>287</v>
      </c>
      <c r="G221" s="49">
        <v>46.86</v>
      </c>
      <c r="H221" s="49">
        <v>4742</v>
      </c>
      <c r="I221" s="49">
        <v>630</v>
      </c>
      <c r="J221" s="159">
        <v>8.75</v>
      </c>
      <c r="K221" s="49">
        <v>4</v>
      </c>
      <c r="L221" s="49">
        <v>4</v>
      </c>
      <c r="M221" s="83">
        <v>0</v>
      </c>
      <c r="N221" s="49">
        <v>0</v>
      </c>
      <c r="O221" s="49">
        <v>0</v>
      </c>
      <c r="P221" s="49">
        <v>0</v>
      </c>
      <c r="Q221" s="58">
        <v>0</v>
      </c>
      <c r="R221" s="42">
        <v>0</v>
      </c>
      <c r="S221" s="83" t="s">
        <v>283</v>
      </c>
      <c r="T221" s="49">
        <v>1</v>
      </c>
      <c r="U221" s="83">
        <v>1</v>
      </c>
      <c r="V221" s="49">
        <v>4</v>
      </c>
      <c r="W221" s="49">
        <v>2</v>
      </c>
      <c r="X221" s="58"/>
      <c r="Y221" s="83">
        <v>2</v>
      </c>
      <c r="AD221" s="49">
        <v>5</v>
      </c>
      <c r="AE221" s="49">
        <v>12</v>
      </c>
      <c r="AF221" s="49">
        <v>22</v>
      </c>
      <c r="AG221" s="49">
        <v>44</v>
      </c>
      <c r="AJ221" s="49">
        <v>0</v>
      </c>
      <c r="AK221" s="83">
        <v>0</v>
      </c>
      <c r="AL221" s="49">
        <v>0</v>
      </c>
      <c r="AM221" s="49">
        <v>0</v>
      </c>
      <c r="AN221" s="49">
        <v>0</v>
      </c>
      <c r="AO221" s="58">
        <v>0</v>
      </c>
      <c r="AP221" s="174" t="s">
        <v>284</v>
      </c>
      <c r="AQ221" s="175" t="s">
        <v>284</v>
      </c>
      <c r="AR221" s="175" t="s">
        <v>284</v>
      </c>
      <c r="AS221" s="175" t="s">
        <v>284</v>
      </c>
      <c r="AT221" s="175" t="s">
        <v>284</v>
      </c>
      <c r="AU221" s="175" t="s">
        <v>284</v>
      </c>
      <c r="AV221" s="175" t="s">
        <v>284</v>
      </c>
      <c r="AW221" s="175" t="s">
        <v>284</v>
      </c>
      <c r="AX221" s="83">
        <v>0</v>
      </c>
      <c r="AY221" s="49">
        <v>0</v>
      </c>
      <c r="AZ221" s="49">
        <v>0</v>
      </c>
      <c r="BA221" s="49">
        <v>0</v>
      </c>
      <c r="BB221" s="58">
        <v>0</v>
      </c>
      <c r="BC221" s="42">
        <v>25</v>
      </c>
      <c r="BD221" s="49">
        <v>75.650000000000006</v>
      </c>
      <c r="BS221" s="58"/>
      <c r="BT221" s="83">
        <v>77.8</v>
      </c>
      <c r="BU221" s="49">
        <v>75.540000000000006</v>
      </c>
      <c r="CE221" s="83"/>
      <c r="CK221" s="58"/>
      <c r="CL221" s="83"/>
      <c r="CO221" s="58"/>
      <c r="CP221" s="83"/>
      <c r="CR221" s="58"/>
      <c r="CS221" s="83"/>
      <c r="CY221" s="83"/>
      <c r="DG221" s="58"/>
      <c r="DH221" s="83"/>
      <c r="DQ221" s="83"/>
      <c r="EE221" s="58"/>
      <c r="EF221" s="83"/>
      <c r="EI221" s="83"/>
      <c r="EK221" s="58"/>
      <c r="EL221" s="83"/>
      <c r="EO221" s="58"/>
      <c r="EP221" s="83"/>
      <c r="EQ221" s="58"/>
      <c r="ER221" s="83"/>
      <c r="ES221" s="58"/>
      <c r="ET221" s="83"/>
      <c r="EU221" s="58"/>
    </row>
    <row r="222" spans="1:151" ht="17" thickBot="1">
      <c r="A222" s="83" t="s">
        <v>326</v>
      </c>
      <c r="B222" s="47" t="s">
        <v>127</v>
      </c>
      <c r="C222" s="47" t="s">
        <v>503</v>
      </c>
      <c r="D222" s="84" t="s">
        <v>65</v>
      </c>
      <c r="E222" s="57" t="s">
        <v>1</v>
      </c>
      <c r="F222" s="57" t="s">
        <v>287</v>
      </c>
      <c r="G222" s="57">
        <v>46.86</v>
      </c>
      <c r="H222" s="57">
        <v>4742</v>
      </c>
      <c r="I222" s="57">
        <v>204</v>
      </c>
      <c r="J222" s="75">
        <v>1.6062992125984252</v>
      </c>
      <c r="K222" s="57">
        <v>4</v>
      </c>
      <c r="L222" s="57">
        <v>4</v>
      </c>
      <c r="M222" s="84">
        <v>0</v>
      </c>
      <c r="N222" s="57">
        <v>0</v>
      </c>
      <c r="O222" s="57">
        <v>0</v>
      </c>
      <c r="P222" s="57">
        <v>0</v>
      </c>
      <c r="Q222" s="56">
        <v>0</v>
      </c>
      <c r="R222" s="55">
        <v>0</v>
      </c>
      <c r="S222" s="84" t="s">
        <v>283</v>
      </c>
      <c r="T222" s="57">
        <v>1</v>
      </c>
      <c r="U222" s="84">
        <v>1</v>
      </c>
      <c r="V222" s="57">
        <v>3</v>
      </c>
      <c r="W222" s="57">
        <v>2</v>
      </c>
      <c r="X222" s="56"/>
      <c r="Y222" s="84">
        <v>0</v>
      </c>
      <c r="Z222" s="57"/>
      <c r="AA222" s="57"/>
      <c r="AB222" s="57"/>
      <c r="AC222" s="57"/>
      <c r="AD222" s="57"/>
      <c r="AE222" s="57"/>
      <c r="AF222" s="57"/>
      <c r="AG222" s="57"/>
      <c r="AH222" s="57"/>
      <c r="AI222" s="57"/>
      <c r="AJ222" s="57">
        <v>0</v>
      </c>
      <c r="AK222" s="84">
        <v>0</v>
      </c>
      <c r="AL222" s="57">
        <v>1</v>
      </c>
      <c r="AM222" s="57">
        <v>0</v>
      </c>
      <c r="AN222" s="57">
        <v>0</v>
      </c>
      <c r="AO222" s="56">
        <v>0</v>
      </c>
      <c r="AP222" s="178">
        <v>0</v>
      </c>
      <c r="AQ222" s="179">
        <v>109</v>
      </c>
      <c r="AR222" s="179" t="s">
        <v>284</v>
      </c>
      <c r="AS222" s="179" t="s">
        <v>284</v>
      </c>
      <c r="AT222" s="179" t="s">
        <v>284</v>
      </c>
      <c r="AU222" s="179" t="s">
        <v>284</v>
      </c>
      <c r="AV222" s="179" t="s">
        <v>284</v>
      </c>
      <c r="AW222" s="179" t="s">
        <v>284</v>
      </c>
      <c r="AX222" s="84">
        <v>0</v>
      </c>
      <c r="AY222" s="57">
        <v>0</v>
      </c>
      <c r="AZ222" s="57">
        <v>0</v>
      </c>
      <c r="BA222" s="57">
        <v>0</v>
      </c>
      <c r="BB222" s="56">
        <v>0</v>
      </c>
      <c r="BC222" s="55">
        <v>25</v>
      </c>
      <c r="BD222" s="57">
        <v>75.31</v>
      </c>
      <c r="BE222" s="75"/>
      <c r="BF222" s="57"/>
      <c r="BG222" s="57"/>
      <c r="BH222" s="57"/>
      <c r="BI222" s="57"/>
      <c r="BJ222" s="57"/>
      <c r="BK222" s="57"/>
      <c r="BL222" s="57"/>
      <c r="BM222" s="57"/>
      <c r="BN222" s="57"/>
      <c r="BO222" s="57"/>
      <c r="BP222" s="57"/>
      <c r="BQ222" s="57"/>
      <c r="BR222" s="57"/>
      <c r="BS222" s="56"/>
      <c r="BT222" s="84"/>
      <c r="BU222" s="57"/>
      <c r="BV222" s="57"/>
      <c r="BW222" s="57"/>
      <c r="BX222" s="57"/>
      <c r="BY222" s="57"/>
      <c r="BZ222" s="57"/>
      <c r="CA222" s="57"/>
      <c r="CB222" s="57"/>
      <c r="CC222" s="57"/>
      <c r="CD222" s="57"/>
      <c r="CE222" s="84">
        <v>75.94</v>
      </c>
      <c r="CF222" s="57"/>
      <c r="CG222" s="57"/>
      <c r="CH222" s="57"/>
      <c r="CI222" s="57"/>
      <c r="CJ222" s="57"/>
      <c r="CK222" s="56"/>
      <c r="CL222" s="84"/>
      <c r="CM222" s="57"/>
      <c r="CN222" s="57"/>
      <c r="CO222" s="56"/>
      <c r="CP222" s="84"/>
      <c r="CQ222" s="57"/>
      <c r="CR222" s="56"/>
      <c r="CS222" s="84"/>
      <c r="CT222" s="57"/>
      <c r="CU222" s="57"/>
      <c r="CV222" s="57"/>
      <c r="CW222" s="57"/>
      <c r="CX222" s="57"/>
      <c r="CY222" s="84"/>
      <c r="CZ222" s="57"/>
      <c r="DA222" s="57"/>
      <c r="DB222" s="57"/>
      <c r="DC222" s="57"/>
      <c r="DD222" s="57"/>
      <c r="DE222" s="57"/>
      <c r="DF222" s="57"/>
      <c r="DG222" s="56"/>
      <c r="DH222" s="84"/>
      <c r="DI222" s="57"/>
      <c r="DJ222" s="57"/>
      <c r="DK222" s="57"/>
      <c r="DL222" s="57"/>
      <c r="DM222" s="57"/>
      <c r="DN222" s="57"/>
      <c r="DO222" s="57"/>
      <c r="DP222" s="57"/>
      <c r="DQ222" s="84"/>
      <c r="DR222" s="57"/>
      <c r="DS222" s="57"/>
      <c r="DT222" s="57"/>
      <c r="DU222" s="57"/>
      <c r="DV222" s="57"/>
      <c r="DW222" s="57"/>
      <c r="DX222" s="57"/>
      <c r="DY222" s="57"/>
      <c r="DZ222" s="57"/>
      <c r="EA222" s="57"/>
      <c r="EB222" s="57"/>
      <c r="EC222" s="57"/>
      <c r="ED222" s="57"/>
      <c r="EE222" s="56"/>
      <c r="EF222" s="84"/>
      <c r="EG222" s="57"/>
      <c r="EH222" s="57"/>
      <c r="EI222" s="84"/>
      <c r="EJ222" s="57"/>
      <c r="EK222" s="56"/>
      <c r="EL222" s="84"/>
      <c r="EM222" s="57"/>
      <c r="EN222" s="57"/>
      <c r="EO222" s="56"/>
      <c r="EP222" s="84"/>
      <c r="EQ222" s="56"/>
      <c r="ER222" s="84"/>
      <c r="ES222" s="56"/>
      <c r="ET222" s="84"/>
      <c r="EU222" s="56"/>
    </row>
    <row r="223" spans="1:151">
      <c r="A223" s="87" t="s">
        <v>326</v>
      </c>
      <c r="B223" s="7" t="s">
        <v>128</v>
      </c>
      <c r="C223" s="7" t="s">
        <v>503</v>
      </c>
      <c r="D223" s="147" t="s">
        <v>65</v>
      </c>
      <c r="E223" s="148" t="s">
        <v>0</v>
      </c>
      <c r="F223" s="148" t="s">
        <v>287</v>
      </c>
      <c r="G223" s="148">
        <v>46.86</v>
      </c>
      <c r="H223" s="148">
        <v>4742</v>
      </c>
      <c r="I223" s="148">
        <v>184</v>
      </c>
      <c r="J223" s="158">
        <v>4</v>
      </c>
      <c r="K223" s="148">
        <v>1</v>
      </c>
      <c r="L223" s="148">
        <v>1</v>
      </c>
      <c r="M223" s="147">
        <v>0</v>
      </c>
      <c r="N223" s="148">
        <v>0</v>
      </c>
      <c r="O223" s="148">
        <v>1</v>
      </c>
      <c r="P223" s="148">
        <v>1</v>
      </c>
      <c r="Q223" s="149">
        <v>0</v>
      </c>
      <c r="R223" s="87">
        <v>2</v>
      </c>
      <c r="S223" s="147" t="s">
        <v>283</v>
      </c>
      <c r="T223" s="148">
        <v>2</v>
      </c>
      <c r="U223" s="147">
        <v>0</v>
      </c>
      <c r="V223" s="148">
        <v>0</v>
      </c>
      <c r="W223" s="148">
        <v>0</v>
      </c>
      <c r="X223" s="149"/>
      <c r="Y223" s="147">
        <v>2</v>
      </c>
      <c r="Z223" s="148"/>
      <c r="AA223" s="148"/>
      <c r="AB223" s="148"/>
      <c r="AC223" s="148"/>
      <c r="AD223" s="148"/>
      <c r="AE223" s="148">
        <v>14</v>
      </c>
      <c r="AF223" s="148"/>
      <c r="AG223" s="148"/>
      <c r="AH223" s="148"/>
      <c r="AI223" s="148"/>
      <c r="AJ223" s="148">
        <v>0</v>
      </c>
      <c r="AK223" s="147">
        <v>0</v>
      </c>
      <c r="AL223" s="148">
        <v>0</v>
      </c>
      <c r="AM223" s="148">
        <v>0</v>
      </c>
      <c r="AN223" s="148">
        <v>0</v>
      </c>
      <c r="AO223" s="149">
        <v>0</v>
      </c>
      <c r="AP223" s="169" t="s">
        <v>284</v>
      </c>
      <c r="AQ223" s="170" t="s">
        <v>284</v>
      </c>
      <c r="AR223" s="170" t="s">
        <v>284</v>
      </c>
      <c r="AS223" s="170" t="s">
        <v>284</v>
      </c>
      <c r="AT223" s="170" t="s">
        <v>284</v>
      </c>
      <c r="AU223" s="170" t="s">
        <v>284</v>
      </c>
      <c r="AV223" s="170" t="s">
        <v>284</v>
      </c>
      <c r="AW223" s="170" t="s">
        <v>284</v>
      </c>
      <c r="AX223" s="147">
        <v>0</v>
      </c>
      <c r="AY223" s="148">
        <v>0</v>
      </c>
      <c r="AZ223" s="148">
        <v>0</v>
      </c>
      <c r="BA223" s="148">
        <v>0</v>
      </c>
      <c r="BB223" s="149">
        <v>0</v>
      </c>
      <c r="BC223" s="87">
        <v>102</v>
      </c>
      <c r="BD223" s="148"/>
      <c r="BE223" s="158"/>
      <c r="BF223" s="148"/>
      <c r="BG223" s="148"/>
      <c r="BH223" s="148"/>
      <c r="BI223" s="148"/>
      <c r="BJ223" s="148"/>
      <c r="BK223" s="148"/>
      <c r="BL223" s="148"/>
      <c r="BM223" s="148"/>
      <c r="BN223" s="148"/>
      <c r="BO223" s="148"/>
      <c r="BP223" s="148"/>
      <c r="BQ223" s="148"/>
      <c r="BR223" s="148"/>
      <c r="BS223" s="149"/>
      <c r="BT223" s="147"/>
      <c r="BU223" s="148"/>
      <c r="BV223" s="148"/>
      <c r="BW223" s="148"/>
      <c r="BX223" s="148"/>
      <c r="BY223" s="148"/>
      <c r="BZ223" s="148"/>
      <c r="CA223" s="148"/>
      <c r="CB223" s="148"/>
      <c r="CC223" s="148"/>
      <c r="CD223" s="148"/>
      <c r="CE223" s="147"/>
      <c r="CF223" s="148"/>
      <c r="CG223" s="148"/>
      <c r="CH223" s="148"/>
      <c r="CI223" s="148"/>
      <c r="CJ223" s="148"/>
      <c r="CK223" s="149"/>
      <c r="CL223" s="147"/>
      <c r="CM223" s="148"/>
      <c r="CN223" s="148"/>
      <c r="CO223" s="149"/>
      <c r="CP223" s="147"/>
      <c r="CQ223" s="148"/>
      <c r="CR223" s="149"/>
      <c r="CS223" s="147"/>
      <c r="CT223" s="148"/>
      <c r="CU223" s="148"/>
      <c r="CV223" s="148"/>
      <c r="CW223" s="148"/>
      <c r="CX223" s="148"/>
      <c r="CY223" s="147"/>
      <c r="CZ223" s="148"/>
      <c r="DA223" s="148"/>
      <c r="DB223" s="148"/>
      <c r="DC223" s="148"/>
      <c r="DD223" s="148"/>
      <c r="DE223" s="148"/>
      <c r="DF223" s="148"/>
      <c r="DG223" s="149"/>
      <c r="DH223" s="147"/>
      <c r="DI223" s="148"/>
      <c r="DJ223" s="148"/>
      <c r="DK223" s="148"/>
      <c r="DL223" s="148"/>
      <c r="DM223" s="148"/>
      <c r="DN223" s="148"/>
      <c r="DO223" s="148"/>
      <c r="DP223" s="148"/>
      <c r="DQ223" s="147"/>
      <c r="DR223" s="148"/>
      <c r="DS223" s="148"/>
      <c r="DT223" s="148"/>
      <c r="DU223" s="148"/>
      <c r="DV223" s="148"/>
      <c r="DW223" s="148"/>
      <c r="DX223" s="148"/>
      <c r="DY223" s="148"/>
      <c r="DZ223" s="148"/>
      <c r="EA223" s="148"/>
      <c r="EB223" s="148"/>
      <c r="EC223" s="148"/>
      <c r="ED223" s="148"/>
      <c r="EE223" s="149"/>
      <c r="EF223" s="147"/>
      <c r="EG223" s="148"/>
      <c r="EH223" s="148"/>
      <c r="EI223" s="147"/>
      <c r="EJ223" s="148"/>
      <c r="EK223" s="149"/>
      <c r="EL223" s="147"/>
      <c r="EM223" s="148"/>
      <c r="EN223" s="148"/>
      <c r="EO223" s="149"/>
      <c r="EP223" s="147"/>
      <c r="EQ223" s="149"/>
      <c r="ER223" s="147"/>
      <c r="ES223" s="149"/>
      <c r="ET223" s="147"/>
      <c r="EU223" s="149"/>
    </row>
    <row r="224" spans="1:151">
      <c r="A224" s="42" t="s">
        <v>326</v>
      </c>
      <c r="B224" s="173" t="s">
        <v>128</v>
      </c>
      <c r="C224" s="173" t="s">
        <v>503</v>
      </c>
      <c r="D224" s="83" t="s">
        <v>65</v>
      </c>
      <c r="E224" s="49" t="s">
        <v>1</v>
      </c>
      <c r="F224" s="49" t="s">
        <v>287</v>
      </c>
      <c r="G224" s="49">
        <v>46.86</v>
      </c>
      <c r="H224" s="49">
        <v>4742</v>
      </c>
      <c r="I224" s="49">
        <v>154</v>
      </c>
      <c r="J224" s="159">
        <v>4.0526315789473681</v>
      </c>
      <c r="K224" s="49">
        <v>1</v>
      </c>
      <c r="L224" s="49">
        <v>1</v>
      </c>
      <c r="M224" s="83">
        <v>0</v>
      </c>
      <c r="N224" s="49">
        <v>0</v>
      </c>
      <c r="O224" s="49">
        <v>0</v>
      </c>
      <c r="P224" s="49">
        <v>0</v>
      </c>
      <c r="Q224" s="58">
        <v>0</v>
      </c>
      <c r="R224" s="42">
        <v>0</v>
      </c>
      <c r="S224" s="83" t="s">
        <v>283</v>
      </c>
      <c r="T224" s="49">
        <v>1</v>
      </c>
      <c r="U224" s="83">
        <v>0</v>
      </c>
      <c r="V224" s="49">
        <v>0</v>
      </c>
      <c r="W224" s="49">
        <v>0</v>
      </c>
      <c r="X224" s="58"/>
      <c r="Y224" s="83">
        <v>0</v>
      </c>
      <c r="AJ224" s="49">
        <v>0</v>
      </c>
      <c r="AK224" s="83">
        <v>0</v>
      </c>
      <c r="AL224" s="49">
        <v>0</v>
      </c>
      <c r="AM224" s="49">
        <v>0</v>
      </c>
      <c r="AN224" s="49">
        <v>0</v>
      </c>
      <c r="AO224" s="58">
        <v>0</v>
      </c>
      <c r="AP224" s="174" t="s">
        <v>284</v>
      </c>
      <c r="AQ224" s="175" t="s">
        <v>284</v>
      </c>
      <c r="AR224" s="175" t="s">
        <v>284</v>
      </c>
      <c r="AS224" s="175" t="s">
        <v>284</v>
      </c>
      <c r="AT224" s="175" t="s">
        <v>284</v>
      </c>
      <c r="AU224" s="175" t="s">
        <v>284</v>
      </c>
      <c r="AV224" s="175" t="s">
        <v>284</v>
      </c>
      <c r="AW224" s="175" t="s">
        <v>284</v>
      </c>
      <c r="AX224" s="83">
        <v>0</v>
      </c>
      <c r="AY224" s="49">
        <v>0</v>
      </c>
      <c r="AZ224" s="49">
        <v>0</v>
      </c>
      <c r="BA224" s="49">
        <v>0</v>
      </c>
      <c r="BB224" s="58">
        <v>0</v>
      </c>
      <c r="BC224" s="42">
        <v>102</v>
      </c>
      <c r="BS224" s="58"/>
      <c r="BT224" s="83"/>
      <c r="CE224" s="83"/>
      <c r="CK224" s="58"/>
      <c r="CL224" s="83"/>
      <c r="CO224" s="58"/>
      <c r="CP224" s="83"/>
      <c r="CR224" s="58"/>
      <c r="CS224" s="83"/>
      <c r="CY224" s="83"/>
      <c r="DG224" s="58"/>
      <c r="DH224" s="83"/>
      <c r="DQ224" s="83"/>
      <c r="EE224" s="58"/>
      <c r="EF224" s="83"/>
      <c r="EI224" s="83"/>
      <c r="EK224" s="58"/>
      <c r="EL224" s="83"/>
      <c r="EO224" s="58"/>
      <c r="EP224" s="83"/>
      <c r="EQ224" s="58"/>
      <c r="ER224" s="83"/>
      <c r="ES224" s="58"/>
      <c r="ET224" s="83"/>
      <c r="EU224" s="58"/>
    </row>
    <row r="225" spans="1:151">
      <c r="A225" s="42" t="s">
        <v>326</v>
      </c>
      <c r="B225" s="173" t="s">
        <v>128</v>
      </c>
      <c r="C225" s="173" t="s">
        <v>503</v>
      </c>
      <c r="D225" s="83" t="s">
        <v>65</v>
      </c>
      <c r="E225" s="49" t="s">
        <v>2</v>
      </c>
      <c r="F225" s="49" t="s">
        <v>287</v>
      </c>
      <c r="G225" s="49">
        <v>46.86</v>
      </c>
      <c r="H225" s="49">
        <v>4742</v>
      </c>
      <c r="I225" s="49">
        <v>519</v>
      </c>
      <c r="J225" s="159">
        <v>2.1991525423728815</v>
      </c>
      <c r="K225" s="49">
        <v>4</v>
      </c>
      <c r="L225" s="49">
        <v>3</v>
      </c>
      <c r="M225" s="83">
        <v>0</v>
      </c>
      <c r="N225" s="49">
        <v>2</v>
      </c>
      <c r="O225" s="49">
        <v>0</v>
      </c>
      <c r="P225" s="49">
        <v>0</v>
      </c>
      <c r="Q225" s="58">
        <v>0</v>
      </c>
      <c r="R225" s="42">
        <v>2</v>
      </c>
      <c r="S225" s="83" t="s">
        <v>284</v>
      </c>
      <c r="U225" s="83">
        <v>1</v>
      </c>
      <c r="V225" s="49">
        <v>3</v>
      </c>
      <c r="W225" s="49">
        <v>2</v>
      </c>
      <c r="X225" s="58"/>
      <c r="Y225" s="83">
        <v>5</v>
      </c>
      <c r="AH225" s="49">
        <v>65</v>
      </c>
      <c r="AI225" s="49">
        <v>157</v>
      </c>
      <c r="AJ225" s="49">
        <v>0</v>
      </c>
      <c r="AK225" s="83">
        <v>0</v>
      </c>
      <c r="AL225" s="49">
        <v>0</v>
      </c>
      <c r="AM225" s="49">
        <v>0</v>
      </c>
      <c r="AN225" s="49">
        <v>0</v>
      </c>
      <c r="AO225" s="58">
        <v>0</v>
      </c>
      <c r="AP225" s="174" t="s">
        <v>284</v>
      </c>
      <c r="AQ225" s="175" t="s">
        <v>284</v>
      </c>
      <c r="AR225" s="175" t="s">
        <v>284</v>
      </c>
      <c r="AS225" s="175" t="s">
        <v>284</v>
      </c>
      <c r="AT225" s="175" t="s">
        <v>284</v>
      </c>
      <c r="AU225" s="175" t="s">
        <v>284</v>
      </c>
      <c r="AV225" s="175" t="s">
        <v>284</v>
      </c>
      <c r="AW225" s="175" t="s">
        <v>284</v>
      </c>
      <c r="AX225" s="83">
        <v>0</v>
      </c>
      <c r="AY225" s="49">
        <v>0</v>
      </c>
      <c r="AZ225" s="49">
        <v>0</v>
      </c>
      <c r="BA225" s="49">
        <v>0</v>
      </c>
      <c r="BB225" s="58">
        <v>0</v>
      </c>
      <c r="BC225" s="42">
        <v>102</v>
      </c>
      <c r="BD225" s="49">
        <v>75.52</v>
      </c>
      <c r="BS225" s="58"/>
      <c r="BT225" s="83">
        <v>75.39</v>
      </c>
      <c r="CE225" s="83">
        <v>69.069999999999993</v>
      </c>
      <c r="CK225" s="58"/>
      <c r="CL225" s="83"/>
      <c r="CO225" s="58"/>
      <c r="CP225" s="83"/>
      <c r="CR225" s="58"/>
      <c r="CS225" s="83"/>
      <c r="CY225" s="83"/>
      <c r="DG225" s="58"/>
      <c r="DH225" s="83"/>
      <c r="DQ225" s="83"/>
      <c r="EE225" s="58"/>
      <c r="EF225" s="83"/>
      <c r="EI225" s="83"/>
      <c r="EK225" s="58"/>
      <c r="EL225" s="83"/>
      <c r="EO225" s="58"/>
      <c r="EP225" s="83"/>
      <c r="EQ225" s="58"/>
      <c r="ER225" s="83"/>
      <c r="ES225" s="58"/>
      <c r="ET225" s="83"/>
      <c r="EU225" s="58"/>
    </row>
    <row r="226" spans="1:151">
      <c r="A226" s="42" t="s">
        <v>326</v>
      </c>
      <c r="B226" s="173" t="s">
        <v>128</v>
      </c>
      <c r="C226" s="173" t="s">
        <v>503</v>
      </c>
      <c r="D226" s="83" t="s">
        <v>66</v>
      </c>
      <c r="E226" s="49" t="s">
        <v>0</v>
      </c>
      <c r="F226" s="49" t="s">
        <v>287</v>
      </c>
      <c r="G226" s="49">
        <v>46.86</v>
      </c>
      <c r="H226" s="49">
        <v>4742</v>
      </c>
      <c r="I226" s="49">
        <v>224</v>
      </c>
      <c r="J226" s="159">
        <v>18.666666666666668</v>
      </c>
      <c r="K226" s="49">
        <v>3</v>
      </c>
      <c r="L226" s="49">
        <v>1</v>
      </c>
      <c r="M226" s="83">
        <v>0</v>
      </c>
      <c r="N226" s="49">
        <v>0</v>
      </c>
      <c r="O226" s="49">
        <v>0</v>
      </c>
      <c r="P226" s="49">
        <v>0</v>
      </c>
      <c r="Q226" s="58">
        <v>0</v>
      </c>
      <c r="R226" s="42">
        <v>0</v>
      </c>
      <c r="S226" s="83" t="s">
        <v>283</v>
      </c>
      <c r="T226" s="49">
        <v>1</v>
      </c>
      <c r="U226" s="83">
        <v>0</v>
      </c>
      <c r="V226" s="49">
        <v>0</v>
      </c>
      <c r="W226" s="49">
        <v>0</v>
      </c>
      <c r="X226" s="58"/>
      <c r="Y226" s="83">
        <v>0</v>
      </c>
      <c r="AJ226" s="49">
        <v>0</v>
      </c>
      <c r="AK226" s="83">
        <v>0</v>
      </c>
      <c r="AL226" s="49">
        <v>0</v>
      </c>
      <c r="AM226" s="49">
        <v>0</v>
      </c>
      <c r="AN226" s="49">
        <v>0</v>
      </c>
      <c r="AO226" s="58">
        <v>0</v>
      </c>
      <c r="AP226" s="174" t="s">
        <v>284</v>
      </c>
      <c r="AQ226" s="175" t="s">
        <v>284</v>
      </c>
      <c r="AR226" s="175" t="s">
        <v>284</v>
      </c>
      <c r="AS226" s="175" t="s">
        <v>284</v>
      </c>
      <c r="AT226" s="175" t="s">
        <v>284</v>
      </c>
      <c r="AU226" s="175" t="s">
        <v>284</v>
      </c>
      <c r="AV226" s="175" t="s">
        <v>284</v>
      </c>
      <c r="AW226" s="175" t="s">
        <v>284</v>
      </c>
      <c r="AX226" s="83">
        <v>0</v>
      </c>
      <c r="AY226" s="49">
        <v>0</v>
      </c>
      <c r="AZ226" s="49">
        <v>0</v>
      </c>
      <c r="BA226" s="49">
        <v>0</v>
      </c>
      <c r="BB226" s="58">
        <v>0</v>
      </c>
      <c r="BC226" s="42">
        <v>80</v>
      </c>
      <c r="BS226" s="58"/>
      <c r="BT226" s="83"/>
      <c r="CE226" s="83"/>
      <c r="CK226" s="58"/>
      <c r="CL226" s="83"/>
      <c r="CO226" s="58"/>
      <c r="CP226" s="83"/>
      <c r="CR226" s="58"/>
      <c r="CS226" s="83"/>
      <c r="CY226" s="83"/>
      <c r="DG226" s="58"/>
      <c r="DH226" s="83"/>
      <c r="DQ226" s="83"/>
      <c r="EE226" s="58"/>
      <c r="EF226" s="83"/>
      <c r="EI226" s="83"/>
      <c r="EK226" s="58"/>
      <c r="EL226" s="83"/>
      <c r="EO226" s="58"/>
      <c r="EP226" s="83"/>
      <c r="EQ226" s="58"/>
      <c r="ER226" s="83"/>
      <c r="ES226" s="58"/>
      <c r="ET226" s="83"/>
      <c r="EU226" s="58"/>
    </row>
    <row r="227" spans="1:151">
      <c r="A227" s="42" t="s">
        <v>326</v>
      </c>
      <c r="B227" s="173" t="s">
        <v>128</v>
      </c>
      <c r="C227" s="173" t="s">
        <v>503</v>
      </c>
      <c r="D227" s="83" t="s">
        <v>66</v>
      </c>
      <c r="E227" s="49" t="s">
        <v>1</v>
      </c>
      <c r="F227" s="49" t="s">
        <v>287</v>
      </c>
      <c r="G227" s="49">
        <v>46.86</v>
      </c>
      <c r="H227" s="49">
        <v>4742</v>
      </c>
      <c r="I227" s="49">
        <v>228</v>
      </c>
      <c r="J227" s="159">
        <v>11.4</v>
      </c>
      <c r="K227" s="49">
        <v>3</v>
      </c>
      <c r="L227" s="49">
        <v>1</v>
      </c>
      <c r="M227" s="83">
        <v>0</v>
      </c>
      <c r="N227" s="49">
        <v>0</v>
      </c>
      <c r="O227" s="49">
        <v>0</v>
      </c>
      <c r="P227" s="49">
        <v>0</v>
      </c>
      <c r="Q227" s="58">
        <v>0</v>
      </c>
      <c r="R227" s="42">
        <v>0</v>
      </c>
      <c r="S227" s="83" t="s">
        <v>283</v>
      </c>
      <c r="T227" s="49">
        <v>1</v>
      </c>
      <c r="U227" s="83">
        <v>0</v>
      </c>
      <c r="V227" s="49">
        <v>0</v>
      </c>
      <c r="W227" s="49">
        <v>0</v>
      </c>
      <c r="X227" s="58"/>
      <c r="Y227" s="83">
        <v>0</v>
      </c>
      <c r="AJ227" s="49">
        <v>0</v>
      </c>
      <c r="AK227" s="83">
        <v>0</v>
      </c>
      <c r="AL227" s="49">
        <v>0</v>
      </c>
      <c r="AM227" s="49">
        <v>0</v>
      </c>
      <c r="AN227" s="49">
        <v>0</v>
      </c>
      <c r="AO227" s="58">
        <v>0</v>
      </c>
      <c r="AP227" s="174" t="s">
        <v>284</v>
      </c>
      <c r="AQ227" s="175" t="s">
        <v>284</v>
      </c>
      <c r="AR227" s="175" t="s">
        <v>284</v>
      </c>
      <c r="AS227" s="175" t="s">
        <v>284</v>
      </c>
      <c r="AT227" s="175" t="s">
        <v>284</v>
      </c>
      <c r="AU227" s="175" t="s">
        <v>284</v>
      </c>
      <c r="AV227" s="175" t="s">
        <v>284</v>
      </c>
      <c r="AW227" s="175" t="s">
        <v>284</v>
      </c>
      <c r="AX227" s="83">
        <v>0</v>
      </c>
      <c r="AY227" s="49">
        <v>0</v>
      </c>
      <c r="AZ227" s="49">
        <v>0</v>
      </c>
      <c r="BA227" s="49">
        <v>0</v>
      </c>
      <c r="BB227" s="58">
        <v>0</v>
      </c>
      <c r="BC227" s="42">
        <v>80</v>
      </c>
      <c r="BS227" s="58"/>
      <c r="BT227" s="83"/>
      <c r="CE227" s="83"/>
      <c r="CK227" s="58"/>
      <c r="CL227" s="83"/>
      <c r="CO227" s="58"/>
      <c r="CP227" s="83"/>
      <c r="CR227" s="58"/>
      <c r="CS227" s="83"/>
      <c r="CY227" s="83"/>
      <c r="DG227" s="58"/>
      <c r="DH227" s="83"/>
      <c r="DQ227" s="83"/>
      <c r="EE227" s="58"/>
      <c r="EF227" s="83"/>
      <c r="EI227" s="83"/>
      <c r="EK227" s="58"/>
      <c r="EL227" s="83"/>
      <c r="EO227" s="58"/>
      <c r="EP227" s="83"/>
      <c r="EQ227" s="58"/>
      <c r="ER227" s="83"/>
      <c r="ES227" s="58"/>
      <c r="ET227" s="83"/>
      <c r="EU227" s="58"/>
    </row>
    <row r="228" spans="1:151">
      <c r="A228" s="42" t="s">
        <v>326</v>
      </c>
      <c r="B228" s="173" t="s">
        <v>128</v>
      </c>
      <c r="C228" s="173" t="s">
        <v>503</v>
      </c>
      <c r="D228" s="83" t="s">
        <v>66</v>
      </c>
      <c r="E228" s="49" t="s">
        <v>2</v>
      </c>
      <c r="F228" s="49" t="s">
        <v>287</v>
      </c>
      <c r="G228" s="49">
        <v>46.86</v>
      </c>
      <c r="H228" s="49">
        <v>4742</v>
      </c>
      <c r="I228" s="49">
        <v>522</v>
      </c>
      <c r="J228" s="159">
        <v>18.642857142857142</v>
      </c>
      <c r="K228" s="49">
        <v>3</v>
      </c>
      <c r="L228" s="49">
        <v>1</v>
      </c>
      <c r="M228" s="83">
        <v>0</v>
      </c>
      <c r="N228" s="49">
        <v>0</v>
      </c>
      <c r="O228" s="49">
        <v>0</v>
      </c>
      <c r="P228" s="49">
        <v>0</v>
      </c>
      <c r="Q228" s="58">
        <v>0</v>
      </c>
      <c r="R228" s="42">
        <v>0</v>
      </c>
      <c r="S228" s="83" t="s">
        <v>283</v>
      </c>
      <c r="T228" s="49">
        <v>1</v>
      </c>
      <c r="U228" s="83">
        <v>0</v>
      </c>
      <c r="V228" s="49">
        <v>0</v>
      </c>
      <c r="W228" s="49">
        <v>0</v>
      </c>
      <c r="X228" s="58"/>
      <c r="Y228" s="83">
        <v>5</v>
      </c>
      <c r="AD228" s="49">
        <v>7</v>
      </c>
      <c r="AE228" s="49">
        <v>55</v>
      </c>
      <c r="AJ228" s="49">
        <v>0</v>
      </c>
      <c r="AK228" s="83">
        <v>0</v>
      </c>
      <c r="AL228" s="49">
        <v>0</v>
      </c>
      <c r="AM228" s="49">
        <v>0</v>
      </c>
      <c r="AN228" s="49">
        <v>0</v>
      </c>
      <c r="AO228" s="58">
        <v>0</v>
      </c>
      <c r="AP228" s="174" t="s">
        <v>284</v>
      </c>
      <c r="AQ228" s="175" t="s">
        <v>284</v>
      </c>
      <c r="AR228" s="175" t="s">
        <v>284</v>
      </c>
      <c r="AS228" s="175" t="s">
        <v>284</v>
      </c>
      <c r="AT228" s="175" t="s">
        <v>284</v>
      </c>
      <c r="AU228" s="175" t="s">
        <v>284</v>
      </c>
      <c r="AV228" s="175" t="s">
        <v>284</v>
      </c>
      <c r="AW228" s="175" t="s">
        <v>284</v>
      </c>
      <c r="AX228" s="83">
        <v>0</v>
      </c>
      <c r="AY228" s="49">
        <v>0</v>
      </c>
      <c r="AZ228" s="49">
        <v>0</v>
      </c>
      <c r="BA228" s="49">
        <v>0</v>
      </c>
      <c r="BB228" s="58">
        <v>0</v>
      </c>
      <c r="BC228" s="42">
        <v>80</v>
      </c>
      <c r="BD228" s="49">
        <v>74.69</v>
      </c>
      <c r="BS228" s="58"/>
      <c r="BT228" s="83"/>
      <c r="CE228" s="83"/>
      <c r="CK228" s="58"/>
      <c r="CL228" s="83"/>
      <c r="CO228" s="58"/>
      <c r="CP228" s="83"/>
      <c r="CR228" s="58"/>
      <c r="CS228" s="83"/>
      <c r="CY228" s="83"/>
      <c r="DG228" s="58"/>
      <c r="DH228" s="83"/>
      <c r="DQ228" s="83"/>
      <c r="EE228" s="58"/>
      <c r="EF228" s="83"/>
      <c r="EI228" s="83"/>
      <c r="EK228" s="58"/>
      <c r="EL228" s="83"/>
      <c r="EO228" s="58"/>
      <c r="EP228" s="83"/>
      <c r="EQ228" s="58"/>
      <c r="ER228" s="83"/>
      <c r="ES228" s="58"/>
      <c r="ET228" s="83"/>
      <c r="EU228" s="58"/>
    </row>
    <row r="229" spans="1:151">
      <c r="A229" s="42" t="s">
        <v>326</v>
      </c>
      <c r="B229" s="173" t="s">
        <v>128</v>
      </c>
      <c r="C229" s="173" t="s">
        <v>503</v>
      </c>
      <c r="D229" s="83" t="s">
        <v>66</v>
      </c>
      <c r="E229" s="49" t="s">
        <v>3</v>
      </c>
      <c r="F229" s="49" t="s">
        <v>287</v>
      </c>
      <c r="G229" s="49">
        <v>46.86</v>
      </c>
      <c r="H229" s="49">
        <v>4742</v>
      </c>
      <c r="I229" s="49">
        <v>205</v>
      </c>
      <c r="J229" s="159">
        <v>13.666666666666666</v>
      </c>
      <c r="K229" s="49">
        <v>3</v>
      </c>
      <c r="L229" s="49">
        <v>1</v>
      </c>
      <c r="M229" s="83">
        <v>0</v>
      </c>
      <c r="N229" s="49">
        <v>0</v>
      </c>
      <c r="O229" s="49">
        <v>0</v>
      </c>
      <c r="P229" s="49">
        <v>0</v>
      </c>
      <c r="Q229" s="58">
        <v>0</v>
      </c>
      <c r="R229" s="42">
        <v>0</v>
      </c>
      <c r="S229" s="83">
        <v>1</v>
      </c>
      <c r="U229" s="83">
        <v>0</v>
      </c>
      <c r="V229" s="49">
        <v>0</v>
      </c>
      <c r="W229" s="49">
        <v>0</v>
      </c>
      <c r="X229" s="58"/>
      <c r="Y229" s="83">
        <v>0</v>
      </c>
      <c r="AJ229" s="49">
        <v>0</v>
      </c>
      <c r="AK229" s="83">
        <v>0</v>
      </c>
      <c r="AL229" s="49">
        <v>0</v>
      </c>
      <c r="AM229" s="49">
        <v>0</v>
      </c>
      <c r="AN229" s="49">
        <v>0</v>
      </c>
      <c r="AO229" s="58">
        <v>0</v>
      </c>
      <c r="AP229" s="174" t="s">
        <v>284</v>
      </c>
      <c r="AQ229" s="175" t="s">
        <v>284</v>
      </c>
      <c r="AR229" s="175" t="s">
        <v>284</v>
      </c>
      <c r="AS229" s="175" t="s">
        <v>284</v>
      </c>
      <c r="AT229" s="175" t="s">
        <v>284</v>
      </c>
      <c r="AU229" s="175" t="s">
        <v>284</v>
      </c>
      <c r="AV229" s="175" t="s">
        <v>284</v>
      </c>
      <c r="AW229" s="175" t="s">
        <v>284</v>
      </c>
      <c r="AX229" s="83">
        <v>0</v>
      </c>
      <c r="AY229" s="49">
        <v>0</v>
      </c>
      <c r="AZ229" s="49">
        <v>0</v>
      </c>
      <c r="BA229" s="49">
        <v>0</v>
      </c>
      <c r="BB229" s="58">
        <v>0</v>
      </c>
      <c r="BC229" s="42">
        <v>80</v>
      </c>
      <c r="BD229" s="49">
        <v>76.363</v>
      </c>
      <c r="BS229" s="58"/>
      <c r="BT229" s="83"/>
      <c r="CE229" s="83"/>
      <c r="CK229" s="58"/>
      <c r="CL229" s="83"/>
      <c r="CO229" s="58"/>
      <c r="CP229" s="83"/>
      <c r="CR229" s="58"/>
      <c r="CS229" s="83"/>
      <c r="CY229" s="83"/>
      <c r="DG229" s="58"/>
      <c r="DH229" s="83"/>
      <c r="DQ229" s="83"/>
      <c r="EE229" s="58"/>
      <c r="EF229" s="83"/>
      <c r="EI229" s="83"/>
      <c r="EK229" s="58"/>
      <c r="EL229" s="83"/>
      <c r="EO229" s="58"/>
      <c r="EP229" s="83"/>
      <c r="EQ229" s="58"/>
      <c r="ER229" s="83"/>
      <c r="ES229" s="58"/>
      <c r="ET229" s="83"/>
      <c r="EU229" s="58"/>
    </row>
    <row r="230" spans="1:151">
      <c r="A230" s="42" t="s">
        <v>326</v>
      </c>
      <c r="B230" s="173" t="s">
        <v>128</v>
      </c>
      <c r="C230" s="173" t="s">
        <v>503</v>
      </c>
      <c r="D230" s="83" t="s">
        <v>66</v>
      </c>
      <c r="E230" s="49" t="s">
        <v>4</v>
      </c>
      <c r="F230" s="49" t="s">
        <v>287</v>
      </c>
      <c r="G230" s="49">
        <v>46.86</v>
      </c>
      <c r="H230" s="49">
        <v>4742</v>
      </c>
      <c r="I230" s="49">
        <v>256</v>
      </c>
      <c r="J230" s="159">
        <v>7.3142857142857141</v>
      </c>
      <c r="K230" s="49">
        <v>1</v>
      </c>
      <c r="L230" s="49">
        <v>2</v>
      </c>
      <c r="M230" s="83">
        <v>0</v>
      </c>
      <c r="N230" s="49">
        <v>0</v>
      </c>
      <c r="O230" s="49">
        <v>0</v>
      </c>
      <c r="P230" s="49">
        <v>0</v>
      </c>
      <c r="Q230" s="58">
        <v>0</v>
      </c>
      <c r="R230" s="42">
        <v>0</v>
      </c>
      <c r="S230" s="83">
        <v>1</v>
      </c>
      <c r="U230" s="83">
        <v>0</v>
      </c>
      <c r="V230" s="49">
        <v>0</v>
      </c>
      <c r="W230" s="49">
        <v>0</v>
      </c>
      <c r="X230" s="58"/>
      <c r="Y230" s="83">
        <v>1</v>
      </c>
      <c r="AI230" s="49">
        <v>9</v>
      </c>
      <c r="AJ230" s="49">
        <v>0</v>
      </c>
      <c r="AK230" s="83">
        <v>0</v>
      </c>
      <c r="AL230" s="49">
        <v>1</v>
      </c>
      <c r="AM230" s="49">
        <v>1</v>
      </c>
      <c r="AN230" s="49">
        <v>0</v>
      </c>
      <c r="AO230" s="58">
        <v>0</v>
      </c>
      <c r="AP230" s="174">
        <v>30</v>
      </c>
      <c r="AQ230" s="175">
        <v>121</v>
      </c>
      <c r="AR230" s="175">
        <v>22</v>
      </c>
      <c r="AS230" s="175">
        <v>53</v>
      </c>
      <c r="AT230" s="175" t="s">
        <v>284</v>
      </c>
      <c r="AU230" s="175" t="s">
        <v>284</v>
      </c>
      <c r="AV230" s="175" t="s">
        <v>284</v>
      </c>
      <c r="AW230" s="175" t="s">
        <v>284</v>
      </c>
      <c r="AX230" s="83">
        <v>0</v>
      </c>
      <c r="AY230" s="49">
        <v>0</v>
      </c>
      <c r="AZ230" s="49">
        <v>0</v>
      </c>
      <c r="BA230" s="49">
        <v>0</v>
      </c>
      <c r="BB230" s="58">
        <v>0</v>
      </c>
      <c r="BC230" s="42">
        <v>80</v>
      </c>
      <c r="BD230" s="49">
        <v>74.63</v>
      </c>
      <c r="BS230" s="58"/>
      <c r="BT230" s="83"/>
      <c r="CE230" s="83"/>
      <c r="CK230" s="58"/>
      <c r="CL230" s="83"/>
      <c r="CO230" s="58"/>
      <c r="CP230" s="83"/>
      <c r="CR230" s="58"/>
      <c r="CS230" s="83"/>
      <c r="CY230" s="83"/>
      <c r="DG230" s="58"/>
      <c r="DH230" s="83"/>
      <c r="DQ230" s="83"/>
      <c r="EE230" s="58"/>
      <c r="EF230" s="83"/>
      <c r="EI230" s="83"/>
      <c r="EK230" s="58"/>
      <c r="EL230" s="83"/>
      <c r="EO230" s="58"/>
      <c r="EP230" s="83"/>
      <c r="EQ230" s="58"/>
      <c r="ER230" s="83"/>
      <c r="ES230" s="58"/>
      <c r="ET230" s="83"/>
      <c r="EU230" s="58"/>
    </row>
    <row r="231" spans="1:151">
      <c r="A231" s="42" t="s">
        <v>326</v>
      </c>
      <c r="B231" s="173" t="s">
        <v>128</v>
      </c>
      <c r="C231" s="173" t="s">
        <v>503</v>
      </c>
      <c r="D231" s="83" t="s">
        <v>66</v>
      </c>
      <c r="E231" s="49" t="s">
        <v>5</v>
      </c>
      <c r="F231" s="49" t="s">
        <v>287</v>
      </c>
      <c r="G231" s="49">
        <v>46.86</v>
      </c>
      <c r="H231" s="49">
        <v>4742</v>
      </c>
      <c r="I231" s="49">
        <v>507</v>
      </c>
      <c r="J231" s="159">
        <v>17.482758620689655</v>
      </c>
      <c r="K231" s="49">
        <v>3</v>
      </c>
      <c r="L231" s="49">
        <v>2</v>
      </c>
      <c r="M231" s="83">
        <v>0</v>
      </c>
      <c r="N231" s="49">
        <v>0</v>
      </c>
      <c r="O231" s="49">
        <v>0</v>
      </c>
      <c r="P231" s="49">
        <v>0</v>
      </c>
      <c r="Q231" s="58">
        <v>0</v>
      </c>
      <c r="R231" s="42">
        <v>0</v>
      </c>
      <c r="S231" s="83">
        <v>1</v>
      </c>
      <c r="U231" s="83">
        <v>0</v>
      </c>
      <c r="V231" s="49">
        <v>0</v>
      </c>
      <c r="W231" s="49">
        <v>0</v>
      </c>
      <c r="X231" s="58"/>
      <c r="Y231" s="83">
        <v>1</v>
      </c>
      <c r="AD231" s="49">
        <v>8</v>
      </c>
      <c r="AE231" s="49">
        <v>55</v>
      </c>
      <c r="AJ231" s="49">
        <v>0</v>
      </c>
      <c r="AK231" s="83">
        <v>0</v>
      </c>
      <c r="AL231" s="49">
        <v>0</v>
      </c>
      <c r="AM231" s="49">
        <v>0</v>
      </c>
      <c r="AN231" s="49">
        <v>0</v>
      </c>
      <c r="AO231" s="58">
        <v>0</v>
      </c>
      <c r="AP231" s="174">
        <v>0</v>
      </c>
      <c r="AQ231" s="175">
        <v>0</v>
      </c>
      <c r="AR231" s="175">
        <v>0</v>
      </c>
      <c r="AS231" s="175">
        <v>0</v>
      </c>
      <c r="AT231" s="175" t="s">
        <v>284</v>
      </c>
      <c r="AU231" s="175" t="s">
        <v>284</v>
      </c>
      <c r="AV231" s="175" t="s">
        <v>284</v>
      </c>
      <c r="AW231" s="175" t="s">
        <v>284</v>
      </c>
      <c r="AX231" s="83">
        <v>0</v>
      </c>
      <c r="AY231" s="49">
        <v>0</v>
      </c>
      <c r="AZ231" s="49">
        <v>0</v>
      </c>
      <c r="BA231" s="49">
        <v>0</v>
      </c>
      <c r="BB231" s="58">
        <v>0</v>
      </c>
      <c r="BC231" s="42">
        <v>80</v>
      </c>
      <c r="BD231" s="49">
        <v>75.73</v>
      </c>
      <c r="BS231" s="58"/>
      <c r="BT231" s="83"/>
      <c r="CE231" s="83">
        <v>75.05</v>
      </c>
      <c r="CK231" s="58"/>
      <c r="CL231" s="83"/>
      <c r="CO231" s="58"/>
      <c r="CP231" s="83"/>
      <c r="CR231" s="58"/>
      <c r="CS231" s="83"/>
      <c r="CY231" s="83"/>
      <c r="DG231" s="58"/>
      <c r="DH231" s="83"/>
      <c r="DQ231" s="83"/>
      <c r="EE231" s="58"/>
      <c r="EF231" s="83"/>
      <c r="EI231" s="83"/>
      <c r="EK231" s="58"/>
      <c r="EL231" s="83"/>
      <c r="EO231" s="58"/>
      <c r="EP231" s="83"/>
      <c r="EQ231" s="58"/>
      <c r="ER231" s="83"/>
      <c r="ES231" s="58"/>
      <c r="ET231" s="83"/>
      <c r="EU231" s="58"/>
    </row>
    <row r="232" spans="1:151">
      <c r="A232" s="42" t="s">
        <v>326</v>
      </c>
      <c r="B232" s="173" t="s">
        <v>128</v>
      </c>
      <c r="C232" s="173" t="s">
        <v>503</v>
      </c>
      <c r="D232" s="83" t="s">
        <v>67</v>
      </c>
      <c r="F232" s="49" t="s">
        <v>287</v>
      </c>
      <c r="G232" s="49">
        <v>46.86</v>
      </c>
      <c r="H232" s="49">
        <v>4742</v>
      </c>
      <c r="I232" s="49">
        <v>253</v>
      </c>
      <c r="J232" s="159">
        <v>12.047619047619047</v>
      </c>
      <c r="K232" s="49">
        <v>3</v>
      </c>
      <c r="L232" s="49">
        <v>1</v>
      </c>
      <c r="M232" s="83">
        <v>0</v>
      </c>
      <c r="N232" s="49">
        <v>0</v>
      </c>
      <c r="O232" s="49">
        <v>0</v>
      </c>
      <c r="P232" s="49">
        <v>0</v>
      </c>
      <c r="Q232" s="58">
        <v>0</v>
      </c>
      <c r="R232" s="42">
        <v>0</v>
      </c>
      <c r="S232" s="83" t="s">
        <v>283</v>
      </c>
      <c r="T232" s="49">
        <v>1</v>
      </c>
      <c r="U232" s="83">
        <v>0</v>
      </c>
      <c r="V232" s="49">
        <v>0</v>
      </c>
      <c r="W232" s="49">
        <v>0</v>
      </c>
      <c r="X232" s="58"/>
      <c r="Y232" s="83">
        <v>2</v>
      </c>
      <c r="AD232" s="49">
        <v>2</v>
      </c>
      <c r="AE232" s="49">
        <v>4</v>
      </c>
      <c r="AJ232" s="49">
        <v>0</v>
      </c>
      <c r="AK232" s="83">
        <v>0</v>
      </c>
      <c r="AL232" s="49">
        <v>0</v>
      </c>
      <c r="AM232" s="49">
        <v>0</v>
      </c>
      <c r="AN232" s="49">
        <v>0</v>
      </c>
      <c r="AO232" s="58">
        <v>0</v>
      </c>
      <c r="AP232" s="174" t="s">
        <v>284</v>
      </c>
      <c r="AQ232" s="175" t="s">
        <v>284</v>
      </c>
      <c r="AR232" s="175" t="s">
        <v>284</v>
      </c>
      <c r="AS232" s="175" t="s">
        <v>284</v>
      </c>
      <c r="AT232" s="175" t="s">
        <v>284</v>
      </c>
      <c r="AU232" s="175" t="s">
        <v>284</v>
      </c>
      <c r="AV232" s="175" t="s">
        <v>284</v>
      </c>
      <c r="AW232" s="175" t="s">
        <v>284</v>
      </c>
      <c r="AX232" s="83">
        <v>0</v>
      </c>
      <c r="AY232" s="49">
        <v>0</v>
      </c>
      <c r="AZ232" s="49">
        <v>0</v>
      </c>
      <c r="BA232" s="49">
        <v>0</v>
      </c>
      <c r="BB232" s="58">
        <v>0</v>
      </c>
      <c r="BC232" s="42">
        <v>119</v>
      </c>
      <c r="BS232" s="58"/>
      <c r="BT232" s="83"/>
      <c r="CE232" s="83"/>
      <c r="CK232" s="58"/>
      <c r="CL232" s="83"/>
      <c r="CO232" s="58"/>
      <c r="CP232" s="83"/>
      <c r="CR232" s="58"/>
      <c r="CS232" s="83"/>
      <c r="CY232" s="83"/>
      <c r="DG232" s="58"/>
      <c r="DH232" s="83"/>
      <c r="DQ232" s="83"/>
      <c r="EE232" s="58"/>
      <c r="EF232" s="83"/>
      <c r="EI232" s="83"/>
      <c r="EK232" s="58"/>
      <c r="EL232" s="83"/>
      <c r="EO232" s="58"/>
      <c r="EP232" s="83"/>
      <c r="EQ232" s="58"/>
      <c r="ER232" s="83"/>
      <c r="ES232" s="58"/>
      <c r="ET232" s="83"/>
      <c r="EU232" s="58"/>
    </row>
    <row r="233" spans="1:151">
      <c r="A233" s="42" t="s">
        <v>326</v>
      </c>
      <c r="B233" s="173" t="s">
        <v>128</v>
      </c>
      <c r="C233" s="173" t="s">
        <v>503</v>
      </c>
      <c r="D233" s="83" t="s">
        <v>129</v>
      </c>
      <c r="E233" s="49" t="s">
        <v>0</v>
      </c>
      <c r="F233" s="49" t="s">
        <v>287</v>
      </c>
      <c r="G233" s="49">
        <v>46.86</v>
      </c>
      <c r="H233" s="49">
        <v>4742</v>
      </c>
      <c r="I233" s="49">
        <v>754</v>
      </c>
      <c r="J233" s="159">
        <v>3.8469387755102042</v>
      </c>
      <c r="K233" s="49">
        <v>1</v>
      </c>
      <c r="L233" s="49">
        <v>2</v>
      </c>
      <c r="M233" s="83">
        <v>0</v>
      </c>
      <c r="N233" s="49">
        <v>0</v>
      </c>
      <c r="O233" s="49">
        <v>0</v>
      </c>
      <c r="P233" s="49">
        <v>0</v>
      </c>
      <c r="Q233" s="58">
        <v>0</v>
      </c>
      <c r="R233" s="42">
        <v>0</v>
      </c>
      <c r="S233" s="83" t="s">
        <v>283</v>
      </c>
      <c r="T233" s="49">
        <v>5</v>
      </c>
      <c r="U233" s="83">
        <v>1</v>
      </c>
      <c r="V233" s="49">
        <v>2</v>
      </c>
      <c r="W233" s="49">
        <v>2</v>
      </c>
      <c r="X233" s="58"/>
      <c r="Y233" s="83">
        <v>0</v>
      </c>
      <c r="AJ233" s="49">
        <v>0</v>
      </c>
      <c r="AK233" s="83">
        <v>0</v>
      </c>
      <c r="AL233" s="49">
        <v>0</v>
      </c>
      <c r="AM233" s="49">
        <v>0</v>
      </c>
      <c r="AN233" s="49">
        <v>0</v>
      </c>
      <c r="AO233" s="58">
        <v>0</v>
      </c>
      <c r="AP233" s="174">
        <v>0</v>
      </c>
      <c r="AQ233" s="175">
        <v>0</v>
      </c>
      <c r="AR233" s="175">
        <v>0</v>
      </c>
      <c r="AS233" s="175">
        <v>0</v>
      </c>
      <c r="AT233" s="175">
        <v>0</v>
      </c>
      <c r="AU233" s="175">
        <v>0</v>
      </c>
      <c r="AV233" s="175">
        <v>0</v>
      </c>
      <c r="AW233" s="175">
        <v>0</v>
      </c>
      <c r="AX233" s="83">
        <v>0</v>
      </c>
      <c r="AY233" s="49">
        <v>1</v>
      </c>
      <c r="AZ233" s="49">
        <v>0</v>
      </c>
      <c r="BA233" s="49">
        <v>0</v>
      </c>
      <c r="BB233" s="58">
        <v>1</v>
      </c>
      <c r="BC233" s="42">
        <v>120</v>
      </c>
      <c r="BS233" s="58"/>
      <c r="BT233" s="83"/>
      <c r="CE233" s="83"/>
      <c r="CK233" s="58"/>
      <c r="CL233" s="83"/>
      <c r="CO233" s="58"/>
      <c r="CP233" s="83"/>
      <c r="CR233" s="58"/>
      <c r="CS233" s="83"/>
      <c r="CY233" s="83"/>
      <c r="DG233" s="58"/>
      <c r="DH233" s="83"/>
      <c r="DQ233" s="83"/>
      <c r="EE233" s="58"/>
      <c r="EF233" s="83"/>
      <c r="EI233" s="83"/>
      <c r="EK233" s="58"/>
      <c r="EL233" s="83"/>
      <c r="EO233" s="58"/>
      <c r="EP233" s="83"/>
      <c r="EQ233" s="58"/>
      <c r="ER233" s="83"/>
      <c r="ES233" s="58"/>
      <c r="ET233" s="83"/>
      <c r="EU233" s="58"/>
    </row>
    <row r="234" spans="1:151">
      <c r="A234" s="42" t="s">
        <v>326</v>
      </c>
      <c r="B234" s="173" t="s">
        <v>128</v>
      </c>
      <c r="C234" s="173" t="s">
        <v>503</v>
      </c>
      <c r="D234" s="83" t="s">
        <v>129</v>
      </c>
      <c r="E234" s="49" t="s">
        <v>1</v>
      </c>
      <c r="F234" s="49" t="s">
        <v>287</v>
      </c>
      <c r="G234" s="49">
        <v>46.86</v>
      </c>
      <c r="H234" s="49">
        <v>4742</v>
      </c>
      <c r="I234" s="49">
        <v>375</v>
      </c>
      <c r="J234" s="159">
        <v>4.213483146067416</v>
      </c>
      <c r="K234" s="49">
        <v>2</v>
      </c>
      <c r="L234" s="49">
        <v>3</v>
      </c>
      <c r="M234" s="83">
        <v>0</v>
      </c>
      <c r="N234" s="49">
        <v>0</v>
      </c>
      <c r="O234" s="49">
        <v>0</v>
      </c>
      <c r="P234" s="49">
        <v>0</v>
      </c>
      <c r="Q234" s="58">
        <v>0</v>
      </c>
      <c r="R234" s="42">
        <v>0</v>
      </c>
      <c r="S234" s="83" t="s">
        <v>283</v>
      </c>
      <c r="T234" s="49">
        <v>3</v>
      </c>
      <c r="U234" s="83">
        <v>0</v>
      </c>
      <c r="V234" s="49">
        <v>0</v>
      </c>
      <c r="W234" s="49">
        <v>0</v>
      </c>
      <c r="X234" s="58"/>
      <c r="Y234" s="83">
        <v>1</v>
      </c>
      <c r="AD234" s="49">
        <v>15</v>
      </c>
      <c r="AE234" s="49">
        <v>46</v>
      </c>
      <c r="AJ234" s="49">
        <v>0</v>
      </c>
      <c r="AK234" s="83">
        <v>0</v>
      </c>
      <c r="AL234" s="49">
        <v>0</v>
      </c>
      <c r="AM234" s="49">
        <v>0</v>
      </c>
      <c r="AN234" s="49">
        <v>0</v>
      </c>
      <c r="AO234" s="58">
        <v>0</v>
      </c>
      <c r="AP234" s="174">
        <v>0</v>
      </c>
      <c r="AQ234" s="175">
        <v>0</v>
      </c>
      <c r="AR234" s="175">
        <v>0</v>
      </c>
      <c r="AS234" s="175">
        <v>0</v>
      </c>
      <c r="AT234" s="175">
        <v>0</v>
      </c>
      <c r="AU234" s="175">
        <v>0</v>
      </c>
      <c r="AV234" s="175">
        <v>0</v>
      </c>
      <c r="AW234" s="175">
        <v>0</v>
      </c>
      <c r="AX234" s="83">
        <v>0</v>
      </c>
      <c r="AY234" s="49">
        <v>0</v>
      </c>
      <c r="AZ234" s="49">
        <v>0</v>
      </c>
      <c r="BA234" s="49">
        <v>0</v>
      </c>
      <c r="BB234" s="58">
        <v>0</v>
      </c>
      <c r="BC234" s="42">
        <v>120</v>
      </c>
      <c r="BS234" s="58"/>
      <c r="BT234" s="83"/>
      <c r="CE234" s="83"/>
      <c r="CK234" s="58"/>
      <c r="CL234" s="83"/>
      <c r="CO234" s="58"/>
      <c r="CP234" s="83"/>
      <c r="CR234" s="58"/>
      <c r="CS234" s="83"/>
      <c r="CY234" s="83"/>
      <c r="DG234" s="58"/>
      <c r="DH234" s="83"/>
      <c r="DQ234" s="83"/>
      <c r="EE234" s="58"/>
      <c r="EF234" s="83"/>
      <c r="EI234" s="83"/>
      <c r="EK234" s="58"/>
      <c r="EL234" s="83"/>
      <c r="EO234" s="58"/>
      <c r="EP234" s="83"/>
      <c r="EQ234" s="58"/>
      <c r="ER234" s="83"/>
      <c r="ES234" s="58"/>
      <c r="ET234" s="83"/>
      <c r="EU234" s="58"/>
    </row>
    <row r="235" spans="1:151">
      <c r="A235" s="42" t="s">
        <v>326</v>
      </c>
      <c r="B235" s="173" t="s">
        <v>128</v>
      </c>
      <c r="C235" s="173" t="s">
        <v>503</v>
      </c>
      <c r="D235" s="83" t="s">
        <v>129</v>
      </c>
      <c r="E235" s="49" t="s">
        <v>2</v>
      </c>
      <c r="F235" s="49" t="s">
        <v>287</v>
      </c>
      <c r="G235" s="49">
        <v>46.86</v>
      </c>
      <c r="H235" s="49">
        <v>4742</v>
      </c>
      <c r="I235" s="49">
        <v>501</v>
      </c>
      <c r="J235" s="159">
        <v>2.947058823529412</v>
      </c>
      <c r="K235" s="49">
        <v>1</v>
      </c>
      <c r="L235" s="49">
        <v>3</v>
      </c>
      <c r="M235" s="83">
        <v>0</v>
      </c>
      <c r="N235" s="49">
        <v>0</v>
      </c>
      <c r="O235" s="49">
        <v>0</v>
      </c>
      <c r="P235" s="49">
        <v>0</v>
      </c>
      <c r="Q235" s="58">
        <v>0</v>
      </c>
      <c r="R235" s="42">
        <v>0</v>
      </c>
      <c r="S235" s="83" t="s">
        <v>283</v>
      </c>
      <c r="T235" s="49">
        <v>7</v>
      </c>
      <c r="U235" s="83">
        <v>0</v>
      </c>
      <c r="V235" s="49">
        <v>0</v>
      </c>
      <c r="W235" s="49">
        <v>0</v>
      </c>
      <c r="X235" s="58"/>
      <c r="Y235" s="83">
        <v>1</v>
      </c>
      <c r="AH235" s="49">
        <v>32</v>
      </c>
      <c r="AI235" s="49">
        <v>83</v>
      </c>
      <c r="AJ235" s="49">
        <v>0</v>
      </c>
      <c r="AK235" s="83">
        <v>0</v>
      </c>
      <c r="AL235" s="49">
        <v>0</v>
      </c>
      <c r="AM235" s="49">
        <v>0</v>
      </c>
      <c r="AN235" s="49">
        <v>0</v>
      </c>
      <c r="AO235" s="58">
        <v>0</v>
      </c>
      <c r="AP235" s="174">
        <v>0</v>
      </c>
      <c r="AQ235" s="175">
        <v>0</v>
      </c>
      <c r="AR235" s="175">
        <v>0</v>
      </c>
      <c r="AS235" s="175">
        <v>0</v>
      </c>
      <c r="AT235" s="175">
        <v>0</v>
      </c>
      <c r="AU235" s="175">
        <v>0</v>
      </c>
      <c r="AV235" s="175">
        <v>0</v>
      </c>
      <c r="AW235" s="175">
        <v>0</v>
      </c>
      <c r="AX235" s="83">
        <v>0</v>
      </c>
      <c r="AY235" s="49">
        <v>0</v>
      </c>
      <c r="AZ235" s="49">
        <v>0</v>
      </c>
      <c r="BA235" s="49">
        <v>0</v>
      </c>
      <c r="BB235" s="58">
        <v>0</v>
      </c>
      <c r="BC235" s="42">
        <v>120</v>
      </c>
      <c r="BS235" s="58"/>
      <c r="BT235" s="83"/>
      <c r="CE235" s="83"/>
      <c r="CK235" s="58"/>
      <c r="CL235" s="83"/>
      <c r="CO235" s="58"/>
      <c r="CP235" s="83"/>
      <c r="CR235" s="58"/>
      <c r="CS235" s="83"/>
      <c r="CY235" s="83"/>
      <c r="DG235" s="58"/>
      <c r="DH235" s="83"/>
      <c r="DQ235" s="83"/>
      <c r="EE235" s="58"/>
      <c r="EF235" s="83"/>
      <c r="EI235" s="83"/>
      <c r="EK235" s="58"/>
      <c r="EL235" s="83"/>
      <c r="EO235" s="58"/>
      <c r="EP235" s="83"/>
      <c r="EQ235" s="58"/>
      <c r="ER235" s="83"/>
      <c r="ES235" s="58"/>
      <c r="ET235" s="83"/>
      <c r="EU235" s="58"/>
    </row>
    <row r="236" spans="1:151">
      <c r="A236" s="42" t="s">
        <v>326</v>
      </c>
      <c r="B236" s="173" t="s">
        <v>128</v>
      </c>
      <c r="C236" s="173" t="s">
        <v>503</v>
      </c>
      <c r="D236" s="83" t="s">
        <v>130</v>
      </c>
      <c r="F236" s="49" t="s">
        <v>287</v>
      </c>
      <c r="G236" s="49">
        <v>46.86</v>
      </c>
      <c r="H236" s="49">
        <v>4742</v>
      </c>
      <c r="I236" s="49">
        <v>419</v>
      </c>
      <c r="J236" s="159">
        <v>5.4415584415584419</v>
      </c>
      <c r="K236" s="49">
        <v>1</v>
      </c>
      <c r="L236" s="49">
        <v>2</v>
      </c>
      <c r="M236" s="83">
        <v>0</v>
      </c>
      <c r="N236" s="49">
        <v>0</v>
      </c>
      <c r="O236" s="49">
        <v>1</v>
      </c>
      <c r="P236" s="49">
        <v>1</v>
      </c>
      <c r="Q236" s="58">
        <v>0</v>
      </c>
      <c r="R236" s="42">
        <v>2</v>
      </c>
      <c r="S236" s="83" t="s">
        <v>283</v>
      </c>
      <c r="T236" s="49">
        <v>2</v>
      </c>
      <c r="U236" s="83">
        <v>0</v>
      </c>
      <c r="V236" s="49">
        <v>0</v>
      </c>
      <c r="W236" s="49">
        <v>0</v>
      </c>
      <c r="X236" s="58"/>
      <c r="Y236" s="83">
        <v>3</v>
      </c>
      <c r="AD236" s="49">
        <v>3</v>
      </c>
      <c r="AE236" s="49">
        <v>38</v>
      </c>
      <c r="AH236" s="49">
        <v>23</v>
      </c>
      <c r="AI236" s="49">
        <v>92</v>
      </c>
      <c r="AJ236" s="49">
        <v>0</v>
      </c>
      <c r="AK236" s="83">
        <v>0</v>
      </c>
      <c r="AL236" s="49">
        <v>1</v>
      </c>
      <c r="AM236" s="49">
        <v>1</v>
      </c>
      <c r="AN236" s="49">
        <v>0</v>
      </c>
      <c r="AO236" s="58">
        <v>0</v>
      </c>
      <c r="AP236" s="174">
        <v>80</v>
      </c>
      <c r="AQ236" s="175">
        <v>96</v>
      </c>
      <c r="AR236" s="175">
        <v>31</v>
      </c>
      <c r="AS236" s="175">
        <v>70</v>
      </c>
      <c r="AT236" s="175">
        <v>0</v>
      </c>
      <c r="AU236" s="175">
        <v>0</v>
      </c>
      <c r="AV236" s="175">
        <v>0</v>
      </c>
      <c r="AW236" s="175">
        <v>0</v>
      </c>
      <c r="AX236" s="83">
        <v>0</v>
      </c>
      <c r="AY236" s="49">
        <v>0</v>
      </c>
      <c r="AZ236" s="49">
        <v>0</v>
      </c>
      <c r="BA236" s="49">
        <v>0</v>
      </c>
      <c r="BB236" s="58">
        <v>0</v>
      </c>
      <c r="BC236" s="42">
        <v>108</v>
      </c>
      <c r="BS236" s="58"/>
      <c r="BT236" s="83"/>
      <c r="CE236" s="83"/>
      <c r="CK236" s="58"/>
      <c r="CL236" s="83"/>
      <c r="CO236" s="58"/>
      <c r="CP236" s="83"/>
      <c r="CR236" s="58"/>
      <c r="CS236" s="83"/>
      <c r="CY236" s="83"/>
      <c r="DG236" s="58"/>
      <c r="DH236" s="83"/>
      <c r="DQ236" s="83"/>
      <c r="EE236" s="58"/>
      <c r="EF236" s="83"/>
      <c r="EI236" s="83"/>
      <c r="EK236" s="58"/>
      <c r="EL236" s="83"/>
      <c r="EO236" s="58"/>
      <c r="EP236" s="83"/>
      <c r="EQ236" s="58"/>
      <c r="ER236" s="83"/>
      <c r="ES236" s="58"/>
      <c r="ET236" s="83"/>
      <c r="EU236" s="58"/>
    </row>
    <row r="237" spans="1:151">
      <c r="A237" s="42" t="s">
        <v>326</v>
      </c>
      <c r="B237" s="173" t="s">
        <v>128</v>
      </c>
      <c r="C237" s="173" t="s">
        <v>503</v>
      </c>
      <c r="D237" s="83" t="s">
        <v>131</v>
      </c>
      <c r="F237" s="49" t="s">
        <v>287</v>
      </c>
      <c r="G237" s="49">
        <v>46.86</v>
      </c>
      <c r="H237" s="49">
        <v>4742</v>
      </c>
      <c r="I237" s="49">
        <v>527</v>
      </c>
      <c r="J237" s="159">
        <v>6.7564102564102564</v>
      </c>
      <c r="K237" s="49">
        <v>1</v>
      </c>
      <c r="L237" s="49">
        <v>1</v>
      </c>
      <c r="M237" s="83">
        <v>1</v>
      </c>
      <c r="N237" s="49">
        <v>0</v>
      </c>
      <c r="O237" s="49">
        <v>0</v>
      </c>
      <c r="P237" s="49">
        <v>0</v>
      </c>
      <c r="Q237" s="58">
        <v>0</v>
      </c>
      <c r="R237" s="42">
        <v>1</v>
      </c>
      <c r="S237" s="83" t="s">
        <v>283</v>
      </c>
      <c r="T237" s="49">
        <v>2</v>
      </c>
      <c r="U237" s="83">
        <v>1</v>
      </c>
      <c r="V237" s="49">
        <v>1</v>
      </c>
      <c r="W237" s="49">
        <v>1</v>
      </c>
      <c r="X237" s="58">
        <v>2</v>
      </c>
      <c r="Y237" s="83">
        <v>1</v>
      </c>
      <c r="AD237" s="49">
        <v>3</v>
      </c>
      <c r="AE237" s="49">
        <v>90</v>
      </c>
      <c r="AH237" s="49">
        <v>5</v>
      </c>
      <c r="AI237" s="49">
        <v>60</v>
      </c>
      <c r="AJ237" s="49">
        <v>0</v>
      </c>
      <c r="AK237" s="83">
        <v>0</v>
      </c>
      <c r="AL237" s="49">
        <v>0</v>
      </c>
      <c r="AM237" s="49">
        <v>1</v>
      </c>
      <c r="AN237" s="49">
        <v>0</v>
      </c>
      <c r="AO237" s="58">
        <v>0</v>
      </c>
      <c r="AP237" s="174">
        <v>0</v>
      </c>
      <c r="AQ237" s="175">
        <v>0</v>
      </c>
      <c r="AR237" s="175">
        <v>0</v>
      </c>
      <c r="AS237" s="175">
        <v>192</v>
      </c>
      <c r="AT237" s="175">
        <v>0</v>
      </c>
      <c r="AU237" s="175">
        <v>0</v>
      </c>
      <c r="AV237" s="175">
        <v>0</v>
      </c>
      <c r="AW237" s="175">
        <v>0</v>
      </c>
      <c r="AX237" s="83">
        <v>0</v>
      </c>
      <c r="AY237" s="49">
        <v>0</v>
      </c>
      <c r="AZ237" s="49">
        <v>0</v>
      </c>
      <c r="BA237" s="49">
        <v>0</v>
      </c>
      <c r="BB237" s="58">
        <v>0</v>
      </c>
      <c r="BC237" s="42">
        <v>105</v>
      </c>
      <c r="BD237" s="49">
        <v>77.55</v>
      </c>
      <c r="BE237" s="159">
        <v>78.010000000000005</v>
      </c>
      <c r="BS237" s="58"/>
      <c r="BT237" s="83"/>
      <c r="CE237" s="83"/>
      <c r="CK237" s="58"/>
      <c r="CL237" s="83"/>
      <c r="CO237" s="58"/>
      <c r="CP237" s="83"/>
      <c r="CR237" s="58"/>
      <c r="CS237" s="83"/>
      <c r="CY237" s="83"/>
      <c r="DG237" s="58"/>
      <c r="DH237" s="83"/>
      <c r="DQ237" s="83"/>
      <c r="EE237" s="58"/>
      <c r="EF237" s="83"/>
      <c r="EI237" s="83"/>
      <c r="EK237" s="58"/>
      <c r="EL237" s="83"/>
      <c r="EO237" s="58"/>
      <c r="EP237" s="83"/>
      <c r="EQ237" s="58"/>
      <c r="ER237" s="83"/>
      <c r="ES237" s="58"/>
      <c r="ET237" s="83"/>
      <c r="EU237" s="58"/>
    </row>
    <row r="238" spans="1:151" ht="17" thickBot="1">
      <c r="A238" s="55" t="s">
        <v>326</v>
      </c>
      <c r="B238" s="47" t="s">
        <v>128</v>
      </c>
      <c r="C238" s="47" t="s">
        <v>503</v>
      </c>
      <c r="D238" s="84" t="s">
        <v>132</v>
      </c>
      <c r="E238" s="57"/>
      <c r="F238" s="57" t="s">
        <v>287</v>
      </c>
      <c r="G238" s="57">
        <v>46.86</v>
      </c>
      <c r="H238" s="57">
        <v>4742</v>
      </c>
      <c r="I238" s="57">
        <v>738</v>
      </c>
      <c r="J238" s="75">
        <v>11.903225806451612</v>
      </c>
      <c r="K238" s="57">
        <v>2</v>
      </c>
      <c r="L238" s="57">
        <v>3</v>
      </c>
      <c r="M238" s="84">
        <v>0</v>
      </c>
      <c r="N238" s="57">
        <v>0</v>
      </c>
      <c r="O238" s="57">
        <v>0</v>
      </c>
      <c r="P238" s="57">
        <v>0</v>
      </c>
      <c r="Q238" s="56">
        <v>0</v>
      </c>
      <c r="R238" s="55">
        <v>0</v>
      </c>
      <c r="S238" s="84" t="s">
        <v>283</v>
      </c>
      <c r="T238" s="57">
        <v>2</v>
      </c>
      <c r="U238" s="84">
        <v>0</v>
      </c>
      <c r="V238" s="57">
        <v>0</v>
      </c>
      <c r="W238" s="57">
        <v>0</v>
      </c>
      <c r="X238" s="56"/>
      <c r="Y238" s="84">
        <v>1</v>
      </c>
      <c r="Z238" s="57"/>
      <c r="AA238" s="57"/>
      <c r="AB238" s="57"/>
      <c r="AC238" s="57"/>
      <c r="AD238" s="57">
        <v>18</v>
      </c>
      <c r="AE238" s="57">
        <v>89</v>
      </c>
      <c r="AF238" s="57"/>
      <c r="AG238" s="57"/>
      <c r="AH238" s="57"/>
      <c r="AI238" s="57"/>
      <c r="AJ238" s="57">
        <v>0</v>
      </c>
      <c r="AK238" s="84">
        <v>0</v>
      </c>
      <c r="AL238" s="57">
        <v>0</v>
      </c>
      <c r="AM238" s="57">
        <v>1</v>
      </c>
      <c r="AN238" s="57">
        <v>0</v>
      </c>
      <c r="AO238" s="56">
        <v>0</v>
      </c>
      <c r="AP238" s="178">
        <v>0</v>
      </c>
      <c r="AQ238" s="179">
        <v>0</v>
      </c>
      <c r="AR238" s="179">
        <v>32</v>
      </c>
      <c r="AS238" s="179">
        <v>87</v>
      </c>
      <c r="AT238" s="179">
        <v>0</v>
      </c>
      <c r="AU238" s="179">
        <v>0</v>
      </c>
      <c r="AV238" s="179">
        <v>0</v>
      </c>
      <c r="AW238" s="179">
        <v>0</v>
      </c>
      <c r="AX238" s="84">
        <v>0</v>
      </c>
      <c r="AY238" s="57">
        <v>1</v>
      </c>
      <c r="AZ238" s="57">
        <v>0</v>
      </c>
      <c r="BA238" s="57">
        <v>0</v>
      </c>
      <c r="BB238" s="56">
        <v>2</v>
      </c>
      <c r="BC238" s="55">
        <v>100</v>
      </c>
      <c r="BD238" s="57"/>
      <c r="BE238" s="75"/>
      <c r="BF238" s="57"/>
      <c r="BG238" s="57"/>
      <c r="BH238" s="57"/>
      <c r="BI238" s="57"/>
      <c r="BJ238" s="57"/>
      <c r="BK238" s="57"/>
      <c r="BL238" s="57"/>
      <c r="BM238" s="57"/>
      <c r="BN238" s="57"/>
      <c r="BO238" s="57"/>
      <c r="BP238" s="57"/>
      <c r="BQ238" s="57"/>
      <c r="BR238" s="57"/>
      <c r="BS238" s="56"/>
      <c r="BT238" s="84"/>
      <c r="BU238" s="57"/>
      <c r="BV238" s="57"/>
      <c r="BW238" s="57"/>
      <c r="BX238" s="57"/>
      <c r="BY238" s="57"/>
      <c r="BZ238" s="57"/>
      <c r="CA238" s="57"/>
      <c r="CB238" s="57"/>
      <c r="CC238" s="57"/>
      <c r="CD238" s="57"/>
      <c r="CE238" s="84"/>
      <c r="CF238" s="57"/>
      <c r="CG238" s="57"/>
      <c r="CH238" s="57"/>
      <c r="CI238" s="57"/>
      <c r="CJ238" s="57"/>
      <c r="CK238" s="56"/>
      <c r="CL238" s="84"/>
      <c r="CM238" s="57"/>
      <c r="CN238" s="57"/>
      <c r="CO238" s="56"/>
      <c r="CP238" s="84"/>
      <c r="CQ238" s="57"/>
      <c r="CR238" s="56"/>
      <c r="CS238" s="84"/>
      <c r="CT238" s="57"/>
      <c r="CU238" s="57"/>
      <c r="CV238" s="57"/>
      <c r="CW238" s="57"/>
      <c r="CX238" s="57"/>
      <c r="CY238" s="84"/>
      <c r="CZ238" s="57"/>
      <c r="DA238" s="57"/>
      <c r="DB238" s="57"/>
      <c r="DC238" s="57"/>
      <c r="DD238" s="57"/>
      <c r="DE238" s="57"/>
      <c r="DF238" s="57"/>
      <c r="DG238" s="56"/>
      <c r="DH238" s="84"/>
      <c r="DI238" s="57"/>
      <c r="DJ238" s="57"/>
      <c r="DK238" s="57"/>
      <c r="DL238" s="57"/>
      <c r="DM238" s="57"/>
      <c r="DN238" s="57"/>
      <c r="DO238" s="57"/>
      <c r="DP238" s="57"/>
      <c r="DQ238" s="84"/>
      <c r="DR238" s="57"/>
      <c r="DS238" s="57"/>
      <c r="DT238" s="57"/>
      <c r="DU238" s="57"/>
      <c r="DV238" s="57"/>
      <c r="DW238" s="57"/>
      <c r="DX238" s="57"/>
      <c r="DY238" s="57"/>
      <c r="DZ238" s="57"/>
      <c r="EA238" s="57"/>
      <c r="EB238" s="57"/>
      <c r="EC238" s="57"/>
      <c r="ED238" s="57"/>
      <c r="EE238" s="56"/>
      <c r="EF238" s="84"/>
      <c r="EG238" s="57"/>
      <c r="EH238" s="57"/>
      <c r="EI238" s="84"/>
      <c r="EJ238" s="57"/>
      <c r="EK238" s="56"/>
      <c r="EL238" s="84"/>
      <c r="EM238" s="57"/>
      <c r="EN238" s="57"/>
      <c r="EO238" s="56"/>
      <c r="EP238" s="84"/>
      <c r="EQ238" s="56"/>
      <c r="ER238" s="84"/>
      <c r="ES238" s="56"/>
      <c r="ET238" s="84"/>
      <c r="EU238" s="56"/>
    </row>
    <row r="239" spans="1:151">
      <c r="A239" s="83" t="s">
        <v>326</v>
      </c>
      <c r="B239" s="173" t="s">
        <v>133</v>
      </c>
      <c r="C239" s="173" t="s">
        <v>503</v>
      </c>
      <c r="D239" s="83" t="s">
        <v>64</v>
      </c>
      <c r="E239" s="49" t="s">
        <v>0</v>
      </c>
      <c r="F239" s="49" t="s">
        <v>287</v>
      </c>
      <c r="G239" s="49">
        <v>46.86</v>
      </c>
      <c r="H239" s="49">
        <v>4742</v>
      </c>
      <c r="I239" s="49">
        <v>146</v>
      </c>
      <c r="J239" s="159">
        <v>2.5614035087719298</v>
      </c>
      <c r="K239" s="49">
        <v>4</v>
      </c>
      <c r="L239" s="49">
        <v>3</v>
      </c>
      <c r="M239" s="83">
        <v>0</v>
      </c>
      <c r="N239" s="49">
        <v>0</v>
      </c>
      <c r="O239" s="49">
        <v>0</v>
      </c>
      <c r="P239" s="49">
        <v>0</v>
      </c>
      <c r="Q239" s="58">
        <v>0</v>
      </c>
      <c r="R239" s="42">
        <v>0</v>
      </c>
      <c r="S239" s="83" t="s">
        <v>284</v>
      </c>
      <c r="U239" s="83">
        <v>0</v>
      </c>
      <c r="V239" s="49">
        <v>0</v>
      </c>
      <c r="W239" s="49">
        <v>0</v>
      </c>
      <c r="X239" s="58"/>
      <c r="Y239" s="83">
        <v>1</v>
      </c>
      <c r="AE239" s="49">
        <v>5</v>
      </c>
      <c r="AJ239" s="49">
        <v>0</v>
      </c>
      <c r="AK239" s="83">
        <v>0</v>
      </c>
      <c r="AL239" s="49">
        <v>0</v>
      </c>
      <c r="AM239" s="49">
        <v>0</v>
      </c>
      <c r="AN239" s="49">
        <v>0</v>
      </c>
      <c r="AO239" s="58">
        <v>0</v>
      </c>
      <c r="AP239" s="174">
        <v>0</v>
      </c>
      <c r="AQ239" s="175">
        <v>0</v>
      </c>
      <c r="AR239" s="175">
        <v>0</v>
      </c>
      <c r="AS239" s="175">
        <v>0</v>
      </c>
      <c r="AT239" s="175">
        <v>0</v>
      </c>
      <c r="AU239" s="175">
        <v>0</v>
      </c>
      <c r="AV239" s="175">
        <v>0</v>
      </c>
      <c r="AW239" s="175">
        <v>0</v>
      </c>
      <c r="AX239" s="83">
        <v>0</v>
      </c>
      <c r="AY239" s="49">
        <v>0</v>
      </c>
      <c r="AZ239" s="49">
        <v>0</v>
      </c>
      <c r="BA239" s="49">
        <v>0</v>
      </c>
      <c r="BB239" s="58">
        <v>0</v>
      </c>
      <c r="BC239" s="42">
        <v>79</v>
      </c>
      <c r="BS239" s="58"/>
      <c r="BT239" s="83"/>
      <c r="CE239" s="83"/>
      <c r="CK239" s="58"/>
      <c r="CL239" s="83"/>
      <c r="CO239" s="58"/>
      <c r="CP239" s="83"/>
      <c r="CR239" s="58"/>
      <c r="CS239" s="83"/>
      <c r="CY239" s="83"/>
      <c r="DG239" s="58"/>
      <c r="DH239" s="83"/>
      <c r="DQ239" s="83"/>
      <c r="EE239" s="58"/>
      <c r="EF239" s="83"/>
      <c r="EI239" s="83"/>
      <c r="EK239" s="58"/>
      <c r="EL239" s="83"/>
      <c r="EO239" s="58"/>
      <c r="EP239" s="83"/>
      <c r="EQ239" s="58"/>
      <c r="ER239" s="83"/>
      <c r="ES239" s="58"/>
      <c r="ET239" s="83"/>
      <c r="EU239" s="58"/>
    </row>
    <row r="240" spans="1:151">
      <c r="A240" s="83" t="s">
        <v>326</v>
      </c>
      <c r="B240" s="173" t="s">
        <v>133</v>
      </c>
      <c r="C240" s="173" t="s">
        <v>503</v>
      </c>
      <c r="D240" s="83" t="s">
        <v>64</v>
      </c>
      <c r="E240" s="49" t="s">
        <v>1</v>
      </c>
      <c r="F240" s="49" t="s">
        <v>287</v>
      </c>
      <c r="G240" s="49">
        <v>46.86</v>
      </c>
      <c r="H240" s="49">
        <v>4742</v>
      </c>
      <c r="I240" s="49">
        <v>306</v>
      </c>
      <c r="J240" s="159">
        <v>13.304347826086957</v>
      </c>
      <c r="K240" s="49">
        <v>3</v>
      </c>
      <c r="L240" s="49">
        <v>1</v>
      </c>
      <c r="M240" s="83">
        <v>0</v>
      </c>
      <c r="N240" s="49">
        <v>0</v>
      </c>
      <c r="O240" s="49">
        <v>0</v>
      </c>
      <c r="P240" s="49">
        <v>0</v>
      </c>
      <c r="Q240" s="58">
        <v>0</v>
      </c>
      <c r="R240" s="42">
        <v>0</v>
      </c>
      <c r="S240" s="83" t="s">
        <v>284</v>
      </c>
      <c r="U240" s="83">
        <v>0</v>
      </c>
      <c r="V240" s="49">
        <v>0</v>
      </c>
      <c r="W240" s="49">
        <v>0</v>
      </c>
      <c r="X240" s="58"/>
      <c r="Y240" s="83">
        <v>0</v>
      </c>
      <c r="AJ240" s="49">
        <v>0</v>
      </c>
      <c r="AK240" s="83">
        <v>0</v>
      </c>
      <c r="AL240" s="49">
        <v>0</v>
      </c>
      <c r="AM240" s="49">
        <v>0</v>
      </c>
      <c r="AN240" s="49">
        <v>0</v>
      </c>
      <c r="AO240" s="58">
        <v>0</v>
      </c>
      <c r="AP240" s="174">
        <v>0</v>
      </c>
      <c r="AQ240" s="175">
        <v>0</v>
      </c>
      <c r="AR240" s="175">
        <v>0</v>
      </c>
      <c r="AS240" s="175">
        <v>0</v>
      </c>
      <c r="AT240" s="175">
        <v>0</v>
      </c>
      <c r="AU240" s="175">
        <v>0</v>
      </c>
      <c r="AV240" s="175">
        <v>0</v>
      </c>
      <c r="AW240" s="175">
        <v>0</v>
      </c>
      <c r="AX240" s="83">
        <v>0</v>
      </c>
      <c r="AY240" s="49">
        <v>0</v>
      </c>
      <c r="AZ240" s="49">
        <v>0</v>
      </c>
      <c r="BA240" s="49">
        <v>0</v>
      </c>
      <c r="BB240" s="58">
        <v>0</v>
      </c>
      <c r="BC240" s="42">
        <v>79</v>
      </c>
      <c r="BS240" s="58"/>
      <c r="BT240" s="83"/>
      <c r="CE240" s="83"/>
      <c r="CK240" s="58"/>
      <c r="CL240" s="83"/>
      <c r="CO240" s="58"/>
      <c r="CP240" s="83"/>
      <c r="CR240" s="58"/>
      <c r="CS240" s="83"/>
      <c r="CY240" s="83"/>
      <c r="DG240" s="58"/>
      <c r="DH240" s="83"/>
      <c r="DQ240" s="83"/>
      <c r="EE240" s="58"/>
      <c r="EF240" s="83"/>
      <c r="EI240" s="83"/>
      <c r="EK240" s="58"/>
      <c r="EL240" s="83"/>
      <c r="EO240" s="58"/>
      <c r="EP240" s="83"/>
      <c r="EQ240" s="58"/>
      <c r="ER240" s="83"/>
      <c r="ES240" s="58"/>
      <c r="ET240" s="83"/>
      <c r="EU240" s="58"/>
    </row>
    <row r="241" spans="1:151">
      <c r="A241" s="83" t="s">
        <v>326</v>
      </c>
      <c r="B241" s="173" t="s">
        <v>133</v>
      </c>
      <c r="C241" s="173" t="s">
        <v>503</v>
      </c>
      <c r="D241" s="83" t="s">
        <v>64</v>
      </c>
      <c r="E241" s="49" t="s">
        <v>2</v>
      </c>
      <c r="F241" s="49" t="s">
        <v>287</v>
      </c>
      <c r="G241" s="49">
        <v>46.86</v>
      </c>
      <c r="H241" s="49">
        <v>4742</v>
      </c>
      <c r="I241" s="49">
        <v>589</v>
      </c>
      <c r="J241" s="159">
        <v>4.75</v>
      </c>
      <c r="K241" s="49">
        <v>1</v>
      </c>
      <c r="L241" s="49">
        <v>4</v>
      </c>
      <c r="M241" s="83">
        <v>0</v>
      </c>
      <c r="N241" s="49">
        <v>2</v>
      </c>
      <c r="O241" s="49">
        <v>0</v>
      </c>
      <c r="P241" s="49">
        <v>0</v>
      </c>
      <c r="Q241" s="58">
        <v>0</v>
      </c>
      <c r="R241" s="42">
        <v>2</v>
      </c>
      <c r="S241" s="83">
        <v>1</v>
      </c>
      <c r="U241" s="83">
        <v>0</v>
      </c>
      <c r="V241" s="49">
        <v>0</v>
      </c>
      <c r="W241" s="49">
        <v>0</v>
      </c>
      <c r="X241" s="58"/>
      <c r="Y241" s="83">
        <v>1</v>
      </c>
      <c r="AH241" s="49">
        <v>33</v>
      </c>
      <c r="AI241" s="49">
        <v>58</v>
      </c>
      <c r="AJ241" s="49">
        <v>0</v>
      </c>
      <c r="AK241" s="83">
        <v>0</v>
      </c>
      <c r="AL241" s="49">
        <v>1</v>
      </c>
      <c r="AM241" s="49">
        <v>0</v>
      </c>
      <c r="AN241" s="49">
        <v>0</v>
      </c>
      <c r="AO241" s="58">
        <v>0</v>
      </c>
      <c r="AP241" s="174">
        <v>52</v>
      </c>
      <c r="AQ241" s="175">
        <v>321</v>
      </c>
      <c r="AR241" s="175">
        <v>0</v>
      </c>
      <c r="AS241" s="175">
        <v>0</v>
      </c>
      <c r="AT241" s="175">
        <v>0</v>
      </c>
      <c r="AU241" s="175">
        <v>0</v>
      </c>
      <c r="AV241" s="175">
        <v>0</v>
      </c>
      <c r="AW241" s="175">
        <v>0</v>
      </c>
      <c r="AX241" s="83">
        <v>0</v>
      </c>
      <c r="AY241" s="49">
        <v>0</v>
      </c>
      <c r="AZ241" s="49">
        <v>0</v>
      </c>
      <c r="BA241" s="49">
        <v>0</v>
      </c>
      <c r="BB241" s="58">
        <v>0</v>
      </c>
      <c r="BC241" s="42">
        <v>79</v>
      </c>
      <c r="BS241" s="58"/>
      <c r="BT241" s="83"/>
      <c r="CE241" s="83"/>
      <c r="CK241" s="58"/>
      <c r="CL241" s="83"/>
      <c r="CO241" s="58"/>
      <c r="CP241" s="83"/>
      <c r="CR241" s="58"/>
      <c r="CS241" s="83"/>
      <c r="CY241" s="83"/>
      <c r="DG241" s="58"/>
      <c r="DH241" s="83"/>
      <c r="DQ241" s="83"/>
      <c r="EE241" s="58"/>
      <c r="EF241" s="83"/>
      <c r="EI241" s="83"/>
      <c r="EK241" s="58"/>
      <c r="EL241" s="83"/>
      <c r="EO241" s="58"/>
      <c r="EP241" s="83"/>
      <c r="EQ241" s="58"/>
      <c r="ER241" s="83"/>
      <c r="ES241" s="58"/>
      <c r="ET241" s="83"/>
      <c r="EU241" s="58"/>
    </row>
    <row r="242" spans="1:151">
      <c r="A242" s="83" t="s">
        <v>326</v>
      </c>
      <c r="B242" s="173" t="s">
        <v>133</v>
      </c>
      <c r="C242" s="173" t="s">
        <v>503</v>
      </c>
      <c r="D242" s="83" t="s">
        <v>65</v>
      </c>
      <c r="F242" s="49" t="s">
        <v>287</v>
      </c>
      <c r="G242" s="49">
        <v>46.86</v>
      </c>
      <c r="H242" s="49">
        <v>4742</v>
      </c>
      <c r="I242" s="49">
        <v>497</v>
      </c>
      <c r="J242" s="159">
        <v>3.1257861635220126</v>
      </c>
      <c r="K242" s="49">
        <v>1</v>
      </c>
      <c r="L242" s="49">
        <v>4</v>
      </c>
      <c r="M242" s="83">
        <v>0</v>
      </c>
      <c r="N242" s="49">
        <v>0</v>
      </c>
      <c r="O242" s="49">
        <v>0</v>
      </c>
      <c r="P242" s="49">
        <v>1</v>
      </c>
      <c r="Q242" s="58">
        <v>0</v>
      </c>
      <c r="R242" s="42">
        <v>1</v>
      </c>
      <c r="S242" s="83" t="s">
        <v>284</v>
      </c>
      <c r="U242" s="83">
        <v>1</v>
      </c>
      <c r="V242" s="49">
        <v>2</v>
      </c>
      <c r="W242" s="49">
        <v>1</v>
      </c>
      <c r="X242" s="58">
        <v>2</v>
      </c>
      <c r="Y242" s="83">
        <v>0</v>
      </c>
      <c r="AE242" s="49">
        <v>10</v>
      </c>
      <c r="AH242" s="49">
        <v>4</v>
      </c>
      <c r="AI242" s="49">
        <v>100</v>
      </c>
      <c r="AJ242" s="49">
        <v>0</v>
      </c>
      <c r="AK242" s="83">
        <v>0</v>
      </c>
      <c r="AL242" s="49">
        <v>0</v>
      </c>
      <c r="AM242" s="49">
        <v>1</v>
      </c>
      <c r="AN242" s="49">
        <v>0</v>
      </c>
      <c r="AO242" s="58">
        <v>0</v>
      </c>
      <c r="AP242" s="174">
        <v>0</v>
      </c>
      <c r="AQ242" s="175">
        <v>0</v>
      </c>
      <c r="AR242" s="175">
        <v>0</v>
      </c>
      <c r="AS242" s="175">
        <v>54</v>
      </c>
      <c r="AT242" s="175">
        <v>0</v>
      </c>
      <c r="AU242" s="175">
        <v>0</v>
      </c>
      <c r="AV242" s="175">
        <v>0</v>
      </c>
      <c r="AW242" s="175">
        <v>0</v>
      </c>
      <c r="AX242" s="83">
        <v>0</v>
      </c>
      <c r="AY242" s="49">
        <v>0</v>
      </c>
      <c r="AZ242" s="49">
        <v>0</v>
      </c>
      <c r="BA242" s="49">
        <v>0</v>
      </c>
      <c r="BB242" s="58">
        <v>0</v>
      </c>
      <c r="BC242" s="42">
        <v>88</v>
      </c>
      <c r="BS242" s="58"/>
      <c r="BT242" s="83"/>
      <c r="CE242" s="83"/>
      <c r="CK242" s="58"/>
      <c r="CL242" s="83"/>
      <c r="CO242" s="58"/>
      <c r="CP242" s="83"/>
      <c r="CR242" s="58"/>
      <c r="CS242" s="83"/>
      <c r="CY242" s="83"/>
      <c r="DG242" s="58"/>
      <c r="DH242" s="83"/>
      <c r="DQ242" s="83"/>
      <c r="EE242" s="58"/>
      <c r="EF242" s="83"/>
      <c r="EI242" s="83"/>
      <c r="EK242" s="58"/>
      <c r="EL242" s="83"/>
      <c r="EO242" s="58"/>
      <c r="EP242" s="83"/>
      <c r="EQ242" s="58"/>
      <c r="ER242" s="83"/>
      <c r="ES242" s="58"/>
      <c r="ET242" s="83"/>
      <c r="EU242" s="58"/>
    </row>
    <row r="243" spans="1:151">
      <c r="A243" s="83" t="s">
        <v>326</v>
      </c>
      <c r="B243" s="173" t="s">
        <v>133</v>
      </c>
      <c r="C243" s="173" t="s">
        <v>503</v>
      </c>
      <c r="D243" s="83" t="s">
        <v>66</v>
      </c>
      <c r="F243" s="49" t="s">
        <v>287</v>
      </c>
      <c r="G243" s="49">
        <v>46.86</v>
      </c>
      <c r="H243" s="49">
        <v>4742</v>
      </c>
      <c r="I243" s="49">
        <v>956</v>
      </c>
      <c r="J243" s="159">
        <v>5.4942528735632186</v>
      </c>
      <c r="K243" s="49">
        <v>1</v>
      </c>
      <c r="L243" s="49">
        <v>1</v>
      </c>
      <c r="M243" s="83">
        <v>0</v>
      </c>
      <c r="N243" s="49">
        <v>0</v>
      </c>
      <c r="O243" s="49">
        <v>1</v>
      </c>
      <c r="P243" s="49">
        <v>1</v>
      </c>
      <c r="Q243" s="58">
        <v>0</v>
      </c>
      <c r="R243" s="42">
        <v>2</v>
      </c>
      <c r="S243" s="83" t="s">
        <v>283</v>
      </c>
      <c r="T243" s="49">
        <v>28</v>
      </c>
      <c r="U243" s="83">
        <v>0</v>
      </c>
      <c r="V243" s="49">
        <v>0</v>
      </c>
      <c r="W243" s="49">
        <v>0</v>
      </c>
      <c r="X243" s="58"/>
      <c r="Y243" s="83">
        <v>0</v>
      </c>
      <c r="AJ243" s="49">
        <v>0</v>
      </c>
      <c r="AK243" s="83">
        <v>0</v>
      </c>
      <c r="AL243" s="49">
        <v>0</v>
      </c>
      <c r="AM243" s="49">
        <v>1</v>
      </c>
      <c r="AN243" s="49">
        <v>0</v>
      </c>
      <c r="AO243" s="58">
        <v>0</v>
      </c>
      <c r="AP243" s="174">
        <v>0</v>
      </c>
      <c r="AQ243" s="175">
        <v>0</v>
      </c>
      <c r="AR243" s="175">
        <v>83</v>
      </c>
      <c r="AS243" s="175">
        <v>171</v>
      </c>
      <c r="AT243" s="175">
        <v>0</v>
      </c>
      <c r="AU243" s="175">
        <v>0</v>
      </c>
      <c r="AV243" s="175">
        <v>0</v>
      </c>
      <c r="AW243" s="175">
        <v>0</v>
      </c>
      <c r="AX243" s="83">
        <v>0</v>
      </c>
      <c r="AY243" s="49">
        <v>0</v>
      </c>
      <c r="AZ243" s="49">
        <v>0</v>
      </c>
      <c r="BA243" s="49">
        <v>0</v>
      </c>
      <c r="BB243" s="58">
        <v>0</v>
      </c>
      <c r="BC243" s="42">
        <v>121</v>
      </c>
      <c r="BD243" s="49">
        <v>80.55</v>
      </c>
      <c r="BS243" s="58"/>
      <c r="BT243" s="83">
        <v>80.56</v>
      </c>
      <c r="CE243" s="83">
        <v>75.73</v>
      </c>
      <c r="CK243" s="58"/>
      <c r="CL243" s="83"/>
      <c r="CO243" s="58"/>
      <c r="CP243" s="83"/>
      <c r="CR243" s="58"/>
      <c r="CS243" s="83"/>
      <c r="CY243" s="83"/>
      <c r="DG243" s="58"/>
      <c r="DH243" s="83"/>
      <c r="DQ243" s="83"/>
      <c r="EE243" s="58"/>
      <c r="EF243" s="83"/>
      <c r="EI243" s="83"/>
      <c r="EK243" s="58"/>
      <c r="EL243" s="83"/>
      <c r="EO243" s="58"/>
      <c r="EP243" s="83"/>
      <c r="EQ243" s="58"/>
      <c r="ER243" s="83"/>
      <c r="ES243" s="58"/>
      <c r="ET243" s="83"/>
      <c r="EU243" s="58"/>
    </row>
    <row r="244" spans="1:151">
      <c r="A244" s="83" t="s">
        <v>326</v>
      </c>
      <c r="B244" s="173" t="s">
        <v>133</v>
      </c>
      <c r="C244" s="173" t="s">
        <v>503</v>
      </c>
      <c r="D244" s="83" t="s">
        <v>68</v>
      </c>
      <c r="F244" s="49" t="s">
        <v>286</v>
      </c>
      <c r="G244" s="49">
        <v>46.86</v>
      </c>
      <c r="H244" s="49">
        <v>4742</v>
      </c>
      <c r="I244" s="49">
        <v>1125</v>
      </c>
      <c r="J244" s="159">
        <v>13.235294117647058</v>
      </c>
      <c r="K244" s="49">
        <v>2</v>
      </c>
      <c r="L244" s="49">
        <v>2</v>
      </c>
      <c r="M244" s="83">
        <v>1</v>
      </c>
      <c r="N244" s="49">
        <v>0</v>
      </c>
      <c r="O244" s="49">
        <v>0</v>
      </c>
      <c r="P244" s="49">
        <v>0</v>
      </c>
      <c r="Q244" s="58">
        <v>0</v>
      </c>
      <c r="R244" s="42">
        <v>1</v>
      </c>
      <c r="S244" s="83" t="s">
        <v>284</v>
      </c>
      <c r="U244" s="83">
        <v>0</v>
      </c>
      <c r="V244" s="49">
        <v>0</v>
      </c>
      <c r="W244" s="49">
        <v>0</v>
      </c>
      <c r="X244" s="58"/>
      <c r="Y244" s="83">
        <v>1</v>
      </c>
      <c r="AD244" s="49">
        <v>2</v>
      </c>
      <c r="AE244" s="49">
        <v>124</v>
      </c>
      <c r="AH244" s="49">
        <v>12</v>
      </c>
      <c r="AI244" s="49">
        <v>98</v>
      </c>
      <c r="AJ244" s="49">
        <v>0</v>
      </c>
      <c r="AK244" s="83">
        <v>0</v>
      </c>
      <c r="AL244" s="49">
        <v>1</v>
      </c>
      <c r="AM244" s="49">
        <v>0</v>
      </c>
      <c r="AN244" s="49">
        <v>0</v>
      </c>
      <c r="AO244" s="58">
        <v>0</v>
      </c>
      <c r="AP244" s="174">
        <v>0</v>
      </c>
      <c r="AQ244" s="175">
        <v>124</v>
      </c>
      <c r="AR244" s="175">
        <v>0</v>
      </c>
      <c r="AS244" s="175">
        <v>0</v>
      </c>
      <c r="AT244" s="175">
        <v>0</v>
      </c>
      <c r="AU244" s="175">
        <v>0</v>
      </c>
      <c r="AV244" s="175">
        <v>0</v>
      </c>
      <c r="AW244" s="175">
        <v>0</v>
      </c>
      <c r="AX244" s="83">
        <v>0</v>
      </c>
      <c r="AY244" s="49">
        <v>1</v>
      </c>
      <c r="AZ244" s="49">
        <v>0</v>
      </c>
      <c r="BA244" s="49">
        <v>0</v>
      </c>
      <c r="BB244" s="58">
        <v>1</v>
      </c>
      <c r="BC244" s="42">
        <v>106</v>
      </c>
      <c r="BD244" s="49">
        <v>75.62</v>
      </c>
      <c r="BE244" s="49"/>
      <c r="BS244" s="58"/>
      <c r="BT244" s="83"/>
      <c r="CE244" s="83">
        <v>74.77</v>
      </c>
      <c r="CK244" s="58"/>
      <c r="CL244" s="83"/>
      <c r="CO244" s="58"/>
      <c r="CP244" s="83"/>
      <c r="CR244" s="58"/>
      <c r="CS244" s="83"/>
      <c r="CY244" s="83"/>
      <c r="DG244" s="58"/>
      <c r="DH244" s="83"/>
      <c r="DQ244" s="83"/>
      <c r="EE244" s="58"/>
      <c r="EF244" s="83"/>
      <c r="EI244" s="83"/>
      <c r="EK244" s="58"/>
      <c r="EL244" s="83"/>
      <c r="EO244" s="58"/>
      <c r="EP244" s="83"/>
      <c r="EQ244" s="58"/>
      <c r="ER244" s="83"/>
      <c r="ES244" s="58"/>
      <c r="ET244" s="83"/>
      <c r="EU244" s="58"/>
    </row>
    <row r="245" spans="1:151">
      <c r="A245" s="83" t="s">
        <v>326</v>
      </c>
      <c r="B245" s="173" t="s">
        <v>133</v>
      </c>
      <c r="C245" s="173" t="s">
        <v>503</v>
      </c>
      <c r="D245" s="83" t="s">
        <v>69</v>
      </c>
      <c r="F245" s="49" t="s">
        <v>287</v>
      </c>
      <c r="G245" s="49">
        <v>46.86</v>
      </c>
      <c r="H245" s="49">
        <v>4742</v>
      </c>
      <c r="I245" s="49">
        <v>784</v>
      </c>
      <c r="J245" s="159">
        <v>2.2790697674418605</v>
      </c>
      <c r="K245" s="49">
        <v>1</v>
      </c>
      <c r="L245" s="49">
        <v>3</v>
      </c>
      <c r="M245" s="83">
        <v>0</v>
      </c>
      <c r="O245" s="49">
        <v>1</v>
      </c>
      <c r="P245" s="49">
        <v>1</v>
      </c>
      <c r="Q245" s="58">
        <v>0</v>
      </c>
      <c r="R245" s="42">
        <v>2</v>
      </c>
      <c r="S245" s="83" t="s">
        <v>284</v>
      </c>
      <c r="U245" s="83">
        <v>1</v>
      </c>
      <c r="V245" s="49">
        <v>3</v>
      </c>
      <c r="W245" s="49">
        <v>1</v>
      </c>
      <c r="X245" s="58">
        <v>3</v>
      </c>
      <c r="Y245" s="83">
        <v>0</v>
      </c>
      <c r="AJ245" s="49">
        <v>0</v>
      </c>
      <c r="AK245" s="83">
        <v>0</v>
      </c>
      <c r="AL245" s="49">
        <v>0</v>
      </c>
      <c r="AM245" s="49">
        <v>0</v>
      </c>
      <c r="AN245" s="49">
        <v>0</v>
      </c>
      <c r="AO245" s="58">
        <v>0</v>
      </c>
      <c r="AP245" s="174">
        <v>0</v>
      </c>
      <c r="AQ245" s="175">
        <v>0</v>
      </c>
      <c r="AR245" s="175">
        <v>0</v>
      </c>
      <c r="AS245" s="175">
        <v>0</v>
      </c>
      <c r="AT245" s="175">
        <v>0</v>
      </c>
      <c r="AU245" s="175">
        <v>0</v>
      </c>
      <c r="AV245" s="175">
        <v>0</v>
      </c>
      <c r="AW245" s="175">
        <v>0</v>
      </c>
      <c r="AX245" s="83">
        <v>0</v>
      </c>
      <c r="AY245" s="49">
        <v>1</v>
      </c>
      <c r="AZ245" s="49">
        <v>0</v>
      </c>
      <c r="BA245" s="49">
        <v>0</v>
      </c>
      <c r="BB245" s="58">
        <v>5</v>
      </c>
      <c r="BC245" s="42">
        <v>109</v>
      </c>
      <c r="BE245" s="49"/>
      <c r="BS245" s="58"/>
      <c r="BT245" s="83"/>
      <c r="CE245" s="83"/>
      <c r="CK245" s="58"/>
      <c r="CL245" s="83"/>
      <c r="CO245" s="58"/>
      <c r="CP245" s="83"/>
      <c r="CR245" s="58"/>
      <c r="CS245" s="83"/>
      <c r="CY245" s="83"/>
      <c r="DG245" s="58"/>
      <c r="DH245" s="83"/>
      <c r="DQ245" s="83"/>
      <c r="EE245" s="58"/>
      <c r="EF245" s="83"/>
      <c r="EI245" s="83"/>
      <c r="EK245" s="58"/>
      <c r="EL245" s="83"/>
      <c r="EO245" s="58"/>
      <c r="EP245" s="83"/>
      <c r="EQ245" s="58"/>
      <c r="ER245" s="83"/>
      <c r="ES245" s="58"/>
      <c r="ET245" s="83"/>
      <c r="EU245" s="58"/>
    </row>
    <row r="246" spans="1:151">
      <c r="A246" s="83" t="s">
        <v>326</v>
      </c>
      <c r="B246" s="173" t="s">
        <v>133</v>
      </c>
      <c r="C246" s="173" t="s">
        <v>503</v>
      </c>
      <c r="D246" s="83" t="s">
        <v>74</v>
      </c>
      <c r="F246" s="49" t="s">
        <v>287</v>
      </c>
      <c r="G246" s="49">
        <v>46.86</v>
      </c>
      <c r="H246" s="49">
        <v>4742</v>
      </c>
      <c r="I246" s="49">
        <v>279</v>
      </c>
      <c r="J246" s="159">
        <v>1.5414364640883977</v>
      </c>
      <c r="K246" s="49">
        <v>4</v>
      </c>
      <c r="L246" s="49">
        <v>3</v>
      </c>
      <c r="M246" s="83">
        <v>1</v>
      </c>
      <c r="N246" s="49">
        <v>0</v>
      </c>
      <c r="O246" s="49">
        <v>0</v>
      </c>
      <c r="P246" s="49">
        <v>0</v>
      </c>
      <c r="Q246" s="58">
        <v>0</v>
      </c>
      <c r="R246" s="42">
        <v>1</v>
      </c>
      <c r="S246" s="83" t="s">
        <v>284</v>
      </c>
      <c r="U246" s="83">
        <v>2</v>
      </c>
      <c r="V246" s="49">
        <v>2</v>
      </c>
      <c r="W246" s="49">
        <v>3</v>
      </c>
      <c r="X246" s="58">
        <v>2</v>
      </c>
      <c r="Y246" s="83">
        <v>0</v>
      </c>
      <c r="AJ246" s="49">
        <v>0</v>
      </c>
      <c r="AK246" s="83">
        <v>0</v>
      </c>
      <c r="AL246" s="49">
        <v>0</v>
      </c>
      <c r="AM246" s="49">
        <v>1</v>
      </c>
      <c r="AN246" s="49">
        <v>0</v>
      </c>
      <c r="AO246" s="58">
        <v>0</v>
      </c>
      <c r="AP246" s="174">
        <v>0</v>
      </c>
      <c r="AQ246" s="175">
        <v>0</v>
      </c>
      <c r="AR246" s="175">
        <v>25</v>
      </c>
      <c r="AS246" s="175">
        <v>51</v>
      </c>
      <c r="AT246" s="175">
        <v>0</v>
      </c>
      <c r="AU246" s="175">
        <v>0</v>
      </c>
      <c r="AV246" s="175">
        <v>0</v>
      </c>
      <c r="AW246" s="175">
        <v>0</v>
      </c>
      <c r="AX246" s="83">
        <v>0</v>
      </c>
      <c r="AY246" s="49">
        <v>0</v>
      </c>
      <c r="AZ246" s="49">
        <v>0</v>
      </c>
      <c r="BA246" s="49">
        <v>0</v>
      </c>
      <c r="BB246" s="58">
        <v>0</v>
      </c>
      <c r="BC246" s="42">
        <v>64</v>
      </c>
      <c r="BE246" s="49"/>
      <c r="BS246" s="58"/>
      <c r="BT246" s="83"/>
      <c r="CE246" s="83"/>
      <c r="CK246" s="58"/>
      <c r="CL246" s="83"/>
      <c r="CO246" s="58"/>
      <c r="CP246" s="83"/>
      <c r="CR246" s="58"/>
      <c r="CS246" s="83"/>
      <c r="CY246" s="83"/>
      <c r="DG246" s="58"/>
      <c r="DH246" s="83"/>
      <c r="DQ246" s="83"/>
      <c r="EE246" s="58"/>
      <c r="EF246" s="83"/>
      <c r="EI246" s="83"/>
      <c r="EK246" s="58"/>
      <c r="EL246" s="83"/>
      <c r="EO246" s="58"/>
      <c r="EP246" s="83"/>
      <c r="EQ246" s="58"/>
      <c r="ER246" s="83"/>
      <c r="ES246" s="58"/>
      <c r="ET246" s="83"/>
      <c r="EU246" s="58"/>
    </row>
    <row r="247" spans="1:151">
      <c r="A247" s="83" t="s">
        <v>326</v>
      </c>
      <c r="B247" s="173" t="s">
        <v>133</v>
      </c>
      <c r="C247" s="173" t="s">
        <v>503</v>
      </c>
      <c r="D247" s="83" t="s">
        <v>75</v>
      </c>
      <c r="E247" s="49" t="s">
        <v>0</v>
      </c>
      <c r="F247" s="49" t="s">
        <v>287</v>
      </c>
      <c r="G247" s="49">
        <v>46.86</v>
      </c>
      <c r="H247" s="49">
        <v>4742</v>
      </c>
      <c r="I247" s="49">
        <v>267</v>
      </c>
      <c r="J247" s="159">
        <v>10.68</v>
      </c>
      <c r="K247" s="49">
        <v>3</v>
      </c>
      <c r="L247" s="49">
        <v>1</v>
      </c>
      <c r="M247" s="83">
        <v>0</v>
      </c>
      <c r="N247" s="49">
        <v>0</v>
      </c>
      <c r="O247" s="49">
        <v>0</v>
      </c>
      <c r="P247" s="49">
        <v>0</v>
      </c>
      <c r="Q247" s="58">
        <v>0</v>
      </c>
      <c r="R247" s="42">
        <v>0</v>
      </c>
      <c r="S247" s="83" t="s">
        <v>283</v>
      </c>
      <c r="T247" s="49">
        <v>1</v>
      </c>
      <c r="U247" s="83">
        <v>0</v>
      </c>
      <c r="V247" s="49">
        <v>0</v>
      </c>
      <c r="W247" s="49">
        <v>0</v>
      </c>
      <c r="X247" s="58"/>
      <c r="Y247" s="83">
        <v>0</v>
      </c>
      <c r="AJ247" s="49">
        <v>0</v>
      </c>
      <c r="AK247" s="83">
        <v>0</v>
      </c>
      <c r="AL247" s="49">
        <v>0</v>
      </c>
      <c r="AM247" s="49">
        <v>1</v>
      </c>
      <c r="AN247" s="49">
        <v>0</v>
      </c>
      <c r="AO247" s="58">
        <v>0</v>
      </c>
      <c r="AP247" s="174">
        <v>0</v>
      </c>
      <c r="AQ247" s="175">
        <v>0</v>
      </c>
      <c r="AR247" s="175">
        <v>11</v>
      </c>
      <c r="AS247" s="175">
        <v>55</v>
      </c>
      <c r="AT247" s="175">
        <v>0</v>
      </c>
      <c r="AU247" s="175">
        <v>0</v>
      </c>
      <c r="AV247" s="175">
        <v>0</v>
      </c>
      <c r="AW247" s="175">
        <v>0</v>
      </c>
      <c r="AX247" s="83">
        <v>0</v>
      </c>
      <c r="AY247" s="49">
        <v>0</v>
      </c>
      <c r="AZ247" s="49">
        <v>0</v>
      </c>
      <c r="BA247" s="49">
        <v>0</v>
      </c>
      <c r="BB247" s="58">
        <v>0</v>
      </c>
      <c r="BC247" s="42">
        <v>77</v>
      </c>
      <c r="BE247" s="49"/>
      <c r="BS247" s="58"/>
      <c r="BT247" s="83"/>
      <c r="CE247" s="83"/>
      <c r="CK247" s="58"/>
      <c r="CL247" s="83"/>
      <c r="CO247" s="58"/>
      <c r="CP247" s="83"/>
      <c r="CR247" s="58"/>
      <c r="CS247" s="83"/>
      <c r="CY247" s="83"/>
      <c r="DG247" s="58"/>
      <c r="DH247" s="83"/>
      <c r="DQ247" s="83"/>
      <c r="EE247" s="58"/>
      <c r="EF247" s="83"/>
      <c r="EI247" s="83"/>
      <c r="EK247" s="58"/>
      <c r="EL247" s="83"/>
      <c r="EO247" s="58"/>
      <c r="EP247" s="83"/>
      <c r="EQ247" s="58"/>
      <c r="ER247" s="83"/>
      <c r="ES247" s="58"/>
      <c r="ET247" s="83"/>
      <c r="EU247" s="58"/>
    </row>
    <row r="248" spans="1:151">
      <c r="A248" s="83" t="s">
        <v>326</v>
      </c>
      <c r="B248" s="173" t="s">
        <v>133</v>
      </c>
      <c r="C248" s="173" t="s">
        <v>503</v>
      </c>
      <c r="D248" s="83" t="s">
        <v>75</v>
      </c>
      <c r="E248" s="49" t="s">
        <v>1</v>
      </c>
      <c r="F248" s="49" t="s">
        <v>287</v>
      </c>
      <c r="G248" s="49">
        <v>46.86</v>
      </c>
      <c r="H248" s="49">
        <v>4742</v>
      </c>
      <c r="I248" s="49">
        <v>73</v>
      </c>
      <c r="J248" s="159">
        <v>1.0579710144927537</v>
      </c>
      <c r="K248" s="49">
        <v>1</v>
      </c>
      <c r="L248" s="49">
        <v>1</v>
      </c>
      <c r="M248" s="83">
        <v>0</v>
      </c>
      <c r="N248" s="49">
        <v>0</v>
      </c>
      <c r="O248" s="49">
        <v>0</v>
      </c>
      <c r="P248" s="49">
        <v>1</v>
      </c>
      <c r="Q248" s="58">
        <v>0</v>
      </c>
      <c r="R248" s="42">
        <v>1</v>
      </c>
      <c r="S248" s="83" t="s">
        <v>283</v>
      </c>
      <c r="T248" s="49">
        <v>1</v>
      </c>
      <c r="U248" s="83">
        <v>1</v>
      </c>
      <c r="V248" s="49">
        <v>1</v>
      </c>
      <c r="W248" s="49">
        <v>2</v>
      </c>
      <c r="X248" s="58"/>
      <c r="Y248" s="83">
        <v>0</v>
      </c>
      <c r="AJ248" s="49">
        <v>0</v>
      </c>
      <c r="AK248" s="83">
        <v>0</v>
      </c>
      <c r="AL248" s="49">
        <v>0</v>
      </c>
      <c r="AM248" s="49">
        <v>0</v>
      </c>
      <c r="AN248" s="49">
        <v>0</v>
      </c>
      <c r="AO248" s="58">
        <v>0</v>
      </c>
      <c r="AP248" s="174">
        <v>0</v>
      </c>
      <c r="AQ248" s="175">
        <v>0</v>
      </c>
      <c r="AR248" s="175">
        <v>0</v>
      </c>
      <c r="AS248" s="175">
        <v>0</v>
      </c>
      <c r="AT248" s="175">
        <v>0</v>
      </c>
      <c r="AU248" s="175">
        <v>0</v>
      </c>
      <c r="AV248" s="175">
        <v>0</v>
      </c>
      <c r="AW248" s="175">
        <v>0</v>
      </c>
      <c r="AX248" s="83">
        <v>0</v>
      </c>
      <c r="AY248" s="49">
        <v>0</v>
      </c>
      <c r="AZ248" s="49">
        <v>0</v>
      </c>
      <c r="BA248" s="49">
        <v>0</v>
      </c>
      <c r="BB248" s="58">
        <v>0</v>
      </c>
      <c r="BC248" s="42">
        <v>77</v>
      </c>
      <c r="BE248" s="49"/>
      <c r="BS248" s="58"/>
      <c r="BT248" s="83"/>
      <c r="CE248" s="83"/>
      <c r="CK248" s="58"/>
      <c r="CL248" s="83"/>
      <c r="CO248" s="58"/>
      <c r="CP248" s="83"/>
      <c r="CR248" s="58"/>
      <c r="CS248" s="83"/>
      <c r="CY248" s="83"/>
      <c r="DG248" s="58"/>
      <c r="DH248" s="83"/>
      <c r="DQ248" s="83"/>
      <c r="EE248" s="58"/>
      <c r="EF248" s="83"/>
      <c r="EI248" s="83"/>
      <c r="EK248" s="58"/>
      <c r="EL248" s="83"/>
      <c r="EO248" s="58"/>
      <c r="EP248" s="83"/>
      <c r="EQ248" s="58"/>
      <c r="ER248" s="83"/>
      <c r="ES248" s="58"/>
      <c r="ET248" s="83"/>
      <c r="EU248" s="58"/>
    </row>
    <row r="249" spans="1:151">
      <c r="A249" s="83" t="s">
        <v>326</v>
      </c>
      <c r="B249" s="173" t="s">
        <v>133</v>
      </c>
      <c r="C249" s="173" t="s">
        <v>503</v>
      </c>
      <c r="D249" s="83" t="s">
        <v>134</v>
      </c>
      <c r="E249" s="49" t="s">
        <v>0</v>
      </c>
      <c r="F249" s="49" t="s">
        <v>287</v>
      </c>
      <c r="G249" s="49">
        <v>46.86</v>
      </c>
      <c r="H249" s="49">
        <v>4742</v>
      </c>
      <c r="I249" s="49">
        <v>180</v>
      </c>
      <c r="J249" s="70">
        <v>4.8648648648648649</v>
      </c>
      <c r="K249" s="49">
        <v>1</v>
      </c>
      <c r="L249" s="49">
        <v>1</v>
      </c>
      <c r="M249" s="83">
        <v>0</v>
      </c>
      <c r="N249" s="49">
        <v>0</v>
      </c>
      <c r="O249" s="49">
        <v>1</v>
      </c>
      <c r="P249" s="49">
        <v>0</v>
      </c>
      <c r="Q249" s="58">
        <v>0</v>
      </c>
      <c r="R249" s="42">
        <v>1</v>
      </c>
      <c r="S249" s="83">
        <v>1</v>
      </c>
      <c r="U249" s="83">
        <v>0</v>
      </c>
      <c r="V249" s="49">
        <v>0</v>
      </c>
      <c r="W249" s="49">
        <v>0</v>
      </c>
      <c r="X249" s="58"/>
      <c r="Y249" s="83">
        <v>1</v>
      </c>
      <c r="AE249" s="49">
        <v>8</v>
      </c>
      <c r="AJ249" s="49">
        <v>0</v>
      </c>
      <c r="AK249" s="83">
        <v>0</v>
      </c>
      <c r="AL249" s="49">
        <v>0</v>
      </c>
      <c r="AM249" s="49">
        <v>1</v>
      </c>
      <c r="AN249" s="49">
        <v>0</v>
      </c>
      <c r="AO249" s="58">
        <v>0</v>
      </c>
      <c r="AP249" s="174">
        <v>0</v>
      </c>
      <c r="AQ249" s="175">
        <v>0</v>
      </c>
      <c r="AR249" s="175">
        <v>0</v>
      </c>
      <c r="AS249" s="175">
        <v>15</v>
      </c>
      <c r="AT249" s="175">
        <v>0</v>
      </c>
      <c r="AU249" s="175">
        <v>0</v>
      </c>
      <c r="AV249" s="175">
        <v>0</v>
      </c>
      <c r="AW249" s="175">
        <v>0</v>
      </c>
      <c r="AX249" s="83">
        <v>0</v>
      </c>
      <c r="AY249" s="49">
        <v>0</v>
      </c>
      <c r="AZ249" s="49">
        <v>0</v>
      </c>
      <c r="BA249" s="49">
        <v>0</v>
      </c>
      <c r="BB249" s="58">
        <v>0</v>
      </c>
      <c r="BC249" s="42">
        <v>46</v>
      </c>
      <c r="BD249" s="49">
        <v>75.319999999999993</v>
      </c>
      <c r="BE249" s="49"/>
      <c r="BS249" s="58"/>
      <c r="BT249" s="83"/>
      <c r="CE249" s="83"/>
      <c r="CK249" s="58"/>
      <c r="CL249" s="83"/>
      <c r="CO249" s="58"/>
      <c r="CP249" s="83"/>
      <c r="CR249" s="58"/>
      <c r="CS249" s="83"/>
      <c r="CY249" s="83"/>
      <c r="DG249" s="58"/>
      <c r="DH249" s="83"/>
      <c r="DQ249" s="83"/>
      <c r="EE249" s="58"/>
      <c r="EF249" s="83"/>
      <c r="EI249" s="83"/>
      <c r="EK249" s="58"/>
      <c r="EL249" s="83"/>
      <c r="EO249" s="58"/>
      <c r="EP249" s="83"/>
      <c r="EQ249" s="58"/>
      <c r="ER249" s="83"/>
      <c r="ES249" s="58"/>
      <c r="ET249" s="83"/>
      <c r="EU249" s="58"/>
    </row>
    <row r="250" spans="1:151">
      <c r="A250" s="83" t="s">
        <v>326</v>
      </c>
      <c r="B250" s="173" t="s">
        <v>133</v>
      </c>
      <c r="C250" s="173" t="s">
        <v>503</v>
      </c>
      <c r="D250" s="83" t="s">
        <v>134</v>
      </c>
      <c r="E250" s="49" t="s">
        <v>1</v>
      </c>
      <c r="F250" s="49" t="s">
        <v>287</v>
      </c>
      <c r="G250" s="49">
        <v>46.86</v>
      </c>
      <c r="H250" s="49">
        <v>4742</v>
      </c>
      <c r="I250" s="49">
        <v>182</v>
      </c>
      <c r="J250" s="159">
        <v>6.0666666666666664</v>
      </c>
      <c r="K250" s="49">
        <v>1</v>
      </c>
      <c r="L250" s="49">
        <v>2</v>
      </c>
      <c r="M250" s="83">
        <v>0</v>
      </c>
      <c r="N250" s="49">
        <v>0</v>
      </c>
      <c r="O250" s="49">
        <v>1</v>
      </c>
      <c r="P250" s="49">
        <v>0</v>
      </c>
      <c r="Q250" s="58">
        <v>0</v>
      </c>
      <c r="R250" s="42">
        <v>1</v>
      </c>
      <c r="S250" s="83">
        <v>1</v>
      </c>
      <c r="U250" s="83">
        <v>0</v>
      </c>
      <c r="V250" s="49">
        <v>0</v>
      </c>
      <c r="W250" s="49">
        <v>0</v>
      </c>
      <c r="X250" s="58"/>
      <c r="Y250" s="83">
        <v>1</v>
      </c>
      <c r="AE250" s="49">
        <v>15</v>
      </c>
      <c r="AJ250" s="49">
        <v>0</v>
      </c>
      <c r="AK250" s="83">
        <v>0</v>
      </c>
      <c r="AL250" s="49">
        <v>0</v>
      </c>
      <c r="AM250" s="49">
        <v>1</v>
      </c>
      <c r="AN250" s="49">
        <v>0</v>
      </c>
      <c r="AO250" s="58">
        <v>0</v>
      </c>
      <c r="AP250" s="174">
        <v>0</v>
      </c>
      <c r="AQ250" s="175">
        <v>0</v>
      </c>
      <c r="AR250" s="175">
        <v>0</v>
      </c>
      <c r="AS250" s="175">
        <v>67</v>
      </c>
      <c r="AT250" s="175">
        <v>0</v>
      </c>
      <c r="AU250" s="175">
        <v>0</v>
      </c>
      <c r="AV250" s="175">
        <v>0</v>
      </c>
      <c r="AW250" s="175">
        <v>0</v>
      </c>
      <c r="AX250" s="83">
        <v>0</v>
      </c>
      <c r="AY250" s="49">
        <v>0</v>
      </c>
      <c r="AZ250" s="49">
        <v>0</v>
      </c>
      <c r="BA250" s="49">
        <v>0</v>
      </c>
      <c r="BB250" s="58">
        <v>0</v>
      </c>
      <c r="BC250" s="42">
        <v>46</v>
      </c>
      <c r="BD250" s="49">
        <v>75.31</v>
      </c>
      <c r="BE250" s="49"/>
      <c r="BS250" s="58"/>
      <c r="BT250" s="83"/>
      <c r="CE250" s="83"/>
      <c r="CK250" s="58"/>
      <c r="CL250" s="83"/>
      <c r="CO250" s="58"/>
      <c r="CP250" s="83"/>
      <c r="CR250" s="58"/>
      <c r="CS250" s="83"/>
      <c r="CY250" s="83"/>
      <c r="DG250" s="58"/>
      <c r="DH250" s="83"/>
      <c r="DQ250" s="83"/>
      <c r="EE250" s="58"/>
      <c r="EF250" s="83"/>
      <c r="EI250" s="83"/>
      <c r="EK250" s="58"/>
      <c r="EL250" s="83"/>
      <c r="EO250" s="58"/>
      <c r="EP250" s="83"/>
      <c r="EQ250" s="58"/>
      <c r="ER250" s="83"/>
      <c r="ES250" s="58"/>
      <c r="ET250" s="83"/>
      <c r="EU250" s="58"/>
    </row>
    <row r="251" spans="1:151" ht="17" thickBot="1">
      <c r="A251" s="83" t="s">
        <v>326</v>
      </c>
      <c r="B251" s="173" t="s">
        <v>133</v>
      </c>
      <c r="C251" s="173" t="s">
        <v>503</v>
      </c>
      <c r="D251" s="83" t="s">
        <v>135</v>
      </c>
      <c r="F251" s="49" t="s">
        <v>287</v>
      </c>
      <c r="G251" s="49">
        <v>46.86</v>
      </c>
      <c r="H251" s="49">
        <v>4742</v>
      </c>
      <c r="I251" s="49">
        <v>453</v>
      </c>
      <c r="J251" s="159">
        <v>3.0816326530612246</v>
      </c>
      <c r="K251" s="49">
        <v>1</v>
      </c>
      <c r="L251" s="49">
        <v>3</v>
      </c>
      <c r="M251" s="83">
        <v>0</v>
      </c>
      <c r="N251" s="49">
        <v>0</v>
      </c>
      <c r="O251" s="49">
        <v>1</v>
      </c>
      <c r="P251" s="49">
        <v>0</v>
      </c>
      <c r="Q251" s="58">
        <v>0</v>
      </c>
      <c r="R251" s="42">
        <v>1</v>
      </c>
      <c r="S251" s="83">
        <v>1</v>
      </c>
      <c r="U251" s="83">
        <v>1</v>
      </c>
      <c r="V251" s="49">
        <v>1</v>
      </c>
      <c r="W251" s="49">
        <v>4</v>
      </c>
      <c r="X251" s="58"/>
      <c r="Y251" s="83">
        <v>2</v>
      </c>
      <c r="AE251" s="49">
        <v>7</v>
      </c>
      <c r="AH251" s="49">
        <v>15</v>
      </c>
      <c r="AI251" s="49">
        <v>79</v>
      </c>
      <c r="AJ251" s="49">
        <v>0</v>
      </c>
      <c r="AK251" s="83">
        <v>0</v>
      </c>
      <c r="AL251" s="49">
        <v>0</v>
      </c>
      <c r="AM251" s="49">
        <v>0</v>
      </c>
      <c r="AN251" s="49">
        <v>0</v>
      </c>
      <c r="AO251" s="58">
        <v>0</v>
      </c>
      <c r="AP251" s="174" t="s">
        <v>284</v>
      </c>
      <c r="AQ251" s="175" t="s">
        <v>284</v>
      </c>
      <c r="AR251" s="175" t="s">
        <v>284</v>
      </c>
      <c r="AS251" s="175" t="s">
        <v>284</v>
      </c>
      <c r="AT251" s="175" t="s">
        <v>284</v>
      </c>
      <c r="AU251" s="175" t="s">
        <v>284</v>
      </c>
      <c r="AV251" s="175" t="s">
        <v>284</v>
      </c>
      <c r="AW251" s="175" t="s">
        <v>284</v>
      </c>
      <c r="AX251" s="83">
        <v>0</v>
      </c>
      <c r="AY251" s="49">
        <v>0</v>
      </c>
      <c r="AZ251" s="49">
        <v>0</v>
      </c>
      <c r="BA251" s="49">
        <v>0</v>
      </c>
      <c r="BB251" s="58">
        <v>0</v>
      </c>
      <c r="BC251" s="42">
        <v>46</v>
      </c>
      <c r="BD251" s="49">
        <v>75.67</v>
      </c>
      <c r="BE251" s="49"/>
      <c r="BS251" s="58"/>
      <c r="BT251" s="83"/>
      <c r="CE251" s="83">
        <v>86.85</v>
      </c>
      <c r="CK251" s="58"/>
      <c r="CL251" s="83"/>
      <c r="CO251" s="58"/>
      <c r="CP251" s="83"/>
      <c r="CR251" s="58"/>
      <c r="CS251" s="83"/>
      <c r="CY251" s="83"/>
      <c r="DG251" s="58"/>
      <c r="DH251" s="83"/>
      <c r="DQ251" s="83"/>
      <c r="EE251" s="58"/>
      <c r="EF251" s="83"/>
      <c r="EI251" s="83"/>
      <c r="EK251" s="58"/>
      <c r="EL251" s="83"/>
      <c r="EO251" s="58"/>
      <c r="EP251" s="83"/>
      <c r="EQ251" s="58"/>
      <c r="ER251" s="83"/>
      <c r="ES251" s="58"/>
      <c r="ET251" s="83"/>
      <c r="EU251" s="58"/>
    </row>
    <row r="252" spans="1:151">
      <c r="A252" s="87" t="s">
        <v>326</v>
      </c>
      <c r="B252" s="7" t="s">
        <v>136</v>
      </c>
      <c r="C252" s="7" t="s">
        <v>504</v>
      </c>
      <c r="D252" s="147" t="s">
        <v>64</v>
      </c>
      <c r="E252" s="148" t="s">
        <v>0</v>
      </c>
      <c r="F252" s="148" t="s">
        <v>286</v>
      </c>
      <c r="G252" s="148">
        <v>46.27</v>
      </c>
      <c r="H252" s="148">
        <v>4589</v>
      </c>
      <c r="I252" s="148">
        <v>1634</v>
      </c>
      <c r="J252" s="158">
        <v>2.247592847317744</v>
      </c>
      <c r="K252" s="148">
        <v>4</v>
      </c>
      <c r="L252" s="148">
        <v>3</v>
      </c>
      <c r="M252" s="147">
        <v>1</v>
      </c>
      <c r="N252" s="148">
        <v>5</v>
      </c>
      <c r="O252" s="148">
        <v>0</v>
      </c>
      <c r="P252" s="148">
        <v>0</v>
      </c>
      <c r="Q252" s="149">
        <v>0</v>
      </c>
      <c r="R252" s="87">
        <v>6</v>
      </c>
      <c r="S252" s="147" t="s">
        <v>283</v>
      </c>
      <c r="T252" s="148"/>
      <c r="U252" s="147">
        <v>2</v>
      </c>
      <c r="V252" s="148">
        <v>5</v>
      </c>
      <c r="W252" s="148">
        <v>1</v>
      </c>
      <c r="X252" s="149">
        <v>3</v>
      </c>
      <c r="Y252" s="147">
        <v>10</v>
      </c>
      <c r="Z252" s="148"/>
      <c r="AA252" s="148"/>
      <c r="AB252" s="148"/>
      <c r="AC252" s="148"/>
      <c r="AD252" s="148">
        <v>5</v>
      </c>
      <c r="AE252" s="148">
        <v>19</v>
      </c>
      <c r="AF252" s="148">
        <v>5</v>
      </c>
      <c r="AG252" s="148">
        <v>280</v>
      </c>
      <c r="AH252" s="148"/>
      <c r="AI252" s="148"/>
      <c r="AJ252" s="148">
        <v>0</v>
      </c>
      <c r="AK252" s="147">
        <v>1</v>
      </c>
      <c r="AL252" s="148">
        <v>0</v>
      </c>
      <c r="AM252" s="148">
        <v>0</v>
      </c>
      <c r="AN252" s="148">
        <v>0</v>
      </c>
      <c r="AO252" s="149">
        <v>0</v>
      </c>
      <c r="AP252" s="169" t="s">
        <v>284</v>
      </c>
      <c r="AQ252" s="170" t="s">
        <v>284</v>
      </c>
      <c r="AR252" s="170" t="s">
        <v>284</v>
      </c>
      <c r="AS252" s="170" t="s">
        <v>284</v>
      </c>
      <c r="AT252" s="170" t="s">
        <v>284</v>
      </c>
      <c r="AU252" s="170" t="s">
        <v>284</v>
      </c>
      <c r="AV252" s="170" t="s">
        <v>284</v>
      </c>
      <c r="AW252" s="170" t="s">
        <v>284</v>
      </c>
      <c r="AX252" s="147">
        <v>0</v>
      </c>
      <c r="AY252" s="148">
        <v>0</v>
      </c>
      <c r="AZ252" s="148">
        <v>0</v>
      </c>
      <c r="BA252" s="148">
        <v>0</v>
      </c>
      <c r="BB252" s="149">
        <v>0</v>
      </c>
      <c r="BC252" s="87">
        <v>155</v>
      </c>
      <c r="BD252" s="148">
        <v>79.98</v>
      </c>
      <c r="BE252" s="148">
        <v>80.599999999999994</v>
      </c>
      <c r="BF252" s="148">
        <v>82.41</v>
      </c>
      <c r="BG252" s="148"/>
      <c r="BH252" s="148"/>
      <c r="BI252" s="148"/>
      <c r="BJ252" s="148"/>
      <c r="BK252" s="148"/>
      <c r="BL252" s="148"/>
      <c r="BM252" s="148"/>
      <c r="BN252" s="148"/>
      <c r="BO252" s="148"/>
      <c r="BP252" s="148"/>
      <c r="BQ252" s="148"/>
      <c r="BR252" s="148"/>
      <c r="BS252" s="149"/>
      <c r="BT252" s="147"/>
      <c r="BU252" s="148"/>
      <c r="BV252" s="148"/>
      <c r="BW252" s="148"/>
      <c r="BX252" s="148"/>
      <c r="BY252" s="148"/>
      <c r="BZ252" s="148"/>
      <c r="CA252" s="148"/>
      <c r="CB252" s="148"/>
      <c r="CC252" s="148"/>
      <c r="CD252" s="148"/>
      <c r="CE252" s="147"/>
      <c r="CF252" s="148"/>
      <c r="CG252" s="148"/>
      <c r="CH252" s="148"/>
      <c r="CI252" s="148"/>
      <c r="CJ252" s="148"/>
      <c r="CK252" s="149"/>
      <c r="CL252" s="147">
        <v>49.91</v>
      </c>
      <c r="CM252" s="148"/>
      <c r="CN252" s="148"/>
      <c r="CO252" s="149"/>
      <c r="CP252" s="147"/>
      <c r="CQ252" s="148"/>
      <c r="CR252" s="149"/>
      <c r="CS252" s="147"/>
      <c r="CT252" s="148"/>
      <c r="CU252" s="148"/>
      <c r="CV252" s="148"/>
      <c r="CW252" s="148"/>
      <c r="CX252" s="148"/>
      <c r="CY252" s="147"/>
      <c r="CZ252" s="148"/>
      <c r="DA252" s="148"/>
      <c r="DB252" s="148"/>
      <c r="DC252" s="148"/>
      <c r="DD252" s="148"/>
      <c r="DE252" s="148"/>
      <c r="DF252" s="148"/>
      <c r="DG252" s="149"/>
      <c r="DH252" s="147"/>
      <c r="DI252" s="148"/>
      <c r="DJ252" s="148"/>
      <c r="DK252" s="148"/>
      <c r="DL252" s="148"/>
      <c r="DM252" s="148"/>
      <c r="DN252" s="148"/>
      <c r="DO252" s="148"/>
      <c r="DP252" s="148"/>
      <c r="DQ252" s="147"/>
      <c r="DR252" s="148"/>
      <c r="DS252" s="148"/>
      <c r="DT252" s="148"/>
      <c r="DU252" s="148"/>
      <c r="DV252" s="148"/>
      <c r="DW252" s="148"/>
      <c r="DX252" s="148"/>
      <c r="DY252" s="148"/>
      <c r="DZ252" s="148"/>
      <c r="EA252" s="148"/>
      <c r="EB252" s="148"/>
      <c r="EC252" s="148"/>
      <c r="ED252" s="148"/>
      <c r="EE252" s="149"/>
      <c r="EF252" s="147"/>
      <c r="EG252" s="148"/>
      <c r="EH252" s="148"/>
      <c r="EI252" s="147"/>
      <c r="EJ252" s="148"/>
      <c r="EK252" s="149"/>
      <c r="EL252" s="147"/>
      <c r="EM252" s="148"/>
      <c r="EN252" s="148"/>
      <c r="EO252" s="149"/>
      <c r="EP252" s="147"/>
      <c r="EQ252" s="149"/>
      <c r="ER252" s="147"/>
      <c r="ES252" s="149"/>
      <c r="ET252" s="147"/>
      <c r="EU252" s="149"/>
    </row>
    <row r="253" spans="1:151">
      <c r="A253" s="42" t="s">
        <v>326</v>
      </c>
      <c r="B253" s="173" t="s">
        <v>136</v>
      </c>
      <c r="C253" s="173" t="s">
        <v>504</v>
      </c>
      <c r="D253" s="83" t="s">
        <v>64</v>
      </c>
      <c r="E253" s="49" t="s">
        <v>1</v>
      </c>
      <c r="F253" s="49" t="s">
        <v>286</v>
      </c>
      <c r="G253" s="49">
        <v>46.27</v>
      </c>
      <c r="H253" s="49">
        <v>4589</v>
      </c>
      <c r="I253" s="49">
        <v>5540</v>
      </c>
      <c r="J253" s="159">
        <v>1.5842150414641121</v>
      </c>
      <c r="K253" s="49">
        <v>4</v>
      </c>
      <c r="L253" s="49">
        <v>5</v>
      </c>
      <c r="M253" s="83">
        <v>1</v>
      </c>
      <c r="N253" s="49">
        <v>5</v>
      </c>
      <c r="O253" s="49">
        <v>0</v>
      </c>
      <c r="P253" s="49">
        <v>0</v>
      </c>
      <c r="Q253" s="58">
        <v>0</v>
      </c>
      <c r="R253" s="42">
        <v>6</v>
      </c>
      <c r="S253" s="83" t="s">
        <v>283</v>
      </c>
      <c r="U253" s="83">
        <v>2</v>
      </c>
      <c r="V253" s="49">
        <v>5</v>
      </c>
      <c r="W253" s="49">
        <v>1</v>
      </c>
      <c r="X253" s="58">
        <v>3</v>
      </c>
      <c r="Y253" s="83">
        <v>40</v>
      </c>
      <c r="AD253" s="49">
        <v>5</v>
      </c>
      <c r="AE253" s="49">
        <v>68</v>
      </c>
      <c r="AF253" s="49">
        <v>4</v>
      </c>
      <c r="AG253" s="49">
        <v>860</v>
      </c>
      <c r="AJ253" s="49">
        <v>0</v>
      </c>
      <c r="AK253" s="83">
        <v>0</v>
      </c>
      <c r="AL253" s="49">
        <v>0</v>
      </c>
      <c r="AM253" s="49">
        <v>1</v>
      </c>
      <c r="AN253" s="49">
        <v>0</v>
      </c>
      <c r="AO253" s="58">
        <v>0</v>
      </c>
      <c r="AP253" s="174" t="s">
        <v>284</v>
      </c>
      <c r="AQ253" s="175" t="s">
        <v>284</v>
      </c>
      <c r="AR253" s="175">
        <v>67</v>
      </c>
      <c r="AS253" s="175">
        <v>251</v>
      </c>
      <c r="AT253" s="175" t="s">
        <v>284</v>
      </c>
      <c r="AU253" s="175" t="s">
        <v>284</v>
      </c>
      <c r="AV253" s="175" t="s">
        <v>284</v>
      </c>
      <c r="AW253" s="175" t="s">
        <v>284</v>
      </c>
      <c r="AX253" s="83">
        <v>0</v>
      </c>
      <c r="AY253" s="49">
        <v>0</v>
      </c>
      <c r="AZ253" s="49">
        <v>0</v>
      </c>
      <c r="BA253" s="49">
        <v>0</v>
      </c>
      <c r="BB253" s="58">
        <v>0</v>
      </c>
      <c r="BC253" s="42">
        <v>155</v>
      </c>
      <c r="BE253" s="49"/>
      <c r="BS253" s="58"/>
      <c r="BT253" s="83"/>
      <c r="CE253" s="83"/>
      <c r="CK253" s="58"/>
      <c r="CL253" s="83">
        <v>68.25</v>
      </c>
      <c r="CM253" s="49">
        <v>58.18</v>
      </c>
      <c r="CO253" s="58"/>
      <c r="CP253" s="83"/>
      <c r="CR253" s="58"/>
      <c r="CS253" s="83"/>
      <c r="CY253" s="83"/>
      <c r="DG253" s="58"/>
      <c r="DH253" s="83"/>
      <c r="DQ253" s="83"/>
      <c r="EE253" s="58"/>
      <c r="EF253" s="83"/>
      <c r="EI253" s="83"/>
      <c r="EK253" s="58"/>
      <c r="EL253" s="83"/>
      <c r="EO253" s="58"/>
      <c r="EP253" s="83"/>
      <c r="EQ253" s="58"/>
      <c r="ER253" s="83"/>
      <c r="ES253" s="58"/>
      <c r="ET253" s="83"/>
      <c r="EU253" s="58"/>
    </row>
    <row r="254" spans="1:151" ht="17" thickBot="1">
      <c r="A254" s="55" t="s">
        <v>326</v>
      </c>
      <c r="B254" s="47" t="s">
        <v>136</v>
      </c>
      <c r="C254" s="47" t="s">
        <v>504</v>
      </c>
      <c r="D254" s="84" t="s">
        <v>65</v>
      </c>
      <c r="E254" s="57"/>
      <c r="F254" s="57" t="s">
        <v>287</v>
      </c>
      <c r="G254" s="57">
        <v>46.27</v>
      </c>
      <c r="H254" s="57">
        <v>4598</v>
      </c>
      <c r="I254" s="57">
        <v>702</v>
      </c>
      <c r="J254" s="75">
        <v>1.6325581395348838</v>
      </c>
      <c r="K254" s="57">
        <v>1</v>
      </c>
      <c r="L254" s="57">
        <v>2</v>
      </c>
      <c r="M254" s="84">
        <v>1</v>
      </c>
      <c r="N254" s="57">
        <v>0</v>
      </c>
      <c r="O254" s="57">
        <v>1</v>
      </c>
      <c r="P254" s="57">
        <v>1</v>
      </c>
      <c r="Q254" s="56">
        <v>0</v>
      </c>
      <c r="R254" s="55">
        <v>3</v>
      </c>
      <c r="S254" s="84" t="s">
        <v>284</v>
      </c>
      <c r="T254" s="57"/>
      <c r="U254" s="84">
        <v>2</v>
      </c>
      <c r="V254" s="57">
        <v>2</v>
      </c>
      <c r="W254" s="57">
        <v>3</v>
      </c>
      <c r="X254" s="56">
        <v>2</v>
      </c>
      <c r="Y254" s="84">
        <v>5</v>
      </c>
      <c r="Z254" s="57"/>
      <c r="AA254" s="57"/>
      <c r="AB254" s="57"/>
      <c r="AC254" s="57"/>
      <c r="AD254" s="57">
        <v>5</v>
      </c>
      <c r="AE254" s="57">
        <v>12</v>
      </c>
      <c r="AF254" s="57">
        <v>4</v>
      </c>
      <c r="AG254" s="57">
        <v>102</v>
      </c>
      <c r="AH254" s="57"/>
      <c r="AI254" s="57"/>
      <c r="AJ254" s="57">
        <v>0</v>
      </c>
      <c r="AK254" s="84">
        <v>0</v>
      </c>
      <c r="AL254" s="57">
        <v>0</v>
      </c>
      <c r="AM254" s="57">
        <v>1</v>
      </c>
      <c r="AN254" s="57">
        <v>0</v>
      </c>
      <c r="AO254" s="56">
        <v>0</v>
      </c>
      <c r="AP254" s="178" t="s">
        <v>284</v>
      </c>
      <c r="AQ254" s="179" t="s">
        <v>284</v>
      </c>
      <c r="AR254" s="179" t="s">
        <v>501</v>
      </c>
      <c r="AS254" s="179" t="s">
        <v>501</v>
      </c>
      <c r="AT254" s="179" t="s">
        <v>284</v>
      </c>
      <c r="AU254" s="179" t="s">
        <v>284</v>
      </c>
      <c r="AV254" s="179" t="s">
        <v>284</v>
      </c>
      <c r="AW254" s="179" t="s">
        <v>284</v>
      </c>
      <c r="AX254" s="84">
        <v>0</v>
      </c>
      <c r="AY254" s="57">
        <v>0</v>
      </c>
      <c r="AZ254" s="57">
        <v>0</v>
      </c>
      <c r="BA254" s="57">
        <v>0</v>
      </c>
      <c r="BB254" s="56">
        <v>0</v>
      </c>
      <c r="BC254" s="55">
        <v>122</v>
      </c>
      <c r="BD254" s="57"/>
      <c r="BE254" s="57"/>
      <c r="BF254" s="57"/>
      <c r="BG254" s="57"/>
      <c r="BH254" s="57"/>
      <c r="BI254" s="57"/>
      <c r="BJ254" s="57"/>
      <c r="BK254" s="57"/>
      <c r="BL254" s="57"/>
      <c r="BM254" s="57"/>
      <c r="BN254" s="57"/>
      <c r="BO254" s="57"/>
      <c r="BP254" s="57"/>
      <c r="BQ254" s="57"/>
      <c r="BR254" s="57"/>
      <c r="BS254" s="56"/>
      <c r="BT254" s="84"/>
      <c r="BU254" s="57"/>
      <c r="BV254" s="57"/>
      <c r="BW254" s="57"/>
      <c r="BX254" s="57"/>
      <c r="BY254" s="57"/>
      <c r="BZ254" s="57"/>
      <c r="CA254" s="57"/>
      <c r="CB254" s="57"/>
      <c r="CC254" s="57"/>
      <c r="CD254" s="57"/>
      <c r="CE254" s="84"/>
      <c r="CF254" s="57"/>
      <c r="CG254" s="57"/>
      <c r="CH254" s="57"/>
      <c r="CI254" s="57"/>
      <c r="CJ254" s="57"/>
      <c r="CK254" s="56"/>
      <c r="CL254" s="84"/>
      <c r="CM254" s="57"/>
      <c r="CN254" s="57"/>
      <c r="CO254" s="56"/>
      <c r="CP254" s="84"/>
      <c r="CQ254" s="57"/>
      <c r="CR254" s="56"/>
      <c r="CS254" s="84"/>
      <c r="CT254" s="57"/>
      <c r="CU254" s="57"/>
      <c r="CV254" s="57"/>
      <c r="CW254" s="57"/>
      <c r="CX254" s="57"/>
      <c r="CY254" s="84"/>
      <c r="CZ254" s="57"/>
      <c r="DA254" s="57"/>
      <c r="DB254" s="57"/>
      <c r="DC254" s="57"/>
      <c r="DD254" s="57"/>
      <c r="DE254" s="57"/>
      <c r="DF254" s="57"/>
      <c r="DG254" s="56"/>
      <c r="DH254" s="84"/>
      <c r="DI254" s="57"/>
      <c r="DJ254" s="57"/>
      <c r="DK254" s="57"/>
      <c r="DL254" s="57"/>
      <c r="DM254" s="57"/>
      <c r="DN254" s="57"/>
      <c r="DO254" s="57"/>
      <c r="DP254" s="57"/>
      <c r="DQ254" s="84"/>
      <c r="DR254" s="57"/>
      <c r="DS254" s="57"/>
      <c r="DT254" s="57"/>
      <c r="DU254" s="57"/>
      <c r="DV254" s="57"/>
      <c r="DW254" s="57"/>
      <c r="DX254" s="57"/>
      <c r="DY254" s="57"/>
      <c r="DZ254" s="57"/>
      <c r="EA254" s="57"/>
      <c r="EB254" s="57"/>
      <c r="EC254" s="57"/>
      <c r="ED254" s="57"/>
      <c r="EE254" s="56"/>
      <c r="EF254" s="84"/>
      <c r="EG254" s="57"/>
      <c r="EH254" s="57"/>
      <c r="EI254" s="84"/>
      <c r="EJ254" s="57"/>
      <c r="EK254" s="56"/>
      <c r="EL254" s="84"/>
      <c r="EM254" s="57"/>
      <c r="EN254" s="57"/>
      <c r="EO254" s="56"/>
      <c r="EP254" s="84"/>
      <c r="EQ254" s="56"/>
      <c r="ER254" s="84"/>
      <c r="ES254" s="56"/>
      <c r="ET254" s="84"/>
      <c r="EU254" s="56"/>
    </row>
    <row r="255" spans="1:151" ht="17" thickBot="1">
      <c r="A255" s="83" t="s">
        <v>326</v>
      </c>
      <c r="B255" s="173" t="s">
        <v>137</v>
      </c>
      <c r="C255" s="173" t="s">
        <v>504</v>
      </c>
      <c r="D255" s="83" t="s">
        <v>64</v>
      </c>
      <c r="F255" s="49" t="s">
        <v>287</v>
      </c>
      <c r="G255" s="49">
        <v>46.27</v>
      </c>
      <c r="H255" s="49">
        <v>4589</v>
      </c>
      <c r="I255" s="49">
        <v>523</v>
      </c>
      <c r="J255" s="159">
        <v>6.5374999999999996</v>
      </c>
      <c r="K255" s="49">
        <v>1</v>
      </c>
      <c r="L255" s="49">
        <v>3</v>
      </c>
      <c r="M255" s="83">
        <v>1</v>
      </c>
      <c r="N255" s="49">
        <v>0</v>
      </c>
      <c r="O255" s="49">
        <v>0</v>
      </c>
      <c r="P255" s="49">
        <v>0</v>
      </c>
      <c r="Q255" s="58">
        <v>0</v>
      </c>
      <c r="R255" s="42">
        <v>1</v>
      </c>
      <c r="S255" s="83" t="s">
        <v>284</v>
      </c>
      <c r="U255" s="83">
        <v>0</v>
      </c>
      <c r="V255" s="49">
        <v>0</v>
      </c>
      <c r="W255" s="49">
        <v>0</v>
      </c>
      <c r="X255" s="58"/>
      <c r="Y255" s="83">
        <v>1</v>
      </c>
      <c r="AD255" s="49">
        <v>2</v>
      </c>
      <c r="AE255" s="49">
        <v>28</v>
      </c>
      <c r="AJ255" s="49">
        <v>0</v>
      </c>
      <c r="AK255" s="83">
        <v>0</v>
      </c>
      <c r="AL255" s="49">
        <v>0</v>
      </c>
      <c r="AM255" s="49">
        <v>1</v>
      </c>
      <c r="AN255" s="49">
        <v>0</v>
      </c>
      <c r="AO255" s="58">
        <v>0</v>
      </c>
      <c r="AP255" s="174" t="s">
        <v>284</v>
      </c>
      <c r="AQ255" s="175" t="s">
        <v>284</v>
      </c>
      <c r="AR255" s="175">
        <v>0</v>
      </c>
      <c r="AS255" s="175">
        <v>75</v>
      </c>
      <c r="AT255" s="175" t="s">
        <v>284</v>
      </c>
      <c r="AU255" s="175" t="s">
        <v>284</v>
      </c>
      <c r="AV255" s="175" t="s">
        <v>284</v>
      </c>
      <c r="AW255" s="175" t="s">
        <v>284</v>
      </c>
      <c r="AX255" s="83">
        <v>0</v>
      </c>
      <c r="AY255" s="49">
        <v>0</v>
      </c>
      <c r="AZ255" s="49">
        <v>0</v>
      </c>
      <c r="BA255" s="49">
        <v>0</v>
      </c>
      <c r="BB255" s="58">
        <v>0</v>
      </c>
      <c r="BC255" s="42">
        <v>105</v>
      </c>
      <c r="BD255" s="49">
        <v>73.400000000000006</v>
      </c>
      <c r="BE255" s="49"/>
      <c r="BS255" s="58"/>
      <c r="BT255" s="83"/>
      <c r="CE255" s="83"/>
      <c r="CK255" s="58"/>
      <c r="CL255" s="83"/>
      <c r="CO255" s="58"/>
      <c r="CP255" s="83"/>
      <c r="CR255" s="58"/>
      <c r="CS255" s="83"/>
      <c r="CY255" s="83"/>
      <c r="DG255" s="58"/>
      <c r="DH255" s="83"/>
      <c r="DQ255" s="83"/>
      <c r="EE255" s="58"/>
      <c r="EF255" s="83"/>
      <c r="EI255" s="83"/>
      <c r="EK255" s="58"/>
      <c r="EL255" s="83"/>
      <c r="EO255" s="58"/>
      <c r="EP255" s="83"/>
      <c r="EQ255" s="58"/>
      <c r="ER255" s="83"/>
      <c r="ES255" s="58"/>
      <c r="ET255" s="83"/>
      <c r="EU255" s="58"/>
    </row>
    <row r="256" spans="1:151">
      <c r="A256" s="87" t="s">
        <v>326</v>
      </c>
      <c r="B256" s="7" t="s">
        <v>138</v>
      </c>
      <c r="C256" s="7" t="s">
        <v>504</v>
      </c>
      <c r="D256" s="147" t="s">
        <v>68</v>
      </c>
      <c r="E256" s="148"/>
      <c r="F256" s="148" t="s">
        <v>287</v>
      </c>
      <c r="G256" s="148">
        <v>46.27</v>
      </c>
      <c r="H256" s="148">
        <v>4589</v>
      </c>
      <c r="I256" s="148">
        <v>632</v>
      </c>
      <c r="J256" s="158">
        <v>1.4663573085846868</v>
      </c>
      <c r="K256" s="148">
        <v>4</v>
      </c>
      <c r="L256" s="148">
        <v>4</v>
      </c>
      <c r="M256" s="147">
        <v>1</v>
      </c>
      <c r="N256" s="148">
        <v>0</v>
      </c>
      <c r="O256" s="148">
        <v>1</v>
      </c>
      <c r="P256" s="148">
        <v>1</v>
      </c>
      <c r="Q256" s="149">
        <v>0</v>
      </c>
      <c r="R256" s="87">
        <v>3</v>
      </c>
      <c r="S256" s="147" t="s">
        <v>284</v>
      </c>
      <c r="T256" s="148"/>
      <c r="U256" s="147">
        <v>1</v>
      </c>
      <c r="V256" s="148">
        <v>3</v>
      </c>
      <c r="W256" s="148">
        <v>2</v>
      </c>
      <c r="X256" s="149"/>
      <c r="Y256" s="147">
        <v>1</v>
      </c>
      <c r="Z256" s="148"/>
      <c r="AA256" s="148"/>
      <c r="AB256" s="148"/>
      <c r="AC256" s="148"/>
      <c r="AD256" s="148"/>
      <c r="AE256" s="148">
        <v>34</v>
      </c>
      <c r="AF256" s="148"/>
      <c r="AG256" s="148"/>
      <c r="AH256" s="148"/>
      <c r="AI256" s="148"/>
      <c r="AJ256" s="148">
        <v>0</v>
      </c>
      <c r="AK256" s="147">
        <v>0</v>
      </c>
      <c r="AL256" s="148">
        <v>0</v>
      </c>
      <c r="AM256" s="148">
        <v>1</v>
      </c>
      <c r="AN256" s="148">
        <v>0</v>
      </c>
      <c r="AO256" s="149">
        <v>0</v>
      </c>
      <c r="AP256" s="169" t="s">
        <v>284</v>
      </c>
      <c r="AQ256" s="170" t="s">
        <v>284</v>
      </c>
      <c r="AR256" s="170">
        <v>30</v>
      </c>
      <c r="AS256" s="170">
        <v>90</v>
      </c>
      <c r="AT256" s="170" t="s">
        <v>284</v>
      </c>
      <c r="AU256" s="170" t="s">
        <v>284</v>
      </c>
      <c r="AV256" s="170" t="s">
        <v>284</v>
      </c>
      <c r="AW256" s="170" t="s">
        <v>284</v>
      </c>
      <c r="AX256" s="147">
        <v>0</v>
      </c>
      <c r="AY256" s="148">
        <v>1</v>
      </c>
      <c r="AZ256" s="148">
        <v>0</v>
      </c>
      <c r="BA256" s="148">
        <v>1</v>
      </c>
      <c r="BB256" s="149">
        <v>2</v>
      </c>
      <c r="BC256" s="87">
        <v>112</v>
      </c>
      <c r="BD256" s="148">
        <v>73.959999999999994</v>
      </c>
      <c r="BE256" s="148"/>
      <c r="BF256" s="148"/>
      <c r="BG256" s="148"/>
      <c r="BH256" s="148"/>
      <c r="BI256" s="148"/>
      <c r="BJ256" s="148"/>
      <c r="BK256" s="148"/>
      <c r="BL256" s="148"/>
      <c r="BM256" s="148"/>
      <c r="BN256" s="148"/>
      <c r="BO256" s="148"/>
      <c r="BP256" s="148"/>
      <c r="BQ256" s="148"/>
      <c r="BR256" s="148"/>
      <c r="BS256" s="149"/>
      <c r="BT256" s="147">
        <v>74.73</v>
      </c>
      <c r="BU256" s="148"/>
      <c r="BV256" s="148"/>
      <c r="BW256" s="148"/>
      <c r="BX256" s="148"/>
      <c r="BY256" s="148"/>
      <c r="BZ256" s="148"/>
      <c r="CA256" s="148"/>
      <c r="CB256" s="148"/>
      <c r="CC256" s="148"/>
      <c r="CD256" s="148"/>
      <c r="CE256" s="147">
        <v>66.59</v>
      </c>
      <c r="CF256" s="148"/>
      <c r="CG256" s="148"/>
      <c r="CH256" s="148"/>
      <c r="CI256" s="148"/>
      <c r="CJ256" s="148"/>
      <c r="CK256" s="149"/>
      <c r="CL256" s="147"/>
      <c r="CM256" s="148"/>
      <c r="CN256" s="148"/>
      <c r="CO256" s="149"/>
      <c r="CP256" s="147"/>
      <c r="CQ256" s="148"/>
      <c r="CR256" s="149"/>
      <c r="CS256" s="147"/>
      <c r="CT256" s="148"/>
      <c r="CU256" s="148"/>
      <c r="CV256" s="148"/>
      <c r="CW256" s="148"/>
      <c r="CX256" s="148"/>
      <c r="CY256" s="147"/>
      <c r="CZ256" s="148"/>
      <c r="DA256" s="148"/>
      <c r="DB256" s="148"/>
      <c r="DC256" s="148"/>
      <c r="DD256" s="148"/>
      <c r="DE256" s="148"/>
      <c r="DF256" s="148"/>
      <c r="DG256" s="149"/>
      <c r="DH256" s="147"/>
      <c r="DI256" s="148"/>
      <c r="DJ256" s="148"/>
      <c r="DK256" s="148"/>
      <c r="DL256" s="148"/>
      <c r="DM256" s="148"/>
      <c r="DN256" s="148"/>
      <c r="DO256" s="148"/>
      <c r="DP256" s="148"/>
      <c r="DQ256" s="147"/>
      <c r="DR256" s="148"/>
      <c r="DS256" s="148"/>
      <c r="DT256" s="148"/>
      <c r="DU256" s="148"/>
      <c r="DV256" s="148"/>
      <c r="DW256" s="148"/>
      <c r="DX256" s="148"/>
      <c r="DY256" s="148"/>
      <c r="DZ256" s="148"/>
      <c r="EA256" s="148"/>
      <c r="EB256" s="148"/>
      <c r="EC256" s="148"/>
      <c r="ED256" s="148"/>
      <c r="EE256" s="149"/>
      <c r="EF256" s="147"/>
      <c r="EG256" s="148"/>
      <c r="EH256" s="148"/>
      <c r="EI256" s="147"/>
      <c r="EJ256" s="148"/>
      <c r="EK256" s="149"/>
      <c r="EL256" s="147"/>
      <c r="EM256" s="148"/>
      <c r="EN256" s="148"/>
      <c r="EO256" s="149"/>
      <c r="EP256" s="147"/>
      <c r="EQ256" s="149"/>
      <c r="ER256" s="147"/>
      <c r="ES256" s="149"/>
      <c r="ET256" s="147"/>
      <c r="EU256" s="149"/>
    </row>
    <row r="257" spans="1:151">
      <c r="A257" s="42" t="s">
        <v>326</v>
      </c>
      <c r="B257" s="173" t="s">
        <v>138</v>
      </c>
      <c r="C257" s="173" t="s">
        <v>504</v>
      </c>
      <c r="D257" s="83" t="s">
        <v>69</v>
      </c>
      <c r="E257" s="49" t="s">
        <v>0</v>
      </c>
      <c r="F257" s="49" t="s">
        <v>287</v>
      </c>
      <c r="G257" s="49">
        <v>46.27</v>
      </c>
      <c r="H257" s="49">
        <v>4589</v>
      </c>
      <c r="I257" s="49">
        <v>332</v>
      </c>
      <c r="J257" s="159">
        <v>2.1282051282051282</v>
      </c>
      <c r="K257" s="49">
        <v>1</v>
      </c>
      <c r="L257" s="49">
        <v>2</v>
      </c>
      <c r="M257" s="83">
        <v>0</v>
      </c>
      <c r="N257" s="49">
        <v>0</v>
      </c>
      <c r="O257" s="49">
        <v>1</v>
      </c>
      <c r="P257" s="49">
        <v>1</v>
      </c>
      <c r="Q257" s="58">
        <v>0</v>
      </c>
      <c r="R257" s="42">
        <v>2</v>
      </c>
      <c r="S257" s="83">
        <v>1</v>
      </c>
      <c r="U257" s="83">
        <v>0</v>
      </c>
      <c r="V257" s="49">
        <v>0</v>
      </c>
      <c r="W257" s="49">
        <v>0</v>
      </c>
      <c r="X257" s="58"/>
      <c r="Y257" s="83">
        <v>0</v>
      </c>
      <c r="AJ257" s="49">
        <v>0</v>
      </c>
      <c r="AK257" s="83">
        <v>0</v>
      </c>
      <c r="AL257" s="49">
        <v>0</v>
      </c>
      <c r="AM257" s="49">
        <v>1</v>
      </c>
      <c r="AN257" s="49">
        <v>0</v>
      </c>
      <c r="AO257" s="58"/>
      <c r="AP257" s="174" t="s">
        <v>284</v>
      </c>
      <c r="AQ257" s="175" t="s">
        <v>284</v>
      </c>
      <c r="AR257" s="175" t="s">
        <v>501</v>
      </c>
      <c r="AS257" s="175" t="s">
        <v>501</v>
      </c>
      <c r="AT257" s="175" t="s">
        <v>284</v>
      </c>
      <c r="AU257" s="175" t="s">
        <v>284</v>
      </c>
      <c r="AV257" s="175" t="s">
        <v>284</v>
      </c>
      <c r="AW257" s="175" t="s">
        <v>284</v>
      </c>
      <c r="AX257" s="83">
        <v>0</v>
      </c>
      <c r="AY257" s="49">
        <v>0</v>
      </c>
      <c r="AZ257" s="49">
        <v>0</v>
      </c>
      <c r="BA257" s="49">
        <v>0</v>
      </c>
      <c r="BB257" s="58">
        <v>0</v>
      </c>
      <c r="BC257" s="42">
        <v>123</v>
      </c>
      <c r="BD257" s="49">
        <v>74.400000000000006</v>
      </c>
      <c r="BE257" s="49"/>
      <c r="BS257" s="58"/>
      <c r="BT257" s="83">
        <v>80.849999999999994</v>
      </c>
      <c r="CE257" s="83"/>
      <c r="CK257" s="58"/>
      <c r="CL257" s="83">
        <v>69.11</v>
      </c>
      <c r="CO257" s="58"/>
      <c r="CP257" s="83"/>
      <c r="CR257" s="58"/>
      <c r="CS257" s="83"/>
      <c r="CY257" s="83"/>
      <c r="DG257" s="58"/>
      <c r="DH257" s="83"/>
      <c r="DQ257" s="83"/>
      <c r="EE257" s="58"/>
      <c r="EF257" s="83"/>
      <c r="EI257" s="83"/>
      <c r="EK257" s="58"/>
      <c r="EL257" s="83"/>
      <c r="EO257" s="58"/>
      <c r="EP257" s="83"/>
      <c r="EQ257" s="58"/>
      <c r="ER257" s="83"/>
      <c r="ES257" s="58"/>
      <c r="ET257" s="83"/>
      <c r="EU257" s="58"/>
    </row>
    <row r="258" spans="1:151">
      <c r="A258" s="42" t="s">
        <v>326</v>
      </c>
      <c r="B258" s="173" t="s">
        <v>138</v>
      </c>
      <c r="C258" s="173" t="s">
        <v>504</v>
      </c>
      <c r="D258" s="83" t="s">
        <v>69</v>
      </c>
      <c r="E258" s="49" t="s">
        <v>1</v>
      </c>
      <c r="F258" s="49" t="s">
        <v>287</v>
      </c>
      <c r="G258" s="49">
        <v>46.27</v>
      </c>
      <c r="H258" s="49">
        <v>4589</v>
      </c>
      <c r="I258" s="49">
        <v>732</v>
      </c>
      <c r="J258" s="159">
        <v>8.4137931034482758</v>
      </c>
      <c r="K258" s="49">
        <v>1</v>
      </c>
      <c r="L258" s="49">
        <v>2</v>
      </c>
      <c r="M258" s="83">
        <v>0</v>
      </c>
      <c r="N258" s="49">
        <v>0</v>
      </c>
      <c r="O258" s="49">
        <v>1</v>
      </c>
      <c r="P258" s="49">
        <v>1</v>
      </c>
      <c r="Q258" s="58">
        <v>0</v>
      </c>
      <c r="R258" s="42">
        <v>2</v>
      </c>
      <c r="S258" s="83">
        <v>1</v>
      </c>
      <c r="U258" s="83">
        <v>0</v>
      </c>
      <c r="V258" s="49">
        <v>0</v>
      </c>
      <c r="W258" s="49">
        <v>0</v>
      </c>
      <c r="X258" s="58"/>
      <c r="Y258" s="83">
        <v>0</v>
      </c>
      <c r="AJ258" s="49">
        <v>0</v>
      </c>
      <c r="AK258" s="83">
        <v>0</v>
      </c>
      <c r="AL258" s="49">
        <v>1</v>
      </c>
      <c r="AM258" s="49">
        <v>0</v>
      </c>
      <c r="AN258" s="49">
        <v>0</v>
      </c>
      <c r="AO258" s="58">
        <v>0</v>
      </c>
      <c r="AP258" s="174">
        <v>48</v>
      </c>
      <c r="AQ258" s="175">
        <v>175</v>
      </c>
      <c r="AR258" s="175">
        <v>0</v>
      </c>
      <c r="AS258" s="175">
        <v>0</v>
      </c>
      <c r="AT258" s="175" t="s">
        <v>284</v>
      </c>
      <c r="AU258" s="175" t="s">
        <v>284</v>
      </c>
      <c r="AV258" s="175">
        <v>0</v>
      </c>
      <c r="AW258" s="175">
        <v>0</v>
      </c>
      <c r="AX258" s="83">
        <v>0</v>
      </c>
      <c r="AY258" s="49">
        <v>0</v>
      </c>
      <c r="AZ258" s="49">
        <v>0</v>
      </c>
      <c r="BA258" s="49">
        <v>0</v>
      </c>
      <c r="BB258" s="58">
        <v>0</v>
      </c>
      <c r="BC258" s="42">
        <v>123</v>
      </c>
      <c r="BD258" s="49">
        <v>81.25</v>
      </c>
      <c r="BE258" s="49"/>
      <c r="BS258" s="58"/>
      <c r="BT258" s="83">
        <v>72.510000000000005</v>
      </c>
      <c r="CE258" s="83"/>
      <c r="CK258" s="58"/>
      <c r="CL258" s="83">
        <v>67.349999999999994</v>
      </c>
      <c r="CO258" s="58"/>
      <c r="CP258" s="83"/>
      <c r="CR258" s="58"/>
      <c r="CS258" s="83"/>
      <c r="CY258" s="83"/>
      <c r="DG258" s="58"/>
      <c r="DH258" s="83"/>
      <c r="DQ258" s="83"/>
      <c r="EE258" s="58"/>
      <c r="EF258" s="83"/>
      <c r="EI258" s="83"/>
      <c r="EK258" s="58"/>
      <c r="EL258" s="83"/>
      <c r="EO258" s="58"/>
      <c r="EP258" s="83"/>
      <c r="EQ258" s="58"/>
      <c r="ER258" s="83"/>
      <c r="ES258" s="58"/>
      <c r="ET258" s="83"/>
      <c r="EU258" s="58"/>
    </row>
    <row r="259" spans="1:151">
      <c r="A259" s="42" t="s">
        <v>326</v>
      </c>
      <c r="B259" s="173" t="s">
        <v>138</v>
      </c>
      <c r="C259" s="173" t="s">
        <v>504</v>
      </c>
      <c r="D259" s="83" t="s">
        <v>74</v>
      </c>
      <c r="F259" s="49" t="s">
        <v>286</v>
      </c>
      <c r="G259" s="49">
        <v>46.27</v>
      </c>
      <c r="H259" s="49">
        <v>4589</v>
      </c>
      <c r="I259" s="49">
        <v>1053</v>
      </c>
      <c r="J259" s="159">
        <v>6.837662337662338</v>
      </c>
      <c r="K259" s="49">
        <v>1</v>
      </c>
      <c r="L259" s="49">
        <v>3</v>
      </c>
      <c r="M259" s="83">
        <v>1</v>
      </c>
      <c r="N259" s="49">
        <v>0</v>
      </c>
      <c r="O259" s="49">
        <v>0</v>
      </c>
      <c r="P259" s="49">
        <v>1</v>
      </c>
      <c r="Q259" s="58">
        <v>0</v>
      </c>
      <c r="R259" s="42">
        <v>2</v>
      </c>
      <c r="S259" s="83">
        <v>1</v>
      </c>
      <c r="U259" s="83">
        <v>1</v>
      </c>
      <c r="V259" s="49">
        <v>2</v>
      </c>
      <c r="W259" s="49">
        <v>2</v>
      </c>
      <c r="X259" s="58"/>
      <c r="Y259" s="83">
        <v>0</v>
      </c>
      <c r="AD259" s="49">
        <v>2</v>
      </c>
      <c r="AE259" s="49">
        <v>20</v>
      </c>
      <c r="AJ259" s="49">
        <v>0</v>
      </c>
      <c r="AK259" s="83">
        <v>0</v>
      </c>
      <c r="AL259" s="49">
        <v>1</v>
      </c>
      <c r="AM259" s="49">
        <v>1</v>
      </c>
      <c r="AN259" s="49">
        <v>0</v>
      </c>
      <c r="AO259" s="58">
        <v>0</v>
      </c>
      <c r="AP259" s="174">
        <v>52</v>
      </c>
      <c r="AQ259" s="175">
        <v>159</v>
      </c>
      <c r="AR259" s="175">
        <v>31</v>
      </c>
      <c r="AS259" s="175">
        <v>138</v>
      </c>
      <c r="AT259" s="175" t="s">
        <v>284</v>
      </c>
      <c r="AU259" s="175" t="s">
        <v>284</v>
      </c>
      <c r="AV259" s="175" t="s">
        <v>284</v>
      </c>
      <c r="AW259" s="175" t="s">
        <v>284</v>
      </c>
      <c r="AX259" s="83">
        <v>0</v>
      </c>
      <c r="AY259" s="49">
        <v>0</v>
      </c>
      <c r="AZ259" s="49">
        <v>0</v>
      </c>
      <c r="BA259" s="49">
        <v>0</v>
      </c>
      <c r="BB259" s="58">
        <v>0</v>
      </c>
      <c r="BC259" s="42">
        <v>130</v>
      </c>
      <c r="BE259" s="49"/>
      <c r="BS259" s="58"/>
      <c r="BT259" s="83"/>
      <c r="CE259" s="83"/>
      <c r="CK259" s="58"/>
      <c r="CL259" s="83"/>
      <c r="CO259" s="58"/>
      <c r="CP259" s="83"/>
      <c r="CR259" s="58"/>
      <c r="CS259" s="83"/>
      <c r="CY259" s="83"/>
      <c r="DG259" s="58"/>
      <c r="DH259" s="83"/>
      <c r="DQ259" s="83"/>
      <c r="EE259" s="58"/>
      <c r="EF259" s="83"/>
      <c r="EI259" s="83"/>
      <c r="EK259" s="58"/>
      <c r="EL259" s="83"/>
      <c r="EO259" s="58"/>
      <c r="EP259" s="83"/>
      <c r="EQ259" s="58"/>
      <c r="ER259" s="83"/>
      <c r="ES259" s="58"/>
      <c r="ET259" s="83"/>
      <c r="EU259" s="58"/>
    </row>
    <row r="260" spans="1:151" ht="17" thickBot="1">
      <c r="A260" s="55" t="s">
        <v>326</v>
      </c>
      <c r="B260" s="47" t="s">
        <v>138</v>
      </c>
      <c r="C260" s="47" t="s">
        <v>504</v>
      </c>
      <c r="D260" s="84" t="s">
        <v>75</v>
      </c>
      <c r="E260" s="57"/>
      <c r="F260" s="57" t="s">
        <v>286</v>
      </c>
      <c r="G260" s="57">
        <v>46.27</v>
      </c>
      <c r="H260" s="57">
        <v>4589</v>
      </c>
      <c r="I260" s="57">
        <v>4050</v>
      </c>
      <c r="J260" s="75">
        <v>1.6020569620253164</v>
      </c>
      <c r="K260" s="57">
        <v>4</v>
      </c>
      <c r="L260" s="57">
        <v>3</v>
      </c>
      <c r="M260" s="84">
        <v>1</v>
      </c>
      <c r="N260" s="57">
        <v>5</v>
      </c>
      <c r="O260" s="57">
        <v>1</v>
      </c>
      <c r="P260" s="57">
        <v>1</v>
      </c>
      <c r="Q260" s="56">
        <v>0</v>
      </c>
      <c r="R260" s="55">
        <v>8</v>
      </c>
      <c r="S260" s="84">
        <v>1</v>
      </c>
      <c r="T260" s="57"/>
      <c r="U260" s="84">
        <v>1</v>
      </c>
      <c r="V260" s="57">
        <v>5</v>
      </c>
      <c r="W260" s="57">
        <v>1</v>
      </c>
      <c r="X260" s="56">
        <v>2</v>
      </c>
      <c r="Y260" s="84">
        <v>30</v>
      </c>
      <c r="Z260" s="57">
        <v>7</v>
      </c>
      <c r="AA260" s="57">
        <v>16</v>
      </c>
      <c r="AB260" s="57"/>
      <c r="AC260" s="57"/>
      <c r="AD260" s="57">
        <v>6</v>
      </c>
      <c r="AE260" s="57">
        <v>33</v>
      </c>
      <c r="AF260" s="57">
        <v>4</v>
      </c>
      <c r="AG260" s="57">
        <v>134</v>
      </c>
      <c r="AH260" s="57">
        <v>9</v>
      </c>
      <c r="AI260" s="57">
        <v>721</v>
      </c>
      <c r="AJ260" s="57">
        <v>1</v>
      </c>
      <c r="AK260" s="84">
        <v>0</v>
      </c>
      <c r="AL260" s="57">
        <v>0</v>
      </c>
      <c r="AM260" s="57">
        <v>1</v>
      </c>
      <c r="AN260" s="57">
        <v>0</v>
      </c>
      <c r="AO260" s="56">
        <v>0</v>
      </c>
      <c r="AP260" s="178" t="s">
        <v>284</v>
      </c>
      <c r="AQ260" s="179" t="s">
        <v>284</v>
      </c>
      <c r="AR260" s="179">
        <v>51</v>
      </c>
      <c r="AS260" s="179">
        <v>328</v>
      </c>
      <c r="AT260" s="179" t="s">
        <v>284</v>
      </c>
      <c r="AU260" s="179" t="s">
        <v>284</v>
      </c>
      <c r="AV260" s="179" t="s">
        <v>284</v>
      </c>
      <c r="AW260" s="179" t="s">
        <v>284</v>
      </c>
      <c r="AX260" s="84">
        <v>0</v>
      </c>
      <c r="AY260" s="57">
        <v>0</v>
      </c>
      <c r="AZ260" s="57">
        <v>0</v>
      </c>
      <c r="BA260" s="57">
        <v>0</v>
      </c>
      <c r="BB260" s="56">
        <v>0</v>
      </c>
      <c r="BC260" s="55">
        <v>143</v>
      </c>
      <c r="BD260" s="57">
        <v>82.29</v>
      </c>
      <c r="BE260" s="57">
        <v>80.09</v>
      </c>
      <c r="BF260" s="57">
        <v>79.709999999999994</v>
      </c>
      <c r="BG260" s="57"/>
      <c r="BH260" s="57"/>
      <c r="BI260" s="57"/>
      <c r="BJ260" s="57"/>
      <c r="BK260" s="57"/>
      <c r="BL260" s="57"/>
      <c r="BM260" s="57"/>
      <c r="BN260" s="57"/>
      <c r="BO260" s="57"/>
      <c r="BP260" s="57"/>
      <c r="BQ260" s="57"/>
      <c r="BR260" s="57"/>
      <c r="BS260" s="56"/>
      <c r="BT260" s="84">
        <v>75.180000000000007</v>
      </c>
      <c r="BU260" s="57">
        <v>74.42</v>
      </c>
      <c r="BV260" s="57"/>
      <c r="BW260" s="57"/>
      <c r="BX260" s="57"/>
      <c r="BY260" s="57"/>
      <c r="BZ260" s="57"/>
      <c r="CA260" s="57"/>
      <c r="CB260" s="57"/>
      <c r="CC260" s="57"/>
      <c r="CD260" s="57"/>
      <c r="CE260" s="84">
        <v>79.38</v>
      </c>
      <c r="CF260" s="57">
        <v>80.209999999999994</v>
      </c>
      <c r="CG260" s="57"/>
      <c r="CH260" s="57"/>
      <c r="CI260" s="57"/>
      <c r="CJ260" s="57"/>
      <c r="CK260" s="56"/>
      <c r="CL260" s="84">
        <v>68.02</v>
      </c>
      <c r="CM260" s="57">
        <v>63.56</v>
      </c>
      <c r="CN260" s="57"/>
      <c r="CO260" s="56"/>
      <c r="CP260" s="84">
        <v>65.510000000000005</v>
      </c>
      <c r="CQ260" s="57"/>
      <c r="CR260" s="56"/>
      <c r="CS260" s="84"/>
      <c r="CT260" s="57"/>
      <c r="CU260" s="57"/>
      <c r="CV260" s="57"/>
      <c r="CW260" s="57"/>
      <c r="CX260" s="57"/>
      <c r="CY260" s="84"/>
      <c r="CZ260" s="57"/>
      <c r="DA260" s="57"/>
      <c r="DB260" s="57"/>
      <c r="DC260" s="57"/>
      <c r="DD260" s="57"/>
      <c r="DE260" s="57"/>
      <c r="DF260" s="57"/>
      <c r="DG260" s="56"/>
      <c r="DH260" s="84"/>
      <c r="DI260" s="57"/>
      <c r="DJ260" s="57"/>
      <c r="DK260" s="57"/>
      <c r="DL260" s="57"/>
      <c r="DM260" s="57"/>
      <c r="DN260" s="57"/>
      <c r="DO260" s="57"/>
      <c r="DP260" s="57"/>
      <c r="DQ260" s="84">
        <v>72.3</v>
      </c>
      <c r="DR260" s="57">
        <v>75.8</v>
      </c>
      <c r="DS260" s="57"/>
      <c r="DT260" s="57"/>
      <c r="DU260" s="57"/>
      <c r="DV260" s="57"/>
      <c r="DW260" s="57"/>
      <c r="DX260" s="57"/>
      <c r="DY260" s="57"/>
      <c r="DZ260" s="57"/>
      <c r="EA260" s="57"/>
      <c r="EB260" s="57"/>
      <c r="EC260" s="57"/>
      <c r="ED260" s="57"/>
      <c r="EE260" s="56"/>
      <c r="EF260" s="84"/>
      <c r="EG260" s="57"/>
      <c r="EH260" s="57"/>
      <c r="EI260" s="84"/>
      <c r="EJ260" s="57"/>
      <c r="EK260" s="56"/>
      <c r="EL260" s="84"/>
      <c r="EM260" s="57"/>
      <c r="EN260" s="57"/>
      <c r="EO260" s="56"/>
      <c r="EP260" s="84"/>
      <c r="EQ260" s="56"/>
      <c r="ER260" s="84"/>
      <c r="ES260" s="56"/>
      <c r="ET260" s="84"/>
      <c r="EU260" s="56"/>
    </row>
    <row r="261" spans="1:151">
      <c r="A261" s="83" t="s">
        <v>325</v>
      </c>
      <c r="B261" s="7" t="s">
        <v>139</v>
      </c>
      <c r="C261" s="7" t="s">
        <v>505</v>
      </c>
      <c r="D261" s="147" t="s">
        <v>64</v>
      </c>
      <c r="E261" s="148"/>
      <c r="F261" s="148" t="s">
        <v>287</v>
      </c>
      <c r="G261" s="148">
        <v>31.509</v>
      </c>
      <c r="H261" s="148">
        <v>4098</v>
      </c>
      <c r="I261" s="148">
        <v>315</v>
      </c>
      <c r="J261" s="158">
        <v>1.2701612903225807</v>
      </c>
      <c r="K261" s="148">
        <v>4</v>
      </c>
      <c r="L261" s="148">
        <v>3</v>
      </c>
      <c r="M261" s="147">
        <v>0</v>
      </c>
      <c r="N261" s="148">
        <v>0</v>
      </c>
      <c r="O261" s="148">
        <v>1</v>
      </c>
      <c r="P261" s="148">
        <v>1</v>
      </c>
      <c r="Q261" s="149">
        <v>0</v>
      </c>
      <c r="R261" s="87">
        <v>2</v>
      </c>
      <c r="S261" s="147" t="s">
        <v>283</v>
      </c>
      <c r="T261" s="148">
        <v>2</v>
      </c>
      <c r="U261" s="147">
        <v>2</v>
      </c>
      <c r="V261" s="148">
        <v>3</v>
      </c>
      <c r="W261" s="148">
        <v>1</v>
      </c>
      <c r="X261" s="149">
        <v>3</v>
      </c>
      <c r="Y261" s="147">
        <v>10</v>
      </c>
      <c r="Z261" s="148"/>
      <c r="AA261" s="148"/>
      <c r="AB261" s="148"/>
      <c r="AC261" s="148"/>
      <c r="AD261" s="148">
        <v>2</v>
      </c>
      <c r="AE261" s="148">
        <v>12</v>
      </c>
      <c r="AF261" s="148"/>
      <c r="AG261" s="148">
        <v>89</v>
      </c>
      <c r="AH261" s="148"/>
      <c r="AI261" s="148">
        <v>9</v>
      </c>
      <c r="AJ261" s="148">
        <v>0</v>
      </c>
      <c r="AK261" s="147">
        <v>0</v>
      </c>
      <c r="AL261" s="148">
        <v>0</v>
      </c>
      <c r="AM261" s="148">
        <v>1</v>
      </c>
      <c r="AN261" s="148">
        <v>0</v>
      </c>
      <c r="AO261" s="149">
        <v>0</v>
      </c>
      <c r="AP261" s="169" t="s">
        <v>284</v>
      </c>
      <c r="AQ261" s="170" t="s">
        <v>284</v>
      </c>
      <c r="AR261" s="170">
        <v>15</v>
      </c>
      <c r="AS261" s="170">
        <v>28</v>
      </c>
      <c r="AT261" s="170" t="s">
        <v>284</v>
      </c>
      <c r="AU261" s="170" t="s">
        <v>284</v>
      </c>
      <c r="AV261" s="170" t="s">
        <v>284</v>
      </c>
      <c r="AW261" s="170" t="s">
        <v>284</v>
      </c>
      <c r="AX261" s="147">
        <v>0</v>
      </c>
      <c r="AY261" s="148">
        <v>0</v>
      </c>
      <c r="AZ261" s="148">
        <v>0</v>
      </c>
      <c r="BA261" s="148">
        <v>0</v>
      </c>
      <c r="BB261" s="149">
        <v>0</v>
      </c>
      <c r="BC261" s="87">
        <v>23</v>
      </c>
      <c r="BD261" s="148">
        <v>78.38</v>
      </c>
      <c r="BE261" s="148"/>
      <c r="BF261" s="148"/>
      <c r="BG261" s="148"/>
      <c r="BH261" s="148"/>
      <c r="BI261" s="148"/>
      <c r="BJ261" s="148"/>
      <c r="BK261" s="148"/>
      <c r="BL261" s="148"/>
      <c r="BM261" s="148"/>
      <c r="BN261" s="148"/>
      <c r="BO261" s="148"/>
      <c r="BP261" s="148"/>
      <c r="BQ261" s="148"/>
      <c r="BR261" s="148"/>
      <c r="BS261" s="149"/>
      <c r="BT261" s="147"/>
      <c r="BU261" s="148"/>
      <c r="BV261" s="148"/>
      <c r="BW261" s="148"/>
      <c r="BX261" s="148"/>
      <c r="BY261" s="148"/>
      <c r="BZ261" s="148"/>
      <c r="CA261" s="148"/>
      <c r="CB261" s="148"/>
      <c r="CC261" s="148"/>
      <c r="CD261" s="148"/>
      <c r="CE261" s="147">
        <v>60.87</v>
      </c>
      <c r="CF261" s="148"/>
      <c r="CG261" s="148"/>
      <c r="CH261" s="148"/>
      <c r="CI261" s="148"/>
      <c r="CJ261" s="148"/>
      <c r="CK261" s="149"/>
      <c r="CL261" s="147">
        <v>62.93</v>
      </c>
      <c r="CM261" s="148"/>
      <c r="CN261" s="148"/>
      <c r="CO261" s="149"/>
      <c r="CP261" s="147"/>
      <c r="CQ261" s="148"/>
      <c r="CR261" s="149"/>
      <c r="CS261" s="147"/>
      <c r="CT261" s="148"/>
      <c r="CU261" s="148"/>
      <c r="CV261" s="148"/>
      <c r="CW261" s="148"/>
      <c r="CX261" s="148"/>
      <c r="CY261" s="147"/>
      <c r="CZ261" s="148"/>
      <c r="DA261" s="148"/>
      <c r="DB261" s="148"/>
      <c r="DC261" s="148"/>
      <c r="DD261" s="148"/>
      <c r="DE261" s="148"/>
      <c r="DF261" s="148"/>
      <c r="DG261" s="149"/>
      <c r="DH261" s="147"/>
      <c r="DI261" s="148"/>
      <c r="DJ261" s="148"/>
      <c r="DK261" s="148"/>
      <c r="DL261" s="148"/>
      <c r="DM261" s="148"/>
      <c r="DN261" s="148"/>
      <c r="DO261" s="148"/>
      <c r="DP261" s="148"/>
      <c r="DQ261" s="147"/>
      <c r="DR261" s="148"/>
      <c r="DS261" s="148"/>
      <c r="DT261" s="148"/>
      <c r="DU261" s="148"/>
      <c r="DV261" s="148"/>
      <c r="DW261" s="148"/>
      <c r="DX261" s="148"/>
      <c r="DY261" s="148"/>
      <c r="DZ261" s="148"/>
      <c r="EA261" s="148"/>
      <c r="EB261" s="148"/>
      <c r="EC261" s="148"/>
      <c r="ED261" s="148"/>
      <c r="EE261" s="149"/>
      <c r="EF261" s="147"/>
      <c r="EG261" s="148"/>
      <c r="EH261" s="148"/>
      <c r="EI261" s="147"/>
      <c r="EJ261" s="148"/>
      <c r="EK261" s="149"/>
      <c r="EL261" s="147"/>
      <c r="EM261" s="148"/>
      <c r="EN261" s="148"/>
      <c r="EO261" s="149"/>
      <c r="EP261" s="147"/>
      <c r="EQ261" s="149"/>
      <c r="ER261" s="147"/>
      <c r="ES261" s="149"/>
      <c r="ET261" s="147"/>
      <c r="EU261" s="149"/>
    </row>
    <row r="262" spans="1:151">
      <c r="A262" s="83" t="s">
        <v>325</v>
      </c>
      <c r="B262" s="173" t="s">
        <v>139</v>
      </c>
      <c r="C262" s="173" t="s">
        <v>505</v>
      </c>
      <c r="D262" s="83" t="s">
        <v>76</v>
      </c>
      <c r="F262" s="49" t="s">
        <v>287</v>
      </c>
      <c r="G262" s="49">
        <v>31.509</v>
      </c>
      <c r="I262" s="49">
        <v>819</v>
      </c>
      <c r="J262" s="159">
        <v>1.5223048327137547</v>
      </c>
      <c r="K262" s="49">
        <v>4</v>
      </c>
      <c r="L262" s="49">
        <v>3</v>
      </c>
      <c r="M262" s="83">
        <v>0</v>
      </c>
      <c r="N262" s="49">
        <v>0</v>
      </c>
      <c r="O262" s="49">
        <v>0</v>
      </c>
      <c r="P262" s="49">
        <v>0</v>
      </c>
      <c r="Q262" s="58">
        <v>0</v>
      </c>
      <c r="R262" s="42">
        <v>0</v>
      </c>
      <c r="S262" s="83">
        <v>1</v>
      </c>
      <c r="T262" s="49">
        <v>4</v>
      </c>
      <c r="U262" s="83">
        <v>1</v>
      </c>
      <c r="V262" s="49">
        <v>4</v>
      </c>
      <c r="W262" s="49">
        <v>2</v>
      </c>
      <c r="X262" s="58"/>
      <c r="Y262" s="83">
        <v>10</v>
      </c>
      <c r="AD262" s="49">
        <v>5</v>
      </c>
      <c r="AE262" s="49">
        <v>25</v>
      </c>
      <c r="AH262" s="49">
        <v>12</v>
      </c>
      <c r="AI262" s="49">
        <v>316</v>
      </c>
      <c r="AJ262" s="49">
        <v>0</v>
      </c>
      <c r="AK262" s="83">
        <v>0</v>
      </c>
      <c r="AL262" s="49">
        <v>1</v>
      </c>
      <c r="AM262" s="49">
        <v>0</v>
      </c>
      <c r="AN262" s="49">
        <v>0</v>
      </c>
      <c r="AO262" s="58">
        <v>0</v>
      </c>
      <c r="AP262" s="174">
        <v>0</v>
      </c>
      <c r="AQ262" s="175">
        <v>381</v>
      </c>
      <c r="AR262" s="175" t="s">
        <v>284</v>
      </c>
      <c r="AS262" s="175" t="s">
        <v>284</v>
      </c>
      <c r="AT262" s="175" t="s">
        <v>284</v>
      </c>
      <c r="AU262" s="175" t="s">
        <v>284</v>
      </c>
      <c r="AV262" s="175" t="s">
        <v>284</v>
      </c>
      <c r="AW262" s="175" t="s">
        <v>284</v>
      </c>
      <c r="AX262" s="83">
        <v>0</v>
      </c>
      <c r="AY262" s="49">
        <v>0</v>
      </c>
      <c r="AZ262" s="49">
        <v>0</v>
      </c>
      <c r="BA262" s="49">
        <v>0</v>
      </c>
      <c r="BB262" s="58">
        <v>0</v>
      </c>
      <c r="BC262" s="42">
        <v>50</v>
      </c>
      <c r="BE262" s="49"/>
      <c r="BS262" s="58"/>
      <c r="BT262" s="83"/>
      <c r="CE262" s="83"/>
      <c r="CK262" s="58"/>
      <c r="CL262" s="83"/>
      <c r="CO262" s="58"/>
      <c r="CP262" s="83"/>
      <c r="CR262" s="58"/>
      <c r="CS262" s="83"/>
      <c r="CY262" s="83"/>
      <c r="DG262" s="58"/>
      <c r="DH262" s="83"/>
      <c r="DQ262" s="83"/>
      <c r="EE262" s="58"/>
      <c r="EF262" s="83"/>
      <c r="EI262" s="83"/>
      <c r="EK262" s="58"/>
      <c r="EL262" s="83"/>
      <c r="EO262" s="58"/>
      <c r="EP262" s="83"/>
      <c r="EQ262" s="58"/>
      <c r="ER262" s="83"/>
      <c r="ES262" s="58"/>
      <c r="ET262" s="83"/>
      <c r="EU262" s="58"/>
    </row>
    <row r="263" spans="1:151">
      <c r="A263" s="83" t="s">
        <v>325</v>
      </c>
      <c r="B263" s="173" t="s">
        <v>139</v>
      </c>
      <c r="C263" s="173" t="s">
        <v>505</v>
      </c>
      <c r="D263" s="83" t="s">
        <v>73</v>
      </c>
      <c r="F263" s="49" t="s">
        <v>287</v>
      </c>
      <c r="G263" s="49">
        <v>31.509</v>
      </c>
      <c r="H263" s="49">
        <v>4098</v>
      </c>
      <c r="I263" s="49">
        <v>94</v>
      </c>
      <c r="J263" s="159">
        <v>1.8076923076923077</v>
      </c>
      <c r="K263" s="49">
        <v>1</v>
      </c>
      <c r="L263" s="49">
        <v>1</v>
      </c>
      <c r="M263" s="83">
        <v>0</v>
      </c>
      <c r="N263" s="49">
        <v>0</v>
      </c>
      <c r="O263" s="49">
        <v>0</v>
      </c>
      <c r="P263" s="49">
        <v>1</v>
      </c>
      <c r="Q263" s="58">
        <v>1</v>
      </c>
      <c r="R263" s="42">
        <v>2</v>
      </c>
      <c r="S263" s="83" t="s">
        <v>283</v>
      </c>
      <c r="T263" s="49">
        <v>2</v>
      </c>
      <c r="U263" s="83">
        <v>1</v>
      </c>
      <c r="V263" s="49">
        <v>4</v>
      </c>
      <c r="W263" s="49">
        <v>1</v>
      </c>
      <c r="X263" s="58">
        <v>2</v>
      </c>
      <c r="Y263" s="83">
        <v>0</v>
      </c>
      <c r="AJ263" s="49">
        <v>0</v>
      </c>
      <c r="AK263" s="83">
        <v>0</v>
      </c>
      <c r="AL263" s="49">
        <v>0</v>
      </c>
      <c r="AM263" s="49">
        <v>0</v>
      </c>
      <c r="AN263" s="49">
        <v>0</v>
      </c>
      <c r="AO263" s="58">
        <v>0</v>
      </c>
      <c r="AP263" s="174" t="s">
        <v>284</v>
      </c>
      <c r="AQ263" s="175" t="s">
        <v>284</v>
      </c>
      <c r="AR263" s="175" t="s">
        <v>284</v>
      </c>
      <c r="AS263" s="175" t="s">
        <v>284</v>
      </c>
      <c r="AT263" s="175" t="s">
        <v>284</v>
      </c>
      <c r="AU263" s="175" t="s">
        <v>284</v>
      </c>
      <c r="AV263" s="175" t="s">
        <v>284</v>
      </c>
      <c r="AW263" s="175" t="s">
        <v>284</v>
      </c>
      <c r="AX263" s="83">
        <v>0</v>
      </c>
      <c r="AY263" s="49">
        <v>0</v>
      </c>
      <c r="AZ263" s="49">
        <v>0</v>
      </c>
      <c r="BA263" s="49">
        <v>0</v>
      </c>
      <c r="BB263" s="58">
        <v>0</v>
      </c>
      <c r="BC263" s="42" t="s">
        <v>140</v>
      </c>
      <c r="BE263" s="49"/>
      <c r="BS263" s="58"/>
      <c r="BT263" s="83"/>
      <c r="CE263" s="83"/>
      <c r="CK263" s="58"/>
      <c r="CL263" s="83"/>
      <c r="CO263" s="58"/>
      <c r="CP263" s="83"/>
      <c r="CR263" s="58"/>
      <c r="CS263" s="83"/>
      <c r="CY263" s="83"/>
      <c r="DG263" s="58"/>
      <c r="DH263" s="83"/>
      <c r="DQ263" s="83"/>
      <c r="EE263" s="58"/>
      <c r="EF263" s="83"/>
      <c r="EI263" s="83"/>
      <c r="EK263" s="58"/>
      <c r="EL263" s="83"/>
      <c r="EO263" s="58"/>
      <c r="EP263" s="83"/>
      <c r="EQ263" s="58"/>
      <c r="ER263" s="83"/>
      <c r="ES263" s="58"/>
      <c r="ET263" s="83"/>
      <c r="EU263" s="58"/>
    </row>
    <row r="264" spans="1:151">
      <c r="A264" s="83" t="s">
        <v>325</v>
      </c>
      <c r="B264" s="173" t="s">
        <v>139</v>
      </c>
      <c r="C264" s="173" t="s">
        <v>505</v>
      </c>
      <c r="D264" s="83" t="s">
        <v>81</v>
      </c>
      <c r="F264" s="49" t="s">
        <v>287</v>
      </c>
      <c r="G264" s="49">
        <v>31.509</v>
      </c>
      <c r="H264" s="49">
        <v>4098</v>
      </c>
      <c r="I264" s="49">
        <v>467</v>
      </c>
      <c r="J264" s="159">
        <v>1.627177700348432</v>
      </c>
      <c r="K264" s="49">
        <v>4</v>
      </c>
      <c r="L264" s="49">
        <v>4</v>
      </c>
      <c r="M264" s="83">
        <v>0</v>
      </c>
      <c r="N264" s="49">
        <v>0</v>
      </c>
      <c r="O264" s="49">
        <v>1</v>
      </c>
      <c r="P264" s="49">
        <v>0</v>
      </c>
      <c r="Q264" s="58">
        <v>0</v>
      </c>
      <c r="R264" s="42">
        <v>1</v>
      </c>
      <c r="S264" s="83" t="s">
        <v>283</v>
      </c>
      <c r="T264" s="49">
        <v>2</v>
      </c>
      <c r="U264" s="83">
        <v>1</v>
      </c>
      <c r="V264" s="49">
        <v>4</v>
      </c>
      <c r="W264" s="49">
        <v>1</v>
      </c>
      <c r="X264" s="58">
        <v>1</v>
      </c>
      <c r="Y264" s="83">
        <v>1</v>
      </c>
      <c r="Z264" s="49">
        <v>4</v>
      </c>
      <c r="AA264" s="49">
        <v>8</v>
      </c>
      <c r="AJ264" s="49">
        <v>0</v>
      </c>
      <c r="AK264" s="83">
        <v>0</v>
      </c>
      <c r="AL264" s="49">
        <v>0</v>
      </c>
      <c r="AM264" s="49">
        <v>0</v>
      </c>
      <c r="AN264" s="49">
        <v>0</v>
      </c>
      <c r="AO264" s="58">
        <v>0</v>
      </c>
      <c r="AP264" s="174" t="s">
        <v>284</v>
      </c>
      <c r="AQ264" s="175" t="s">
        <v>284</v>
      </c>
      <c r="AR264" s="175" t="s">
        <v>284</v>
      </c>
      <c r="AS264" s="175" t="s">
        <v>284</v>
      </c>
      <c r="AT264" s="175" t="s">
        <v>284</v>
      </c>
      <c r="AU264" s="175" t="s">
        <v>284</v>
      </c>
      <c r="AV264" s="175" t="s">
        <v>284</v>
      </c>
      <c r="AW264" s="175" t="s">
        <v>284</v>
      </c>
      <c r="AX264" s="83">
        <v>0</v>
      </c>
      <c r="AY264" s="49">
        <v>0</v>
      </c>
      <c r="AZ264" s="49">
        <v>0</v>
      </c>
      <c r="BA264" s="49">
        <v>0</v>
      </c>
      <c r="BB264" s="58">
        <v>0</v>
      </c>
      <c r="BC264" s="42">
        <v>31</v>
      </c>
      <c r="BD264" s="49">
        <v>78.959999999999994</v>
      </c>
      <c r="BE264" s="49">
        <v>78.94</v>
      </c>
      <c r="BS264" s="58"/>
      <c r="BT264" s="83"/>
      <c r="CE264" s="83"/>
      <c r="CK264" s="58"/>
      <c r="CL264" s="83">
        <v>55.85</v>
      </c>
      <c r="CO264" s="58"/>
      <c r="CP264" s="83"/>
      <c r="CR264" s="58"/>
      <c r="CS264" s="83"/>
      <c r="CY264" s="83"/>
      <c r="DG264" s="58"/>
      <c r="DH264" s="83"/>
      <c r="DQ264" s="83"/>
      <c r="EE264" s="58"/>
      <c r="EF264" s="83"/>
      <c r="EI264" s="83"/>
      <c r="EK264" s="58"/>
      <c r="EL264" s="83"/>
      <c r="EO264" s="58"/>
      <c r="EP264" s="83"/>
      <c r="EQ264" s="58"/>
      <c r="ER264" s="83"/>
      <c r="ES264" s="58"/>
      <c r="ET264" s="83"/>
      <c r="EU264" s="58"/>
    </row>
    <row r="265" spans="1:151">
      <c r="A265" s="83" t="s">
        <v>325</v>
      </c>
      <c r="B265" s="173" t="s">
        <v>139</v>
      </c>
      <c r="C265" s="173" t="s">
        <v>505</v>
      </c>
      <c r="D265" s="83" t="s">
        <v>87</v>
      </c>
      <c r="F265" s="49" t="s">
        <v>287</v>
      </c>
      <c r="G265" s="49">
        <v>31.509</v>
      </c>
      <c r="H265" s="49">
        <v>4098</v>
      </c>
      <c r="I265" s="49">
        <v>457</v>
      </c>
      <c r="J265" s="159">
        <v>4.810526315789474</v>
      </c>
      <c r="K265" s="49">
        <v>1</v>
      </c>
      <c r="L265" s="49">
        <v>3</v>
      </c>
      <c r="M265" s="83">
        <v>0</v>
      </c>
      <c r="N265" s="49">
        <v>1</v>
      </c>
      <c r="O265" s="49">
        <v>0</v>
      </c>
      <c r="P265" s="49">
        <v>1</v>
      </c>
      <c r="Q265" s="58">
        <v>0</v>
      </c>
      <c r="R265" s="42">
        <v>2</v>
      </c>
      <c r="S265" s="83" t="s">
        <v>283</v>
      </c>
      <c r="T265" s="49">
        <v>2</v>
      </c>
      <c r="U265" s="83">
        <v>1</v>
      </c>
      <c r="V265" s="49">
        <v>3</v>
      </c>
      <c r="W265" s="49">
        <v>1</v>
      </c>
      <c r="X265" s="58">
        <v>2</v>
      </c>
      <c r="Y265" s="83">
        <v>1</v>
      </c>
      <c r="AF265" s="49">
        <v>4</v>
      </c>
      <c r="AG265" s="49">
        <v>104</v>
      </c>
      <c r="AH265" s="49">
        <v>5</v>
      </c>
      <c r="AI265" s="49">
        <v>29</v>
      </c>
      <c r="AJ265" s="49">
        <v>0</v>
      </c>
      <c r="AK265" s="83">
        <v>0</v>
      </c>
      <c r="AL265" s="49">
        <v>0</v>
      </c>
      <c r="AM265" s="49">
        <v>0</v>
      </c>
      <c r="AN265" s="49">
        <v>0</v>
      </c>
      <c r="AO265" s="58">
        <v>0</v>
      </c>
      <c r="AP265" s="174" t="s">
        <v>284</v>
      </c>
      <c r="AQ265" s="175" t="s">
        <v>284</v>
      </c>
      <c r="AR265" s="175" t="s">
        <v>284</v>
      </c>
      <c r="AS265" s="175" t="s">
        <v>284</v>
      </c>
      <c r="AT265" s="175" t="s">
        <v>284</v>
      </c>
      <c r="AU265" s="175" t="s">
        <v>284</v>
      </c>
      <c r="AV265" s="175" t="s">
        <v>284</v>
      </c>
      <c r="AW265" s="175" t="s">
        <v>284</v>
      </c>
      <c r="AX265" s="83">
        <v>0</v>
      </c>
      <c r="AY265" s="49">
        <v>0</v>
      </c>
      <c r="AZ265" s="49">
        <v>0</v>
      </c>
      <c r="BA265" s="49">
        <v>0</v>
      </c>
      <c r="BB265" s="58">
        <v>0</v>
      </c>
      <c r="BC265" s="42">
        <v>39</v>
      </c>
      <c r="BE265" s="49"/>
      <c r="BS265" s="58"/>
      <c r="BT265" s="83"/>
      <c r="CE265" s="83"/>
      <c r="CK265" s="58"/>
      <c r="CL265" s="83"/>
      <c r="CO265" s="58"/>
      <c r="CP265" s="83"/>
      <c r="CR265" s="58"/>
      <c r="CS265" s="83"/>
      <c r="CY265" s="83"/>
      <c r="DG265" s="58"/>
      <c r="DH265" s="83"/>
      <c r="DQ265" s="83"/>
      <c r="EE265" s="58"/>
      <c r="EF265" s="83"/>
      <c r="EI265" s="83"/>
      <c r="EK265" s="58"/>
      <c r="EL265" s="83"/>
      <c r="EO265" s="58"/>
      <c r="EP265" s="83"/>
      <c r="EQ265" s="58"/>
      <c r="ER265" s="83"/>
      <c r="ES265" s="58"/>
      <c r="ET265" s="83"/>
      <c r="EU265" s="58"/>
    </row>
    <row r="266" spans="1:151">
      <c r="A266" s="83" t="s">
        <v>325</v>
      </c>
      <c r="B266" s="173" t="s">
        <v>139</v>
      </c>
      <c r="C266" s="173" t="s">
        <v>505</v>
      </c>
      <c r="D266" s="83" t="s">
        <v>88</v>
      </c>
      <c r="F266" s="49" t="s">
        <v>287</v>
      </c>
      <c r="G266" s="49">
        <v>31.509</v>
      </c>
      <c r="H266" s="49">
        <v>4098</v>
      </c>
      <c r="I266" s="49">
        <v>383</v>
      </c>
      <c r="J266" s="159">
        <v>3.3893805309734515</v>
      </c>
      <c r="K266" s="49">
        <v>1</v>
      </c>
      <c r="L266" s="49">
        <v>3</v>
      </c>
      <c r="M266" s="83">
        <v>0</v>
      </c>
      <c r="N266" s="49">
        <v>0</v>
      </c>
      <c r="O266" s="49">
        <v>0</v>
      </c>
      <c r="P266" s="49">
        <v>1</v>
      </c>
      <c r="Q266" s="58">
        <v>0</v>
      </c>
      <c r="R266" s="42">
        <v>1</v>
      </c>
      <c r="S266" s="83" t="s">
        <v>283</v>
      </c>
      <c r="T266" s="49">
        <v>2</v>
      </c>
      <c r="U266" s="83">
        <v>1</v>
      </c>
      <c r="V266" s="49">
        <v>4</v>
      </c>
      <c r="W266" s="49">
        <v>1</v>
      </c>
      <c r="X266" s="58">
        <v>2</v>
      </c>
      <c r="Y266" s="83">
        <v>5</v>
      </c>
      <c r="AH266" s="49">
        <v>17</v>
      </c>
      <c r="AI266" s="49">
        <v>51</v>
      </c>
      <c r="AJ266" s="49">
        <v>0</v>
      </c>
      <c r="AK266" s="83">
        <v>0</v>
      </c>
      <c r="AL266" s="49">
        <v>0</v>
      </c>
      <c r="AM266" s="49">
        <v>0</v>
      </c>
      <c r="AN266" s="49">
        <v>0</v>
      </c>
      <c r="AO266" s="58">
        <v>0</v>
      </c>
      <c r="AP266" s="174" t="s">
        <v>284</v>
      </c>
      <c r="AQ266" s="175" t="s">
        <v>284</v>
      </c>
      <c r="AR266" s="175" t="s">
        <v>284</v>
      </c>
      <c r="AS266" s="175" t="s">
        <v>284</v>
      </c>
      <c r="AT266" s="175" t="s">
        <v>284</v>
      </c>
      <c r="AU266" s="175" t="s">
        <v>284</v>
      </c>
      <c r="AV266" s="175" t="s">
        <v>284</v>
      </c>
      <c r="AW266" s="175" t="s">
        <v>284</v>
      </c>
      <c r="AX266" s="83">
        <v>0</v>
      </c>
      <c r="AY266" s="49">
        <v>0</v>
      </c>
      <c r="AZ266" s="49">
        <v>0</v>
      </c>
      <c r="BA266" s="49">
        <v>0</v>
      </c>
      <c r="BB266" s="58">
        <v>0</v>
      </c>
      <c r="BC266" s="42">
        <v>26</v>
      </c>
      <c r="BE266" s="49"/>
      <c r="BS266" s="58"/>
      <c r="BT266" s="83"/>
      <c r="CE266" s="83"/>
      <c r="CK266" s="58"/>
      <c r="CL266" s="83"/>
      <c r="CO266" s="58"/>
      <c r="CP266" s="83"/>
      <c r="CR266" s="58"/>
      <c r="CS266" s="83"/>
      <c r="CY266" s="83"/>
      <c r="DG266" s="58"/>
      <c r="DH266" s="83"/>
      <c r="DQ266" s="83"/>
      <c r="EE266" s="58"/>
      <c r="EF266" s="83"/>
      <c r="EI266" s="83"/>
      <c r="EK266" s="58"/>
      <c r="EL266" s="83"/>
      <c r="EO266" s="58"/>
      <c r="EP266" s="83"/>
      <c r="EQ266" s="58"/>
      <c r="ER266" s="83"/>
      <c r="ES266" s="58"/>
      <c r="ET266" s="83"/>
      <c r="EU266" s="58"/>
    </row>
    <row r="267" spans="1:151">
      <c r="A267" s="83" t="s">
        <v>325</v>
      </c>
      <c r="B267" s="173" t="s">
        <v>139</v>
      </c>
      <c r="C267" s="173" t="s">
        <v>505</v>
      </c>
      <c r="D267" s="83" t="s">
        <v>111</v>
      </c>
      <c r="F267" s="49" t="s">
        <v>286</v>
      </c>
      <c r="G267" s="49">
        <v>31.509</v>
      </c>
      <c r="H267" s="49">
        <v>4098</v>
      </c>
      <c r="I267" s="49">
        <v>6925</v>
      </c>
      <c r="J267" s="159">
        <v>1.0537127206329884</v>
      </c>
      <c r="K267" s="49">
        <v>1</v>
      </c>
      <c r="L267" s="49">
        <v>3</v>
      </c>
      <c r="M267" s="83">
        <v>0</v>
      </c>
      <c r="N267" s="49">
        <v>5</v>
      </c>
      <c r="O267" s="49">
        <v>0</v>
      </c>
      <c r="P267" s="49">
        <v>0</v>
      </c>
      <c r="Q267" s="58">
        <v>0</v>
      </c>
      <c r="R267" s="42">
        <v>5</v>
      </c>
      <c r="S267" s="83" t="s">
        <v>283</v>
      </c>
      <c r="T267" s="49">
        <v>7</v>
      </c>
      <c r="U267" s="83">
        <v>2</v>
      </c>
      <c r="V267" s="49">
        <v>3</v>
      </c>
      <c r="W267" s="49">
        <v>3</v>
      </c>
      <c r="X267" s="58">
        <v>1</v>
      </c>
      <c r="Y267" s="83">
        <v>20</v>
      </c>
      <c r="Z267" s="49">
        <v>9</v>
      </c>
      <c r="AA267" s="49">
        <v>233</v>
      </c>
      <c r="AD267" s="49">
        <v>17</v>
      </c>
      <c r="AE267" s="49">
        <v>236</v>
      </c>
      <c r="AF267" s="49">
        <v>23</v>
      </c>
      <c r="AG267" s="49">
        <v>1095</v>
      </c>
      <c r="AH267" s="49">
        <v>31</v>
      </c>
      <c r="AI267" s="49">
        <v>2033</v>
      </c>
      <c r="AJ267" s="49">
        <v>1</v>
      </c>
      <c r="AK267" s="83">
        <v>0</v>
      </c>
      <c r="AL267" s="49">
        <v>1</v>
      </c>
      <c r="AM267" s="49">
        <v>0</v>
      </c>
      <c r="AN267" s="49">
        <v>0</v>
      </c>
      <c r="AO267" s="58">
        <v>0</v>
      </c>
      <c r="AP267" s="174">
        <v>279</v>
      </c>
      <c r="AQ267" s="175">
        <v>485</v>
      </c>
      <c r="AR267" s="175" t="s">
        <v>284</v>
      </c>
      <c r="AS267" s="175" t="s">
        <v>284</v>
      </c>
      <c r="AT267" s="175" t="s">
        <v>284</v>
      </c>
      <c r="AU267" s="175" t="s">
        <v>284</v>
      </c>
      <c r="AV267" s="175" t="s">
        <v>284</v>
      </c>
      <c r="AW267" s="175" t="s">
        <v>284</v>
      </c>
      <c r="AX267" s="83">
        <v>0</v>
      </c>
      <c r="AY267" s="49">
        <v>0</v>
      </c>
      <c r="AZ267" s="49">
        <v>0</v>
      </c>
      <c r="BA267" s="49">
        <v>0</v>
      </c>
      <c r="BB267" s="58">
        <v>0</v>
      </c>
      <c r="BC267" s="42">
        <v>64</v>
      </c>
      <c r="BD267" s="49">
        <v>76.94</v>
      </c>
      <c r="BE267" s="49">
        <v>79.709999999999994</v>
      </c>
      <c r="BF267" s="49">
        <v>77.5</v>
      </c>
      <c r="BG267" s="49">
        <v>77.489999999999995</v>
      </c>
      <c r="BH267" s="49">
        <v>76.849999999999994</v>
      </c>
      <c r="BI267" s="49">
        <v>76.88</v>
      </c>
      <c r="BS267" s="58"/>
      <c r="BT267" s="83">
        <v>72.41</v>
      </c>
      <c r="BU267" s="49">
        <v>72.27</v>
      </c>
      <c r="BV267" s="49">
        <v>72.11</v>
      </c>
      <c r="BW267" s="49">
        <v>72.489999999999995</v>
      </c>
      <c r="CE267" s="83"/>
      <c r="CK267" s="58"/>
      <c r="CL267" s="83">
        <v>62.96</v>
      </c>
      <c r="CO267" s="58"/>
      <c r="CP267" s="83"/>
      <c r="CR267" s="58"/>
      <c r="CS267" s="83"/>
      <c r="CY267" s="83">
        <v>76.790000000000006</v>
      </c>
      <c r="CZ267" s="49">
        <v>75.709999999999994</v>
      </c>
      <c r="DA267" s="49">
        <v>78.22</v>
      </c>
      <c r="DG267" s="58"/>
      <c r="DH267" s="83"/>
      <c r="DQ267" s="83">
        <v>71.430000000000007</v>
      </c>
      <c r="DR267" s="49">
        <v>72.459999999999994</v>
      </c>
      <c r="DS267" s="49">
        <v>73.349999999999994</v>
      </c>
      <c r="EE267" s="58"/>
      <c r="EF267" s="83"/>
      <c r="EI267" s="83"/>
      <c r="EK267" s="58"/>
      <c r="EL267" s="83"/>
      <c r="EO267" s="58"/>
      <c r="EP267" s="83"/>
      <c r="EQ267" s="58"/>
      <c r="ER267" s="83"/>
      <c r="ES267" s="58"/>
      <c r="ET267" s="83"/>
      <c r="EU267" s="58"/>
    </row>
    <row r="268" spans="1:151">
      <c r="A268" s="83" t="s">
        <v>325</v>
      </c>
      <c r="B268" s="173" t="s">
        <v>139</v>
      </c>
      <c r="C268" s="173" t="s">
        <v>505</v>
      </c>
      <c r="D268" s="83" t="s">
        <v>65</v>
      </c>
      <c r="F268" s="49" t="s">
        <v>287</v>
      </c>
      <c r="G268" s="49">
        <v>31.509</v>
      </c>
      <c r="H268" s="49">
        <v>4098</v>
      </c>
      <c r="I268" s="49">
        <v>483</v>
      </c>
      <c r="J268" s="159">
        <v>5.193548387096774</v>
      </c>
      <c r="K268" s="49">
        <v>2</v>
      </c>
      <c r="L268" s="49">
        <v>2</v>
      </c>
      <c r="M268" s="83">
        <v>0</v>
      </c>
      <c r="N268" s="49">
        <v>0</v>
      </c>
      <c r="O268" s="49">
        <v>0</v>
      </c>
      <c r="P268" s="49">
        <v>1</v>
      </c>
      <c r="Q268" s="58">
        <v>0</v>
      </c>
      <c r="R268" s="42">
        <v>1</v>
      </c>
      <c r="S268" s="83" t="s">
        <v>283</v>
      </c>
      <c r="T268" s="49">
        <v>2</v>
      </c>
      <c r="U268" s="83">
        <v>0</v>
      </c>
      <c r="V268" s="49">
        <v>0</v>
      </c>
      <c r="W268" s="49">
        <v>0</v>
      </c>
      <c r="X268" s="58"/>
      <c r="Y268" s="83">
        <v>5</v>
      </c>
      <c r="AD268" s="49">
        <v>3</v>
      </c>
      <c r="AE268" s="49">
        <v>98</v>
      </c>
      <c r="AF268" s="49">
        <v>4</v>
      </c>
      <c r="AG268" s="49">
        <v>17</v>
      </c>
      <c r="AI268" s="49">
        <v>49</v>
      </c>
      <c r="AJ268" s="49">
        <v>1</v>
      </c>
      <c r="AK268" s="83">
        <v>0</v>
      </c>
      <c r="AL268" s="49">
        <v>0</v>
      </c>
      <c r="AM268" s="49">
        <v>1</v>
      </c>
      <c r="AN268" s="49">
        <v>0</v>
      </c>
      <c r="AO268" s="58">
        <v>0</v>
      </c>
      <c r="AP268" s="174" t="s">
        <v>284</v>
      </c>
      <c r="AQ268" s="175" t="s">
        <v>284</v>
      </c>
      <c r="AR268" s="175">
        <v>0</v>
      </c>
      <c r="AS268" s="175">
        <v>32</v>
      </c>
      <c r="AT268" s="175" t="s">
        <v>284</v>
      </c>
      <c r="AU268" s="175" t="s">
        <v>284</v>
      </c>
      <c r="AV268" s="175" t="s">
        <v>284</v>
      </c>
      <c r="AW268" s="175" t="s">
        <v>284</v>
      </c>
      <c r="AX268" s="83">
        <v>0</v>
      </c>
      <c r="AY268" s="49">
        <v>0</v>
      </c>
      <c r="AZ268" s="49">
        <v>0</v>
      </c>
      <c r="BA268" s="49">
        <v>0</v>
      </c>
      <c r="BB268" s="58">
        <v>0</v>
      </c>
      <c r="BC268" s="42">
        <v>28</v>
      </c>
      <c r="BD268" s="49">
        <v>62.32</v>
      </c>
      <c r="BE268" s="49">
        <v>63.61</v>
      </c>
      <c r="BS268" s="58"/>
      <c r="BT268" s="83">
        <v>64.97</v>
      </c>
      <c r="CE268" s="83"/>
      <c r="CK268" s="58"/>
      <c r="CL268" s="83"/>
      <c r="CO268" s="58"/>
      <c r="CP268" s="83"/>
      <c r="CR268" s="58"/>
      <c r="CS268" s="83"/>
      <c r="CY268" s="83"/>
      <c r="DG268" s="58"/>
      <c r="DH268" s="83"/>
      <c r="DQ268" s="83">
        <v>61.53</v>
      </c>
      <c r="EE268" s="58"/>
      <c r="EF268" s="83"/>
      <c r="EI268" s="83"/>
      <c r="EK268" s="58"/>
      <c r="EL268" s="83"/>
      <c r="EO268" s="58"/>
      <c r="EP268" s="83"/>
      <c r="EQ268" s="58"/>
      <c r="ER268" s="83"/>
      <c r="ES268" s="58"/>
      <c r="ET268" s="83"/>
      <c r="EU268" s="58"/>
    </row>
    <row r="269" spans="1:151">
      <c r="A269" s="83" t="s">
        <v>325</v>
      </c>
      <c r="B269" s="173" t="s">
        <v>139</v>
      </c>
      <c r="C269" s="173" t="s">
        <v>505</v>
      </c>
      <c r="D269" s="83" t="s">
        <v>66</v>
      </c>
      <c r="F269" s="49" t="s">
        <v>287</v>
      </c>
      <c r="G269" s="49">
        <v>31.509</v>
      </c>
      <c r="H269" s="49">
        <v>4098</v>
      </c>
      <c r="I269" s="49">
        <v>316</v>
      </c>
      <c r="J269" s="159">
        <v>5.1803278688524594</v>
      </c>
      <c r="K269" s="49">
        <v>1</v>
      </c>
      <c r="L269" s="49">
        <v>2</v>
      </c>
      <c r="M269" s="83">
        <v>1</v>
      </c>
      <c r="N269" s="49">
        <v>0</v>
      </c>
      <c r="O269" s="49">
        <v>0</v>
      </c>
      <c r="P269" s="49">
        <v>0</v>
      </c>
      <c r="Q269" s="58">
        <v>0</v>
      </c>
      <c r="R269" s="42">
        <v>1</v>
      </c>
      <c r="S269" s="83" t="s">
        <v>283</v>
      </c>
      <c r="T269" s="49">
        <v>2</v>
      </c>
      <c r="U269" s="83">
        <v>0</v>
      </c>
      <c r="V269" s="49">
        <v>0</v>
      </c>
      <c r="W269" s="49">
        <v>0</v>
      </c>
      <c r="X269" s="58"/>
      <c r="Y269" s="83">
        <v>2</v>
      </c>
      <c r="AF269" s="49">
        <v>2</v>
      </c>
      <c r="AG269" s="49">
        <v>10</v>
      </c>
      <c r="AJ269" s="49">
        <v>1</v>
      </c>
      <c r="AK269" s="83">
        <v>0</v>
      </c>
      <c r="AL269" s="49">
        <v>0</v>
      </c>
      <c r="AM269" s="49">
        <v>0</v>
      </c>
      <c r="AN269" s="49">
        <v>0</v>
      </c>
      <c r="AO269" s="58">
        <v>0</v>
      </c>
      <c r="AP269" s="174" t="s">
        <v>284</v>
      </c>
      <c r="AQ269" s="175" t="s">
        <v>284</v>
      </c>
      <c r="AR269" s="175" t="s">
        <v>284</v>
      </c>
      <c r="AS269" s="175" t="s">
        <v>284</v>
      </c>
      <c r="AT269" s="175" t="s">
        <v>284</v>
      </c>
      <c r="AU269" s="175" t="s">
        <v>284</v>
      </c>
      <c r="AV269" s="175" t="s">
        <v>284</v>
      </c>
      <c r="AW269" s="175" t="s">
        <v>284</v>
      </c>
      <c r="AX269" s="83">
        <v>0</v>
      </c>
      <c r="AY269" s="49">
        <v>0</v>
      </c>
      <c r="AZ269" s="49">
        <v>0</v>
      </c>
      <c r="BA269" s="49">
        <v>0</v>
      </c>
      <c r="BB269" s="58">
        <v>0</v>
      </c>
      <c r="BC269" s="42">
        <v>34</v>
      </c>
      <c r="BD269" s="49">
        <v>61.08</v>
      </c>
      <c r="BE269" s="49"/>
      <c r="BS269" s="58"/>
      <c r="BT269" s="83">
        <v>62.34</v>
      </c>
      <c r="BU269" s="49">
        <v>61.88</v>
      </c>
      <c r="BV269" s="49">
        <v>63.18</v>
      </c>
      <c r="CE269" s="83"/>
      <c r="CK269" s="58"/>
      <c r="CL269" s="83"/>
      <c r="CO269" s="58"/>
      <c r="CP269" s="83"/>
      <c r="CR269" s="58"/>
      <c r="CS269" s="83"/>
      <c r="CY269" s="83"/>
      <c r="DG269" s="58"/>
      <c r="DH269" s="83"/>
      <c r="DQ269" s="83"/>
      <c r="EE269" s="58"/>
      <c r="EF269" s="83"/>
      <c r="EI269" s="83"/>
      <c r="EK269" s="58"/>
      <c r="EL269" s="83"/>
      <c r="EO269" s="58"/>
      <c r="EP269" s="83"/>
      <c r="EQ269" s="58"/>
      <c r="ER269" s="83"/>
      <c r="ES269" s="58"/>
      <c r="ET269" s="83"/>
      <c r="EU269" s="58"/>
    </row>
    <row r="270" spans="1:151">
      <c r="A270" s="83" t="s">
        <v>325</v>
      </c>
      <c r="B270" s="173" t="s">
        <v>139</v>
      </c>
      <c r="C270" s="173" t="s">
        <v>505</v>
      </c>
      <c r="D270" s="83" t="s">
        <v>67</v>
      </c>
      <c r="F270" s="49" t="s">
        <v>287</v>
      </c>
      <c r="G270" s="49">
        <v>31.509</v>
      </c>
      <c r="H270" s="49">
        <v>4098</v>
      </c>
      <c r="I270" s="49">
        <v>251</v>
      </c>
      <c r="J270" s="159">
        <v>1.6298701298701299</v>
      </c>
      <c r="K270" s="49">
        <v>4</v>
      </c>
      <c r="L270" s="49">
        <v>3</v>
      </c>
      <c r="M270" s="83">
        <v>0</v>
      </c>
      <c r="N270" s="49">
        <v>1</v>
      </c>
      <c r="O270" s="49">
        <v>0</v>
      </c>
      <c r="P270" s="49">
        <v>0</v>
      </c>
      <c r="Q270" s="58">
        <v>0</v>
      </c>
      <c r="R270" s="42">
        <v>1</v>
      </c>
      <c r="S270" s="83" t="s">
        <v>283</v>
      </c>
      <c r="T270" s="49">
        <v>1</v>
      </c>
      <c r="U270" s="83">
        <v>1</v>
      </c>
      <c r="V270" s="49">
        <v>3</v>
      </c>
      <c r="W270" s="49">
        <v>2</v>
      </c>
      <c r="X270" s="58"/>
      <c r="Y270" s="83">
        <v>1</v>
      </c>
      <c r="AD270" s="49">
        <v>3</v>
      </c>
      <c r="AE270" s="49">
        <v>14</v>
      </c>
      <c r="AG270" s="49">
        <v>9</v>
      </c>
      <c r="AJ270" s="49">
        <v>1</v>
      </c>
      <c r="AK270" s="83">
        <v>0</v>
      </c>
      <c r="AL270" s="49">
        <v>0</v>
      </c>
      <c r="AM270" s="49">
        <v>0</v>
      </c>
      <c r="AN270" s="49">
        <v>0</v>
      </c>
      <c r="AO270" s="58">
        <v>0</v>
      </c>
      <c r="AP270" s="174" t="s">
        <v>284</v>
      </c>
      <c r="AQ270" s="175" t="s">
        <v>284</v>
      </c>
      <c r="AR270" s="175" t="s">
        <v>284</v>
      </c>
      <c r="AS270" s="175" t="s">
        <v>284</v>
      </c>
      <c r="AT270" s="175" t="s">
        <v>284</v>
      </c>
      <c r="AU270" s="175" t="s">
        <v>284</v>
      </c>
      <c r="AV270" s="175" t="s">
        <v>284</v>
      </c>
      <c r="AW270" s="175" t="s">
        <v>284</v>
      </c>
      <c r="AX270" s="83">
        <v>0</v>
      </c>
      <c r="AY270" s="49">
        <v>0</v>
      </c>
      <c r="AZ270" s="49">
        <v>0</v>
      </c>
      <c r="BA270" s="49">
        <v>0</v>
      </c>
      <c r="BB270" s="58">
        <v>0</v>
      </c>
      <c r="BC270" s="42">
        <v>35</v>
      </c>
      <c r="BD270" s="49">
        <v>80.209999999999994</v>
      </c>
      <c r="BE270" s="49">
        <v>80.709999999999994</v>
      </c>
      <c r="BS270" s="58"/>
      <c r="BT270" s="83"/>
      <c r="CE270" s="83"/>
      <c r="CK270" s="58"/>
      <c r="CL270" s="83">
        <v>62.21</v>
      </c>
      <c r="CO270" s="58"/>
      <c r="CP270" s="83"/>
      <c r="CR270" s="58"/>
      <c r="CS270" s="83"/>
      <c r="CY270" s="83"/>
      <c r="DG270" s="58"/>
      <c r="DH270" s="83"/>
      <c r="DQ270" s="83">
        <v>72.52</v>
      </c>
      <c r="EE270" s="58"/>
      <c r="EF270" s="83"/>
      <c r="EI270" s="83"/>
      <c r="EK270" s="58"/>
      <c r="EL270" s="83"/>
      <c r="EO270" s="58"/>
      <c r="EP270" s="83"/>
      <c r="EQ270" s="58"/>
      <c r="ER270" s="83"/>
      <c r="ES270" s="58"/>
      <c r="ET270" s="83"/>
      <c r="EU270" s="58"/>
    </row>
    <row r="271" spans="1:151">
      <c r="A271" s="83" t="s">
        <v>325</v>
      </c>
      <c r="B271" s="173" t="s">
        <v>139</v>
      </c>
      <c r="C271" s="173" t="s">
        <v>505</v>
      </c>
      <c r="D271" s="83" t="s">
        <v>68</v>
      </c>
      <c r="F271" s="49" t="s">
        <v>287</v>
      </c>
      <c r="G271" s="49">
        <v>31.509</v>
      </c>
      <c r="H271" s="49">
        <v>4098</v>
      </c>
      <c r="I271" s="49">
        <v>847</v>
      </c>
      <c r="J271" s="159">
        <v>1.9516129032258065</v>
      </c>
      <c r="K271" s="49">
        <v>4</v>
      </c>
      <c r="L271" s="49">
        <v>4</v>
      </c>
      <c r="M271" s="83">
        <v>0</v>
      </c>
      <c r="N271" s="49">
        <v>1</v>
      </c>
      <c r="O271" s="49">
        <v>0</v>
      </c>
      <c r="P271" s="49">
        <v>0</v>
      </c>
      <c r="Q271" s="58">
        <v>0</v>
      </c>
      <c r="R271" s="42">
        <v>1</v>
      </c>
      <c r="S271" s="83" t="s">
        <v>283</v>
      </c>
      <c r="T271" s="49">
        <v>6</v>
      </c>
      <c r="U271" s="83">
        <v>1</v>
      </c>
      <c r="V271" s="49">
        <v>4</v>
      </c>
      <c r="W271" s="49">
        <v>2</v>
      </c>
      <c r="X271" s="58"/>
      <c r="Y271" s="83">
        <v>1</v>
      </c>
      <c r="AF271" s="49">
        <v>9</v>
      </c>
      <c r="AG271" s="49">
        <v>11</v>
      </c>
      <c r="AJ271" s="49">
        <v>1</v>
      </c>
      <c r="AK271" s="83">
        <v>0</v>
      </c>
      <c r="AL271" s="49">
        <v>0</v>
      </c>
      <c r="AM271" s="49">
        <v>0</v>
      </c>
      <c r="AN271" s="49">
        <v>0</v>
      </c>
      <c r="AO271" s="58">
        <v>0</v>
      </c>
      <c r="AP271" s="174" t="s">
        <v>284</v>
      </c>
      <c r="AQ271" s="175" t="s">
        <v>284</v>
      </c>
      <c r="AR271" s="175" t="s">
        <v>284</v>
      </c>
      <c r="AS271" s="175" t="s">
        <v>284</v>
      </c>
      <c r="AT271" s="175" t="s">
        <v>284</v>
      </c>
      <c r="AU271" s="175" t="s">
        <v>284</v>
      </c>
      <c r="AV271" s="175" t="s">
        <v>284</v>
      </c>
      <c r="AW271" s="175" t="s">
        <v>284</v>
      </c>
      <c r="AX271" s="83">
        <v>0</v>
      </c>
      <c r="AY271" s="49">
        <v>0</v>
      </c>
      <c r="AZ271" s="49">
        <v>0</v>
      </c>
      <c r="BA271" s="49">
        <v>0</v>
      </c>
      <c r="BB271" s="58">
        <v>0</v>
      </c>
      <c r="BC271" s="42">
        <v>35</v>
      </c>
      <c r="BD271" s="49">
        <v>77.14</v>
      </c>
      <c r="BE271" s="49">
        <v>77.959999999999994</v>
      </c>
      <c r="BS271" s="58"/>
      <c r="BT271" s="83"/>
      <c r="CE271" s="83"/>
      <c r="CK271" s="58"/>
      <c r="CL271" s="83">
        <v>64.239999999999995</v>
      </c>
      <c r="CO271" s="58"/>
      <c r="CP271" s="83"/>
      <c r="CR271" s="58"/>
      <c r="CS271" s="83"/>
      <c r="CY271" s="83"/>
      <c r="DG271" s="58"/>
      <c r="DH271" s="83"/>
      <c r="DQ271" s="83"/>
      <c r="EE271" s="58"/>
      <c r="EF271" s="83"/>
      <c r="EI271" s="83"/>
      <c r="EK271" s="58"/>
      <c r="EL271" s="83"/>
      <c r="EO271" s="58"/>
      <c r="EP271" s="83"/>
      <c r="EQ271" s="58"/>
      <c r="ER271" s="83"/>
      <c r="ES271" s="58"/>
      <c r="ET271" s="83"/>
      <c r="EU271" s="58"/>
    </row>
    <row r="272" spans="1:151" ht="17" thickBot="1">
      <c r="A272" s="83" t="s">
        <v>325</v>
      </c>
      <c r="B272" s="47" t="s">
        <v>139</v>
      </c>
      <c r="C272" s="47" t="s">
        <v>505</v>
      </c>
      <c r="D272" s="84" t="s">
        <v>74</v>
      </c>
      <c r="E272" s="57"/>
      <c r="F272" s="57" t="s">
        <v>287</v>
      </c>
      <c r="G272" s="57">
        <v>31.509</v>
      </c>
      <c r="H272" s="57">
        <v>4098</v>
      </c>
      <c r="I272" s="57">
        <v>399</v>
      </c>
      <c r="J272" s="75">
        <v>2.1</v>
      </c>
      <c r="K272" s="57">
        <v>1</v>
      </c>
      <c r="L272" s="57">
        <v>1</v>
      </c>
      <c r="M272" s="84">
        <v>1</v>
      </c>
      <c r="N272" s="57">
        <v>0</v>
      </c>
      <c r="O272" s="57">
        <v>1</v>
      </c>
      <c r="P272" s="57">
        <v>1</v>
      </c>
      <c r="Q272" s="56">
        <v>0</v>
      </c>
      <c r="R272" s="55">
        <v>3</v>
      </c>
      <c r="S272" s="84" t="s">
        <v>283</v>
      </c>
      <c r="T272" s="57">
        <v>1</v>
      </c>
      <c r="U272" s="84">
        <v>0</v>
      </c>
      <c r="V272" s="57">
        <v>0</v>
      </c>
      <c r="W272" s="57">
        <v>0</v>
      </c>
      <c r="X272" s="56"/>
      <c r="Y272" s="84">
        <v>1</v>
      </c>
      <c r="Z272" s="57"/>
      <c r="AA272" s="57"/>
      <c r="AB272" s="57"/>
      <c r="AC272" s="57"/>
      <c r="AD272" s="57">
        <v>2</v>
      </c>
      <c r="AE272" s="57">
        <v>7</v>
      </c>
      <c r="AF272" s="57"/>
      <c r="AG272" s="57"/>
      <c r="AH272" s="57"/>
      <c r="AI272" s="57"/>
      <c r="AJ272" s="57">
        <v>0</v>
      </c>
      <c r="AK272" s="84">
        <v>0</v>
      </c>
      <c r="AL272" s="57">
        <v>0</v>
      </c>
      <c r="AM272" s="57">
        <v>0</v>
      </c>
      <c r="AN272" s="57">
        <v>0</v>
      </c>
      <c r="AO272" s="56">
        <v>0</v>
      </c>
      <c r="AP272" s="178" t="s">
        <v>284</v>
      </c>
      <c r="AQ272" s="179" t="s">
        <v>284</v>
      </c>
      <c r="AR272" s="179" t="s">
        <v>284</v>
      </c>
      <c r="AS272" s="179" t="s">
        <v>284</v>
      </c>
      <c r="AT272" s="179" t="s">
        <v>284</v>
      </c>
      <c r="AU272" s="179" t="s">
        <v>284</v>
      </c>
      <c r="AV272" s="179" t="s">
        <v>284</v>
      </c>
      <c r="AW272" s="179" t="s">
        <v>284</v>
      </c>
      <c r="AX272" s="84">
        <v>0</v>
      </c>
      <c r="AY272" s="57">
        <v>0</v>
      </c>
      <c r="AZ272" s="57">
        <v>0</v>
      </c>
      <c r="BA272" s="57">
        <v>0</v>
      </c>
      <c r="BB272" s="56">
        <v>0</v>
      </c>
      <c r="BC272" s="55">
        <v>41</v>
      </c>
      <c r="BD272" s="57">
        <v>61.2</v>
      </c>
      <c r="BE272" s="57">
        <v>61.86</v>
      </c>
      <c r="BF272" s="57"/>
      <c r="BG272" s="57"/>
      <c r="BH272" s="57"/>
      <c r="BI272" s="57"/>
      <c r="BJ272" s="57"/>
      <c r="BK272" s="57"/>
      <c r="BL272" s="57"/>
      <c r="BM272" s="57"/>
      <c r="BN272" s="57"/>
      <c r="BO272" s="57"/>
      <c r="BP272" s="57"/>
      <c r="BQ272" s="57"/>
      <c r="BR272" s="57"/>
      <c r="BS272" s="56"/>
      <c r="BT272" s="84">
        <v>62.87</v>
      </c>
      <c r="BU272" s="57"/>
      <c r="BV272" s="57"/>
      <c r="BW272" s="57"/>
      <c r="BX272" s="57"/>
      <c r="BY272" s="57"/>
      <c r="BZ272" s="57"/>
      <c r="CA272" s="57"/>
      <c r="CB272" s="57"/>
      <c r="CC272" s="57"/>
      <c r="CD272" s="57"/>
      <c r="CE272" s="84"/>
      <c r="CF272" s="57"/>
      <c r="CG272" s="57"/>
      <c r="CH272" s="57"/>
      <c r="CI272" s="57"/>
      <c r="CJ272" s="57"/>
      <c r="CK272" s="56"/>
      <c r="CL272" s="84"/>
      <c r="CM272" s="57"/>
      <c r="CN272" s="57"/>
      <c r="CO272" s="56"/>
      <c r="CP272" s="84"/>
      <c r="CQ272" s="57"/>
      <c r="CR272" s="56"/>
      <c r="CS272" s="84"/>
      <c r="CT272" s="57"/>
      <c r="CU272" s="57"/>
      <c r="CV272" s="57"/>
      <c r="CW272" s="57"/>
      <c r="CX272" s="57"/>
      <c r="CY272" s="84"/>
      <c r="CZ272" s="57"/>
      <c r="DA272" s="57"/>
      <c r="DB272" s="57"/>
      <c r="DC272" s="57"/>
      <c r="DD272" s="57"/>
      <c r="DE272" s="57"/>
      <c r="DF272" s="57"/>
      <c r="DG272" s="56"/>
      <c r="DH272" s="84"/>
      <c r="DI272" s="57"/>
      <c r="DJ272" s="57"/>
      <c r="DK272" s="57"/>
      <c r="DL272" s="57"/>
      <c r="DM272" s="57"/>
      <c r="DN272" s="57"/>
      <c r="DO272" s="57"/>
      <c r="DP272" s="57"/>
      <c r="DQ272" s="84"/>
      <c r="DR272" s="57"/>
      <c r="DS272" s="57"/>
      <c r="DT272" s="57"/>
      <c r="DU272" s="57"/>
      <c r="DV272" s="57"/>
      <c r="DW272" s="57"/>
      <c r="DX272" s="57"/>
      <c r="DY272" s="57"/>
      <c r="DZ272" s="57"/>
      <c r="EA272" s="57"/>
      <c r="EB272" s="57"/>
      <c r="EC272" s="57"/>
      <c r="ED272" s="57"/>
      <c r="EE272" s="56"/>
      <c r="EF272" s="84"/>
      <c r="EG272" s="57"/>
      <c r="EH272" s="57"/>
      <c r="EI272" s="84"/>
      <c r="EJ272" s="57"/>
      <c r="EK272" s="56"/>
      <c r="EL272" s="84"/>
      <c r="EM272" s="57"/>
      <c r="EN272" s="57"/>
      <c r="EO272" s="56"/>
      <c r="EP272" s="84"/>
      <c r="EQ272" s="56"/>
      <c r="ER272" s="84"/>
      <c r="ES272" s="56"/>
      <c r="ET272" s="84"/>
      <c r="EU272" s="56"/>
    </row>
    <row r="273" spans="1:151">
      <c r="A273" s="87" t="s">
        <v>325</v>
      </c>
      <c r="B273" s="173" t="s">
        <v>141</v>
      </c>
      <c r="C273" s="173" t="s">
        <v>505</v>
      </c>
      <c r="D273" s="83" t="s">
        <v>64</v>
      </c>
      <c r="F273" s="49" t="s">
        <v>287</v>
      </c>
      <c r="G273" s="49">
        <v>31.509</v>
      </c>
      <c r="H273" s="49">
        <v>4098</v>
      </c>
      <c r="I273" s="49">
        <v>788</v>
      </c>
      <c r="J273" s="159">
        <v>1.9313725490196079</v>
      </c>
      <c r="K273" s="49">
        <v>1</v>
      </c>
      <c r="L273" s="49">
        <v>2</v>
      </c>
      <c r="M273" s="83">
        <v>0</v>
      </c>
      <c r="N273" s="49">
        <v>0</v>
      </c>
      <c r="O273" s="49">
        <v>0</v>
      </c>
      <c r="P273" s="49">
        <v>1</v>
      </c>
      <c r="Q273" s="58">
        <v>0</v>
      </c>
      <c r="R273" s="42">
        <v>1</v>
      </c>
      <c r="S273" s="83" t="s">
        <v>284</v>
      </c>
      <c r="U273" s="83">
        <v>1</v>
      </c>
      <c r="V273" s="49">
        <v>3</v>
      </c>
      <c r="W273" s="49">
        <v>2</v>
      </c>
      <c r="X273" s="58"/>
      <c r="Y273" s="83">
        <v>2</v>
      </c>
      <c r="Z273" s="49">
        <v>3</v>
      </c>
      <c r="AA273" s="49">
        <v>5</v>
      </c>
      <c r="AD273" s="49">
        <v>8</v>
      </c>
      <c r="AE273" s="49">
        <v>43</v>
      </c>
      <c r="AH273" s="49">
        <v>16</v>
      </c>
      <c r="AI273" s="49">
        <v>62</v>
      </c>
      <c r="AJ273" s="49">
        <v>1</v>
      </c>
      <c r="AK273" s="83">
        <v>0</v>
      </c>
      <c r="AL273" s="49">
        <v>0</v>
      </c>
      <c r="AM273" s="49">
        <v>1</v>
      </c>
      <c r="AN273" s="49">
        <v>0</v>
      </c>
      <c r="AO273" s="58">
        <v>0</v>
      </c>
      <c r="AP273" s="174">
        <v>0</v>
      </c>
      <c r="AQ273" s="175">
        <v>0</v>
      </c>
      <c r="AR273" s="175">
        <v>36</v>
      </c>
      <c r="AS273" s="175">
        <v>96</v>
      </c>
      <c r="AT273" s="175">
        <v>0</v>
      </c>
      <c r="AU273" s="175">
        <v>0</v>
      </c>
      <c r="AV273" s="175">
        <v>0</v>
      </c>
      <c r="AW273" s="175">
        <v>0</v>
      </c>
      <c r="AX273" s="83">
        <v>0</v>
      </c>
      <c r="AY273" s="49">
        <v>0</v>
      </c>
      <c r="AZ273" s="49">
        <v>0</v>
      </c>
      <c r="BA273" s="49">
        <v>0</v>
      </c>
      <c r="BB273" s="58">
        <v>0</v>
      </c>
      <c r="BC273" s="42" t="s">
        <v>140</v>
      </c>
      <c r="BE273" s="49"/>
      <c r="BS273" s="58"/>
      <c r="BT273" s="83"/>
      <c r="CE273" s="83"/>
      <c r="CK273" s="58"/>
      <c r="CL273" s="83"/>
      <c r="CO273" s="58"/>
      <c r="CP273" s="83"/>
      <c r="CR273" s="58"/>
      <c r="CS273" s="83"/>
      <c r="CY273" s="83"/>
      <c r="DG273" s="58"/>
      <c r="DH273" s="83"/>
      <c r="DQ273" s="83"/>
      <c r="EE273" s="58"/>
      <c r="EF273" s="83"/>
      <c r="EI273" s="83"/>
      <c r="EK273" s="58"/>
      <c r="EL273" s="83"/>
      <c r="EO273" s="58"/>
      <c r="EP273" s="83"/>
      <c r="EQ273" s="58"/>
      <c r="ER273" s="83"/>
      <c r="ES273" s="58"/>
      <c r="ET273" s="83"/>
      <c r="EU273" s="58"/>
    </row>
    <row r="274" spans="1:151">
      <c r="A274" s="42" t="s">
        <v>325</v>
      </c>
      <c r="B274" s="173" t="s">
        <v>141</v>
      </c>
      <c r="C274" s="173" t="s">
        <v>505</v>
      </c>
      <c r="D274" s="83" t="s">
        <v>73</v>
      </c>
      <c r="F274" s="49" t="s">
        <v>287</v>
      </c>
      <c r="G274" s="49">
        <v>31.509</v>
      </c>
      <c r="H274" s="49">
        <v>4098</v>
      </c>
      <c r="I274" s="49">
        <v>930</v>
      </c>
      <c r="J274" s="159">
        <v>9.4897959183673475</v>
      </c>
      <c r="K274" s="49">
        <v>2</v>
      </c>
      <c r="L274" s="49">
        <v>3</v>
      </c>
      <c r="M274" s="83">
        <v>0</v>
      </c>
      <c r="N274" s="49">
        <v>0</v>
      </c>
      <c r="O274" s="49">
        <v>0</v>
      </c>
      <c r="P274" s="49">
        <v>0</v>
      </c>
      <c r="Q274" s="58">
        <v>0</v>
      </c>
      <c r="R274" s="42">
        <v>0</v>
      </c>
      <c r="S274" s="83" t="s">
        <v>283</v>
      </c>
      <c r="T274" s="49">
        <v>1</v>
      </c>
      <c r="U274" s="83">
        <v>0</v>
      </c>
      <c r="V274" s="49">
        <v>0</v>
      </c>
      <c r="W274" s="49">
        <v>0</v>
      </c>
      <c r="X274" s="58"/>
      <c r="Y274" s="83">
        <v>2</v>
      </c>
      <c r="AA274" s="49">
        <v>3</v>
      </c>
      <c r="AD274" s="49">
        <v>11</v>
      </c>
      <c r="AE274" s="49">
        <v>29</v>
      </c>
      <c r="AH274" s="49">
        <v>17</v>
      </c>
      <c r="AI274" s="49">
        <v>158</v>
      </c>
      <c r="AJ274" s="49">
        <v>0</v>
      </c>
      <c r="AK274" s="83">
        <v>0</v>
      </c>
      <c r="AL274" s="49">
        <v>0</v>
      </c>
      <c r="AM274" s="49">
        <v>1</v>
      </c>
      <c r="AN274" s="49">
        <v>0</v>
      </c>
      <c r="AO274" s="58">
        <v>0</v>
      </c>
      <c r="AP274" s="174" t="s">
        <v>284</v>
      </c>
      <c r="AQ274" s="175" t="s">
        <v>284</v>
      </c>
      <c r="AR274" s="175">
        <v>81</v>
      </c>
      <c r="AS274" s="175">
        <v>98</v>
      </c>
      <c r="AT274" s="175" t="s">
        <v>284</v>
      </c>
      <c r="AU274" s="175" t="s">
        <v>284</v>
      </c>
      <c r="AV274" s="175" t="s">
        <v>284</v>
      </c>
      <c r="AW274" s="175" t="s">
        <v>284</v>
      </c>
      <c r="AX274" s="83">
        <v>0</v>
      </c>
      <c r="AY274" s="49">
        <v>0</v>
      </c>
      <c r="AZ274" s="49">
        <v>0</v>
      </c>
      <c r="BA274" s="49">
        <v>0</v>
      </c>
      <c r="BB274" s="58">
        <v>0</v>
      </c>
      <c r="BC274" s="42" t="s">
        <v>140</v>
      </c>
      <c r="BD274" s="49">
        <v>62.12</v>
      </c>
      <c r="BE274" s="49">
        <v>61.25</v>
      </c>
      <c r="BF274" s="49">
        <v>61.99</v>
      </c>
      <c r="BG274" s="49">
        <v>62.06</v>
      </c>
      <c r="BH274" s="49">
        <v>62.39</v>
      </c>
      <c r="BI274" s="49">
        <v>62.41</v>
      </c>
      <c r="BJ274" s="49">
        <v>61.85</v>
      </c>
      <c r="BS274" s="58"/>
      <c r="BT274" s="83">
        <v>62.96</v>
      </c>
      <c r="BU274" s="49">
        <v>64.23</v>
      </c>
      <c r="CE274" s="83"/>
      <c r="CK274" s="58"/>
      <c r="CL274" s="83"/>
      <c r="CO274" s="58"/>
      <c r="CP274" s="83"/>
      <c r="CR274" s="58"/>
      <c r="CS274" s="83"/>
      <c r="CY274" s="83"/>
      <c r="DG274" s="58"/>
      <c r="DH274" s="83"/>
      <c r="DQ274" s="83"/>
      <c r="EE274" s="58"/>
      <c r="EF274" s="83"/>
      <c r="EI274" s="83"/>
      <c r="EK274" s="58"/>
      <c r="EL274" s="83"/>
      <c r="EO274" s="58"/>
      <c r="EP274" s="83"/>
      <c r="EQ274" s="58"/>
      <c r="ER274" s="83"/>
      <c r="ES274" s="58"/>
      <c r="ET274" s="83"/>
      <c r="EU274" s="58"/>
    </row>
    <row r="275" spans="1:151">
      <c r="A275" s="42" t="s">
        <v>325</v>
      </c>
      <c r="B275" s="173" t="s">
        <v>141</v>
      </c>
      <c r="C275" s="173" t="s">
        <v>505</v>
      </c>
      <c r="D275" s="83" t="s">
        <v>81</v>
      </c>
      <c r="F275" s="49" t="s">
        <v>286</v>
      </c>
      <c r="G275" s="49">
        <v>31.509</v>
      </c>
      <c r="H275" s="49">
        <v>4098</v>
      </c>
      <c r="I275" s="49">
        <v>1993</v>
      </c>
      <c r="J275" s="159">
        <v>4.2135306553911205</v>
      </c>
      <c r="K275" s="49">
        <v>1</v>
      </c>
      <c r="L275" s="49">
        <v>3</v>
      </c>
      <c r="M275" s="83">
        <v>0</v>
      </c>
      <c r="N275" s="49">
        <v>1</v>
      </c>
      <c r="O275" s="49">
        <v>0</v>
      </c>
      <c r="P275" s="49">
        <v>1</v>
      </c>
      <c r="Q275" s="58">
        <v>0</v>
      </c>
      <c r="R275" s="42">
        <v>2</v>
      </c>
      <c r="S275" s="83" t="s">
        <v>283</v>
      </c>
      <c r="T275" s="49">
        <v>5</v>
      </c>
      <c r="U275" s="83">
        <v>1</v>
      </c>
      <c r="V275" s="49">
        <v>3</v>
      </c>
      <c r="W275" s="49">
        <v>2</v>
      </c>
      <c r="X275" s="58"/>
      <c r="Y275" s="83">
        <v>5</v>
      </c>
      <c r="AD275" s="49">
        <v>10</v>
      </c>
      <c r="AE275" s="49">
        <v>395</v>
      </c>
      <c r="AJ275" s="49">
        <v>1</v>
      </c>
      <c r="AK275" s="83">
        <v>0</v>
      </c>
      <c r="AL275" s="49">
        <v>1</v>
      </c>
      <c r="AM275" s="49">
        <v>0</v>
      </c>
      <c r="AN275" s="49">
        <v>0</v>
      </c>
      <c r="AO275" s="58">
        <v>0</v>
      </c>
      <c r="AP275" s="174">
        <v>0</v>
      </c>
      <c r="AQ275" s="175">
        <v>392</v>
      </c>
      <c r="AR275" s="175" t="s">
        <v>284</v>
      </c>
      <c r="AS275" s="175" t="s">
        <v>284</v>
      </c>
      <c r="AT275" s="175" t="s">
        <v>284</v>
      </c>
      <c r="AU275" s="175" t="s">
        <v>284</v>
      </c>
      <c r="AV275" s="175" t="s">
        <v>284</v>
      </c>
      <c r="AW275" s="175" t="s">
        <v>284</v>
      </c>
      <c r="AX275" s="83">
        <v>0</v>
      </c>
      <c r="AY275" s="49">
        <v>0</v>
      </c>
      <c r="AZ275" s="49">
        <v>0</v>
      </c>
      <c r="BA275" s="49">
        <v>0</v>
      </c>
      <c r="BB275" s="58">
        <v>0</v>
      </c>
      <c r="BC275" s="42" t="s">
        <v>140</v>
      </c>
      <c r="BE275" s="49"/>
      <c r="BS275" s="58"/>
      <c r="BT275" s="83"/>
      <c r="CE275" s="83"/>
      <c r="CK275" s="58"/>
      <c r="CL275" s="83">
        <v>65.459999999999994</v>
      </c>
      <c r="CO275" s="58"/>
      <c r="CP275" s="83"/>
      <c r="CR275" s="58"/>
      <c r="CS275" s="83"/>
      <c r="CY275" s="83">
        <v>79.05</v>
      </c>
      <c r="CZ275" s="49">
        <v>79.06</v>
      </c>
      <c r="DA275" s="49">
        <v>73.87</v>
      </c>
      <c r="DG275" s="58"/>
      <c r="DH275" s="83"/>
      <c r="DQ275" s="83"/>
      <c r="EE275" s="58"/>
      <c r="EF275" s="83"/>
      <c r="EI275" s="83"/>
      <c r="EK275" s="58"/>
      <c r="EL275" s="83"/>
      <c r="EO275" s="58"/>
      <c r="EP275" s="83"/>
      <c r="EQ275" s="58"/>
      <c r="ER275" s="83"/>
      <c r="ES275" s="58"/>
      <c r="ET275" s="83"/>
      <c r="EU275" s="58"/>
    </row>
    <row r="276" spans="1:151">
      <c r="A276" s="42" t="s">
        <v>325</v>
      </c>
      <c r="B276" s="173" t="s">
        <v>141</v>
      </c>
      <c r="C276" s="173" t="s">
        <v>505</v>
      </c>
      <c r="D276" s="83" t="s">
        <v>87</v>
      </c>
      <c r="F276" s="49" t="s">
        <v>286</v>
      </c>
      <c r="G276" s="49">
        <v>31.509</v>
      </c>
      <c r="H276" s="49">
        <v>4098</v>
      </c>
      <c r="I276" s="49">
        <v>1276</v>
      </c>
      <c r="J276" s="159">
        <v>3.2634271099744248</v>
      </c>
      <c r="K276" s="49">
        <v>1</v>
      </c>
      <c r="L276" s="49">
        <v>3</v>
      </c>
      <c r="M276" s="83">
        <v>0</v>
      </c>
      <c r="N276" s="49">
        <v>0</v>
      </c>
      <c r="O276" s="49">
        <v>0</v>
      </c>
      <c r="P276" s="49">
        <v>0</v>
      </c>
      <c r="Q276" s="58">
        <v>0</v>
      </c>
      <c r="R276" s="42">
        <v>0</v>
      </c>
      <c r="S276" s="83" t="s">
        <v>284</v>
      </c>
      <c r="U276" s="83">
        <v>1</v>
      </c>
      <c r="V276" s="49">
        <v>3</v>
      </c>
      <c r="W276" s="49">
        <v>2</v>
      </c>
      <c r="X276" s="58"/>
      <c r="Y276" s="83">
        <v>0</v>
      </c>
      <c r="AJ276" s="49">
        <v>0</v>
      </c>
      <c r="AK276" s="83">
        <v>0</v>
      </c>
      <c r="AL276" s="49">
        <v>0</v>
      </c>
      <c r="AM276" s="49">
        <v>0</v>
      </c>
      <c r="AN276" s="49">
        <v>0</v>
      </c>
      <c r="AO276" s="58">
        <v>0</v>
      </c>
      <c r="AP276" s="174" t="s">
        <v>284</v>
      </c>
      <c r="AQ276" s="175" t="s">
        <v>284</v>
      </c>
      <c r="AR276" s="175" t="s">
        <v>284</v>
      </c>
      <c r="AS276" s="175" t="s">
        <v>284</v>
      </c>
      <c r="AT276" s="175" t="s">
        <v>284</v>
      </c>
      <c r="AU276" s="175" t="s">
        <v>284</v>
      </c>
      <c r="AV276" s="175" t="s">
        <v>284</v>
      </c>
      <c r="AW276" s="175" t="s">
        <v>284</v>
      </c>
      <c r="AX276" s="83">
        <v>0</v>
      </c>
      <c r="AY276" s="49">
        <v>0</v>
      </c>
      <c r="AZ276" s="49">
        <v>0</v>
      </c>
      <c r="BA276" s="49">
        <v>0</v>
      </c>
      <c r="BB276" s="58">
        <v>0</v>
      </c>
      <c r="BC276" s="42" t="s">
        <v>140</v>
      </c>
      <c r="BE276" s="49"/>
      <c r="BS276" s="58"/>
      <c r="BT276" s="83"/>
      <c r="CE276" s="83"/>
      <c r="CK276" s="58"/>
      <c r="CL276" s="83"/>
      <c r="CO276" s="58"/>
      <c r="CP276" s="83"/>
      <c r="CR276" s="58"/>
      <c r="CS276" s="83"/>
      <c r="CY276" s="83"/>
      <c r="DG276" s="58"/>
      <c r="DH276" s="83"/>
      <c r="DQ276" s="83"/>
      <c r="EE276" s="58"/>
      <c r="EF276" s="83"/>
      <c r="EI276" s="83"/>
      <c r="EK276" s="58"/>
      <c r="EL276" s="83"/>
      <c r="EO276" s="58"/>
      <c r="EP276" s="83"/>
      <c r="EQ276" s="58"/>
      <c r="ER276" s="83"/>
      <c r="ES276" s="58"/>
      <c r="ET276" s="83"/>
      <c r="EU276" s="58"/>
    </row>
    <row r="277" spans="1:151">
      <c r="A277" s="42" t="s">
        <v>325</v>
      </c>
      <c r="B277" s="173" t="s">
        <v>141</v>
      </c>
      <c r="C277" s="173" t="s">
        <v>505</v>
      </c>
      <c r="D277" s="83" t="s">
        <v>88</v>
      </c>
      <c r="E277" s="49" t="s">
        <v>0</v>
      </c>
      <c r="F277" s="49" t="s">
        <v>286</v>
      </c>
      <c r="G277" s="49">
        <v>31.509</v>
      </c>
      <c r="H277" s="49">
        <v>4098</v>
      </c>
      <c r="I277" s="49">
        <v>2098</v>
      </c>
      <c r="J277" s="159">
        <v>1.833916083916084</v>
      </c>
      <c r="K277" s="49">
        <v>4</v>
      </c>
      <c r="L277" s="49">
        <v>3</v>
      </c>
      <c r="M277" s="83">
        <v>0</v>
      </c>
      <c r="N277" s="49">
        <v>0</v>
      </c>
      <c r="O277" s="49">
        <v>0</v>
      </c>
      <c r="P277" s="49">
        <v>0</v>
      </c>
      <c r="Q277" s="58">
        <v>0</v>
      </c>
      <c r="R277" s="42">
        <v>0</v>
      </c>
      <c r="S277" s="83" t="s">
        <v>284</v>
      </c>
      <c r="U277" s="83">
        <v>1</v>
      </c>
      <c r="V277" s="49">
        <v>3</v>
      </c>
      <c r="W277" s="49">
        <v>2</v>
      </c>
      <c r="X277" s="58"/>
      <c r="Y277" s="83">
        <v>8</v>
      </c>
      <c r="Z277" s="49">
        <v>7</v>
      </c>
      <c r="AA277" s="49">
        <v>31</v>
      </c>
      <c r="AD277" s="49">
        <v>9</v>
      </c>
      <c r="AE277" s="49">
        <v>134</v>
      </c>
      <c r="AF277" s="49">
        <v>7</v>
      </c>
      <c r="AG277" s="49">
        <v>84</v>
      </c>
      <c r="AI277" s="49">
        <v>112</v>
      </c>
      <c r="AJ277" s="49">
        <v>1</v>
      </c>
      <c r="AK277" s="83">
        <v>0</v>
      </c>
      <c r="AL277" s="49">
        <v>0</v>
      </c>
      <c r="AM277" s="49">
        <v>0</v>
      </c>
      <c r="AN277" s="49">
        <v>0</v>
      </c>
      <c r="AO277" s="58">
        <v>0</v>
      </c>
      <c r="AP277" s="174" t="s">
        <v>284</v>
      </c>
      <c r="AQ277" s="175" t="s">
        <v>284</v>
      </c>
      <c r="AR277" s="175" t="s">
        <v>284</v>
      </c>
      <c r="AS277" s="175" t="s">
        <v>284</v>
      </c>
      <c r="AT277" s="175" t="s">
        <v>284</v>
      </c>
      <c r="AU277" s="175" t="s">
        <v>284</v>
      </c>
      <c r="AV277" s="175" t="s">
        <v>284</v>
      </c>
      <c r="AW277" s="175" t="s">
        <v>284</v>
      </c>
      <c r="AX277" s="83">
        <v>0</v>
      </c>
      <c r="AY277" s="49">
        <v>0</v>
      </c>
      <c r="AZ277" s="49">
        <v>0</v>
      </c>
      <c r="BA277" s="49">
        <v>0</v>
      </c>
      <c r="BB277" s="58">
        <v>0</v>
      </c>
      <c r="BC277" s="42" t="s">
        <v>140</v>
      </c>
      <c r="BD277" s="49">
        <v>79.73</v>
      </c>
      <c r="BE277" s="49"/>
      <c r="BS277" s="58"/>
      <c r="BT277" s="83">
        <v>79.45</v>
      </c>
      <c r="CE277" s="83"/>
      <c r="CK277" s="58"/>
      <c r="CL277" s="83">
        <v>64.84</v>
      </c>
      <c r="CO277" s="58"/>
      <c r="CP277" s="83"/>
      <c r="CR277" s="58"/>
      <c r="CS277" s="83"/>
      <c r="CY277" s="83"/>
      <c r="DG277" s="58"/>
      <c r="DH277" s="83"/>
      <c r="DQ277" s="83"/>
      <c r="EE277" s="58"/>
      <c r="EF277" s="83"/>
      <c r="EI277" s="83"/>
      <c r="EK277" s="58"/>
      <c r="EL277" s="83"/>
      <c r="EO277" s="58"/>
      <c r="EP277" s="83"/>
      <c r="EQ277" s="58"/>
      <c r="ER277" s="83"/>
      <c r="ES277" s="58"/>
      <c r="ET277" s="83"/>
      <c r="EU277" s="58"/>
    </row>
    <row r="278" spans="1:151">
      <c r="A278" s="42" t="s">
        <v>325</v>
      </c>
      <c r="B278" s="173" t="s">
        <v>141</v>
      </c>
      <c r="C278" s="173" t="s">
        <v>505</v>
      </c>
      <c r="D278" s="83" t="s">
        <v>88</v>
      </c>
      <c r="E278" s="49" t="s">
        <v>1</v>
      </c>
      <c r="F278" s="49" t="s">
        <v>287</v>
      </c>
      <c r="G278" s="49">
        <v>31.509</v>
      </c>
      <c r="H278" s="49">
        <v>4098</v>
      </c>
      <c r="I278" s="49">
        <v>692</v>
      </c>
      <c r="J278" s="159">
        <v>1.901098901098901</v>
      </c>
      <c r="K278" s="49">
        <v>4</v>
      </c>
      <c r="L278" s="49">
        <v>3</v>
      </c>
      <c r="M278" s="83">
        <v>0</v>
      </c>
      <c r="N278" s="49">
        <v>0</v>
      </c>
      <c r="O278" s="49">
        <v>0</v>
      </c>
      <c r="P278" s="49">
        <v>1</v>
      </c>
      <c r="Q278" s="58">
        <v>0</v>
      </c>
      <c r="R278" s="42">
        <v>1</v>
      </c>
      <c r="S278" s="83" t="s">
        <v>284</v>
      </c>
      <c r="U278" s="83">
        <v>1</v>
      </c>
      <c r="V278" s="49">
        <v>3</v>
      </c>
      <c r="W278" s="49">
        <v>1</v>
      </c>
      <c r="X278" s="58">
        <v>2</v>
      </c>
      <c r="Y278" s="83">
        <v>0</v>
      </c>
      <c r="AJ278" s="49">
        <v>0</v>
      </c>
      <c r="AK278" s="83">
        <v>0</v>
      </c>
      <c r="AL278" s="49">
        <v>0</v>
      </c>
      <c r="AM278" s="49">
        <v>0</v>
      </c>
      <c r="AN278" s="49">
        <v>0</v>
      </c>
      <c r="AO278" s="58">
        <v>0</v>
      </c>
      <c r="AP278" s="174" t="s">
        <v>284</v>
      </c>
      <c r="AQ278" s="175" t="s">
        <v>284</v>
      </c>
      <c r="AR278" s="175" t="s">
        <v>284</v>
      </c>
      <c r="AS278" s="175" t="s">
        <v>284</v>
      </c>
      <c r="AT278" s="175" t="s">
        <v>284</v>
      </c>
      <c r="AU278" s="175" t="s">
        <v>284</v>
      </c>
      <c r="AV278" s="175" t="s">
        <v>284</v>
      </c>
      <c r="AW278" s="175" t="s">
        <v>284</v>
      </c>
      <c r="AX278" s="83">
        <v>0</v>
      </c>
      <c r="AY278" s="49">
        <v>0</v>
      </c>
      <c r="AZ278" s="49">
        <v>0</v>
      </c>
      <c r="BA278" s="49">
        <v>0</v>
      </c>
      <c r="BB278" s="58">
        <v>0</v>
      </c>
      <c r="BC278" s="42" t="s">
        <v>140</v>
      </c>
      <c r="BD278" s="49">
        <v>74.92</v>
      </c>
      <c r="BE278" s="49">
        <v>74.13</v>
      </c>
      <c r="BS278" s="58"/>
      <c r="BT278" s="83">
        <v>78.290000000000006</v>
      </c>
      <c r="CE278" s="83"/>
      <c r="CK278" s="58"/>
      <c r="CL278" s="83">
        <v>64.73</v>
      </c>
      <c r="CO278" s="58"/>
      <c r="CP278" s="83"/>
      <c r="CR278" s="58"/>
      <c r="CS278" s="83"/>
      <c r="CY278" s="83"/>
      <c r="DG278" s="58"/>
      <c r="DH278" s="83"/>
      <c r="DQ278" s="83"/>
      <c r="EE278" s="58"/>
      <c r="EF278" s="83"/>
      <c r="EI278" s="83"/>
      <c r="EK278" s="58"/>
      <c r="EL278" s="83"/>
      <c r="EO278" s="58"/>
      <c r="EP278" s="83"/>
      <c r="EQ278" s="58"/>
      <c r="ER278" s="83"/>
      <c r="ES278" s="58"/>
      <c r="ET278" s="83"/>
      <c r="EU278" s="58"/>
    </row>
    <row r="279" spans="1:151">
      <c r="A279" s="42" t="s">
        <v>325</v>
      </c>
      <c r="B279" s="173" t="s">
        <v>141</v>
      </c>
      <c r="C279" s="173" t="s">
        <v>505</v>
      </c>
      <c r="D279" s="83" t="s">
        <v>111</v>
      </c>
      <c r="F279" s="49" t="s">
        <v>286</v>
      </c>
      <c r="G279" s="49">
        <v>31.509</v>
      </c>
      <c r="I279" s="49">
        <v>1437</v>
      </c>
      <c r="J279" s="159">
        <v>1.1965029142381349</v>
      </c>
      <c r="K279" s="49">
        <v>1</v>
      </c>
      <c r="L279" s="49">
        <v>2</v>
      </c>
      <c r="M279" s="83">
        <v>0</v>
      </c>
      <c r="N279" s="49">
        <v>0</v>
      </c>
      <c r="O279" s="49">
        <v>0</v>
      </c>
      <c r="P279" s="49">
        <v>1</v>
      </c>
      <c r="Q279" s="58">
        <v>0</v>
      </c>
      <c r="R279" s="42">
        <v>1</v>
      </c>
      <c r="S279" s="83">
        <v>1</v>
      </c>
      <c r="U279" s="83">
        <v>2</v>
      </c>
      <c r="V279" s="49">
        <v>4</v>
      </c>
      <c r="W279" s="49">
        <v>3</v>
      </c>
      <c r="X279" s="58">
        <v>2</v>
      </c>
      <c r="Y279" s="83">
        <v>10</v>
      </c>
      <c r="Z279" s="49">
        <v>4</v>
      </c>
      <c r="AA279" s="49">
        <v>10</v>
      </c>
      <c r="AD279" s="49">
        <v>13</v>
      </c>
      <c r="AE279" s="49">
        <v>291</v>
      </c>
      <c r="AF279" s="49">
        <v>106</v>
      </c>
      <c r="AG279" s="49">
        <v>190</v>
      </c>
      <c r="AJ279" s="49">
        <v>1</v>
      </c>
      <c r="AK279" s="83">
        <v>0</v>
      </c>
      <c r="AL279" s="49">
        <v>1</v>
      </c>
      <c r="AM279" s="49">
        <v>0</v>
      </c>
      <c r="AN279" s="49">
        <v>0</v>
      </c>
      <c r="AO279" s="58">
        <v>0</v>
      </c>
      <c r="AP279" s="174">
        <v>345</v>
      </c>
      <c r="AQ279" s="175">
        <v>1174</v>
      </c>
      <c r="AR279" s="175" t="s">
        <v>284</v>
      </c>
      <c r="AS279" s="175" t="s">
        <v>284</v>
      </c>
      <c r="AT279" s="175" t="s">
        <v>284</v>
      </c>
      <c r="AU279" s="175" t="s">
        <v>284</v>
      </c>
      <c r="AV279" s="175" t="s">
        <v>284</v>
      </c>
      <c r="AW279" s="175" t="s">
        <v>284</v>
      </c>
      <c r="AX279" s="83">
        <v>0</v>
      </c>
      <c r="AY279" s="49">
        <v>0</v>
      </c>
      <c r="AZ279" s="49">
        <v>0</v>
      </c>
      <c r="BA279" s="49">
        <v>0</v>
      </c>
      <c r="BB279" s="58">
        <v>0</v>
      </c>
      <c r="BC279" s="42">
        <v>90</v>
      </c>
      <c r="BE279" s="49"/>
      <c r="BS279" s="58"/>
      <c r="BT279" s="83"/>
      <c r="CE279" s="83"/>
      <c r="CK279" s="58"/>
      <c r="CL279" s="83"/>
      <c r="CO279" s="58"/>
      <c r="CP279" s="83"/>
      <c r="CR279" s="58"/>
      <c r="CS279" s="83"/>
      <c r="CY279" s="83"/>
      <c r="DG279" s="58"/>
      <c r="DH279" s="83"/>
      <c r="DQ279" s="83"/>
      <c r="EE279" s="58"/>
      <c r="EF279" s="83"/>
      <c r="EI279" s="83"/>
      <c r="EK279" s="58"/>
      <c r="EL279" s="83"/>
      <c r="EO279" s="58"/>
      <c r="EP279" s="83"/>
      <c r="EQ279" s="58"/>
      <c r="ER279" s="83"/>
      <c r="ES279" s="58"/>
      <c r="ET279" s="83"/>
      <c r="EU279" s="58"/>
    </row>
    <row r="280" spans="1:151">
      <c r="A280" s="42" t="s">
        <v>325</v>
      </c>
      <c r="B280" s="173" t="s">
        <v>141</v>
      </c>
      <c r="C280" s="173" t="s">
        <v>505</v>
      </c>
      <c r="D280" s="83" t="s">
        <v>142</v>
      </c>
      <c r="F280" s="49" t="s">
        <v>287</v>
      </c>
      <c r="G280" s="49">
        <v>31.509</v>
      </c>
      <c r="H280" s="49">
        <v>4098</v>
      </c>
      <c r="I280" s="49">
        <v>329</v>
      </c>
      <c r="J280" s="159">
        <v>1.0061162079510704</v>
      </c>
      <c r="K280" s="49">
        <v>4</v>
      </c>
      <c r="L280" s="49">
        <v>4</v>
      </c>
      <c r="M280" s="83">
        <v>0</v>
      </c>
      <c r="N280" s="49">
        <v>0</v>
      </c>
      <c r="O280" s="49">
        <v>1</v>
      </c>
      <c r="P280" s="49">
        <v>1</v>
      </c>
      <c r="Q280" s="58">
        <v>0</v>
      </c>
      <c r="R280" s="42">
        <v>2</v>
      </c>
      <c r="S280" s="83">
        <v>1</v>
      </c>
      <c r="U280" s="83">
        <v>3</v>
      </c>
      <c r="V280" s="49">
        <v>4</v>
      </c>
      <c r="W280" s="49">
        <v>1</v>
      </c>
      <c r="X280" s="58">
        <v>3</v>
      </c>
      <c r="Y280" s="83">
        <v>0</v>
      </c>
      <c r="AJ280" s="49">
        <v>0</v>
      </c>
      <c r="AK280" s="83">
        <v>0</v>
      </c>
      <c r="AL280" s="49">
        <v>0</v>
      </c>
      <c r="AM280" s="49">
        <v>1</v>
      </c>
      <c r="AN280" s="49">
        <v>0</v>
      </c>
      <c r="AO280" s="58">
        <v>0</v>
      </c>
      <c r="AP280" s="174" t="s">
        <v>284</v>
      </c>
      <c r="AQ280" s="175" t="s">
        <v>284</v>
      </c>
      <c r="AR280" s="175">
        <v>23</v>
      </c>
      <c r="AS280" s="175">
        <v>76</v>
      </c>
      <c r="AT280" s="175" t="s">
        <v>284</v>
      </c>
      <c r="AU280" s="175" t="s">
        <v>284</v>
      </c>
      <c r="AV280" s="175" t="s">
        <v>284</v>
      </c>
      <c r="AW280" s="175" t="s">
        <v>284</v>
      </c>
      <c r="AX280" s="83">
        <v>0</v>
      </c>
      <c r="AY280" s="49">
        <v>0</v>
      </c>
      <c r="AZ280" s="49">
        <v>0</v>
      </c>
      <c r="BA280" s="49">
        <v>0</v>
      </c>
      <c r="BB280" s="58">
        <v>0</v>
      </c>
      <c r="BC280" s="42" t="s">
        <v>140</v>
      </c>
      <c r="BE280" s="49"/>
      <c r="BS280" s="58"/>
      <c r="BT280" s="83"/>
      <c r="CE280" s="83"/>
      <c r="CK280" s="58"/>
      <c r="CL280" s="83"/>
      <c r="CO280" s="58"/>
      <c r="CP280" s="83"/>
      <c r="CR280" s="58"/>
      <c r="CS280" s="83"/>
      <c r="CY280" s="83"/>
      <c r="DG280" s="58"/>
      <c r="DH280" s="83"/>
      <c r="DQ280" s="83"/>
      <c r="EE280" s="58"/>
      <c r="EF280" s="83"/>
      <c r="EI280" s="83"/>
      <c r="EK280" s="58"/>
      <c r="EL280" s="83"/>
      <c r="EO280" s="58"/>
      <c r="EP280" s="83"/>
      <c r="EQ280" s="58"/>
      <c r="ER280" s="83"/>
      <c r="ES280" s="58"/>
      <c r="ET280" s="83"/>
      <c r="EU280" s="58"/>
    </row>
    <row r="281" spans="1:151">
      <c r="A281" s="42" t="s">
        <v>325</v>
      </c>
      <c r="B281" s="173" t="s">
        <v>141</v>
      </c>
      <c r="C281" s="173" t="s">
        <v>505</v>
      </c>
      <c r="D281" s="83" t="s">
        <v>92</v>
      </c>
      <c r="E281" s="49" t="s">
        <v>0</v>
      </c>
      <c r="F281" s="49" t="s">
        <v>287</v>
      </c>
      <c r="G281" s="49">
        <v>31.509</v>
      </c>
      <c r="H281" s="49">
        <v>4098</v>
      </c>
      <c r="I281" s="49">
        <v>224</v>
      </c>
      <c r="J281" s="159">
        <v>3.1111111111111112</v>
      </c>
      <c r="K281" s="49">
        <v>1</v>
      </c>
      <c r="L281" s="49">
        <v>1</v>
      </c>
      <c r="M281" s="83">
        <v>0</v>
      </c>
      <c r="N281" s="49">
        <v>0</v>
      </c>
      <c r="O281" s="49">
        <v>0</v>
      </c>
      <c r="P281" s="49">
        <v>0</v>
      </c>
      <c r="Q281" s="58">
        <v>0</v>
      </c>
      <c r="R281" s="42">
        <v>0</v>
      </c>
      <c r="S281" s="83" t="s">
        <v>283</v>
      </c>
      <c r="T281" s="49">
        <v>2</v>
      </c>
      <c r="U281" s="83">
        <v>0</v>
      </c>
      <c r="V281" s="49">
        <v>0</v>
      </c>
      <c r="W281" s="49">
        <v>0</v>
      </c>
      <c r="X281" s="58"/>
      <c r="Y281" s="83">
        <v>5</v>
      </c>
      <c r="AD281" s="49">
        <v>2</v>
      </c>
      <c r="AE281" s="49">
        <v>81</v>
      </c>
      <c r="AI281" s="49">
        <v>19</v>
      </c>
      <c r="AJ281" s="49">
        <v>0</v>
      </c>
      <c r="AK281" s="83">
        <v>0</v>
      </c>
      <c r="AL281" s="49">
        <v>0</v>
      </c>
      <c r="AM281" s="49">
        <v>1</v>
      </c>
      <c r="AN281" s="49">
        <v>0</v>
      </c>
      <c r="AO281" s="58">
        <v>0</v>
      </c>
      <c r="AP281" s="174" t="s">
        <v>284</v>
      </c>
      <c r="AQ281" s="175" t="s">
        <v>284</v>
      </c>
      <c r="AR281" s="175">
        <v>0</v>
      </c>
      <c r="AS281" s="175">
        <v>34</v>
      </c>
      <c r="AT281" s="175" t="s">
        <v>284</v>
      </c>
      <c r="AU281" s="175" t="s">
        <v>284</v>
      </c>
      <c r="AV281" s="175" t="s">
        <v>284</v>
      </c>
      <c r="AW281" s="175" t="s">
        <v>284</v>
      </c>
      <c r="AX281" s="83">
        <v>0</v>
      </c>
      <c r="AY281" s="49">
        <v>0</v>
      </c>
      <c r="AZ281" s="49">
        <v>0</v>
      </c>
      <c r="BA281" s="49">
        <v>0</v>
      </c>
      <c r="BB281" s="58">
        <v>0</v>
      </c>
      <c r="BC281" s="42" t="s">
        <v>140</v>
      </c>
      <c r="BE281" s="49"/>
      <c r="BS281" s="58"/>
      <c r="BT281" s="83"/>
      <c r="CE281" s="83"/>
      <c r="CK281" s="58"/>
      <c r="CL281" s="83"/>
      <c r="CO281" s="58"/>
      <c r="CP281" s="83"/>
      <c r="CR281" s="58"/>
      <c r="CS281" s="83"/>
      <c r="CY281" s="83"/>
      <c r="DG281" s="58"/>
      <c r="DH281" s="83"/>
      <c r="DQ281" s="83"/>
      <c r="EE281" s="58"/>
      <c r="EF281" s="83"/>
      <c r="EI281" s="83"/>
      <c r="EK281" s="58"/>
      <c r="EL281" s="83"/>
      <c r="EO281" s="58"/>
      <c r="EP281" s="83"/>
      <c r="EQ281" s="58"/>
      <c r="ER281" s="83"/>
      <c r="ES281" s="58"/>
      <c r="ET281" s="83"/>
      <c r="EU281" s="58"/>
    </row>
    <row r="282" spans="1:151">
      <c r="A282" s="42" t="s">
        <v>325</v>
      </c>
      <c r="B282" s="173" t="s">
        <v>141</v>
      </c>
      <c r="C282" s="173" t="s">
        <v>505</v>
      </c>
      <c r="D282" s="83" t="s">
        <v>92</v>
      </c>
      <c r="E282" s="49" t="s">
        <v>1</v>
      </c>
      <c r="F282" s="49" t="s">
        <v>287</v>
      </c>
      <c r="G282" s="49">
        <v>31.509</v>
      </c>
      <c r="H282" s="49">
        <v>4098</v>
      </c>
      <c r="I282" s="49">
        <v>180</v>
      </c>
      <c r="J282" s="159">
        <v>15</v>
      </c>
      <c r="K282" s="49">
        <v>3</v>
      </c>
      <c r="L282" s="49">
        <v>1</v>
      </c>
      <c r="M282" s="83">
        <v>0</v>
      </c>
      <c r="N282" s="49">
        <v>0</v>
      </c>
      <c r="O282" s="49">
        <v>0</v>
      </c>
      <c r="P282" s="49">
        <v>0</v>
      </c>
      <c r="Q282" s="58">
        <v>0</v>
      </c>
      <c r="R282" s="42">
        <v>0</v>
      </c>
      <c r="S282" s="83" t="s">
        <v>283</v>
      </c>
      <c r="T282" s="49">
        <v>1</v>
      </c>
      <c r="U282" s="83">
        <v>0</v>
      </c>
      <c r="V282" s="49">
        <v>0</v>
      </c>
      <c r="W282" s="49">
        <v>0</v>
      </c>
      <c r="X282" s="58"/>
      <c r="Y282" s="83">
        <v>0</v>
      </c>
      <c r="AJ282" s="49">
        <v>0</v>
      </c>
      <c r="AK282" s="83">
        <v>0</v>
      </c>
      <c r="AL282" s="49">
        <v>0</v>
      </c>
      <c r="AM282" s="49">
        <v>0</v>
      </c>
      <c r="AN282" s="49">
        <v>0</v>
      </c>
      <c r="AO282" s="58">
        <v>0</v>
      </c>
      <c r="AP282" s="174" t="s">
        <v>284</v>
      </c>
      <c r="AQ282" s="175" t="s">
        <v>284</v>
      </c>
      <c r="AR282" s="175" t="s">
        <v>284</v>
      </c>
      <c r="AS282" s="175" t="s">
        <v>284</v>
      </c>
      <c r="AT282" s="175" t="s">
        <v>284</v>
      </c>
      <c r="AU282" s="175" t="s">
        <v>284</v>
      </c>
      <c r="AV282" s="175" t="s">
        <v>284</v>
      </c>
      <c r="AW282" s="175" t="s">
        <v>284</v>
      </c>
      <c r="AX282" s="83">
        <v>0</v>
      </c>
      <c r="AY282" s="49">
        <v>0</v>
      </c>
      <c r="AZ282" s="49">
        <v>0</v>
      </c>
      <c r="BA282" s="49">
        <v>0</v>
      </c>
      <c r="BB282" s="58">
        <v>0</v>
      </c>
      <c r="BC282" s="42" t="s">
        <v>140</v>
      </c>
      <c r="BE282" s="49"/>
      <c r="BS282" s="58"/>
      <c r="BT282" s="83"/>
      <c r="CE282" s="83"/>
      <c r="CK282" s="58"/>
      <c r="CL282" s="83"/>
      <c r="CO282" s="58"/>
      <c r="CP282" s="83"/>
      <c r="CR282" s="58"/>
      <c r="CS282" s="83"/>
      <c r="CY282" s="83"/>
      <c r="DG282" s="58"/>
      <c r="DH282" s="83"/>
      <c r="DQ282" s="83"/>
      <c r="EE282" s="58"/>
      <c r="EF282" s="83"/>
      <c r="EI282" s="83"/>
      <c r="EK282" s="58"/>
      <c r="EL282" s="83"/>
      <c r="EO282" s="58"/>
      <c r="EP282" s="83"/>
      <c r="EQ282" s="58"/>
      <c r="ER282" s="83"/>
      <c r="ES282" s="58"/>
      <c r="ET282" s="83"/>
      <c r="EU282" s="58"/>
    </row>
    <row r="283" spans="1:151">
      <c r="A283" s="42" t="s">
        <v>325</v>
      </c>
      <c r="B283" s="173" t="s">
        <v>141</v>
      </c>
      <c r="C283" s="173" t="s">
        <v>505</v>
      </c>
      <c r="D283" s="83" t="s">
        <v>93</v>
      </c>
      <c r="F283" s="49" t="s">
        <v>287</v>
      </c>
      <c r="G283" s="49">
        <v>31.509</v>
      </c>
      <c r="H283" s="49">
        <v>4098</v>
      </c>
      <c r="I283" s="49">
        <v>343</v>
      </c>
      <c r="J283" s="159">
        <v>4.1829268292682924</v>
      </c>
      <c r="K283" s="49">
        <v>2</v>
      </c>
      <c r="L283" s="49">
        <v>1</v>
      </c>
      <c r="M283" s="83">
        <v>0</v>
      </c>
      <c r="N283" s="49">
        <v>1</v>
      </c>
      <c r="O283" s="49">
        <v>0</v>
      </c>
      <c r="P283" s="49">
        <v>0</v>
      </c>
      <c r="Q283" s="58">
        <v>0</v>
      </c>
      <c r="R283" s="42">
        <v>1</v>
      </c>
      <c r="S283" s="83" t="s">
        <v>283</v>
      </c>
      <c r="T283" s="49">
        <v>1</v>
      </c>
      <c r="U283" s="83">
        <v>0</v>
      </c>
      <c r="V283" s="49">
        <v>0</v>
      </c>
      <c r="W283" s="49">
        <v>0</v>
      </c>
      <c r="X283" s="58"/>
      <c r="Y283" s="83">
        <v>10</v>
      </c>
      <c r="AF283" s="49">
        <v>17</v>
      </c>
      <c r="AG283" s="49">
        <v>235</v>
      </c>
      <c r="AJ283" s="49">
        <v>0</v>
      </c>
      <c r="AK283" s="83">
        <v>0</v>
      </c>
      <c r="AL283" s="49">
        <v>0</v>
      </c>
      <c r="AM283" s="49">
        <v>0</v>
      </c>
      <c r="AN283" s="49">
        <v>0</v>
      </c>
      <c r="AO283" s="58">
        <v>0</v>
      </c>
      <c r="AP283" s="174" t="s">
        <v>284</v>
      </c>
      <c r="AQ283" s="175" t="s">
        <v>284</v>
      </c>
      <c r="AR283" s="175" t="s">
        <v>284</v>
      </c>
      <c r="AS283" s="175" t="s">
        <v>284</v>
      </c>
      <c r="AT283" s="175" t="s">
        <v>284</v>
      </c>
      <c r="AU283" s="175" t="s">
        <v>284</v>
      </c>
      <c r="AV283" s="175" t="s">
        <v>284</v>
      </c>
      <c r="AW283" s="175" t="s">
        <v>284</v>
      </c>
      <c r="AX283" s="83">
        <v>0</v>
      </c>
      <c r="AY283" s="49">
        <v>0</v>
      </c>
      <c r="AZ283" s="49">
        <v>0</v>
      </c>
      <c r="BA283" s="49">
        <v>0</v>
      </c>
      <c r="BB283" s="58">
        <v>0</v>
      </c>
      <c r="BC283" s="42" t="s">
        <v>140</v>
      </c>
      <c r="BE283" s="49"/>
      <c r="BS283" s="58"/>
      <c r="BT283" s="83"/>
      <c r="CE283" s="83"/>
      <c r="CK283" s="58"/>
      <c r="CL283" s="83"/>
      <c r="CO283" s="58"/>
      <c r="CP283" s="83"/>
      <c r="CR283" s="58"/>
      <c r="CS283" s="83"/>
      <c r="CY283" s="83"/>
      <c r="DG283" s="58"/>
      <c r="DH283" s="83"/>
      <c r="DQ283" s="83"/>
      <c r="EE283" s="58"/>
      <c r="EF283" s="83"/>
      <c r="EI283" s="83"/>
      <c r="EK283" s="58"/>
      <c r="EL283" s="83"/>
      <c r="EO283" s="58"/>
      <c r="EP283" s="83"/>
      <c r="EQ283" s="58"/>
      <c r="ER283" s="83"/>
      <c r="ES283" s="58"/>
      <c r="ET283" s="83"/>
      <c r="EU283" s="58"/>
    </row>
    <row r="284" spans="1:151">
      <c r="A284" s="42" t="s">
        <v>325</v>
      </c>
      <c r="B284" s="173" t="s">
        <v>141</v>
      </c>
      <c r="C284" s="173" t="s">
        <v>505</v>
      </c>
      <c r="D284" s="83" t="s">
        <v>112</v>
      </c>
      <c r="F284" s="49" t="s">
        <v>287</v>
      </c>
      <c r="G284" s="49">
        <v>31.509</v>
      </c>
      <c r="H284" s="49">
        <v>4098</v>
      </c>
      <c r="I284" s="49">
        <v>546</v>
      </c>
      <c r="J284" s="159">
        <v>1.8445945945945945</v>
      </c>
      <c r="K284" s="49">
        <v>4</v>
      </c>
      <c r="L284" s="49">
        <v>4</v>
      </c>
      <c r="M284" s="83">
        <v>0</v>
      </c>
      <c r="N284" s="49">
        <v>0</v>
      </c>
      <c r="O284" s="49">
        <v>1</v>
      </c>
      <c r="P284" s="49">
        <v>1</v>
      </c>
      <c r="Q284" s="58">
        <v>0</v>
      </c>
      <c r="R284" s="42">
        <v>2</v>
      </c>
      <c r="S284" s="83">
        <v>1</v>
      </c>
      <c r="U284" s="83">
        <v>2</v>
      </c>
      <c r="V284" s="49">
        <v>4</v>
      </c>
      <c r="W284" s="49">
        <v>3</v>
      </c>
      <c r="X284" s="58">
        <v>1</v>
      </c>
      <c r="Y284" s="83">
        <v>1</v>
      </c>
      <c r="AA284" s="49">
        <v>4</v>
      </c>
      <c r="AD284" s="49">
        <v>5</v>
      </c>
      <c r="AE284" s="49">
        <v>19</v>
      </c>
      <c r="AG284" s="49">
        <v>10</v>
      </c>
      <c r="AJ284" s="49">
        <v>1</v>
      </c>
      <c r="AK284" s="83">
        <v>0</v>
      </c>
      <c r="AL284" s="49">
        <v>0</v>
      </c>
      <c r="AM284" s="49">
        <v>0</v>
      </c>
      <c r="AN284" s="49">
        <v>0</v>
      </c>
      <c r="AO284" s="58">
        <v>0</v>
      </c>
      <c r="AP284" s="174" t="s">
        <v>284</v>
      </c>
      <c r="AQ284" s="175" t="s">
        <v>284</v>
      </c>
      <c r="AR284" s="175" t="s">
        <v>284</v>
      </c>
      <c r="AS284" s="175" t="s">
        <v>284</v>
      </c>
      <c r="AT284" s="175" t="s">
        <v>284</v>
      </c>
      <c r="AU284" s="175" t="s">
        <v>284</v>
      </c>
      <c r="AV284" s="175" t="s">
        <v>284</v>
      </c>
      <c r="AW284" s="175" t="s">
        <v>284</v>
      </c>
      <c r="AX284" s="83">
        <v>0</v>
      </c>
      <c r="AY284" s="49">
        <v>0</v>
      </c>
      <c r="AZ284" s="49">
        <v>0</v>
      </c>
      <c r="BA284" s="49">
        <v>0</v>
      </c>
      <c r="BB284" s="58">
        <v>0</v>
      </c>
      <c r="BC284" s="42" t="s">
        <v>140</v>
      </c>
      <c r="BD284" s="49">
        <v>74.23</v>
      </c>
      <c r="BE284" s="49">
        <v>79.39</v>
      </c>
      <c r="BS284" s="58"/>
      <c r="BT284" s="83">
        <v>70.989999999999995</v>
      </c>
      <c r="CE284" s="83"/>
      <c r="CK284" s="58"/>
      <c r="CL284" s="83">
        <v>65.06</v>
      </c>
      <c r="CO284" s="58"/>
      <c r="CP284" s="83"/>
      <c r="CR284" s="58"/>
      <c r="CS284" s="83"/>
      <c r="CY284" s="83"/>
      <c r="DG284" s="58"/>
      <c r="DH284" s="83"/>
      <c r="DQ284" s="83"/>
      <c r="EE284" s="58"/>
      <c r="EF284" s="83"/>
      <c r="EI284" s="83"/>
      <c r="EK284" s="58"/>
      <c r="EL284" s="83"/>
      <c r="EO284" s="58"/>
      <c r="EP284" s="83"/>
      <c r="EQ284" s="58"/>
      <c r="ER284" s="83"/>
      <c r="ES284" s="58"/>
      <c r="ET284" s="83"/>
      <c r="EU284" s="58"/>
    </row>
    <row r="285" spans="1:151">
      <c r="A285" s="42" t="s">
        <v>325</v>
      </c>
      <c r="B285" s="173" t="s">
        <v>141</v>
      </c>
      <c r="C285" s="173" t="s">
        <v>505</v>
      </c>
      <c r="D285" s="83" t="s">
        <v>94</v>
      </c>
      <c r="F285" s="49" t="s">
        <v>286</v>
      </c>
      <c r="G285" s="49">
        <v>31.509</v>
      </c>
      <c r="H285" s="49">
        <v>4098</v>
      </c>
      <c r="I285" s="49">
        <v>1412</v>
      </c>
      <c r="J285" s="159">
        <v>3.1873589164785554</v>
      </c>
      <c r="K285" s="49">
        <v>1</v>
      </c>
      <c r="L285" s="49">
        <v>1</v>
      </c>
      <c r="M285" s="83">
        <v>0</v>
      </c>
      <c r="N285" s="49">
        <v>1</v>
      </c>
      <c r="O285" s="49">
        <v>0</v>
      </c>
      <c r="P285" s="49">
        <v>0</v>
      </c>
      <c r="Q285" s="58">
        <v>0</v>
      </c>
      <c r="R285" s="42">
        <v>1</v>
      </c>
      <c r="S285" s="83">
        <v>1</v>
      </c>
      <c r="U285" s="83">
        <v>1</v>
      </c>
      <c r="V285" s="49">
        <v>2</v>
      </c>
      <c r="W285" s="49">
        <v>2</v>
      </c>
      <c r="X285" s="58"/>
      <c r="Y285" s="83">
        <v>1</v>
      </c>
      <c r="AD285" s="49">
        <v>8</v>
      </c>
      <c r="AE285" s="49">
        <v>55</v>
      </c>
      <c r="AH285" s="49">
        <v>6</v>
      </c>
      <c r="AI285" s="49">
        <v>27</v>
      </c>
      <c r="AJ285" s="49">
        <v>0</v>
      </c>
      <c r="AK285" s="83">
        <v>0</v>
      </c>
      <c r="AL285" s="49">
        <v>1</v>
      </c>
      <c r="AM285" s="49">
        <v>1</v>
      </c>
      <c r="AN285" s="49">
        <v>0</v>
      </c>
      <c r="AO285" s="58">
        <v>0</v>
      </c>
      <c r="AP285" s="174">
        <v>0</v>
      </c>
      <c r="AQ285" s="175">
        <v>166</v>
      </c>
      <c r="AR285" s="175">
        <v>55</v>
      </c>
      <c r="AS285" s="175">
        <v>78</v>
      </c>
      <c r="AT285" s="175">
        <v>0</v>
      </c>
      <c r="AU285" s="175">
        <v>0</v>
      </c>
      <c r="AV285" s="175">
        <v>0</v>
      </c>
      <c r="AW285" s="175">
        <v>0</v>
      </c>
      <c r="AX285" s="83">
        <v>0</v>
      </c>
      <c r="AY285" s="49">
        <v>0</v>
      </c>
      <c r="AZ285" s="49">
        <v>0</v>
      </c>
      <c r="BA285" s="49">
        <v>0</v>
      </c>
      <c r="BB285" s="58">
        <v>0</v>
      </c>
      <c r="BC285" s="42" t="s">
        <v>140</v>
      </c>
      <c r="BE285" s="49"/>
      <c r="BS285" s="58"/>
      <c r="BT285" s="83">
        <v>78.61</v>
      </c>
      <c r="CE285" s="83"/>
      <c r="CK285" s="58"/>
      <c r="CL285" s="83">
        <v>62.41</v>
      </c>
      <c r="CO285" s="58"/>
      <c r="CP285" s="83"/>
      <c r="CR285" s="58"/>
      <c r="CS285" s="83"/>
      <c r="CY285" s="83">
        <v>76.930000000000007</v>
      </c>
      <c r="CZ285" s="49">
        <v>76.28</v>
      </c>
      <c r="DG285" s="58"/>
      <c r="DH285" s="83"/>
      <c r="DQ285" s="83"/>
      <c r="EE285" s="58"/>
      <c r="EF285" s="83"/>
      <c r="EI285" s="83"/>
      <c r="EK285" s="58"/>
      <c r="EL285" s="83"/>
      <c r="EO285" s="58"/>
      <c r="EP285" s="83"/>
      <c r="EQ285" s="58"/>
      <c r="ER285" s="83"/>
      <c r="ES285" s="58"/>
      <c r="ET285" s="83"/>
      <c r="EU285" s="58"/>
    </row>
    <row r="286" spans="1:151">
      <c r="A286" s="42" t="s">
        <v>325</v>
      </c>
      <c r="B286" s="173" t="s">
        <v>141</v>
      </c>
      <c r="C286" s="173" t="s">
        <v>505</v>
      </c>
      <c r="D286" s="83" t="s">
        <v>95</v>
      </c>
      <c r="E286" s="49" t="s">
        <v>0</v>
      </c>
      <c r="F286" s="49" t="s">
        <v>287</v>
      </c>
      <c r="G286" s="49">
        <v>31.509</v>
      </c>
      <c r="H286" s="49">
        <v>4098</v>
      </c>
      <c r="I286" s="49">
        <v>898</v>
      </c>
      <c r="J286" s="159">
        <v>1.8553719008264462</v>
      </c>
      <c r="K286" s="49">
        <v>4</v>
      </c>
      <c r="L286" s="49">
        <v>3</v>
      </c>
      <c r="M286" s="83">
        <v>0</v>
      </c>
      <c r="N286" s="49">
        <v>2</v>
      </c>
      <c r="O286" s="49">
        <v>0</v>
      </c>
      <c r="P286" s="49">
        <v>0</v>
      </c>
      <c r="Q286" s="58">
        <v>0</v>
      </c>
      <c r="R286" s="42">
        <v>2</v>
      </c>
      <c r="S286" s="83">
        <v>1</v>
      </c>
      <c r="U286" s="83">
        <v>1</v>
      </c>
      <c r="V286" s="49">
        <v>4</v>
      </c>
      <c r="W286" s="49">
        <v>2</v>
      </c>
      <c r="X286" s="58"/>
      <c r="Y286" s="83">
        <v>1</v>
      </c>
      <c r="AH286" s="49">
        <v>9</v>
      </c>
      <c r="AI286" s="49">
        <v>26</v>
      </c>
      <c r="AJ286" s="49">
        <v>0</v>
      </c>
      <c r="AK286" s="83">
        <v>0</v>
      </c>
      <c r="AL286" s="49">
        <v>0</v>
      </c>
      <c r="AM286" s="49">
        <v>0</v>
      </c>
      <c r="AN286" s="49">
        <v>0</v>
      </c>
      <c r="AO286" s="58">
        <v>0</v>
      </c>
      <c r="AP286" s="174" t="s">
        <v>284</v>
      </c>
      <c r="AQ286" s="175" t="s">
        <v>284</v>
      </c>
      <c r="AR286" s="175" t="s">
        <v>284</v>
      </c>
      <c r="AS286" s="175" t="s">
        <v>284</v>
      </c>
      <c r="AT286" s="175" t="s">
        <v>284</v>
      </c>
      <c r="AU286" s="175" t="s">
        <v>284</v>
      </c>
      <c r="AV286" s="175" t="s">
        <v>284</v>
      </c>
      <c r="AW286" s="175" t="s">
        <v>284</v>
      </c>
      <c r="AX286" s="83">
        <v>0</v>
      </c>
      <c r="AY286" s="49">
        <v>0</v>
      </c>
      <c r="AZ286" s="49">
        <v>0</v>
      </c>
      <c r="BA286" s="49">
        <v>0</v>
      </c>
      <c r="BB286" s="58">
        <v>0</v>
      </c>
      <c r="BC286" s="42" t="s">
        <v>140</v>
      </c>
      <c r="BE286" s="49"/>
      <c r="BS286" s="58"/>
      <c r="BT286" s="83"/>
      <c r="CE286" s="83"/>
      <c r="CK286" s="58"/>
      <c r="CL286" s="83"/>
      <c r="CO286" s="58"/>
      <c r="CP286" s="83"/>
      <c r="CR286" s="58"/>
      <c r="CS286" s="83"/>
      <c r="CY286" s="83"/>
      <c r="DG286" s="58"/>
      <c r="DH286" s="83"/>
      <c r="DQ286" s="83"/>
      <c r="EE286" s="58"/>
      <c r="EF286" s="83"/>
      <c r="EI286" s="83"/>
      <c r="EK286" s="58"/>
      <c r="EL286" s="83"/>
      <c r="EO286" s="58"/>
      <c r="EP286" s="83"/>
      <c r="EQ286" s="58"/>
      <c r="ER286" s="83"/>
      <c r="ES286" s="58"/>
      <c r="ET286" s="83"/>
      <c r="EU286" s="58"/>
    </row>
    <row r="287" spans="1:151">
      <c r="A287" s="42" t="s">
        <v>325</v>
      </c>
      <c r="B287" s="173" t="s">
        <v>141</v>
      </c>
      <c r="C287" s="173" t="s">
        <v>505</v>
      </c>
      <c r="D287" s="83" t="s">
        <v>95</v>
      </c>
      <c r="E287" s="49" t="s">
        <v>1</v>
      </c>
      <c r="F287" s="49" t="s">
        <v>287</v>
      </c>
      <c r="G287" s="49">
        <v>31.509</v>
      </c>
      <c r="I287" s="49">
        <v>680</v>
      </c>
      <c r="J287" s="159">
        <v>1.3934426229508197</v>
      </c>
      <c r="K287" s="49">
        <v>1</v>
      </c>
      <c r="L287" s="49">
        <v>3</v>
      </c>
      <c r="M287" s="83">
        <v>0</v>
      </c>
      <c r="N287" s="49">
        <v>0</v>
      </c>
      <c r="O287" s="49">
        <v>0</v>
      </c>
      <c r="P287" s="49">
        <v>1</v>
      </c>
      <c r="Q287" s="58">
        <v>0</v>
      </c>
      <c r="R287" s="42">
        <v>1</v>
      </c>
      <c r="S287" s="83">
        <v>1</v>
      </c>
      <c r="U287" s="83">
        <v>1</v>
      </c>
      <c r="V287" s="49">
        <v>3</v>
      </c>
      <c r="W287" s="49">
        <v>2</v>
      </c>
      <c r="X287" s="58"/>
      <c r="Y287" s="83">
        <v>0</v>
      </c>
      <c r="AJ287" s="49">
        <v>0</v>
      </c>
      <c r="AK287" s="83">
        <v>0</v>
      </c>
      <c r="AL287" s="49">
        <v>1</v>
      </c>
      <c r="AM287" s="49">
        <v>0</v>
      </c>
      <c r="AN287" s="49">
        <v>0</v>
      </c>
      <c r="AO287" s="58">
        <v>0</v>
      </c>
      <c r="AP287" s="174">
        <v>0</v>
      </c>
      <c r="AQ287" s="175">
        <v>343</v>
      </c>
      <c r="AR287" s="175" t="s">
        <v>284</v>
      </c>
      <c r="AS287" s="175" t="s">
        <v>284</v>
      </c>
      <c r="AT287" s="175" t="s">
        <v>284</v>
      </c>
      <c r="AU287" s="175" t="s">
        <v>284</v>
      </c>
      <c r="AV287" s="175" t="s">
        <v>284</v>
      </c>
      <c r="AW287" s="175" t="s">
        <v>284</v>
      </c>
      <c r="AX287" s="83">
        <v>0</v>
      </c>
      <c r="AY287" s="49">
        <v>0</v>
      </c>
      <c r="AZ287" s="49">
        <v>0</v>
      </c>
      <c r="BA287" s="49">
        <v>0</v>
      </c>
      <c r="BB287" s="58">
        <v>0</v>
      </c>
      <c r="BC287" s="42" t="s">
        <v>140</v>
      </c>
      <c r="BE287" s="49"/>
      <c r="BS287" s="58"/>
      <c r="BT287" s="83"/>
      <c r="CE287" s="83"/>
      <c r="CK287" s="58"/>
      <c r="CL287" s="83"/>
      <c r="CO287" s="58"/>
      <c r="CP287" s="83"/>
      <c r="CR287" s="58"/>
      <c r="CS287" s="83"/>
      <c r="CY287" s="83"/>
      <c r="DG287" s="58"/>
      <c r="DH287" s="83"/>
      <c r="DQ287" s="83"/>
      <c r="EE287" s="58"/>
      <c r="EF287" s="83"/>
      <c r="EI287" s="83"/>
      <c r="EK287" s="58"/>
      <c r="EL287" s="83"/>
      <c r="EO287" s="58"/>
      <c r="EP287" s="83"/>
      <c r="EQ287" s="58"/>
      <c r="ER287" s="83"/>
      <c r="ES287" s="58"/>
      <c r="ET287" s="83"/>
      <c r="EU287" s="58"/>
    </row>
    <row r="288" spans="1:151">
      <c r="A288" s="42" t="s">
        <v>325</v>
      </c>
      <c r="B288" s="173" t="s">
        <v>141</v>
      </c>
      <c r="C288" s="173" t="s">
        <v>505</v>
      </c>
      <c r="D288" s="83" t="s">
        <v>65</v>
      </c>
      <c r="E288" s="49" t="s">
        <v>0</v>
      </c>
      <c r="F288" s="49" t="s">
        <v>287</v>
      </c>
      <c r="G288" s="49">
        <v>31.509</v>
      </c>
      <c r="H288" s="49">
        <v>4098</v>
      </c>
      <c r="I288" s="49">
        <v>209</v>
      </c>
      <c r="J288" s="159">
        <v>4.4468085106382977</v>
      </c>
      <c r="K288" s="49">
        <v>2</v>
      </c>
      <c r="L288" s="49">
        <v>2</v>
      </c>
      <c r="M288" s="83">
        <v>0</v>
      </c>
      <c r="N288" s="49">
        <v>0</v>
      </c>
      <c r="O288" s="49">
        <v>0</v>
      </c>
      <c r="P288" s="49">
        <v>0</v>
      </c>
      <c r="Q288" s="58">
        <v>0</v>
      </c>
      <c r="R288" s="42">
        <v>0</v>
      </c>
      <c r="S288" s="83" t="s">
        <v>283</v>
      </c>
      <c r="T288" s="49">
        <v>1</v>
      </c>
      <c r="U288" s="83">
        <v>0</v>
      </c>
      <c r="V288" s="49">
        <v>0</v>
      </c>
      <c r="W288" s="49">
        <v>0</v>
      </c>
      <c r="X288" s="58"/>
      <c r="Y288" s="83">
        <v>5</v>
      </c>
      <c r="AE288" s="49">
        <v>20</v>
      </c>
      <c r="AJ288" s="49">
        <v>0</v>
      </c>
      <c r="AK288" s="83">
        <v>0</v>
      </c>
      <c r="AL288" s="49">
        <v>0</v>
      </c>
      <c r="AM288" s="49">
        <v>0</v>
      </c>
      <c r="AN288" s="49">
        <v>0</v>
      </c>
      <c r="AO288" s="58">
        <v>0</v>
      </c>
      <c r="AP288" s="174" t="s">
        <v>284</v>
      </c>
      <c r="AQ288" s="175" t="s">
        <v>284</v>
      </c>
      <c r="AR288" s="175" t="s">
        <v>284</v>
      </c>
      <c r="AS288" s="175" t="s">
        <v>284</v>
      </c>
      <c r="AT288" s="175" t="s">
        <v>284</v>
      </c>
      <c r="AU288" s="175" t="s">
        <v>284</v>
      </c>
      <c r="AV288" s="175" t="s">
        <v>284</v>
      </c>
      <c r="AW288" s="175" t="s">
        <v>284</v>
      </c>
      <c r="AX288" s="83">
        <v>0</v>
      </c>
      <c r="AY288" s="49">
        <v>0</v>
      </c>
      <c r="AZ288" s="49">
        <v>0</v>
      </c>
      <c r="BA288" s="49">
        <v>0</v>
      </c>
      <c r="BB288" s="58">
        <v>0</v>
      </c>
      <c r="BC288" s="42" t="s">
        <v>143</v>
      </c>
      <c r="BD288" s="49">
        <v>61.27</v>
      </c>
      <c r="BE288" s="49"/>
      <c r="BS288" s="58"/>
      <c r="BT288" s="83"/>
      <c r="CE288" s="83">
        <v>63.03</v>
      </c>
      <c r="CK288" s="58"/>
      <c r="CL288" s="83"/>
      <c r="CO288" s="58"/>
      <c r="CP288" s="83"/>
      <c r="CR288" s="58"/>
      <c r="CS288" s="83"/>
      <c r="CY288" s="83"/>
      <c r="DG288" s="58"/>
      <c r="DH288" s="83"/>
      <c r="DQ288" s="83"/>
      <c r="EE288" s="58"/>
      <c r="EF288" s="83"/>
      <c r="EI288" s="83"/>
      <c r="EK288" s="58"/>
      <c r="EL288" s="83"/>
      <c r="EO288" s="58"/>
      <c r="EP288" s="83"/>
      <c r="EQ288" s="58"/>
      <c r="ER288" s="83"/>
      <c r="ES288" s="58"/>
      <c r="ET288" s="83"/>
      <c r="EU288" s="58"/>
    </row>
    <row r="289" spans="1:151">
      <c r="A289" s="42" t="s">
        <v>325</v>
      </c>
      <c r="B289" s="173" t="s">
        <v>141</v>
      </c>
      <c r="C289" s="173" t="s">
        <v>505</v>
      </c>
      <c r="D289" s="83" t="s">
        <v>65</v>
      </c>
      <c r="E289" s="49" t="s">
        <v>1</v>
      </c>
      <c r="F289" s="49" t="s">
        <v>287</v>
      </c>
      <c r="G289" s="49">
        <v>31.509</v>
      </c>
      <c r="H289" s="49">
        <v>4098</v>
      </c>
      <c r="I289" s="49">
        <v>389</v>
      </c>
      <c r="J289" s="159">
        <v>3.0873015873015874</v>
      </c>
      <c r="K289" s="49">
        <v>2</v>
      </c>
      <c r="L289" s="49">
        <v>2</v>
      </c>
      <c r="M289" s="83">
        <v>0</v>
      </c>
      <c r="N289" s="49">
        <v>0</v>
      </c>
      <c r="O289" s="49">
        <v>0</v>
      </c>
      <c r="P289" s="49">
        <v>1</v>
      </c>
      <c r="Q289" s="58">
        <v>0</v>
      </c>
      <c r="R289" s="42">
        <v>1</v>
      </c>
      <c r="S289" s="83" t="s">
        <v>283</v>
      </c>
      <c r="T289" s="49">
        <v>1</v>
      </c>
      <c r="U289" s="83">
        <v>1</v>
      </c>
      <c r="V289" s="49">
        <v>1</v>
      </c>
      <c r="W289" s="49">
        <v>1</v>
      </c>
      <c r="X289" s="58">
        <v>2</v>
      </c>
      <c r="Y289" s="83">
        <v>3</v>
      </c>
      <c r="AD289" s="49">
        <v>1</v>
      </c>
      <c r="AE289" s="49">
        <v>36</v>
      </c>
      <c r="AI289" s="49">
        <v>29</v>
      </c>
      <c r="AJ289" s="49">
        <v>0</v>
      </c>
      <c r="AK289" s="83">
        <v>0</v>
      </c>
      <c r="AL289" s="49">
        <v>0</v>
      </c>
      <c r="AM289" s="49">
        <v>1</v>
      </c>
      <c r="AN289" s="49">
        <v>0</v>
      </c>
      <c r="AO289" s="58">
        <v>0</v>
      </c>
      <c r="AP289" s="174" t="s">
        <v>284</v>
      </c>
      <c r="AQ289" s="175" t="s">
        <v>284</v>
      </c>
      <c r="AR289" s="175">
        <v>0</v>
      </c>
      <c r="AS289" s="175">
        <v>47</v>
      </c>
      <c r="AT289" s="175" t="s">
        <v>284</v>
      </c>
      <c r="AU289" s="175" t="s">
        <v>284</v>
      </c>
      <c r="AV289" s="175" t="s">
        <v>284</v>
      </c>
      <c r="AW289" s="175" t="s">
        <v>284</v>
      </c>
      <c r="AX289" s="83">
        <v>0</v>
      </c>
      <c r="AY289" s="49">
        <v>0</v>
      </c>
      <c r="AZ289" s="49">
        <v>0</v>
      </c>
      <c r="BA289" s="49">
        <v>0</v>
      </c>
      <c r="BB289" s="58">
        <v>0</v>
      </c>
      <c r="BC289" s="42" t="s">
        <v>140</v>
      </c>
      <c r="BD289" s="49">
        <v>60.3</v>
      </c>
      <c r="BE289" s="49">
        <v>63.03</v>
      </c>
      <c r="BS289" s="58"/>
      <c r="BT289" s="83">
        <v>63.19</v>
      </c>
      <c r="CE289" s="83"/>
      <c r="CK289" s="58"/>
      <c r="CL289" s="83"/>
      <c r="CO289" s="58"/>
      <c r="CP289" s="83"/>
      <c r="CR289" s="58"/>
      <c r="CS289" s="83"/>
      <c r="CY289" s="83"/>
      <c r="DG289" s="58"/>
      <c r="DH289" s="83"/>
      <c r="DQ289" s="83"/>
      <c r="EE289" s="58"/>
      <c r="EF289" s="83"/>
      <c r="EI289" s="83"/>
      <c r="EK289" s="58"/>
      <c r="EL289" s="83"/>
      <c r="EO289" s="58"/>
      <c r="EP289" s="83"/>
      <c r="EQ289" s="58"/>
      <c r="ER289" s="83"/>
      <c r="ES289" s="58"/>
      <c r="ET289" s="83"/>
      <c r="EU289" s="58"/>
    </row>
    <row r="290" spans="1:151">
      <c r="A290" s="42" t="s">
        <v>325</v>
      </c>
      <c r="B290" s="173" t="s">
        <v>141</v>
      </c>
      <c r="C290" s="173" t="s">
        <v>505</v>
      </c>
      <c r="D290" s="83" t="s">
        <v>96</v>
      </c>
      <c r="F290" s="49" t="s">
        <v>287</v>
      </c>
      <c r="G290" s="49">
        <v>31.509</v>
      </c>
      <c r="H290" s="49">
        <v>4098</v>
      </c>
      <c r="I290" s="49">
        <v>839</v>
      </c>
      <c r="J290" s="159">
        <v>22.675675675675677</v>
      </c>
      <c r="K290" s="49">
        <v>2</v>
      </c>
      <c r="L290" s="49">
        <v>2</v>
      </c>
      <c r="M290" s="83">
        <v>0</v>
      </c>
      <c r="N290" s="49">
        <v>0</v>
      </c>
      <c r="O290" s="49">
        <v>0</v>
      </c>
      <c r="P290" s="49">
        <v>0</v>
      </c>
      <c r="Q290" s="58">
        <v>0</v>
      </c>
      <c r="R290" s="42">
        <v>0</v>
      </c>
      <c r="S290" s="83" t="s">
        <v>283</v>
      </c>
      <c r="T290" s="49">
        <v>1</v>
      </c>
      <c r="U290" s="83">
        <v>0</v>
      </c>
      <c r="V290" s="49">
        <v>0</v>
      </c>
      <c r="W290" s="49">
        <v>0</v>
      </c>
      <c r="X290" s="58"/>
      <c r="Y290" s="83">
        <v>4</v>
      </c>
      <c r="AD290" s="49">
        <v>3</v>
      </c>
      <c r="AE290" s="49">
        <v>190</v>
      </c>
      <c r="AJ290" s="49">
        <v>0</v>
      </c>
      <c r="AK290" s="83">
        <v>0</v>
      </c>
      <c r="AL290" s="49">
        <v>1</v>
      </c>
      <c r="AM290" s="49">
        <v>0</v>
      </c>
      <c r="AN290" s="49">
        <v>0</v>
      </c>
      <c r="AO290" s="58">
        <v>0</v>
      </c>
      <c r="AP290" s="174">
        <v>128</v>
      </c>
      <c r="AQ290" s="175">
        <v>450</v>
      </c>
      <c r="AR290" s="175" t="s">
        <v>284</v>
      </c>
      <c r="AS290" s="175" t="s">
        <v>284</v>
      </c>
      <c r="AT290" s="175" t="s">
        <v>284</v>
      </c>
      <c r="AU290" s="175" t="s">
        <v>284</v>
      </c>
      <c r="AV290" s="175" t="s">
        <v>284</v>
      </c>
      <c r="AW290" s="175" t="s">
        <v>284</v>
      </c>
      <c r="AX290" s="83">
        <v>0</v>
      </c>
      <c r="AY290" s="49">
        <v>0</v>
      </c>
      <c r="AZ290" s="49">
        <v>0</v>
      </c>
      <c r="BA290" s="49">
        <v>0</v>
      </c>
      <c r="BB290" s="58">
        <v>0</v>
      </c>
      <c r="BC290" s="42" t="s">
        <v>140</v>
      </c>
      <c r="BD290" s="49">
        <v>62.65</v>
      </c>
      <c r="BE290" s="49"/>
      <c r="BS290" s="58"/>
      <c r="BT290" s="83">
        <v>63.06</v>
      </c>
      <c r="CE290" s="83">
        <v>63.16</v>
      </c>
      <c r="CK290" s="58"/>
      <c r="CL290" s="83"/>
      <c r="CO290" s="58"/>
      <c r="CP290" s="83"/>
      <c r="CR290" s="58"/>
      <c r="CS290" s="83"/>
      <c r="CY290" s="83"/>
      <c r="DG290" s="58"/>
      <c r="DH290" s="83"/>
      <c r="DQ290" s="83"/>
      <c r="EE290" s="58"/>
      <c r="EF290" s="83"/>
      <c r="EI290" s="83"/>
      <c r="EK290" s="58"/>
      <c r="EL290" s="83"/>
      <c r="EO290" s="58"/>
      <c r="EP290" s="83"/>
      <c r="EQ290" s="58"/>
      <c r="ER290" s="83"/>
      <c r="ES290" s="58"/>
      <c r="ET290" s="83"/>
      <c r="EU290" s="58"/>
    </row>
    <row r="291" spans="1:151">
      <c r="A291" s="42" t="s">
        <v>325</v>
      </c>
      <c r="B291" s="173" t="s">
        <v>141</v>
      </c>
      <c r="C291" s="173" t="s">
        <v>505</v>
      </c>
      <c r="D291" s="83" t="s">
        <v>97</v>
      </c>
      <c r="F291" s="49" t="s">
        <v>287</v>
      </c>
      <c r="G291" s="49">
        <v>31.509</v>
      </c>
      <c r="H291" s="49">
        <v>4098</v>
      </c>
      <c r="I291" s="49">
        <v>440</v>
      </c>
      <c r="J291" s="159">
        <v>4.6315789473684212</v>
      </c>
      <c r="K291" s="49">
        <v>2</v>
      </c>
      <c r="L291" s="49">
        <v>2</v>
      </c>
      <c r="M291" s="83">
        <v>0</v>
      </c>
      <c r="N291" s="49">
        <v>0</v>
      </c>
      <c r="O291" s="49">
        <v>0</v>
      </c>
      <c r="P291" s="49">
        <v>1</v>
      </c>
      <c r="Q291" s="58">
        <v>0</v>
      </c>
      <c r="R291" s="42">
        <v>1</v>
      </c>
      <c r="S291" s="83" t="s">
        <v>283</v>
      </c>
      <c r="T291" s="49">
        <v>2</v>
      </c>
      <c r="U291" s="83">
        <v>0</v>
      </c>
      <c r="V291" s="49">
        <v>0</v>
      </c>
      <c r="W291" s="49">
        <v>0</v>
      </c>
      <c r="X291" s="58"/>
      <c r="Y291" s="83">
        <v>0</v>
      </c>
      <c r="AJ291" s="49">
        <v>0</v>
      </c>
      <c r="AK291" s="83">
        <v>0</v>
      </c>
      <c r="AL291" s="49">
        <v>0</v>
      </c>
      <c r="AM291" s="49">
        <v>0</v>
      </c>
      <c r="AN291" s="49">
        <v>0</v>
      </c>
      <c r="AO291" s="58">
        <v>0</v>
      </c>
      <c r="AP291" s="174" t="s">
        <v>284</v>
      </c>
      <c r="AQ291" s="175" t="s">
        <v>284</v>
      </c>
      <c r="AR291" s="175" t="s">
        <v>284</v>
      </c>
      <c r="AS291" s="175" t="s">
        <v>284</v>
      </c>
      <c r="AT291" s="175" t="s">
        <v>284</v>
      </c>
      <c r="AU291" s="175" t="s">
        <v>284</v>
      </c>
      <c r="AV291" s="175" t="s">
        <v>284</v>
      </c>
      <c r="AW291" s="175" t="s">
        <v>284</v>
      </c>
      <c r="AX291" s="83">
        <v>0</v>
      </c>
      <c r="AY291" s="49">
        <v>0</v>
      </c>
      <c r="AZ291" s="49">
        <v>0</v>
      </c>
      <c r="BA291" s="49">
        <v>0</v>
      </c>
      <c r="BB291" s="58">
        <v>0</v>
      </c>
      <c r="BC291" s="42" t="s">
        <v>140</v>
      </c>
      <c r="BE291" s="49"/>
      <c r="BS291" s="58"/>
      <c r="BT291" s="83"/>
      <c r="CE291" s="83"/>
      <c r="CK291" s="58"/>
      <c r="CL291" s="83"/>
      <c r="CO291" s="58"/>
      <c r="CP291" s="83"/>
      <c r="CR291" s="58"/>
      <c r="CS291" s="83"/>
      <c r="CY291" s="83"/>
      <c r="DG291" s="58"/>
      <c r="DH291" s="83"/>
      <c r="DQ291" s="83"/>
      <c r="EE291" s="58"/>
      <c r="EF291" s="83"/>
      <c r="EI291" s="83"/>
      <c r="EK291" s="58"/>
      <c r="EL291" s="83"/>
      <c r="EO291" s="58"/>
      <c r="EP291" s="83"/>
      <c r="EQ291" s="58"/>
      <c r="ER291" s="83"/>
      <c r="ES291" s="58"/>
      <c r="ET291" s="83"/>
      <c r="EU291" s="58"/>
    </row>
    <row r="292" spans="1:151">
      <c r="A292" s="42" t="s">
        <v>325</v>
      </c>
      <c r="B292" s="173" t="s">
        <v>141</v>
      </c>
      <c r="C292" s="173" t="s">
        <v>505</v>
      </c>
      <c r="D292" s="83" t="s">
        <v>98</v>
      </c>
      <c r="F292" s="49" t="s">
        <v>286</v>
      </c>
      <c r="G292" s="49">
        <v>31.509</v>
      </c>
      <c r="I292" s="49">
        <v>1838</v>
      </c>
      <c r="J292" s="159">
        <v>1.6678765880217785</v>
      </c>
      <c r="K292" s="49">
        <v>4</v>
      </c>
      <c r="L292" s="49">
        <v>4</v>
      </c>
      <c r="M292" s="83">
        <v>0</v>
      </c>
      <c r="N292" s="49">
        <v>1</v>
      </c>
      <c r="O292" s="49">
        <v>0</v>
      </c>
      <c r="P292" s="49">
        <v>0</v>
      </c>
      <c r="Q292" s="58">
        <v>0</v>
      </c>
      <c r="R292" s="42">
        <v>1</v>
      </c>
      <c r="S292" s="83">
        <v>1</v>
      </c>
      <c r="T292" s="49">
        <v>7</v>
      </c>
      <c r="U292" s="83">
        <v>1</v>
      </c>
      <c r="V292" s="49">
        <v>3</v>
      </c>
      <c r="W292" s="49">
        <v>2</v>
      </c>
      <c r="X292" s="58"/>
      <c r="Y292" s="83">
        <v>4</v>
      </c>
      <c r="Z292" s="49">
        <v>7</v>
      </c>
      <c r="AA292" s="49">
        <v>36</v>
      </c>
      <c r="AF292" s="49">
        <v>7</v>
      </c>
      <c r="AG292" s="49">
        <v>41</v>
      </c>
      <c r="AI292" s="49">
        <v>355</v>
      </c>
      <c r="AJ292" s="49">
        <v>0</v>
      </c>
      <c r="AK292" s="83">
        <v>0</v>
      </c>
      <c r="AL292" s="49">
        <v>1</v>
      </c>
      <c r="AM292" s="49">
        <v>0</v>
      </c>
      <c r="AN292" s="49">
        <v>0</v>
      </c>
      <c r="AO292" s="58">
        <v>0</v>
      </c>
      <c r="AP292" s="174">
        <v>0</v>
      </c>
      <c r="AQ292" s="175">
        <v>1100</v>
      </c>
      <c r="AR292" s="175" t="s">
        <v>284</v>
      </c>
      <c r="AS292" s="175" t="s">
        <v>284</v>
      </c>
      <c r="AT292" s="175" t="s">
        <v>284</v>
      </c>
      <c r="AU292" s="175" t="s">
        <v>284</v>
      </c>
      <c r="AV292" s="175" t="s">
        <v>284</v>
      </c>
      <c r="AW292" s="175" t="s">
        <v>284</v>
      </c>
      <c r="AX292" s="83">
        <v>0</v>
      </c>
      <c r="AY292" s="49">
        <v>0</v>
      </c>
      <c r="AZ292" s="49">
        <v>0</v>
      </c>
      <c r="BA292" s="49">
        <v>0</v>
      </c>
      <c r="BB292" s="58">
        <v>0</v>
      </c>
      <c r="BC292" s="42">
        <v>84</v>
      </c>
      <c r="BE292" s="49"/>
      <c r="BS292" s="58"/>
      <c r="BT292" s="83"/>
      <c r="CE292" s="83"/>
      <c r="CK292" s="58"/>
      <c r="CL292" s="83"/>
      <c r="CO292" s="58"/>
      <c r="CP292" s="83"/>
      <c r="CR292" s="58"/>
      <c r="CS292" s="83"/>
      <c r="CY292" s="83"/>
      <c r="DG292" s="58"/>
      <c r="DH292" s="83"/>
      <c r="DQ292" s="83"/>
      <c r="EE292" s="58"/>
      <c r="EF292" s="83"/>
      <c r="EI292" s="83"/>
      <c r="EK292" s="58"/>
      <c r="EL292" s="83"/>
      <c r="EO292" s="58"/>
      <c r="EP292" s="83"/>
      <c r="EQ292" s="58"/>
      <c r="ER292" s="83"/>
      <c r="ES292" s="58"/>
      <c r="ET292" s="83"/>
      <c r="EU292" s="58"/>
    </row>
    <row r="293" spans="1:151">
      <c r="A293" s="42" t="s">
        <v>325</v>
      </c>
      <c r="B293" s="173" t="s">
        <v>141</v>
      </c>
      <c r="C293" s="173" t="s">
        <v>505</v>
      </c>
      <c r="D293" s="83" t="s">
        <v>99</v>
      </c>
      <c r="F293" s="49" t="s">
        <v>286</v>
      </c>
      <c r="G293" s="49">
        <v>31.509</v>
      </c>
      <c r="H293" s="49">
        <v>4098</v>
      </c>
      <c r="I293" s="49">
        <v>2290</v>
      </c>
      <c r="J293" s="159">
        <v>3.0945945945945947</v>
      </c>
      <c r="K293" s="49">
        <v>4</v>
      </c>
      <c r="L293" s="49">
        <v>4</v>
      </c>
      <c r="M293" s="83">
        <v>0</v>
      </c>
      <c r="N293" s="49">
        <v>1</v>
      </c>
      <c r="O293" s="49">
        <v>0</v>
      </c>
      <c r="P293" s="49">
        <v>0</v>
      </c>
      <c r="Q293" s="58">
        <v>0</v>
      </c>
      <c r="R293" s="42">
        <v>1</v>
      </c>
      <c r="S293" s="83" t="s">
        <v>283</v>
      </c>
      <c r="T293" s="49">
        <v>8</v>
      </c>
      <c r="U293" s="83">
        <v>1</v>
      </c>
      <c r="V293" s="49">
        <v>4</v>
      </c>
      <c r="W293" s="49">
        <v>2</v>
      </c>
      <c r="X293" s="58"/>
      <c r="Y293" s="83">
        <v>0</v>
      </c>
      <c r="AJ293" s="49">
        <v>0</v>
      </c>
      <c r="AK293" s="83">
        <v>0</v>
      </c>
      <c r="AL293" s="49">
        <v>0</v>
      </c>
      <c r="AM293" s="49">
        <v>0</v>
      </c>
      <c r="AN293" s="49">
        <v>0</v>
      </c>
      <c r="AO293" s="58">
        <v>0</v>
      </c>
      <c r="AP293" s="174" t="s">
        <v>284</v>
      </c>
      <c r="AQ293" s="175" t="s">
        <v>284</v>
      </c>
      <c r="AR293" s="175" t="s">
        <v>284</v>
      </c>
      <c r="AS293" s="175" t="s">
        <v>284</v>
      </c>
      <c r="AT293" s="175" t="s">
        <v>284</v>
      </c>
      <c r="AU293" s="175" t="s">
        <v>284</v>
      </c>
      <c r="AV293" s="175" t="s">
        <v>284</v>
      </c>
      <c r="AW293" s="175" t="s">
        <v>284</v>
      </c>
      <c r="AX293" s="83">
        <v>0</v>
      </c>
      <c r="AY293" s="49">
        <v>0</v>
      </c>
      <c r="AZ293" s="49">
        <v>0</v>
      </c>
      <c r="BA293" s="49">
        <v>0</v>
      </c>
      <c r="BB293" s="58">
        <v>0</v>
      </c>
      <c r="BC293" s="42" t="s">
        <v>140</v>
      </c>
      <c r="BE293" s="49"/>
      <c r="BS293" s="58"/>
      <c r="BT293" s="83"/>
      <c r="CE293" s="83"/>
      <c r="CK293" s="58"/>
      <c r="CL293" s="83">
        <v>65.17</v>
      </c>
      <c r="CO293" s="58"/>
      <c r="CP293" s="83"/>
      <c r="CR293" s="58"/>
      <c r="CS293" s="83"/>
      <c r="CY293" s="83">
        <v>79.88</v>
      </c>
      <c r="CZ293" s="49">
        <v>78.88</v>
      </c>
      <c r="DG293" s="58"/>
      <c r="DH293" s="83"/>
      <c r="DQ293" s="83">
        <v>75.13</v>
      </c>
      <c r="EE293" s="58"/>
      <c r="EF293" s="83"/>
      <c r="EI293" s="83"/>
      <c r="EK293" s="58"/>
      <c r="EL293" s="83"/>
      <c r="EO293" s="58"/>
      <c r="EP293" s="83"/>
      <c r="EQ293" s="58"/>
      <c r="ER293" s="83"/>
      <c r="ES293" s="58"/>
      <c r="ET293" s="83"/>
      <c r="EU293" s="58"/>
    </row>
    <row r="294" spans="1:151">
      <c r="A294" s="42" t="s">
        <v>325</v>
      </c>
      <c r="B294" s="173" t="s">
        <v>141</v>
      </c>
      <c r="C294" s="173" t="s">
        <v>505</v>
      </c>
      <c r="D294" s="83" t="s">
        <v>100</v>
      </c>
      <c r="F294" s="49" t="s">
        <v>286</v>
      </c>
      <c r="G294" s="49">
        <v>31.509</v>
      </c>
      <c r="H294" s="49">
        <v>4098</v>
      </c>
      <c r="I294" s="49">
        <v>2255</v>
      </c>
      <c r="J294" s="159">
        <v>2.1233521657250471</v>
      </c>
      <c r="K294" s="49">
        <v>1</v>
      </c>
      <c r="L294" s="49">
        <v>2</v>
      </c>
      <c r="M294" s="83">
        <v>0</v>
      </c>
      <c r="N294" s="49">
        <v>3</v>
      </c>
      <c r="O294" s="49">
        <v>0</v>
      </c>
      <c r="P294" s="49">
        <v>0</v>
      </c>
      <c r="Q294" s="58">
        <v>0</v>
      </c>
      <c r="R294" s="42">
        <v>3</v>
      </c>
      <c r="S294" s="83" t="s">
        <v>283</v>
      </c>
      <c r="T294" s="49">
        <v>9</v>
      </c>
      <c r="U294" s="83">
        <v>1</v>
      </c>
      <c r="V294" s="49">
        <v>1</v>
      </c>
      <c r="W294" s="49">
        <v>2</v>
      </c>
      <c r="X294" s="58"/>
      <c r="Y294" s="83">
        <v>5</v>
      </c>
      <c r="AD294" s="49">
        <v>9</v>
      </c>
      <c r="AE294" s="49">
        <v>173</v>
      </c>
      <c r="AF294" s="49">
        <v>9</v>
      </c>
      <c r="AG294" s="49">
        <v>250</v>
      </c>
      <c r="AJ294" s="49">
        <v>1</v>
      </c>
      <c r="AK294" s="83">
        <v>0</v>
      </c>
      <c r="AL294" s="49">
        <v>1</v>
      </c>
      <c r="AM294" s="49">
        <v>0</v>
      </c>
      <c r="AN294" s="49">
        <v>0</v>
      </c>
      <c r="AO294" s="58">
        <v>0</v>
      </c>
      <c r="AP294" s="174">
        <v>554</v>
      </c>
      <c r="AQ294" s="175">
        <v>1083</v>
      </c>
      <c r="AR294" s="175" t="s">
        <v>284</v>
      </c>
      <c r="AS294" s="175" t="s">
        <v>284</v>
      </c>
      <c r="AT294" s="175" t="s">
        <v>284</v>
      </c>
      <c r="AU294" s="175" t="s">
        <v>284</v>
      </c>
      <c r="AV294" s="175" t="s">
        <v>284</v>
      </c>
      <c r="AW294" s="175" t="s">
        <v>284</v>
      </c>
      <c r="AX294" s="83">
        <v>0</v>
      </c>
      <c r="AY294" s="49">
        <v>0</v>
      </c>
      <c r="AZ294" s="49">
        <v>0</v>
      </c>
      <c r="BA294" s="49">
        <v>0</v>
      </c>
      <c r="BB294" s="58">
        <v>0</v>
      </c>
      <c r="BC294" s="42" t="s">
        <v>140</v>
      </c>
      <c r="BE294" s="49"/>
      <c r="BS294" s="58"/>
      <c r="BT294" s="83"/>
      <c r="CE294" s="83"/>
      <c r="CK294" s="58"/>
      <c r="CL294" s="83"/>
      <c r="CO294" s="58"/>
      <c r="CP294" s="83"/>
      <c r="CR294" s="58"/>
      <c r="CS294" s="83"/>
      <c r="CY294" s="83"/>
      <c r="DG294" s="58"/>
      <c r="DH294" s="83"/>
      <c r="DQ294" s="83"/>
      <c r="EE294" s="58"/>
      <c r="EF294" s="83"/>
      <c r="EI294" s="83"/>
      <c r="EK294" s="58"/>
      <c r="EL294" s="83"/>
      <c r="EO294" s="58"/>
      <c r="EP294" s="83"/>
      <c r="EQ294" s="58"/>
      <c r="ER294" s="83"/>
      <c r="ES294" s="58"/>
      <c r="ET294" s="83"/>
      <c r="EU294" s="58"/>
    </row>
    <row r="295" spans="1:151">
      <c r="A295" s="42" t="s">
        <v>325</v>
      </c>
      <c r="B295" s="173" t="s">
        <v>141</v>
      </c>
      <c r="C295" s="173" t="s">
        <v>505</v>
      </c>
      <c r="D295" s="83" t="s">
        <v>114</v>
      </c>
      <c r="F295" s="49" t="s">
        <v>286</v>
      </c>
      <c r="G295" s="49">
        <v>31.509</v>
      </c>
      <c r="H295" s="49">
        <v>4098</v>
      </c>
      <c r="I295" s="49">
        <v>9133</v>
      </c>
      <c r="J295" s="159">
        <v>2.0602300924881569</v>
      </c>
      <c r="K295" s="49">
        <v>4</v>
      </c>
      <c r="L295" s="49">
        <v>3</v>
      </c>
      <c r="M295" s="83">
        <v>0</v>
      </c>
      <c r="N295" s="49">
        <v>5</v>
      </c>
      <c r="O295" s="49">
        <v>1</v>
      </c>
      <c r="P295" s="49">
        <v>1</v>
      </c>
      <c r="Q295" s="58">
        <v>0</v>
      </c>
      <c r="R295" s="42">
        <v>7</v>
      </c>
      <c r="S295" s="83" t="s">
        <v>283</v>
      </c>
      <c r="T295" s="49">
        <v>6</v>
      </c>
      <c r="U295" s="83">
        <v>2</v>
      </c>
      <c r="V295" s="49">
        <v>5</v>
      </c>
      <c r="W295" s="49">
        <v>3</v>
      </c>
      <c r="X295" s="58">
        <v>1</v>
      </c>
      <c r="Y295" s="83">
        <v>15</v>
      </c>
      <c r="Z295" s="49">
        <v>5</v>
      </c>
      <c r="AA295" s="49">
        <v>55</v>
      </c>
      <c r="AD295" s="49">
        <v>16</v>
      </c>
      <c r="AE295" s="49">
        <v>572</v>
      </c>
      <c r="AF295" s="49">
        <v>13</v>
      </c>
      <c r="AG295" s="49">
        <v>562</v>
      </c>
      <c r="AH295" s="49">
        <v>1117</v>
      </c>
      <c r="AI295" s="49">
        <v>2049</v>
      </c>
      <c r="AJ295" s="49">
        <v>1</v>
      </c>
      <c r="AK295" s="83">
        <v>0</v>
      </c>
      <c r="AL295" s="49">
        <v>1</v>
      </c>
      <c r="AM295" s="49">
        <v>0</v>
      </c>
      <c r="AN295" s="49">
        <v>0</v>
      </c>
      <c r="AO295" s="58">
        <v>0</v>
      </c>
      <c r="AP295" s="174" t="s">
        <v>501</v>
      </c>
      <c r="AQ295" s="175" t="s">
        <v>501</v>
      </c>
      <c r="AR295" s="175" t="s">
        <v>284</v>
      </c>
      <c r="AS295" s="175" t="s">
        <v>284</v>
      </c>
      <c r="AT295" s="175" t="s">
        <v>284</v>
      </c>
      <c r="AU295" s="175" t="s">
        <v>284</v>
      </c>
      <c r="AV295" s="175" t="s">
        <v>284</v>
      </c>
      <c r="AW295" s="175" t="s">
        <v>284</v>
      </c>
      <c r="AX295" s="83">
        <v>0</v>
      </c>
      <c r="AY295" s="49">
        <v>0</v>
      </c>
      <c r="AZ295" s="49">
        <v>0</v>
      </c>
      <c r="BA295" s="49">
        <v>0</v>
      </c>
      <c r="BB295" s="58">
        <v>0</v>
      </c>
      <c r="BC295" s="42" t="s">
        <v>140</v>
      </c>
      <c r="BD295" s="49">
        <v>81.48</v>
      </c>
      <c r="BE295" s="49">
        <v>81.33</v>
      </c>
      <c r="BF295" s="49">
        <v>80.23</v>
      </c>
      <c r="BG295" s="49">
        <v>79.53</v>
      </c>
      <c r="BH295" s="49">
        <v>81.78</v>
      </c>
      <c r="BS295" s="58"/>
      <c r="BT295" s="83">
        <v>76.38</v>
      </c>
      <c r="BU295" s="49">
        <v>76.569999999999993</v>
      </c>
      <c r="BV295" s="49">
        <v>78.95</v>
      </c>
      <c r="BW295" s="49">
        <v>81.05</v>
      </c>
      <c r="CE295" s="83"/>
      <c r="CK295" s="58"/>
      <c r="CL295" s="83"/>
      <c r="CO295" s="58"/>
      <c r="CP295" s="83"/>
      <c r="CR295" s="58"/>
      <c r="CS295" s="83"/>
      <c r="CY295" s="83"/>
      <c r="DG295" s="58"/>
      <c r="DH295" s="83"/>
      <c r="DQ295" s="83">
        <v>78.58</v>
      </c>
      <c r="EE295" s="58"/>
      <c r="EF295" s="83"/>
      <c r="EI295" s="83"/>
      <c r="EK295" s="58"/>
      <c r="EL295" s="83"/>
      <c r="EO295" s="58"/>
      <c r="EP295" s="83"/>
      <c r="EQ295" s="58"/>
      <c r="ER295" s="83"/>
      <c r="ES295" s="58"/>
      <c r="ET295" s="83"/>
      <c r="EU295" s="58"/>
    </row>
    <row r="296" spans="1:151">
      <c r="A296" s="42" t="s">
        <v>325</v>
      </c>
      <c r="B296" s="173" t="s">
        <v>141</v>
      </c>
      <c r="C296" s="173" t="s">
        <v>505</v>
      </c>
      <c r="D296" s="83" t="s">
        <v>120</v>
      </c>
      <c r="F296" s="49" t="s">
        <v>286</v>
      </c>
      <c r="G296" s="49">
        <v>31.509</v>
      </c>
      <c r="H296" s="49">
        <v>4098</v>
      </c>
      <c r="I296" s="49">
        <v>6195</v>
      </c>
      <c r="J296" s="159">
        <v>3.4075907590759078</v>
      </c>
      <c r="K296" s="49">
        <v>1</v>
      </c>
      <c r="L296" s="49">
        <v>3</v>
      </c>
      <c r="M296" s="83">
        <v>0</v>
      </c>
      <c r="N296" s="49">
        <v>3</v>
      </c>
      <c r="O296" s="49">
        <v>0</v>
      </c>
      <c r="P296" s="49">
        <v>0</v>
      </c>
      <c r="Q296" s="58">
        <v>0</v>
      </c>
      <c r="R296" s="42">
        <v>3</v>
      </c>
      <c r="S296" s="83">
        <v>1</v>
      </c>
      <c r="U296" s="83">
        <v>2</v>
      </c>
      <c r="V296" s="49">
        <v>3</v>
      </c>
      <c r="W296" s="49">
        <v>2</v>
      </c>
      <c r="X296" s="58"/>
      <c r="Y296" s="83">
        <v>10</v>
      </c>
      <c r="AD296" s="49">
        <v>38</v>
      </c>
      <c r="AE296" s="49">
        <v>913</v>
      </c>
      <c r="AF296" s="49">
        <v>28</v>
      </c>
      <c r="AG296" s="49">
        <v>637</v>
      </c>
      <c r="AH296" s="49">
        <v>587</v>
      </c>
      <c r="AI296" s="49">
        <v>2417</v>
      </c>
      <c r="AJ296" s="49">
        <v>1</v>
      </c>
      <c r="AK296" s="83">
        <v>0</v>
      </c>
      <c r="AL296" s="49">
        <v>1</v>
      </c>
      <c r="AM296" s="49">
        <v>0</v>
      </c>
      <c r="AN296" s="49">
        <v>0</v>
      </c>
      <c r="AO296" s="58">
        <v>0</v>
      </c>
      <c r="AP296" s="174">
        <v>0</v>
      </c>
      <c r="AQ296" s="175">
        <v>844</v>
      </c>
      <c r="AR296" s="175" t="s">
        <v>284</v>
      </c>
      <c r="AS296" s="175" t="s">
        <v>284</v>
      </c>
      <c r="AT296" s="175" t="s">
        <v>284</v>
      </c>
      <c r="AU296" s="175" t="s">
        <v>284</v>
      </c>
      <c r="AV296" s="175" t="s">
        <v>284</v>
      </c>
      <c r="AW296" s="175" t="s">
        <v>284</v>
      </c>
      <c r="AX296" s="83">
        <v>0</v>
      </c>
      <c r="AY296" s="49">
        <v>0</v>
      </c>
      <c r="AZ296" s="49">
        <v>0</v>
      </c>
      <c r="BA296" s="49">
        <v>0</v>
      </c>
      <c r="BB296" s="58">
        <v>0</v>
      </c>
      <c r="BC296" s="42" t="s">
        <v>140</v>
      </c>
      <c r="BD296" s="49">
        <v>78.510000000000005</v>
      </c>
      <c r="BE296" s="49">
        <v>78.63</v>
      </c>
      <c r="BF296" s="49">
        <v>79.73</v>
      </c>
      <c r="BG296" s="49">
        <v>77.62</v>
      </c>
      <c r="BS296" s="58"/>
      <c r="BT296" s="83"/>
      <c r="CE296" s="83"/>
      <c r="CK296" s="58"/>
      <c r="CL296" s="83">
        <v>67.86</v>
      </c>
      <c r="CO296" s="58"/>
      <c r="CP296" s="83"/>
      <c r="CR296" s="58"/>
      <c r="CS296" s="83"/>
      <c r="CY296" s="83"/>
      <c r="DG296" s="58"/>
      <c r="DH296" s="83"/>
      <c r="DQ296" s="83">
        <v>70.709999999999994</v>
      </c>
      <c r="EE296" s="58"/>
      <c r="EF296" s="83"/>
      <c r="EI296" s="83"/>
      <c r="EK296" s="58"/>
      <c r="EL296" s="83"/>
      <c r="EO296" s="58"/>
      <c r="EP296" s="83"/>
      <c r="EQ296" s="58"/>
      <c r="ER296" s="83"/>
      <c r="ES296" s="58"/>
      <c r="ET296" s="83"/>
      <c r="EU296" s="58"/>
    </row>
    <row r="297" spans="1:151">
      <c r="A297" s="42" t="s">
        <v>325</v>
      </c>
      <c r="B297" s="173" t="s">
        <v>141</v>
      </c>
      <c r="C297" s="173" t="s">
        <v>505</v>
      </c>
      <c r="D297" s="83" t="s">
        <v>66</v>
      </c>
      <c r="F297" s="49" t="s">
        <v>287</v>
      </c>
      <c r="G297" s="49">
        <v>31.509</v>
      </c>
      <c r="H297" s="49">
        <v>4098</v>
      </c>
      <c r="I297" s="49">
        <v>733</v>
      </c>
      <c r="J297" s="159">
        <v>5.9593495934959346</v>
      </c>
      <c r="K297" s="49">
        <v>4</v>
      </c>
      <c r="L297" s="49">
        <v>3</v>
      </c>
      <c r="M297" s="83">
        <v>0</v>
      </c>
      <c r="N297" s="49">
        <v>0</v>
      </c>
      <c r="O297" s="49">
        <v>0</v>
      </c>
      <c r="P297" s="49">
        <v>1</v>
      </c>
      <c r="Q297" s="58">
        <v>0</v>
      </c>
      <c r="R297" s="42">
        <v>1</v>
      </c>
      <c r="S297" s="83" t="s">
        <v>283</v>
      </c>
      <c r="T297" s="49">
        <v>2</v>
      </c>
      <c r="U297" s="83">
        <v>1</v>
      </c>
      <c r="V297" s="49">
        <v>2</v>
      </c>
      <c r="W297" s="49">
        <v>1</v>
      </c>
      <c r="X297" s="58">
        <v>2</v>
      </c>
      <c r="Y297" s="83">
        <v>3</v>
      </c>
      <c r="AD297" s="49">
        <v>3</v>
      </c>
      <c r="AE297" s="49">
        <v>17</v>
      </c>
      <c r="AH297" s="49">
        <v>6</v>
      </c>
      <c r="AI297" s="49">
        <v>46</v>
      </c>
      <c r="AJ297" s="49">
        <v>0</v>
      </c>
      <c r="AK297" s="83">
        <v>0</v>
      </c>
      <c r="AL297" s="49">
        <v>0</v>
      </c>
      <c r="AM297" s="49">
        <v>0</v>
      </c>
      <c r="AN297" s="49">
        <v>0</v>
      </c>
      <c r="AO297" s="58">
        <v>0</v>
      </c>
      <c r="AP297" s="174" t="s">
        <v>284</v>
      </c>
      <c r="AQ297" s="175" t="s">
        <v>284</v>
      </c>
      <c r="AR297" s="175" t="s">
        <v>284</v>
      </c>
      <c r="AS297" s="175" t="s">
        <v>284</v>
      </c>
      <c r="AT297" s="175" t="s">
        <v>284</v>
      </c>
      <c r="AU297" s="175" t="s">
        <v>284</v>
      </c>
      <c r="AV297" s="175" t="s">
        <v>284</v>
      </c>
      <c r="AW297" s="175" t="s">
        <v>284</v>
      </c>
      <c r="AX297" s="83">
        <v>0</v>
      </c>
      <c r="AY297" s="49">
        <v>0</v>
      </c>
      <c r="AZ297" s="49">
        <v>0</v>
      </c>
      <c r="BA297" s="49">
        <v>0</v>
      </c>
      <c r="BB297" s="58">
        <v>0</v>
      </c>
      <c r="BC297" s="42" t="s">
        <v>140</v>
      </c>
      <c r="BE297" s="49"/>
      <c r="BS297" s="58"/>
      <c r="BT297" s="83"/>
      <c r="CE297" s="83"/>
      <c r="CK297" s="58"/>
      <c r="CL297" s="83"/>
      <c r="CO297" s="58"/>
      <c r="CP297" s="83"/>
      <c r="CR297" s="58"/>
      <c r="CS297" s="83"/>
      <c r="CY297" s="83"/>
      <c r="DG297" s="58"/>
      <c r="DH297" s="83"/>
      <c r="DQ297" s="83"/>
      <c r="EE297" s="58"/>
      <c r="EF297" s="83"/>
      <c r="EI297" s="83"/>
      <c r="EK297" s="58"/>
      <c r="EL297" s="83"/>
      <c r="EO297" s="58"/>
      <c r="EP297" s="83"/>
      <c r="EQ297" s="58"/>
      <c r="ER297" s="83"/>
      <c r="ES297" s="58"/>
      <c r="ET297" s="83"/>
      <c r="EU297" s="58"/>
    </row>
    <row r="298" spans="1:151">
      <c r="A298" s="42" t="s">
        <v>325</v>
      </c>
      <c r="B298" s="173" t="s">
        <v>141</v>
      </c>
      <c r="C298" s="173" t="s">
        <v>505</v>
      </c>
      <c r="D298" s="83" t="s">
        <v>68</v>
      </c>
      <c r="F298" s="49" t="s">
        <v>287</v>
      </c>
      <c r="G298" s="49">
        <v>31.509</v>
      </c>
      <c r="H298" s="49">
        <v>4098</v>
      </c>
      <c r="I298" s="49">
        <v>697</v>
      </c>
      <c r="J298" s="159">
        <v>1.7252475247524752</v>
      </c>
      <c r="K298" s="49">
        <v>4</v>
      </c>
      <c r="L298" s="49">
        <v>3</v>
      </c>
      <c r="M298" s="83">
        <v>0</v>
      </c>
      <c r="N298" s="49">
        <v>2</v>
      </c>
      <c r="O298" s="49">
        <v>1</v>
      </c>
      <c r="P298" s="49">
        <v>1</v>
      </c>
      <c r="Q298" s="58">
        <v>0</v>
      </c>
      <c r="R298" s="42">
        <v>4</v>
      </c>
      <c r="S298" s="83" t="s">
        <v>283</v>
      </c>
      <c r="T298" s="49">
        <v>2</v>
      </c>
      <c r="U298" s="83">
        <v>3</v>
      </c>
      <c r="V298" s="49">
        <v>3</v>
      </c>
      <c r="W298" s="49">
        <v>3</v>
      </c>
      <c r="X298" s="58">
        <v>3</v>
      </c>
      <c r="Y298" s="83">
        <v>1</v>
      </c>
      <c r="AD298" s="49">
        <v>11</v>
      </c>
      <c r="AE298" s="49">
        <v>24</v>
      </c>
      <c r="AI298" s="49">
        <v>30</v>
      </c>
      <c r="AJ298" s="49">
        <v>0</v>
      </c>
      <c r="AK298" s="83">
        <v>0</v>
      </c>
      <c r="AL298" s="49">
        <v>0</v>
      </c>
      <c r="AM298" s="49">
        <v>1</v>
      </c>
      <c r="AN298" s="49">
        <v>0</v>
      </c>
      <c r="AO298" s="58">
        <v>0</v>
      </c>
      <c r="AP298" s="174" t="s">
        <v>284</v>
      </c>
      <c r="AQ298" s="175" t="s">
        <v>284</v>
      </c>
      <c r="AR298" s="175" t="s">
        <v>501</v>
      </c>
      <c r="AS298" s="175" t="s">
        <v>501</v>
      </c>
      <c r="AT298" s="175" t="s">
        <v>284</v>
      </c>
      <c r="AU298" s="175" t="s">
        <v>284</v>
      </c>
      <c r="AV298" s="175" t="s">
        <v>284</v>
      </c>
      <c r="AW298" s="175" t="s">
        <v>284</v>
      </c>
      <c r="AX298" s="83">
        <v>0</v>
      </c>
      <c r="AY298" s="49">
        <v>0</v>
      </c>
      <c r="AZ298" s="49">
        <v>0</v>
      </c>
      <c r="BA298" s="49">
        <v>0</v>
      </c>
      <c r="BB298" s="58">
        <v>0</v>
      </c>
      <c r="BC298" s="42">
        <v>26</v>
      </c>
      <c r="BD298" s="49">
        <v>80.78</v>
      </c>
      <c r="BE298" s="49"/>
      <c r="BS298" s="58"/>
      <c r="BT298" s="83">
        <v>71.12</v>
      </c>
      <c r="CE298" s="83"/>
      <c r="CK298" s="58"/>
      <c r="CL298" s="83">
        <v>63.44</v>
      </c>
      <c r="CO298" s="58"/>
      <c r="CP298" s="83"/>
      <c r="CR298" s="58"/>
      <c r="CS298" s="83"/>
      <c r="CY298" s="83"/>
      <c r="DG298" s="58"/>
      <c r="DH298" s="83"/>
      <c r="DQ298" s="83"/>
      <c r="EE298" s="58"/>
      <c r="EF298" s="83"/>
      <c r="EI298" s="83"/>
      <c r="EK298" s="58"/>
      <c r="EL298" s="83"/>
      <c r="EO298" s="58"/>
      <c r="EP298" s="83"/>
      <c r="EQ298" s="58"/>
      <c r="ER298" s="83"/>
      <c r="ES298" s="58"/>
      <c r="ET298" s="83"/>
      <c r="EU298" s="58"/>
    </row>
    <row r="299" spans="1:151">
      <c r="A299" s="42" t="s">
        <v>325</v>
      </c>
      <c r="B299" s="173" t="s">
        <v>141</v>
      </c>
      <c r="C299" s="173" t="s">
        <v>505</v>
      </c>
      <c r="D299" s="83" t="s">
        <v>69</v>
      </c>
      <c r="E299" s="49" t="s">
        <v>0</v>
      </c>
      <c r="F299" s="49" t="s">
        <v>286</v>
      </c>
      <c r="G299" s="49">
        <v>31.509</v>
      </c>
      <c r="H299" s="49">
        <v>4098</v>
      </c>
      <c r="I299" s="49">
        <v>1148</v>
      </c>
      <c r="J299" s="159">
        <v>1.107039537126326</v>
      </c>
      <c r="K299" s="49">
        <v>1</v>
      </c>
      <c r="L299" s="49">
        <v>3</v>
      </c>
      <c r="M299" s="83">
        <v>0</v>
      </c>
      <c r="N299" s="49">
        <v>2</v>
      </c>
      <c r="O299" s="49">
        <v>0</v>
      </c>
      <c r="P299" s="49">
        <v>0</v>
      </c>
      <c r="Q299" s="58">
        <v>0</v>
      </c>
      <c r="R299" s="42">
        <v>2</v>
      </c>
      <c r="S299" s="83">
        <v>1</v>
      </c>
      <c r="U299" s="83">
        <v>1</v>
      </c>
      <c r="V299" s="49">
        <v>1</v>
      </c>
      <c r="W299" s="49">
        <v>2</v>
      </c>
      <c r="X299" s="58"/>
      <c r="Y299" s="83">
        <v>0</v>
      </c>
      <c r="AJ299" s="49">
        <v>0</v>
      </c>
      <c r="AK299" s="83">
        <v>0</v>
      </c>
      <c r="AL299" s="49">
        <v>0</v>
      </c>
      <c r="AM299" s="49">
        <v>1</v>
      </c>
      <c r="AN299" s="49">
        <v>0</v>
      </c>
      <c r="AO299" s="58">
        <v>0</v>
      </c>
      <c r="AP299" s="174" t="s">
        <v>284</v>
      </c>
      <c r="AQ299" s="175" t="s">
        <v>284</v>
      </c>
      <c r="AR299" s="175" t="s">
        <v>501</v>
      </c>
      <c r="AS299" s="175" t="s">
        <v>501</v>
      </c>
      <c r="AT299" s="175" t="s">
        <v>284</v>
      </c>
      <c r="AU299" s="175" t="s">
        <v>284</v>
      </c>
      <c r="AV299" s="175" t="s">
        <v>284</v>
      </c>
      <c r="AW299" s="175" t="s">
        <v>284</v>
      </c>
      <c r="AX299" s="83">
        <v>0</v>
      </c>
      <c r="AY299" s="49">
        <v>0</v>
      </c>
      <c r="AZ299" s="49">
        <v>0</v>
      </c>
      <c r="BA299" s="49">
        <v>0</v>
      </c>
      <c r="BB299" s="58">
        <v>0</v>
      </c>
      <c r="BC299" s="42" t="s">
        <v>140</v>
      </c>
      <c r="BE299" s="49"/>
      <c r="BS299" s="58"/>
      <c r="BT299" s="83"/>
      <c r="CE299" s="83"/>
      <c r="CK299" s="58"/>
      <c r="CL299" s="83"/>
      <c r="CO299" s="58"/>
      <c r="CP299" s="83"/>
      <c r="CR299" s="58"/>
      <c r="CS299" s="83"/>
      <c r="CY299" s="83">
        <v>78.81</v>
      </c>
      <c r="CZ299" s="49">
        <v>77.52</v>
      </c>
      <c r="DA299" s="49">
        <v>76.41</v>
      </c>
      <c r="DB299" s="49">
        <v>76.61</v>
      </c>
      <c r="DG299" s="58"/>
      <c r="DH299" s="83"/>
      <c r="DQ299" s="83"/>
      <c r="EE299" s="58"/>
      <c r="EF299" s="83"/>
      <c r="EI299" s="83"/>
      <c r="EK299" s="58"/>
      <c r="EL299" s="83"/>
      <c r="EO299" s="58"/>
      <c r="EP299" s="83"/>
      <c r="EQ299" s="58"/>
      <c r="ER299" s="83"/>
      <c r="ES299" s="58"/>
      <c r="ET299" s="83"/>
      <c r="EU299" s="58"/>
    </row>
    <row r="300" spans="1:151">
      <c r="A300" s="42" t="s">
        <v>325</v>
      </c>
      <c r="B300" s="173" t="s">
        <v>141</v>
      </c>
      <c r="C300" s="173" t="s">
        <v>505</v>
      </c>
      <c r="D300" s="83" t="s">
        <v>69</v>
      </c>
      <c r="E300" s="49" t="s">
        <v>1</v>
      </c>
      <c r="F300" s="49" t="s">
        <v>286</v>
      </c>
      <c r="G300" s="49">
        <v>31.509</v>
      </c>
      <c r="H300" s="49">
        <v>4098</v>
      </c>
      <c r="I300" s="49">
        <v>1342</v>
      </c>
      <c r="J300" s="159">
        <v>1.632603406326034</v>
      </c>
      <c r="K300" s="49">
        <v>1</v>
      </c>
      <c r="L300" s="49">
        <v>3</v>
      </c>
      <c r="M300" s="83">
        <v>0</v>
      </c>
      <c r="N300" s="49">
        <v>2</v>
      </c>
      <c r="O300" s="49">
        <v>0</v>
      </c>
      <c r="P300" s="49">
        <v>0</v>
      </c>
      <c r="Q300" s="58">
        <v>0</v>
      </c>
      <c r="R300" s="42">
        <v>2</v>
      </c>
      <c r="S300" s="83">
        <v>1</v>
      </c>
      <c r="U300" s="83">
        <v>1</v>
      </c>
      <c r="V300" s="49">
        <v>1</v>
      </c>
      <c r="W300" s="49">
        <v>2</v>
      </c>
      <c r="X300" s="58"/>
      <c r="Y300" s="83">
        <v>2</v>
      </c>
      <c r="Z300" s="49">
        <v>10</v>
      </c>
      <c r="AA300" s="49">
        <v>17</v>
      </c>
      <c r="AD300" s="49">
        <v>17</v>
      </c>
      <c r="AE300" s="49">
        <v>109</v>
      </c>
      <c r="AH300" s="49">
        <v>13</v>
      </c>
      <c r="AI300" s="49">
        <v>60</v>
      </c>
      <c r="AJ300" s="49">
        <v>1</v>
      </c>
      <c r="AK300" s="83">
        <v>0</v>
      </c>
      <c r="AL300" s="49">
        <v>0</v>
      </c>
      <c r="AM300" s="49">
        <v>1</v>
      </c>
      <c r="AN300" s="49">
        <v>0</v>
      </c>
      <c r="AO300" s="58">
        <v>0</v>
      </c>
      <c r="AP300" s="174" t="s">
        <v>284</v>
      </c>
      <c r="AQ300" s="175" t="s">
        <v>284</v>
      </c>
      <c r="AR300" s="175" t="s">
        <v>501</v>
      </c>
      <c r="AS300" s="175" t="s">
        <v>501</v>
      </c>
      <c r="AT300" s="175" t="s">
        <v>284</v>
      </c>
      <c r="AU300" s="175" t="s">
        <v>284</v>
      </c>
      <c r="AV300" s="175" t="s">
        <v>284</v>
      </c>
      <c r="AW300" s="175" t="s">
        <v>284</v>
      </c>
      <c r="AX300" s="83">
        <v>0</v>
      </c>
      <c r="AY300" s="49">
        <v>0</v>
      </c>
      <c r="AZ300" s="49">
        <v>0</v>
      </c>
      <c r="BA300" s="49">
        <v>0</v>
      </c>
      <c r="BB300" s="58">
        <v>0</v>
      </c>
      <c r="BC300" s="42" t="s">
        <v>140</v>
      </c>
      <c r="BE300" s="49"/>
      <c r="BS300" s="58"/>
      <c r="BT300" s="83">
        <v>78.099999999999994</v>
      </c>
      <c r="CE300" s="83"/>
      <c r="CK300" s="58"/>
      <c r="CL300" s="83">
        <v>65.73</v>
      </c>
      <c r="CO300" s="58"/>
      <c r="CP300" s="83"/>
      <c r="CR300" s="58"/>
      <c r="CS300" s="83"/>
      <c r="CY300" s="83"/>
      <c r="DG300" s="58"/>
      <c r="DH300" s="83"/>
      <c r="DQ300" s="83"/>
      <c r="EE300" s="58"/>
      <c r="EF300" s="83"/>
      <c r="EI300" s="83"/>
      <c r="EK300" s="58"/>
      <c r="EL300" s="83"/>
      <c r="EO300" s="58"/>
      <c r="EP300" s="83"/>
      <c r="EQ300" s="58"/>
      <c r="ER300" s="83"/>
      <c r="ES300" s="58"/>
      <c r="ET300" s="83"/>
      <c r="EU300" s="58"/>
    </row>
    <row r="301" spans="1:151">
      <c r="A301" s="42" t="s">
        <v>325</v>
      </c>
      <c r="B301" s="173" t="s">
        <v>141</v>
      </c>
      <c r="C301" s="173" t="s">
        <v>505</v>
      </c>
      <c r="D301" s="83" t="s">
        <v>74</v>
      </c>
      <c r="F301" s="49" t="s">
        <v>286</v>
      </c>
      <c r="G301" s="49">
        <v>31.509</v>
      </c>
      <c r="H301" s="49">
        <v>4098</v>
      </c>
      <c r="I301" s="49">
        <v>1822</v>
      </c>
      <c r="J301" s="159">
        <v>1.5272422464375524</v>
      </c>
      <c r="K301" s="49">
        <v>4</v>
      </c>
      <c r="L301" s="49">
        <v>4</v>
      </c>
      <c r="M301" s="83">
        <v>0</v>
      </c>
      <c r="N301" s="49">
        <v>3</v>
      </c>
      <c r="O301" s="49">
        <v>0</v>
      </c>
      <c r="P301" s="49">
        <v>0</v>
      </c>
      <c r="Q301" s="58">
        <v>0</v>
      </c>
      <c r="R301" s="42">
        <v>3</v>
      </c>
      <c r="S301" s="83">
        <v>1</v>
      </c>
      <c r="U301" s="83">
        <v>1</v>
      </c>
      <c r="V301" s="49">
        <v>4</v>
      </c>
      <c r="W301" s="49">
        <v>2</v>
      </c>
      <c r="X301" s="58"/>
      <c r="Y301" s="83">
        <v>1</v>
      </c>
      <c r="AF301" s="49">
        <v>8</v>
      </c>
      <c r="AG301" s="49">
        <v>75</v>
      </c>
      <c r="AJ301" s="49">
        <v>1</v>
      </c>
      <c r="AK301" s="83">
        <v>0</v>
      </c>
      <c r="AL301" s="49">
        <v>0</v>
      </c>
      <c r="AM301" s="49">
        <v>0</v>
      </c>
      <c r="AN301" s="49">
        <v>0</v>
      </c>
      <c r="AO301" s="58">
        <v>0</v>
      </c>
      <c r="AP301" s="174" t="s">
        <v>284</v>
      </c>
      <c r="AQ301" s="175" t="s">
        <v>284</v>
      </c>
      <c r="AR301" s="175" t="s">
        <v>284</v>
      </c>
      <c r="AS301" s="175" t="s">
        <v>284</v>
      </c>
      <c r="AT301" s="175" t="s">
        <v>284</v>
      </c>
      <c r="AU301" s="175" t="s">
        <v>284</v>
      </c>
      <c r="AV301" s="175" t="s">
        <v>284</v>
      </c>
      <c r="AW301" s="175" t="s">
        <v>284</v>
      </c>
      <c r="AX301" s="83">
        <v>0</v>
      </c>
      <c r="AY301" s="49">
        <v>0</v>
      </c>
      <c r="AZ301" s="49">
        <v>0</v>
      </c>
      <c r="BA301" s="49">
        <v>0</v>
      </c>
      <c r="BB301" s="58">
        <v>0</v>
      </c>
      <c r="BC301" s="42">
        <v>40</v>
      </c>
      <c r="BD301" s="49">
        <v>77.38</v>
      </c>
      <c r="BE301" s="49">
        <v>77.38</v>
      </c>
      <c r="BS301" s="58"/>
      <c r="BT301" s="83"/>
      <c r="CE301" s="83"/>
      <c r="CK301" s="58"/>
      <c r="CL301" s="83">
        <v>65.400000000000006</v>
      </c>
      <c r="CO301" s="58"/>
      <c r="CP301" s="83"/>
      <c r="CR301" s="58"/>
      <c r="CS301" s="83"/>
      <c r="CY301" s="83"/>
      <c r="DG301" s="58"/>
      <c r="DH301" s="83"/>
      <c r="DQ301" s="83">
        <v>75.61</v>
      </c>
      <c r="EE301" s="58"/>
      <c r="EF301" s="83"/>
      <c r="EI301" s="83"/>
      <c r="EK301" s="58"/>
      <c r="EL301" s="83"/>
      <c r="EO301" s="58"/>
      <c r="EP301" s="83"/>
      <c r="EQ301" s="58"/>
      <c r="ER301" s="83"/>
      <c r="ES301" s="58"/>
      <c r="ET301" s="83"/>
      <c r="EU301" s="58"/>
    </row>
    <row r="302" spans="1:151">
      <c r="A302" s="42" t="s">
        <v>325</v>
      </c>
      <c r="B302" s="173" t="s">
        <v>141</v>
      </c>
      <c r="C302" s="173" t="s">
        <v>505</v>
      </c>
      <c r="D302" s="83" t="s">
        <v>75</v>
      </c>
      <c r="F302" s="49" t="s">
        <v>287</v>
      </c>
      <c r="G302" s="49">
        <v>31.509</v>
      </c>
      <c r="H302" s="49">
        <v>4098</v>
      </c>
      <c r="I302" s="49">
        <v>239</v>
      </c>
      <c r="J302" s="159">
        <v>1.8671875</v>
      </c>
      <c r="K302" s="49">
        <v>2</v>
      </c>
      <c r="L302" s="49">
        <v>2</v>
      </c>
      <c r="M302" s="83">
        <v>1</v>
      </c>
      <c r="N302" s="49">
        <v>0</v>
      </c>
      <c r="O302" s="49">
        <v>0</v>
      </c>
      <c r="P302" s="49">
        <v>1</v>
      </c>
      <c r="Q302" s="58">
        <v>0</v>
      </c>
      <c r="R302" s="42">
        <v>2</v>
      </c>
      <c r="S302" s="83" t="s">
        <v>283</v>
      </c>
      <c r="T302" s="49">
        <v>1</v>
      </c>
      <c r="U302" s="83">
        <v>0</v>
      </c>
      <c r="V302" s="49">
        <v>0</v>
      </c>
      <c r="W302" s="49">
        <v>0</v>
      </c>
      <c r="X302" s="58"/>
      <c r="Y302" s="83">
        <v>1</v>
      </c>
      <c r="AD302" s="49">
        <v>2</v>
      </c>
      <c r="AE302" s="49">
        <v>4</v>
      </c>
      <c r="AH302" s="49">
        <v>5</v>
      </c>
      <c r="AI302" s="49">
        <v>8</v>
      </c>
      <c r="AJ302" s="49">
        <v>0</v>
      </c>
      <c r="AK302" s="83">
        <v>0</v>
      </c>
      <c r="AL302" s="49">
        <v>0</v>
      </c>
      <c r="AM302" s="49">
        <v>0</v>
      </c>
      <c r="AN302" s="49">
        <v>0</v>
      </c>
      <c r="AO302" s="58">
        <v>0</v>
      </c>
      <c r="AP302" s="174" t="s">
        <v>284</v>
      </c>
      <c r="AQ302" s="175" t="s">
        <v>284</v>
      </c>
      <c r="AR302" s="175" t="s">
        <v>284</v>
      </c>
      <c r="AS302" s="175" t="s">
        <v>284</v>
      </c>
      <c r="AT302" s="175" t="s">
        <v>284</v>
      </c>
      <c r="AU302" s="175" t="s">
        <v>284</v>
      </c>
      <c r="AV302" s="175" t="s">
        <v>284</v>
      </c>
      <c r="AW302" s="175" t="s">
        <v>284</v>
      </c>
      <c r="AX302" s="83">
        <v>0</v>
      </c>
      <c r="AY302" s="49">
        <v>0</v>
      </c>
      <c r="AZ302" s="49">
        <v>0</v>
      </c>
      <c r="BA302" s="49">
        <v>0</v>
      </c>
      <c r="BB302" s="58">
        <v>0</v>
      </c>
      <c r="BC302" s="42" t="s">
        <v>140</v>
      </c>
      <c r="BE302" s="49"/>
      <c r="BS302" s="58"/>
      <c r="BT302" s="83"/>
      <c r="CE302" s="83"/>
      <c r="CK302" s="58"/>
      <c r="CL302" s="83"/>
      <c r="CO302" s="58"/>
      <c r="CP302" s="83"/>
      <c r="CR302" s="58"/>
      <c r="CS302" s="83"/>
      <c r="CY302" s="83"/>
      <c r="DG302" s="58"/>
      <c r="DH302" s="83"/>
      <c r="DQ302" s="83"/>
      <c r="EE302" s="58"/>
      <c r="EF302" s="83"/>
      <c r="EI302" s="83"/>
      <c r="EK302" s="58"/>
      <c r="EL302" s="83"/>
      <c r="EO302" s="58"/>
      <c r="EP302" s="83"/>
      <c r="EQ302" s="58"/>
      <c r="ER302" s="83"/>
      <c r="ES302" s="58"/>
      <c r="ET302" s="83"/>
      <c r="EU302" s="58"/>
    </row>
    <row r="303" spans="1:151">
      <c r="A303" s="42" t="s">
        <v>325</v>
      </c>
      <c r="B303" s="173" t="s">
        <v>141</v>
      </c>
      <c r="C303" s="173" t="s">
        <v>505</v>
      </c>
      <c r="D303" s="83" t="s">
        <v>76</v>
      </c>
      <c r="F303" s="49" t="s">
        <v>286</v>
      </c>
      <c r="G303" s="49">
        <v>31.509</v>
      </c>
      <c r="H303" s="49">
        <v>4098</v>
      </c>
      <c r="I303" s="49">
        <v>1471</v>
      </c>
      <c r="J303" s="159">
        <v>2.4890016920473772</v>
      </c>
      <c r="K303" s="49">
        <v>4</v>
      </c>
      <c r="L303" s="49">
        <v>4</v>
      </c>
      <c r="M303" s="83">
        <v>0</v>
      </c>
      <c r="N303" s="49">
        <v>0</v>
      </c>
      <c r="O303" s="49">
        <v>1</v>
      </c>
      <c r="P303" s="49">
        <v>1</v>
      </c>
      <c r="Q303" s="58">
        <v>0</v>
      </c>
      <c r="R303" s="42">
        <v>2</v>
      </c>
      <c r="S303" s="83">
        <v>1</v>
      </c>
      <c r="U303" s="83">
        <v>2</v>
      </c>
      <c r="V303" s="49">
        <v>4</v>
      </c>
      <c r="W303" s="49">
        <v>3</v>
      </c>
      <c r="X303" s="58">
        <v>2</v>
      </c>
      <c r="Y303" s="83">
        <v>2</v>
      </c>
      <c r="AD303" s="49">
        <v>24</v>
      </c>
      <c r="AE303" s="49">
        <v>190</v>
      </c>
      <c r="AJ303" s="49">
        <v>1</v>
      </c>
      <c r="AK303" s="83">
        <v>0</v>
      </c>
      <c r="AL303" s="49">
        <v>0</v>
      </c>
      <c r="AM303" s="49">
        <v>1</v>
      </c>
      <c r="AN303" s="49">
        <v>0</v>
      </c>
      <c r="AO303" s="58">
        <v>0</v>
      </c>
      <c r="AP303" s="174" t="s">
        <v>284</v>
      </c>
      <c r="AQ303" s="175" t="s">
        <v>284</v>
      </c>
      <c r="AR303" s="175" t="s">
        <v>501</v>
      </c>
      <c r="AS303" s="175" t="s">
        <v>501</v>
      </c>
      <c r="AT303" s="175" t="s">
        <v>284</v>
      </c>
      <c r="AU303" s="175" t="s">
        <v>284</v>
      </c>
      <c r="AV303" s="175" t="s">
        <v>284</v>
      </c>
      <c r="AW303" s="175" t="s">
        <v>284</v>
      </c>
      <c r="AX303" s="83">
        <v>0</v>
      </c>
      <c r="AY303" s="49">
        <v>0</v>
      </c>
      <c r="AZ303" s="49">
        <v>0</v>
      </c>
      <c r="BA303" s="49">
        <v>0</v>
      </c>
      <c r="BB303" s="58">
        <v>0</v>
      </c>
      <c r="BC303" s="42" t="s">
        <v>140</v>
      </c>
      <c r="BD303" s="49">
        <v>74.400000000000006</v>
      </c>
      <c r="BE303" s="49"/>
      <c r="BS303" s="58"/>
      <c r="BT303" s="83">
        <v>79.66</v>
      </c>
      <c r="BU303" s="49">
        <v>79.61</v>
      </c>
      <c r="CE303" s="83"/>
      <c r="CK303" s="58"/>
      <c r="CL303" s="83">
        <v>66.650000000000006</v>
      </c>
      <c r="CO303" s="58"/>
      <c r="CP303" s="83"/>
      <c r="CR303" s="58"/>
      <c r="CS303" s="83"/>
      <c r="CY303" s="83"/>
      <c r="DG303" s="58"/>
      <c r="DH303" s="83"/>
      <c r="DQ303" s="83"/>
      <c r="EE303" s="58"/>
      <c r="EF303" s="83"/>
      <c r="EI303" s="83"/>
      <c r="EK303" s="58"/>
      <c r="EL303" s="83"/>
      <c r="EO303" s="58"/>
      <c r="EP303" s="83"/>
      <c r="EQ303" s="58"/>
      <c r="ER303" s="83"/>
      <c r="ES303" s="58"/>
      <c r="ET303" s="83"/>
      <c r="EU303" s="58"/>
    </row>
    <row r="304" spans="1:151">
      <c r="A304" s="42" t="s">
        <v>325</v>
      </c>
      <c r="B304" s="173" t="s">
        <v>141</v>
      </c>
      <c r="C304" s="173" t="s">
        <v>505</v>
      </c>
      <c r="D304" s="83" t="s">
        <v>144</v>
      </c>
      <c r="F304" s="49" t="s">
        <v>287</v>
      </c>
      <c r="G304" s="49">
        <v>31.509</v>
      </c>
      <c r="H304" s="49">
        <v>4098</v>
      </c>
      <c r="I304" s="49">
        <v>349</v>
      </c>
      <c r="J304" s="159">
        <v>5.132352941176471</v>
      </c>
      <c r="K304" s="49">
        <v>2</v>
      </c>
      <c r="L304" s="49">
        <v>2</v>
      </c>
      <c r="M304" s="83">
        <v>1</v>
      </c>
      <c r="N304" s="49">
        <v>0</v>
      </c>
      <c r="O304" s="49">
        <v>0</v>
      </c>
      <c r="P304" s="49">
        <v>1</v>
      </c>
      <c r="Q304" s="58">
        <v>0</v>
      </c>
      <c r="R304" s="42">
        <v>2</v>
      </c>
      <c r="S304" s="83">
        <v>1</v>
      </c>
      <c r="U304" s="83">
        <v>0</v>
      </c>
      <c r="V304" s="49">
        <v>0</v>
      </c>
      <c r="W304" s="49">
        <v>0</v>
      </c>
      <c r="X304" s="58"/>
      <c r="Y304" s="83">
        <v>1</v>
      </c>
      <c r="AF304" s="49">
        <v>6</v>
      </c>
      <c r="AG304" s="49">
        <v>25</v>
      </c>
      <c r="AJ304" s="49">
        <v>0</v>
      </c>
      <c r="AK304" s="83">
        <v>0</v>
      </c>
      <c r="AL304" s="49">
        <v>0</v>
      </c>
      <c r="AM304" s="49">
        <v>1</v>
      </c>
      <c r="AN304" s="49">
        <v>0</v>
      </c>
      <c r="AO304" s="58">
        <v>0</v>
      </c>
      <c r="AP304" s="174">
        <v>0</v>
      </c>
      <c r="AQ304" s="175">
        <v>0</v>
      </c>
      <c r="AR304" s="175">
        <v>71</v>
      </c>
      <c r="AS304" s="175">
        <v>99</v>
      </c>
      <c r="AT304" s="175">
        <v>0</v>
      </c>
      <c r="AU304" s="175">
        <v>0</v>
      </c>
      <c r="AV304" s="175">
        <v>0</v>
      </c>
      <c r="AW304" s="175">
        <v>0</v>
      </c>
      <c r="AX304" s="83">
        <v>0</v>
      </c>
      <c r="AY304" s="49">
        <v>0</v>
      </c>
      <c r="AZ304" s="49">
        <v>0</v>
      </c>
      <c r="BA304" s="49">
        <v>0</v>
      </c>
      <c r="BB304" s="58">
        <v>0</v>
      </c>
      <c r="BC304" s="42" t="s">
        <v>140</v>
      </c>
      <c r="BE304" s="49"/>
      <c r="BS304" s="58"/>
      <c r="BT304" s="83"/>
      <c r="CE304" s="83"/>
      <c r="CK304" s="58"/>
      <c r="CL304" s="83"/>
      <c r="CO304" s="58"/>
      <c r="CP304" s="83"/>
      <c r="CR304" s="58"/>
      <c r="CS304" s="83"/>
      <c r="CY304" s="83"/>
      <c r="DG304" s="58"/>
      <c r="DH304" s="83"/>
      <c r="DQ304" s="83"/>
      <c r="EE304" s="58"/>
      <c r="EF304" s="83"/>
      <c r="EI304" s="83"/>
      <c r="EK304" s="58"/>
      <c r="EL304" s="83"/>
      <c r="EO304" s="58"/>
      <c r="EP304" s="83"/>
      <c r="EQ304" s="58"/>
      <c r="ER304" s="83"/>
      <c r="ES304" s="58"/>
      <c r="ET304" s="83"/>
      <c r="EU304" s="58"/>
    </row>
    <row r="305" spans="1:151" ht="17" thickBot="1">
      <c r="A305" s="55" t="s">
        <v>325</v>
      </c>
      <c r="B305" s="173" t="s">
        <v>141</v>
      </c>
      <c r="C305" s="173" t="s">
        <v>505</v>
      </c>
      <c r="D305" s="83" t="s">
        <v>145</v>
      </c>
      <c r="F305" s="49" t="s">
        <v>287</v>
      </c>
      <c r="G305" s="49">
        <v>31.509</v>
      </c>
      <c r="H305" s="49">
        <v>4098</v>
      </c>
      <c r="I305" s="49">
        <v>643</v>
      </c>
      <c r="J305" s="159">
        <v>3.1674876847290641</v>
      </c>
      <c r="K305" s="49">
        <v>4</v>
      </c>
      <c r="L305" s="49">
        <v>3</v>
      </c>
      <c r="M305" s="83">
        <v>0</v>
      </c>
      <c r="N305" s="49">
        <v>1</v>
      </c>
      <c r="O305" s="49">
        <v>1</v>
      </c>
      <c r="P305" s="49">
        <v>1</v>
      </c>
      <c r="Q305" s="58">
        <v>0</v>
      </c>
      <c r="R305" s="42">
        <v>3</v>
      </c>
      <c r="S305" s="83">
        <v>1</v>
      </c>
      <c r="U305" s="83">
        <v>2</v>
      </c>
      <c r="V305" s="49">
        <v>3</v>
      </c>
      <c r="W305" s="49">
        <v>1</v>
      </c>
      <c r="X305" s="58">
        <v>1</v>
      </c>
      <c r="Y305" s="83">
        <v>1</v>
      </c>
      <c r="AD305" s="49">
        <v>4</v>
      </c>
      <c r="AE305" s="49">
        <v>10</v>
      </c>
      <c r="AH305" s="49">
        <v>4</v>
      </c>
      <c r="AI305" s="49">
        <v>50</v>
      </c>
      <c r="AJ305" s="49">
        <v>0</v>
      </c>
      <c r="AK305" s="83">
        <v>0</v>
      </c>
      <c r="AL305" s="49">
        <v>0</v>
      </c>
      <c r="AM305" s="49">
        <v>1</v>
      </c>
      <c r="AN305" s="49">
        <v>0</v>
      </c>
      <c r="AO305" s="58">
        <v>0</v>
      </c>
      <c r="AP305" s="174">
        <v>0</v>
      </c>
      <c r="AQ305" s="175">
        <v>0</v>
      </c>
      <c r="AR305" s="175">
        <v>54</v>
      </c>
      <c r="AS305" s="175">
        <v>98</v>
      </c>
      <c r="AT305" s="175">
        <v>0</v>
      </c>
      <c r="AU305" s="175">
        <v>0</v>
      </c>
      <c r="AV305" s="175">
        <v>0</v>
      </c>
      <c r="AW305" s="175">
        <v>0</v>
      </c>
      <c r="AX305" s="83">
        <v>0</v>
      </c>
      <c r="AY305" s="49">
        <v>1</v>
      </c>
      <c r="AZ305" s="49">
        <v>0</v>
      </c>
      <c r="BA305" s="49">
        <v>0</v>
      </c>
      <c r="BB305" s="58">
        <v>1</v>
      </c>
      <c r="BC305" s="42" t="s">
        <v>140</v>
      </c>
      <c r="BE305" s="49"/>
      <c r="BS305" s="58"/>
      <c r="BT305" s="83"/>
      <c r="CE305" s="83"/>
      <c r="CK305" s="58"/>
      <c r="CL305" s="83"/>
      <c r="CO305" s="58"/>
      <c r="CP305" s="83"/>
      <c r="CR305" s="58"/>
      <c r="CS305" s="83"/>
      <c r="CY305" s="83"/>
      <c r="DG305" s="58"/>
      <c r="DH305" s="83"/>
      <c r="DQ305" s="83"/>
      <c r="EE305" s="58"/>
      <c r="EF305" s="83"/>
      <c r="EI305" s="83"/>
      <c r="EK305" s="58"/>
      <c r="EL305" s="83"/>
      <c r="EO305" s="58"/>
      <c r="EP305" s="83"/>
      <c r="EQ305" s="58"/>
      <c r="ER305" s="83"/>
      <c r="ES305" s="58"/>
      <c r="ET305" s="83"/>
      <c r="EU305" s="58"/>
    </row>
    <row r="306" spans="1:151">
      <c r="A306" s="83" t="s">
        <v>325</v>
      </c>
      <c r="B306" s="7" t="s">
        <v>146</v>
      </c>
      <c r="C306" s="7" t="s">
        <v>506</v>
      </c>
      <c r="D306" s="147" t="s">
        <v>64</v>
      </c>
      <c r="E306" s="148"/>
      <c r="F306" s="148" t="s">
        <v>286</v>
      </c>
      <c r="G306" s="148">
        <v>32.68</v>
      </c>
      <c r="H306" s="148"/>
      <c r="I306" s="148">
        <v>1749</v>
      </c>
      <c r="J306" s="158">
        <v>7.3179916317991633</v>
      </c>
      <c r="K306" s="148">
        <v>2</v>
      </c>
      <c r="L306" s="148">
        <v>2</v>
      </c>
      <c r="M306" s="147">
        <v>1</v>
      </c>
      <c r="N306" s="148">
        <v>0</v>
      </c>
      <c r="O306" s="148">
        <v>0</v>
      </c>
      <c r="P306" s="148">
        <v>0</v>
      </c>
      <c r="Q306" s="149">
        <v>0</v>
      </c>
      <c r="R306" s="87">
        <v>1</v>
      </c>
      <c r="S306" s="147">
        <v>1</v>
      </c>
      <c r="T306" s="148"/>
      <c r="U306" s="147">
        <v>0</v>
      </c>
      <c r="V306" s="148">
        <v>0</v>
      </c>
      <c r="W306" s="148">
        <v>0</v>
      </c>
      <c r="X306" s="149"/>
      <c r="Y306" s="147">
        <v>10</v>
      </c>
      <c r="Z306" s="148"/>
      <c r="AA306" s="148"/>
      <c r="AB306" s="148"/>
      <c r="AC306" s="148"/>
      <c r="AD306" s="148"/>
      <c r="AE306" s="148">
        <v>24</v>
      </c>
      <c r="AF306" s="148"/>
      <c r="AG306" s="148"/>
      <c r="AH306" s="148">
        <v>18</v>
      </c>
      <c r="AI306" s="148">
        <v>354</v>
      </c>
      <c r="AJ306" s="148">
        <v>0</v>
      </c>
      <c r="AK306" s="147">
        <v>0</v>
      </c>
      <c r="AL306" s="148">
        <v>0</v>
      </c>
      <c r="AM306" s="148">
        <v>1</v>
      </c>
      <c r="AN306" s="148">
        <v>0</v>
      </c>
      <c r="AO306" s="149">
        <v>0</v>
      </c>
      <c r="AP306" s="169" t="s">
        <v>284</v>
      </c>
      <c r="AQ306" s="170" t="s">
        <v>284</v>
      </c>
      <c r="AR306" s="170">
        <v>137</v>
      </c>
      <c r="AS306" s="170">
        <v>151</v>
      </c>
      <c r="AT306" s="170" t="s">
        <v>284</v>
      </c>
      <c r="AU306" s="170" t="s">
        <v>284</v>
      </c>
      <c r="AV306" s="170" t="s">
        <v>284</v>
      </c>
      <c r="AW306" s="170" t="s">
        <v>284</v>
      </c>
      <c r="AX306" s="147">
        <v>0</v>
      </c>
      <c r="AY306" s="148">
        <v>0</v>
      </c>
      <c r="AZ306" s="148">
        <v>0</v>
      </c>
      <c r="BA306" s="148">
        <v>0</v>
      </c>
      <c r="BB306" s="149">
        <v>0</v>
      </c>
      <c r="BC306" s="87">
        <v>120</v>
      </c>
      <c r="BD306" s="148"/>
      <c r="BE306" s="148"/>
      <c r="BF306" s="148"/>
      <c r="BG306" s="148"/>
      <c r="BH306" s="148"/>
      <c r="BI306" s="148"/>
      <c r="BJ306" s="148"/>
      <c r="BK306" s="148"/>
      <c r="BL306" s="148"/>
      <c r="BM306" s="148"/>
      <c r="BN306" s="148"/>
      <c r="BO306" s="148"/>
      <c r="BP306" s="148"/>
      <c r="BQ306" s="148"/>
      <c r="BR306" s="148"/>
      <c r="BS306" s="149"/>
      <c r="BT306" s="147"/>
      <c r="BU306" s="148"/>
      <c r="BV306" s="148"/>
      <c r="BW306" s="148"/>
      <c r="BX306" s="148"/>
      <c r="BY306" s="148"/>
      <c r="BZ306" s="148"/>
      <c r="CA306" s="148"/>
      <c r="CB306" s="148"/>
      <c r="CC306" s="148"/>
      <c r="CD306" s="148"/>
      <c r="CE306" s="147"/>
      <c r="CF306" s="148"/>
      <c r="CG306" s="148"/>
      <c r="CH306" s="148"/>
      <c r="CI306" s="148"/>
      <c r="CJ306" s="148"/>
      <c r="CK306" s="149"/>
      <c r="CL306" s="147">
        <v>60.98</v>
      </c>
      <c r="CM306" s="148"/>
      <c r="CN306" s="148"/>
      <c r="CO306" s="149"/>
      <c r="CP306" s="147"/>
      <c r="CQ306" s="148"/>
      <c r="CR306" s="149"/>
      <c r="CS306" s="147"/>
      <c r="CT306" s="148"/>
      <c r="CU306" s="148"/>
      <c r="CV306" s="148"/>
      <c r="CW306" s="148"/>
      <c r="CX306" s="148"/>
      <c r="CY306" s="147"/>
      <c r="CZ306" s="148"/>
      <c r="DA306" s="148"/>
      <c r="DB306" s="148"/>
      <c r="DC306" s="148"/>
      <c r="DD306" s="148"/>
      <c r="DE306" s="148"/>
      <c r="DF306" s="148"/>
      <c r="DG306" s="149"/>
      <c r="DH306" s="147">
        <v>62.45</v>
      </c>
      <c r="DI306" s="148">
        <v>57.38</v>
      </c>
      <c r="DJ306" s="148"/>
      <c r="DK306" s="148"/>
      <c r="DL306" s="148"/>
      <c r="DM306" s="148"/>
      <c r="DN306" s="148"/>
      <c r="DO306" s="148"/>
      <c r="DP306" s="148"/>
      <c r="DQ306" s="147"/>
      <c r="DR306" s="148"/>
      <c r="DS306" s="148"/>
      <c r="DT306" s="148"/>
      <c r="DU306" s="148"/>
      <c r="DV306" s="148"/>
      <c r="DW306" s="148"/>
      <c r="DX306" s="148"/>
      <c r="DY306" s="148"/>
      <c r="DZ306" s="148"/>
      <c r="EA306" s="148"/>
      <c r="EB306" s="148"/>
      <c r="EC306" s="148"/>
      <c r="ED306" s="148"/>
      <c r="EE306" s="149"/>
      <c r="EF306" s="147"/>
      <c r="EG306" s="148"/>
      <c r="EH306" s="148"/>
      <c r="EI306" s="147"/>
      <c r="EJ306" s="148"/>
      <c r="EK306" s="149"/>
      <c r="EL306" s="147"/>
      <c r="EM306" s="148"/>
      <c r="EN306" s="148"/>
      <c r="EO306" s="149"/>
      <c r="EP306" s="147"/>
      <c r="EQ306" s="149"/>
      <c r="ER306" s="147"/>
      <c r="ES306" s="149"/>
      <c r="ET306" s="147"/>
      <c r="EU306" s="149"/>
    </row>
    <row r="307" spans="1:151">
      <c r="A307" s="83" t="s">
        <v>325</v>
      </c>
      <c r="B307" s="173" t="s">
        <v>146</v>
      </c>
      <c r="C307" s="173" t="s">
        <v>506</v>
      </c>
      <c r="D307" s="83" t="s">
        <v>73</v>
      </c>
      <c r="F307" s="49" t="s">
        <v>286</v>
      </c>
      <c r="G307" s="49">
        <v>32.68</v>
      </c>
      <c r="I307" s="49">
        <v>1295</v>
      </c>
      <c r="J307" s="159">
        <v>1.4030335861321777</v>
      </c>
      <c r="K307" s="49">
        <v>4</v>
      </c>
      <c r="L307" s="49">
        <v>3</v>
      </c>
      <c r="M307" s="83">
        <v>0</v>
      </c>
      <c r="N307" s="49">
        <v>2</v>
      </c>
      <c r="O307" s="49">
        <v>0</v>
      </c>
      <c r="P307" s="49">
        <v>0</v>
      </c>
      <c r="Q307" s="58">
        <v>0</v>
      </c>
      <c r="R307" s="42">
        <v>2</v>
      </c>
      <c r="S307" s="83">
        <v>1</v>
      </c>
      <c r="U307" s="83">
        <v>2</v>
      </c>
      <c r="V307" s="49">
        <v>4</v>
      </c>
      <c r="W307" s="49">
        <v>3</v>
      </c>
      <c r="X307" s="58">
        <v>2</v>
      </c>
      <c r="Y307" s="83">
        <v>1</v>
      </c>
      <c r="AD307" s="49">
        <v>15</v>
      </c>
      <c r="AE307" s="49">
        <v>75</v>
      </c>
      <c r="AJ307" s="49">
        <v>0</v>
      </c>
      <c r="AK307" s="83">
        <v>0</v>
      </c>
      <c r="AL307" s="49">
        <v>0</v>
      </c>
      <c r="AM307" s="49">
        <v>0</v>
      </c>
      <c r="AN307" s="49">
        <v>0</v>
      </c>
      <c r="AO307" s="58">
        <v>0</v>
      </c>
      <c r="AP307" s="174" t="s">
        <v>284</v>
      </c>
      <c r="AQ307" s="175" t="s">
        <v>284</v>
      </c>
      <c r="AR307" s="175">
        <v>0</v>
      </c>
      <c r="AS307" s="175">
        <v>0</v>
      </c>
      <c r="AT307" s="175">
        <v>0</v>
      </c>
      <c r="AU307" s="175">
        <v>0</v>
      </c>
      <c r="AV307" s="175">
        <v>0</v>
      </c>
      <c r="AW307" s="175">
        <v>0</v>
      </c>
      <c r="AX307" s="83">
        <v>0</v>
      </c>
      <c r="AY307" s="49">
        <v>0</v>
      </c>
      <c r="AZ307" s="49">
        <v>0</v>
      </c>
      <c r="BA307" s="49">
        <v>0</v>
      </c>
      <c r="BB307" s="58">
        <v>0</v>
      </c>
      <c r="BC307" s="42">
        <v>163</v>
      </c>
      <c r="BE307" s="49"/>
      <c r="BS307" s="58"/>
      <c r="BT307" s="83"/>
      <c r="CE307" s="83"/>
      <c r="CK307" s="58"/>
      <c r="CL307" s="83"/>
      <c r="CO307" s="58"/>
      <c r="CP307" s="83"/>
      <c r="CR307" s="58"/>
      <c r="CS307" s="83"/>
      <c r="CY307" s="83"/>
      <c r="DG307" s="58"/>
      <c r="DH307" s="83"/>
      <c r="DQ307" s="83"/>
      <c r="EE307" s="58"/>
      <c r="EF307" s="83"/>
      <c r="EI307" s="83"/>
      <c r="EK307" s="58"/>
      <c r="EL307" s="83"/>
      <c r="EO307" s="58"/>
      <c r="EP307" s="83"/>
      <c r="EQ307" s="58"/>
      <c r="ER307" s="83"/>
      <c r="ES307" s="58"/>
      <c r="ET307" s="83"/>
      <c r="EU307" s="58"/>
    </row>
    <row r="308" spans="1:151">
      <c r="A308" s="83" t="s">
        <v>325</v>
      </c>
      <c r="B308" s="173" t="s">
        <v>146</v>
      </c>
      <c r="C308" s="173" t="s">
        <v>506</v>
      </c>
      <c r="D308" s="83" t="s">
        <v>81</v>
      </c>
      <c r="F308" s="49" t="s">
        <v>287</v>
      </c>
      <c r="G308" s="49">
        <v>32.68</v>
      </c>
      <c r="I308" s="49">
        <v>762</v>
      </c>
      <c r="J308" s="159">
        <v>1.5089108910891089</v>
      </c>
      <c r="K308" s="49">
        <v>4</v>
      </c>
      <c r="L308" s="49">
        <v>3</v>
      </c>
      <c r="M308" s="83">
        <v>1</v>
      </c>
      <c r="N308" s="49">
        <v>0</v>
      </c>
      <c r="O308" s="49">
        <v>1</v>
      </c>
      <c r="P308" s="49">
        <v>1</v>
      </c>
      <c r="Q308" s="58">
        <v>0</v>
      </c>
      <c r="R308" s="42">
        <v>3</v>
      </c>
      <c r="S308" s="83">
        <v>1</v>
      </c>
      <c r="U308" s="83">
        <v>3</v>
      </c>
      <c r="V308" s="49">
        <v>4</v>
      </c>
      <c r="W308" s="49">
        <v>1</v>
      </c>
      <c r="X308" s="58">
        <v>3</v>
      </c>
      <c r="Y308" s="83">
        <v>4</v>
      </c>
      <c r="AD308" s="49">
        <v>8</v>
      </c>
      <c r="AE308" s="49">
        <v>18</v>
      </c>
      <c r="AH308" s="49">
        <v>7</v>
      </c>
      <c r="AI308" s="49">
        <v>61</v>
      </c>
      <c r="AJ308" s="49">
        <v>0</v>
      </c>
      <c r="AK308" s="83">
        <v>0</v>
      </c>
      <c r="AL308" s="49">
        <v>0</v>
      </c>
      <c r="AM308" s="49">
        <v>1</v>
      </c>
      <c r="AN308" s="49">
        <v>0</v>
      </c>
      <c r="AO308" s="58">
        <v>0</v>
      </c>
      <c r="AP308" s="174" t="s">
        <v>284</v>
      </c>
      <c r="AQ308" s="175" t="s">
        <v>284</v>
      </c>
      <c r="AR308" s="175">
        <v>131</v>
      </c>
      <c r="AS308" s="175">
        <v>156</v>
      </c>
      <c r="AT308" s="175" t="s">
        <v>284</v>
      </c>
      <c r="AU308" s="175" t="s">
        <v>284</v>
      </c>
      <c r="AV308" s="175" t="s">
        <v>284</v>
      </c>
      <c r="AW308" s="175" t="s">
        <v>284</v>
      </c>
      <c r="AX308" s="83">
        <v>0</v>
      </c>
      <c r="AY308" s="49">
        <v>0</v>
      </c>
      <c r="AZ308" s="49">
        <v>0</v>
      </c>
      <c r="BA308" s="49">
        <v>0</v>
      </c>
      <c r="BB308" s="58">
        <v>0</v>
      </c>
      <c r="BC308" s="42">
        <v>113</v>
      </c>
      <c r="BE308" s="49"/>
      <c r="BS308" s="58"/>
      <c r="BT308" s="83"/>
      <c r="CE308" s="83"/>
      <c r="CK308" s="58"/>
      <c r="CL308" s="83"/>
      <c r="CO308" s="58"/>
      <c r="CP308" s="83"/>
      <c r="CR308" s="58"/>
      <c r="CS308" s="83"/>
      <c r="CY308" s="83"/>
      <c r="DG308" s="58"/>
      <c r="DH308" s="83"/>
      <c r="DQ308" s="83"/>
      <c r="EE308" s="58"/>
      <c r="EF308" s="83"/>
      <c r="EI308" s="83"/>
      <c r="EK308" s="58"/>
      <c r="EL308" s="83"/>
      <c r="EO308" s="58"/>
      <c r="EP308" s="83"/>
      <c r="EQ308" s="58"/>
      <c r="ER308" s="83"/>
      <c r="ES308" s="58"/>
      <c r="ET308" s="83"/>
      <c r="EU308" s="58"/>
    </row>
    <row r="309" spans="1:151">
      <c r="A309" s="83" t="s">
        <v>325</v>
      </c>
      <c r="B309" s="173" t="s">
        <v>146</v>
      </c>
      <c r="C309" s="173" t="s">
        <v>506</v>
      </c>
      <c r="D309" s="83" t="s">
        <v>87</v>
      </c>
      <c r="F309" s="49" t="s">
        <v>286</v>
      </c>
      <c r="G309" s="49">
        <v>32.68</v>
      </c>
      <c r="I309" s="49">
        <v>1777</v>
      </c>
      <c r="J309" s="159">
        <v>2.5679190751445087</v>
      </c>
      <c r="K309" s="49">
        <v>4</v>
      </c>
      <c r="L309" s="49">
        <v>4</v>
      </c>
      <c r="M309" s="83">
        <v>0</v>
      </c>
      <c r="N309" s="49">
        <v>0</v>
      </c>
      <c r="O309" s="49">
        <v>1</v>
      </c>
      <c r="P309" s="49">
        <v>1</v>
      </c>
      <c r="Q309" s="58">
        <v>0</v>
      </c>
      <c r="R309" s="42">
        <v>2</v>
      </c>
      <c r="S309" s="83" t="s">
        <v>284</v>
      </c>
      <c r="U309" s="83">
        <v>1</v>
      </c>
      <c r="V309" s="49">
        <v>2</v>
      </c>
      <c r="W309" s="49">
        <v>2</v>
      </c>
      <c r="X309" s="58"/>
      <c r="Y309" s="83">
        <v>15</v>
      </c>
      <c r="Z309" s="49">
        <v>4</v>
      </c>
      <c r="AA309" s="49">
        <v>11</v>
      </c>
      <c r="AD309" s="49">
        <v>7</v>
      </c>
      <c r="AE309" s="49">
        <v>31</v>
      </c>
      <c r="AF309" s="49">
        <v>34</v>
      </c>
      <c r="AG309" s="49">
        <v>436</v>
      </c>
      <c r="AH309" s="49">
        <v>17</v>
      </c>
      <c r="AI309" s="49">
        <v>297</v>
      </c>
      <c r="AJ309" s="49">
        <v>0</v>
      </c>
      <c r="AK309" s="83">
        <v>0</v>
      </c>
      <c r="AL309" s="49">
        <v>0</v>
      </c>
      <c r="AM309" s="49">
        <v>1</v>
      </c>
      <c r="AN309" s="49">
        <v>0</v>
      </c>
      <c r="AO309" s="58">
        <v>0</v>
      </c>
      <c r="AP309" s="174" t="s">
        <v>284</v>
      </c>
      <c r="AQ309" s="175" t="s">
        <v>284</v>
      </c>
      <c r="AR309" s="175" t="s">
        <v>501</v>
      </c>
      <c r="AS309" s="175" t="s">
        <v>501</v>
      </c>
      <c r="AT309" s="175" t="s">
        <v>284</v>
      </c>
      <c r="AU309" s="175" t="s">
        <v>284</v>
      </c>
      <c r="AV309" s="175" t="s">
        <v>284</v>
      </c>
      <c r="AW309" s="175" t="s">
        <v>284</v>
      </c>
      <c r="AX309" s="83">
        <v>0</v>
      </c>
      <c r="AY309" s="49">
        <v>0</v>
      </c>
      <c r="AZ309" s="49">
        <v>0</v>
      </c>
      <c r="BA309" s="49">
        <v>0</v>
      </c>
      <c r="BB309" s="58">
        <v>0</v>
      </c>
      <c r="BC309" s="42">
        <v>163</v>
      </c>
      <c r="BE309" s="49"/>
      <c r="BS309" s="58"/>
      <c r="BT309" s="83"/>
      <c r="CE309" s="83"/>
      <c r="CK309" s="58"/>
      <c r="CL309" s="83"/>
      <c r="CO309" s="58"/>
      <c r="CP309" s="83"/>
      <c r="CR309" s="58"/>
      <c r="CS309" s="83"/>
      <c r="CY309" s="83"/>
      <c r="DG309" s="58"/>
      <c r="DH309" s="83"/>
      <c r="DQ309" s="83"/>
      <c r="EE309" s="58"/>
      <c r="EF309" s="83"/>
      <c r="EI309" s="83"/>
      <c r="EK309" s="58"/>
      <c r="EL309" s="83"/>
      <c r="EO309" s="58"/>
      <c r="EP309" s="83"/>
      <c r="EQ309" s="58"/>
      <c r="ER309" s="83"/>
      <c r="ES309" s="58"/>
      <c r="ET309" s="83"/>
      <c r="EU309" s="58"/>
    </row>
    <row r="310" spans="1:151">
      <c r="A310" s="83" t="s">
        <v>325</v>
      </c>
      <c r="B310" s="173" t="s">
        <v>146</v>
      </c>
      <c r="C310" s="173" t="s">
        <v>506</v>
      </c>
      <c r="D310" s="83" t="s">
        <v>88</v>
      </c>
      <c r="F310" s="49" t="s">
        <v>286</v>
      </c>
      <c r="G310" s="49">
        <v>32.68</v>
      </c>
      <c r="I310" s="49">
        <v>1156</v>
      </c>
      <c r="J310" s="159">
        <v>1.6100278551532032</v>
      </c>
      <c r="K310" s="49">
        <v>1</v>
      </c>
      <c r="L310" s="49">
        <v>1</v>
      </c>
      <c r="M310" s="83">
        <v>1</v>
      </c>
      <c r="N310" s="49">
        <v>0</v>
      </c>
      <c r="O310" s="49">
        <v>1</v>
      </c>
      <c r="P310" s="49">
        <v>0</v>
      </c>
      <c r="Q310" s="58">
        <v>0</v>
      </c>
      <c r="R310" s="42">
        <v>2</v>
      </c>
      <c r="S310" s="83">
        <v>1</v>
      </c>
      <c r="U310" s="83">
        <v>1</v>
      </c>
      <c r="V310" s="49">
        <v>2</v>
      </c>
      <c r="W310" s="49">
        <v>1</v>
      </c>
      <c r="X310" s="58">
        <v>1</v>
      </c>
      <c r="Y310" s="83">
        <v>0</v>
      </c>
      <c r="AJ310" s="49">
        <v>0</v>
      </c>
      <c r="AK310" s="83">
        <v>0</v>
      </c>
      <c r="AL310" s="49">
        <v>1</v>
      </c>
      <c r="AM310" s="49">
        <v>0</v>
      </c>
      <c r="AN310" s="49">
        <v>0</v>
      </c>
      <c r="AO310" s="58">
        <v>0</v>
      </c>
      <c r="AP310" s="174">
        <v>0</v>
      </c>
      <c r="AQ310" s="175" t="s">
        <v>501</v>
      </c>
      <c r="AR310" s="175">
        <v>0</v>
      </c>
      <c r="AS310" s="175">
        <v>0</v>
      </c>
      <c r="AT310" s="175">
        <v>0</v>
      </c>
      <c r="AU310" s="175">
        <v>0</v>
      </c>
      <c r="AV310" s="175" t="s">
        <v>284</v>
      </c>
      <c r="AW310" s="175" t="s">
        <v>284</v>
      </c>
      <c r="AX310" s="83">
        <v>0</v>
      </c>
      <c r="AY310" s="49">
        <v>0</v>
      </c>
      <c r="AZ310" s="49">
        <v>0</v>
      </c>
      <c r="BA310" s="49">
        <v>0</v>
      </c>
      <c r="BB310" s="58">
        <v>0</v>
      </c>
      <c r="BC310" s="42">
        <v>124</v>
      </c>
      <c r="BE310" s="49"/>
      <c r="BS310" s="58"/>
      <c r="BT310" s="83">
        <v>75.09</v>
      </c>
      <c r="BU310" s="49">
        <v>73.23</v>
      </c>
      <c r="CE310" s="83">
        <v>65.819999999999993</v>
      </c>
      <c r="CK310" s="58"/>
      <c r="CL310" s="83">
        <v>58.24</v>
      </c>
      <c r="CO310" s="58"/>
      <c r="CP310" s="83"/>
      <c r="CR310" s="58"/>
      <c r="CS310" s="83"/>
      <c r="CY310" s="83"/>
      <c r="DG310" s="58"/>
      <c r="DH310" s="83"/>
      <c r="DQ310" s="83"/>
      <c r="EE310" s="58"/>
      <c r="EF310" s="83"/>
      <c r="EI310" s="83"/>
      <c r="EK310" s="58"/>
      <c r="EL310" s="83"/>
      <c r="EO310" s="58"/>
      <c r="EP310" s="83"/>
      <c r="EQ310" s="58"/>
      <c r="ER310" s="83"/>
      <c r="ES310" s="58"/>
      <c r="ET310" s="83"/>
      <c r="EU310" s="58"/>
    </row>
    <row r="311" spans="1:151">
      <c r="A311" s="83" t="s">
        <v>325</v>
      </c>
      <c r="B311" s="173" t="s">
        <v>146</v>
      </c>
      <c r="C311" s="173" t="s">
        <v>506</v>
      </c>
      <c r="D311" s="83" t="s">
        <v>111</v>
      </c>
      <c r="F311" s="49" t="s">
        <v>287</v>
      </c>
      <c r="G311" s="49">
        <v>32.68</v>
      </c>
      <c r="I311" s="49">
        <v>773</v>
      </c>
      <c r="J311" s="159">
        <v>1.3657243816254416</v>
      </c>
      <c r="K311" s="49">
        <v>4</v>
      </c>
      <c r="L311" s="49">
        <v>2</v>
      </c>
      <c r="M311" s="83">
        <v>1</v>
      </c>
      <c r="N311" s="49">
        <v>1</v>
      </c>
      <c r="O311" s="49">
        <v>1</v>
      </c>
      <c r="P311" s="49">
        <v>0</v>
      </c>
      <c r="Q311" s="58">
        <v>0</v>
      </c>
      <c r="R311" s="42">
        <v>3</v>
      </c>
      <c r="S311" s="83" t="s">
        <v>284</v>
      </c>
      <c r="U311" s="83">
        <v>2</v>
      </c>
      <c r="V311" s="49">
        <v>4</v>
      </c>
      <c r="W311" s="49">
        <v>3</v>
      </c>
      <c r="X311" s="58">
        <v>1</v>
      </c>
      <c r="Y311" s="83">
        <v>5</v>
      </c>
      <c r="AD311" s="49">
        <v>6</v>
      </c>
      <c r="AE311" s="49">
        <v>54</v>
      </c>
      <c r="AH311" s="49">
        <v>13</v>
      </c>
      <c r="AI311" s="49">
        <v>154</v>
      </c>
      <c r="AJ311" s="49">
        <v>0</v>
      </c>
      <c r="AK311" s="83">
        <v>0</v>
      </c>
      <c r="AL311" s="49">
        <v>0</v>
      </c>
      <c r="AM311" s="49">
        <v>1</v>
      </c>
      <c r="AN311" s="49">
        <v>0</v>
      </c>
      <c r="AO311" s="58">
        <v>0</v>
      </c>
      <c r="AP311" s="174" t="s">
        <v>284</v>
      </c>
      <c r="AQ311" s="175" t="s">
        <v>284</v>
      </c>
      <c r="AR311" s="175" t="s">
        <v>501</v>
      </c>
      <c r="AS311" s="175" t="s">
        <v>501</v>
      </c>
      <c r="AT311" s="175" t="s">
        <v>284</v>
      </c>
      <c r="AU311" s="175" t="s">
        <v>284</v>
      </c>
      <c r="AV311" s="175" t="s">
        <v>284</v>
      </c>
      <c r="AW311" s="175" t="s">
        <v>284</v>
      </c>
      <c r="AX311" s="83">
        <v>0</v>
      </c>
      <c r="AY311" s="49">
        <v>1</v>
      </c>
      <c r="AZ311" s="49">
        <v>0</v>
      </c>
      <c r="BA311" s="49">
        <v>0</v>
      </c>
      <c r="BB311" s="58">
        <v>1</v>
      </c>
      <c r="BC311" s="42">
        <v>116</v>
      </c>
      <c r="BE311" s="49"/>
      <c r="BS311" s="58"/>
      <c r="BT311" s="83"/>
      <c r="CE311" s="83"/>
      <c r="CK311" s="58"/>
      <c r="CL311" s="83"/>
      <c r="CO311" s="58"/>
      <c r="CP311" s="83"/>
      <c r="CR311" s="58"/>
      <c r="CS311" s="83"/>
      <c r="CY311" s="83"/>
      <c r="DG311" s="58"/>
      <c r="DH311" s="83"/>
      <c r="DQ311" s="83"/>
      <c r="EE311" s="58"/>
      <c r="EF311" s="83"/>
      <c r="EI311" s="83"/>
      <c r="EK311" s="58"/>
      <c r="EL311" s="83"/>
      <c r="EO311" s="58"/>
      <c r="EP311" s="83"/>
      <c r="EQ311" s="58"/>
      <c r="ER311" s="83"/>
      <c r="ES311" s="58"/>
      <c r="ET311" s="83"/>
      <c r="EU311" s="58"/>
    </row>
    <row r="312" spans="1:151">
      <c r="A312" s="83" t="s">
        <v>325</v>
      </c>
      <c r="B312" s="173" t="s">
        <v>146</v>
      </c>
      <c r="C312" s="173" t="s">
        <v>506</v>
      </c>
      <c r="D312" s="83" t="s">
        <v>93</v>
      </c>
      <c r="F312" s="49" t="s">
        <v>286</v>
      </c>
      <c r="G312" s="49">
        <v>32.68</v>
      </c>
      <c r="I312" s="49">
        <v>1541</v>
      </c>
      <c r="J312" s="159">
        <v>1.0273333333333334</v>
      </c>
      <c r="K312" s="49">
        <v>1</v>
      </c>
      <c r="L312" s="49">
        <v>2</v>
      </c>
      <c r="M312" s="83">
        <v>0</v>
      </c>
      <c r="N312" s="49">
        <v>0</v>
      </c>
      <c r="O312" s="49">
        <v>0</v>
      </c>
      <c r="P312" s="49">
        <v>1</v>
      </c>
      <c r="Q312" s="58">
        <v>0</v>
      </c>
      <c r="R312" s="42">
        <v>1</v>
      </c>
      <c r="S312" s="83">
        <v>1</v>
      </c>
      <c r="U312" s="83">
        <v>1</v>
      </c>
      <c r="V312" s="49">
        <v>3</v>
      </c>
      <c r="W312" s="49">
        <v>2</v>
      </c>
      <c r="X312" s="58"/>
      <c r="Y312" s="83">
        <v>1</v>
      </c>
      <c r="Z312" s="49">
        <v>10</v>
      </c>
      <c r="AA312" s="49">
        <v>26</v>
      </c>
      <c r="AD312" s="49">
        <v>13</v>
      </c>
      <c r="AE312" s="49">
        <v>198</v>
      </c>
      <c r="AF312" s="49">
        <v>25</v>
      </c>
      <c r="AG312" s="49">
        <v>154</v>
      </c>
      <c r="AJ312" s="49">
        <v>0</v>
      </c>
      <c r="AK312" s="83">
        <v>0</v>
      </c>
      <c r="AL312" s="49">
        <v>1</v>
      </c>
      <c r="AN312" s="49">
        <v>0</v>
      </c>
      <c r="AO312" s="58">
        <v>0</v>
      </c>
      <c r="AP312" s="174">
        <v>615</v>
      </c>
      <c r="AQ312" s="175">
        <v>850</v>
      </c>
      <c r="AR312" s="175">
        <v>0</v>
      </c>
      <c r="AS312" s="175">
        <v>0</v>
      </c>
      <c r="AT312" s="175">
        <v>0</v>
      </c>
      <c r="AU312" s="175">
        <v>0</v>
      </c>
      <c r="AV312" s="175">
        <v>0</v>
      </c>
      <c r="AW312" s="175">
        <v>0</v>
      </c>
      <c r="AX312" s="83">
        <v>0</v>
      </c>
      <c r="AY312" s="49">
        <v>0</v>
      </c>
      <c r="AZ312" s="49">
        <v>0</v>
      </c>
      <c r="BA312" s="49">
        <v>0</v>
      </c>
      <c r="BB312" s="58">
        <v>0</v>
      </c>
      <c r="BC312" s="42">
        <v>170</v>
      </c>
      <c r="BE312" s="49"/>
      <c r="BS312" s="58"/>
      <c r="BT312" s="83">
        <v>76.87</v>
      </c>
      <c r="CE312" s="83"/>
      <c r="CK312" s="58"/>
      <c r="CL312" s="83">
        <v>61.5</v>
      </c>
      <c r="CO312" s="58"/>
      <c r="CP312" s="83"/>
      <c r="CR312" s="58"/>
      <c r="CS312" s="83"/>
      <c r="CY312" s="83">
        <v>78.8</v>
      </c>
      <c r="DG312" s="58"/>
      <c r="DH312" s="83"/>
      <c r="DQ312" s="83"/>
      <c r="EE312" s="58"/>
      <c r="EF312" s="83"/>
      <c r="EI312" s="83"/>
      <c r="EK312" s="58"/>
      <c r="EL312" s="83"/>
      <c r="EO312" s="58"/>
      <c r="EP312" s="83"/>
      <c r="EQ312" s="58"/>
      <c r="ER312" s="83"/>
      <c r="ES312" s="58"/>
      <c r="ET312" s="83"/>
      <c r="EU312" s="58"/>
    </row>
    <row r="313" spans="1:151">
      <c r="A313" s="83" t="s">
        <v>325</v>
      </c>
      <c r="B313" s="173" t="s">
        <v>146</v>
      </c>
      <c r="C313" s="173" t="s">
        <v>506</v>
      </c>
      <c r="D313" s="83" t="s">
        <v>112</v>
      </c>
      <c r="F313" s="49" t="s">
        <v>286</v>
      </c>
      <c r="G313" s="49">
        <v>32.68</v>
      </c>
      <c r="I313" s="49">
        <v>1245</v>
      </c>
      <c r="J313" s="159">
        <v>3.8425925925925926</v>
      </c>
      <c r="K313" s="49">
        <v>1</v>
      </c>
      <c r="L313" s="49">
        <v>2</v>
      </c>
      <c r="M313" s="83">
        <v>0</v>
      </c>
      <c r="N313" s="49">
        <v>0</v>
      </c>
      <c r="O313" s="49">
        <v>0</v>
      </c>
      <c r="P313" s="49">
        <v>1</v>
      </c>
      <c r="Q313" s="58">
        <v>0</v>
      </c>
      <c r="R313" s="42">
        <v>1</v>
      </c>
      <c r="S313" s="83" t="s">
        <v>284</v>
      </c>
      <c r="U313" s="83">
        <v>1</v>
      </c>
      <c r="V313" s="49">
        <v>2</v>
      </c>
      <c r="W313" s="49">
        <v>1</v>
      </c>
      <c r="X313" s="58">
        <v>2</v>
      </c>
      <c r="Y313" s="83">
        <v>1</v>
      </c>
      <c r="AA313" s="49">
        <v>6</v>
      </c>
      <c r="AH313" s="49">
        <v>10</v>
      </c>
      <c r="AI313" s="49">
        <v>83</v>
      </c>
      <c r="AJ313" s="49">
        <v>0</v>
      </c>
      <c r="AK313" s="83">
        <v>0</v>
      </c>
      <c r="AL313" s="49">
        <v>1</v>
      </c>
      <c r="AM313" s="49">
        <v>0</v>
      </c>
      <c r="AN313" s="49">
        <v>0</v>
      </c>
      <c r="AO313" s="58">
        <v>0</v>
      </c>
      <c r="AP313" s="174">
        <v>0</v>
      </c>
      <c r="AQ313" s="175">
        <v>343</v>
      </c>
      <c r="AR313" s="175">
        <v>0</v>
      </c>
      <c r="AS313" s="175">
        <v>0</v>
      </c>
      <c r="AT313" s="175">
        <v>0</v>
      </c>
      <c r="AU313" s="175">
        <v>0</v>
      </c>
      <c r="AV313" s="175">
        <v>0</v>
      </c>
      <c r="AW313" s="175">
        <v>0</v>
      </c>
      <c r="AX313" s="83">
        <v>0</v>
      </c>
      <c r="AY313" s="49">
        <v>0</v>
      </c>
      <c r="AZ313" s="49">
        <v>0</v>
      </c>
      <c r="BA313" s="49">
        <v>0</v>
      </c>
      <c r="BB313" s="58">
        <v>0</v>
      </c>
      <c r="BC313" s="42">
        <v>119</v>
      </c>
      <c r="BE313" s="49"/>
      <c r="BS313" s="58"/>
      <c r="BT313" s="83"/>
      <c r="CE313" s="83"/>
      <c r="CK313" s="58"/>
      <c r="CL313" s="83"/>
      <c r="CO313" s="58"/>
      <c r="CP313" s="83"/>
      <c r="CR313" s="58"/>
      <c r="CS313" s="83"/>
      <c r="CY313" s="83"/>
      <c r="DG313" s="58"/>
      <c r="DH313" s="83"/>
      <c r="DQ313" s="83"/>
      <c r="EE313" s="58"/>
      <c r="EF313" s="83"/>
      <c r="EI313" s="83"/>
      <c r="EK313" s="58"/>
      <c r="EL313" s="83"/>
      <c r="EO313" s="58"/>
      <c r="EP313" s="83"/>
      <c r="EQ313" s="58"/>
      <c r="ER313" s="83"/>
      <c r="ES313" s="58"/>
      <c r="ET313" s="83"/>
      <c r="EU313" s="58"/>
    </row>
    <row r="314" spans="1:151">
      <c r="A314" s="83" t="s">
        <v>325</v>
      </c>
      <c r="B314" s="173" t="s">
        <v>146</v>
      </c>
      <c r="C314" s="173" t="s">
        <v>506</v>
      </c>
      <c r="D314" s="83" t="s">
        <v>94</v>
      </c>
      <c r="F314" s="49" t="s">
        <v>286</v>
      </c>
      <c r="G314" s="49">
        <v>32.68</v>
      </c>
      <c r="I314" s="49">
        <v>2064</v>
      </c>
      <c r="J314" s="159">
        <v>2.5078979343863912</v>
      </c>
      <c r="K314" s="49">
        <v>1</v>
      </c>
      <c r="L314" s="49">
        <v>2</v>
      </c>
      <c r="M314" s="83">
        <v>1</v>
      </c>
      <c r="N314" s="49">
        <v>0</v>
      </c>
      <c r="O314" s="49">
        <v>0</v>
      </c>
      <c r="P314" s="49">
        <v>1</v>
      </c>
      <c r="Q314" s="58">
        <v>0</v>
      </c>
      <c r="R314" s="42">
        <v>2</v>
      </c>
      <c r="S314" s="83" t="s">
        <v>284</v>
      </c>
      <c r="U314" s="83">
        <v>2</v>
      </c>
      <c r="V314" s="49">
        <v>3</v>
      </c>
      <c r="W314" s="49">
        <v>2</v>
      </c>
      <c r="X314" s="58"/>
      <c r="Y314" s="83">
        <v>2</v>
      </c>
      <c r="Z314" s="49">
        <v>5</v>
      </c>
      <c r="AA314" s="49">
        <v>16</v>
      </c>
      <c r="AD314" s="49">
        <v>8</v>
      </c>
      <c r="AE314" s="49">
        <v>195</v>
      </c>
      <c r="AF314" s="49">
        <v>9</v>
      </c>
      <c r="AG314" s="49">
        <v>24</v>
      </c>
      <c r="AJ314" s="49">
        <v>0</v>
      </c>
      <c r="AK314" s="83">
        <v>0</v>
      </c>
      <c r="AL314" s="49">
        <v>1</v>
      </c>
      <c r="AM314" s="49">
        <v>1</v>
      </c>
      <c r="AN314" s="49">
        <v>0</v>
      </c>
      <c r="AO314" s="58">
        <v>0</v>
      </c>
      <c r="AP314" s="174">
        <v>0</v>
      </c>
      <c r="AQ314" s="175">
        <v>362</v>
      </c>
      <c r="AR314" s="175">
        <v>54</v>
      </c>
      <c r="AS314" s="175">
        <v>185</v>
      </c>
      <c r="AT314" s="175" t="s">
        <v>284</v>
      </c>
      <c r="AU314" s="175" t="s">
        <v>284</v>
      </c>
      <c r="AV314" s="175" t="s">
        <v>284</v>
      </c>
      <c r="AW314" s="175" t="s">
        <v>284</v>
      </c>
      <c r="AX314" s="83">
        <v>0</v>
      </c>
      <c r="AY314" s="49">
        <v>0</v>
      </c>
      <c r="AZ314" s="49">
        <v>0</v>
      </c>
      <c r="BA314" s="49">
        <v>0</v>
      </c>
      <c r="BB314" s="58">
        <v>0</v>
      </c>
      <c r="BC314" s="42">
        <v>143</v>
      </c>
      <c r="BD314" s="49">
        <v>78.39</v>
      </c>
      <c r="BE314" s="49"/>
      <c r="BS314" s="58"/>
      <c r="BT314" s="83">
        <v>80.61</v>
      </c>
      <c r="BU314" s="49">
        <v>82.32</v>
      </c>
      <c r="CE314" s="83">
        <v>65.48</v>
      </c>
      <c r="CK314" s="58"/>
      <c r="CL314" s="83">
        <v>41.46</v>
      </c>
      <c r="CM314" s="49">
        <v>61.93</v>
      </c>
      <c r="CO314" s="58"/>
      <c r="CP314" s="83"/>
      <c r="CR314" s="58"/>
      <c r="CS314" s="83"/>
      <c r="CY314" s="83"/>
      <c r="DG314" s="58"/>
      <c r="DH314" s="83"/>
      <c r="DQ314" s="83"/>
      <c r="EE314" s="58"/>
      <c r="EF314" s="83"/>
      <c r="EI314" s="83"/>
      <c r="EK314" s="58"/>
      <c r="EL314" s="83"/>
      <c r="EO314" s="58"/>
      <c r="EP314" s="83"/>
      <c r="EQ314" s="58"/>
      <c r="ER314" s="83"/>
      <c r="ES314" s="58"/>
      <c r="ET314" s="83"/>
      <c r="EU314" s="58"/>
    </row>
    <row r="315" spans="1:151">
      <c r="A315" s="83" t="s">
        <v>325</v>
      </c>
      <c r="B315" s="173" t="s">
        <v>146</v>
      </c>
      <c r="C315" s="173" t="s">
        <v>506</v>
      </c>
      <c r="D315" s="83" t="s">
        <v>95</v>
      </c>
      <c r="F315" s="49" t="s">
        <v>286</v>
      </c>
      <c r="G315" s="49">
        <v>32.68</v>
      </c>
      <c r="I315" s="49">
        <v>1204</v>
      </c>
      <c r="J315" s="159">
        <v>1.9802631578947369</v>
      </c>
      <c r="K315" s="49">
        <v>1</v>
      </c>
      <c r="L315" s="49">
        <v>3</v>
      </c>
      <c r="M315" s="83">
        <v>0</v>
      </c>
      <c r="N315" s="49">
        <v>0</v>
      </c>
      <c r="O315" s="49">
        <v>1</v>
      </c>
      <c r="P315" s="49">
        <v>1</v>
      </c>
      <c r="Q315" s="58">
        <v>0</v>
      </c>
      <c r="R315" s="42">
        <v>2</v>
      </c>
      <c r="S315" s="83" t="s">
        <v>283</v>
      </c>
      <c r="T315" s="49">
        <v>13</v>
      </c>
      <c r="U315" s="83">
        <v>1</v>
      </c>
      <c r="V315" s="49">
        <v>3</v>
      </c>
      <c r="W315" s="49">
        <v>1</v>
      </c>
      <c r="X315" s="58">
        <v>1</v>
      </c>
      <c r="Y315" s="83">
        <v>2</v>
      </c>
      <c r="AA315" s="49">
        <v>12</v>
      </c>
      <c r="AD315" s="49">
        <v>4</v>
      </c>
      <c r="AE315" s="49">
        <v>12</v>
      </c>
      <c r="AH315" s="49">
        <v>5</v>
      </c>
      <c r="AI315" s="49">
        <v>130</v>
      </c>
      <c r="AJ315" s="49">
        <v>0</v>
      </c>
      <c r="AK315" s="83">
        <v>0</v>
      </c>
      <c r="AL315" s="49">
        <v>0</v>
      </c>
      <c r="AM315" s="49">
        <v>1</v>
      </c>
      <c r="AN315" s="49">
        <v>0</v>
      </c>
      <c r="AO315" s="58">
        <v>0</v>
      </c>
      <c r="AP315" s="174">
        <v>0</v>
      </c>
      <c r="AQ315" s="175">
        <v>0</v>
      </c>
      <c r="AR315" s="175">
        <v>77</v>
      </c>
      <c r="AS315" s="175">
        <v>378</v>
      </c>
      <c r="AT315" s="175">
        <v>0</v>
      </c>
      <c r="AU315" s="175">
        <v>0</v>
      </c>
      <c r="AV315" s="175">
        <v>0</v>
      </c>
      <c r="AW315" s="175">
        <v>0</v>
      </c>
      <c r="AX315" s="83">
        <v>0</v>
      </c>
      <c r="AY315" s="49">
        <v>0</v>
      </c>
      <c r="AZ315" s="49">
        <v>0</v>
      </c>
      <c r="BA315" s="49">
        <v>0</v>
      </c>
      <c r="BB315" s="58">
        <v>0</v>
      </c>
      <c r="BC315" s="42">
        <v>87</v>
      </c>
      <c r="BD315" s="49">
        <v>78.44</v>
      </c>
      <c r="BE315" s="49"/>
      <c r="BS315" s="58"/>
      <c r="BT315" s="83"/>
      <c r="CE315" s="83">
        <v>64.33</v>
      </c>
      <c r="CF315" s="49">
        <v>65.319999999999993</v>
      </c>
      <c r="CK315" s="58"/>
      <c r="CL315" s="83">
        <v>50.34</v>
      </c>
      <c r="CO315" s="58"/>
      <c r="CP315" s="83"/>
      <c r="CR315" s="58"/>
      <c r="CS315" s="83"/>
      <c r="CY315" s="83"/>
      <c r="DG315" s="58"/>
      <c r="DH315" s="83"/>
      <c r="DQ315" s="83"/>
      <c r="EE315" s="58"/>
      <c r="EF315" s="83"/>
      <c r="EI315" s="83"/>
      <c r="EK315" s="58"/>
      <c r="EL315" s="83"/>
      <c r="EO315" s="58"/>
      <c r="EP315" s="83"/>
      <c r="EQ315" s="58"/>
      <c r="ER315" s="83"/>
      <c r="ES315" s="58"/>
      <c r="ET315" s="83"/>
      <c r="EU315" s="58"/>
    </row>
    <row r="316" spans="1:151">
      <c r="A316" s="83" t="s">
        <v>325</v>
      </c>
      <c r="B316" s="173" t="s">
        <v>146</v>
      </c>
      <c r="C316" s="173" t="s">
        <v>506</v>
      </c>
      <c r="D316" s="83" t="s">
        <v>65</v>
      </c>
      <c r="F316" s="49" t="s">
        <v>287</v>
      </c>
      <c r="G316" s="49">
        <v>32.68</v>
      </c>
      <c r="I316" s="49">
        <v>888</v>
      </c>
      <c r="J316" s="159">
        <v>7.1040000000000001</v>
      </c>
      <c r="K316" s="49">
        <v>2</v>
      </c>
      <c r="L316" s="49">
        <v>2</v>
      </c>
      <c r="M316" s="83">
        <v>0</v>
      </c>
      <c r="N316" s="49">
        <v>0</v>
      </c>
      <c r="O316" s="49">
        <v>0</v>
      </c>
      <c r="P316" s="49">
        <v>1</v>
      </c>
      <c r="Q316" s="58">
        <v>0</v>
      </c>
      <c r="R316" s="42">
        <v>1</v>
      </c>
      <c r="S316" s="83">
        <v>1</v>
      </c>
      <c r="U316" s="83">
        <v>1</v>
      </c>
      <c r="V316" s="49">
        <v>1</v>
      </c>
      <c r="W316" s="49">
        <v>1</v>
      </c>
      <c r="X316" s="58">
        <v>2</v>
      </c>
      <c r="Y316" s="83">
        <v>2</v>
      </c>
      <c r="AD316" s="49">
        <v>5</v>
      </c>
      <c r="AE316" s="49">
        <v>29</v>
      </c>
      <c r="AH316" s="49">
        <v>12</v>
      </c>
      <c r="AI316" s="49">
        <v>38</v>
      </c>
      <c r="AJ316" s="49">
        <v>0</v>
      </c>
      <c r="AK316" s="83">
        <v>0</v>
      </c>
      <c r="AL316" s="49">
        <v>0</v>
      </c>
      <c r="AM316" s="49">
        <v>1</v>
      </c>
      <c r="AN316" s="49">
        <v>0</v>
      </c>
      <c r="AO316" s="58">
        <v>0</v>
      </c>
      <c r="AP316" s="174">
        <v>0</v>
      </c>
      <c r="AQ316" s="175">
        <v>0</v>
      </c>
      <c r="AR316" s="175">
        <v>41</v>
      </c>
      <c r="AS316" s="175">
        <v>64</v>
      </c>
      <c r="AT316" s="175">
        <v>0</v>
      </c>
      <c r="AU316" s="175">
        <v>0</v>
      </c>
      <c r="AV316" s="175">
        <v>0</v>
      </c>
      <c r="AW316" s="175">
        <v>0</v>
      </c>
      <c r="AX316" s="83">
        <v>0</v>
      </c>
      <c r="AY316" s="49">
        <v>0</v>
      </c>
      <c r="AZ316" s="49">
        <v>0</v>
      </c>
      <c r="BA316" s="49">
        <v>0</v>
      </c>
      <c r="BB316" s="58">
        <v>0</v>
      </c>
      <c r="BC316" s="42">
        <v>112</v>
      </c>
      <c r="BE316" s="49"/>
      <c r="BS316" s="58"/>
      <c r="BT316" s="83"/>
      <c r="CE316" s="83"/>
      <c r="CK316" s="58"/>
      <c r="CL316" s="83"/>
      <c r="CO316" s="58"/>
      <c r="CP316" s="83"/>
      <c r="CR316" s="58"/>
      <c r="CS316" s="83"/>
      <c r="CY316" s="83"/>
      <c r="DG316" s="58"/>
      <c r="DH316" s="83"/>
      <c r="DQ316" s="83"/>
      <c r="EE316" s="58"/>
      <c r="EF316" s="83"/>
      <c r="EI316" s="83"/>
      <c r="EK316" s="58"/>
      <c r="EL316" s="83"/>
      <c r="EO316" s="58"/>
      <c r="EP316" s="83"/>
      <c r="EQ316" s="58"/>
      <c r="ER316" s="83"/>
      <c r="ES316" s="58"/>
      <c r="ET316" s="83"/>
      <c r="EU316" s="58"/>
    </row>
    <row r="317" spans="1:151">
      <c r="A317" s="83" t="s">
        <v>325</v>
      </c>
      <c r="B317" s="173" t="s">
        <v>146</v>
      </c>
      <c r="C317" s="173" t="s">
        <v>506</v>
      </c>
      <c r="D317" s="83" t="s">
        <v>96</v>
      </c>
      <c r="F317" s="49" t="s">
        <v>286</v>
      </c>
      <c r="G317" s="49">
        <v>32.68</v>
      </c>
      <c r="I317" s="49">
        <v>2485</v>
      </c>
      <c r="J317" s="159">
        <v>2.1952296819787986</v>
      </c>
      <c r="K317" s="49">
        <v>1</v>
      </c>
      <c r="L317" s="49">
        <v>4</v>
      </c>
      <c r="M317" s="83">
        <v>0</v>
      </c>
      <c r="N317" s="49">
        <v>3</v>
      </c>
      <c r="O317" s="49">
        <v>0</v>
      </c>
      <c r="P317" s="49">
        <v>0</v>
      </c>
      <c r="Q317" s="58">
        <v>0</v>
      </c>
      <c r="R317" s="42">
        <v>3</v>
      </c>
      <c r="S317" s="83">
        <v>1</v>
      </c>
      <c r="U317" s="83">
        <v>1</v>
      </c>
      <c r="V317" s="49">
        <v>3</v>
      </c>
      <c r="W317" s="49">
        <v>2</v>
      </c>
      <c r="X317" s="58"/>
      <c r="Y317" s="83">
        <v>2</v>
      </c>
      <c r="Z317" s="49">
        <v>4</v>
      </c>
      <c r="AA317" s="49">
        <v>22</v>
      </c>
      <c r="AD317" s="49">
        <v>19</v>
      </c>
      <c r="AE317" s="49">
        <v>42</v>
      </c>
      <c r="AI317" s="49">
        <v>98</v>
      </c>
      <c r="AJ317" s="49">
        <v>0</v>
      </c>
      <c r="AK317" s="83">
        <v>0</v>
      </c>
      <c r="AL317" s="49">
        <v>1</v>
      </c>
      <c r="AM317" s="49">
        <v>0</v>
      </c>
      <c r="AN317" s="49">
        <v>0</v>
      </c>
      <c r="AO317" s="58">
        <v>0</v>
      </c>
      <c r="AP317" s="174">
        <v>131</v>
      </c>
      <c r="AQ317" s="175">
        <v>312</v>
      </c>
      <c r="AR317" s="175" t="s">
        <v>284</v>
      </c>
      <c r="AS317" s="175" t="s">
        <v>284</v>
      </c>
      <c r="AT317" s="175" t="s">
        <v>284</v>
      </c>
      <c r="AU317" s="175" t="s">
        <v>284</v>
      </c>
      <c r="AV317" s="175" t="s">
        <v>284</v>
      </c>
      <c r="AW317" s="175" t="s">
        <v>284</v>
      </c>
      <c r="AX317" s="83">
        <v>0</v>
      </c>
      <c r="AY317" s="49">
        <v>0</v>
      </c>
      <c r="AZ317" s="49">
        <v>0</v>
      </c>
      <c r="BA317" s="49">
        <v>0</v>
      </c>
      <c r="BB317" s="58">
        <v>0</v>
      </c>
      <c r="BC317" s="42">
        <v>166</v>
      </c>
      <c r="BE317" s="49"/>
      <c r="BS317" s="58"/>
      <c r="BT317" s="83"/>
      <c r="CE317" s="83">
        <v>65.05</v>
      </c>
      <c r="CK317" s="58"/>
      <c r="CL317" s="83"/>
      <c r="CO317" s="58"/>
      <c r="CP317" s="83"/>
      <c r="CR317" s="58"/>
      <c r="CS317" s="83"/>
      <c r="CY317" s="83">
        <v>81.81</v>
      </c>
      <c r="CZ317" s="49">
        <v>75.11</v>
      </c>
      <c r="DA317" s="49">
        <v>81.010000000000005</v>
      </c>
      <c r="DG317" s="58"/>
      <c r="DH317" s="83"/>
      <c r="DQ317" s="83"/>
      <c r="EE317" s="58"/>
      <c r="EF317" s="83"/>
      <c r="EI317" s="83"/>
      <c r="EK317" s="58"/>
      <c r="EL317" s="83"/>
      <c r="EO317" s="58"/>
      <c r="EP317" s="83"/>
      <c r="EQ317" s="58"/>
      <c r="ER317" s="83"/>
      <c r="ES317" s="58"/>
      <c r="ET317" s="83"/>
      <c r="EU317" s="58"/>
    </row>
    <row r="318" spans="1:151">
      <c r="A318" s="83" t="s">
        <v>325</v>
      </c>
      <c r="B318" s="173" t="s">
        <v>146</v>
      </c>
      <c r="C318" s="173" t="s">
        <v>506</v>
      </c>
      <c r="D318" s="83" t="s">
        <v>97</v>
      </c>
      <c r="F318" s="49" t="s">
        <v>286</v>
      </c>
      <c r="G318" s="49">
        <v>32.68</v>
      </c>
      <c r="I318" s="49">
        <v>2028</v>
      </c>
      <c r="J318" s="159">
        <v>1.0707497360084477</v>
      </c>
      <c r="K318" s="49">
        <v>1</v>
      </c>
      <c r="L318" s="49">
        <v>2</v>
      </c>
      <c r="M318" s="83">
        <v>0</v>
      </c>
      <c r="N318" s="49">
        <v>1</v>
      </c>
      <c r="O318" s="49">
        <v>1</v>
      </c>
      <c r="P318" s="49">
        <v>1</v>
      </c>
      <c r="Q318" s="58">
        <v>0</v>
      </c>
      <c r="R318" s="42">
        <v>3</v>
      </c>
      <c r="S318" s="83">
        <v>1</v>
      </c>
      <c r="U318" s="83">
        <v>3</v>
      </c>
      <c r="V318" s="49">
        <v>2</v>
      </c>
      <c r="W318" s="49">
        <v>3</v>
      </c>
      <c r="X318" s="58">
        <v>3</v>
      </c>
      <c r="Y318" s="83">
        <v>1</v>
      </c>
      <c r="Z318" s="49">
        <v>6</v>
      </c>
      <c r="AA318" s="49">
        <v>7</v>
      </c>
      <c r="AD318" s="49">
        <v>26</v>
      </c>
      <c r="AE318" s="49">
        <v>32</v>
      </c>
      <c r="AF318" s="49">
        <v>23</v>
      </c>
      <c r="AG318" s="49">
        <v>178</v>
      </c>
      <c r="AI318" s="49">
        <v>87</v>
      </c>
      <c r="AJ318" s="49">
        <v>0</v>
      </c>
      <c r="AK318" s="83">
        <v>0</v>
      </c>
      <c r="AL318" s="49">
        <v>1</v>
      </c>
      <c r="AM318" s="49">
        <v>0</v>
      </c>
      <c r="AN318" s="49">
        <v>0</v>
      </c>
      <c r="AO318" s="58">
        <v>0</v>
      </c>
      <c r="AP318" s="174">
        <v>409</v>
      </c>
      <c r="AQ318" s="175">
        <v>1360</v>
      </c>
      <c r="AR318" s="175">
        <v>0</v>
      </c>
      <c r="AS318" s="175">
        <v>0</v>
      </c>
      <c r="AT318" s="175">
        <v>0</v>
      </c>
      <c r="AU318" s="175">
        <v>0</v>
      </c>
      <c r="AV318" s="175">
        <v>0</v>
      </c>
      <c r="AW318" s="175">
        <v>0</v>
      </c>
      <c r="AX318" s="83">
        <v>0</v>
      </c>
      <c r="AY318" s="49">
        <v>0</v>
      </c>
      <c r="AZ318" s="49">
        <v>0</v>
      </c>
      <c r="BA318" s="49">
        <v>0</v>
      </c>
      <c r="BB318" s="58">
        <v>0</v>
      </c>
      <c r="BC318" s="42">
        <v>172</v>
      </c>
      <c r="BE318" s="49"/>
      <c r="BS318" s="58"/>
      <c r="BT318" s="83">
        <v>75.48</v>
      </c>
      <c r="BU318" s="49">
        <v>78.88</v>
      </c>
      <c r="CE318" s="83">
        <v>75.349999999999994</v>
      </c>
      <c r="CK318" s="58"/>
      <c r="CL318" s="83">
        <v>62.62</v>
      </c>
      <c r="CO318" s="58"/>
      <c r="CP318" s="83"/>
      <c r="CR318" s="58"/>
      <c r="CS318" s="83"/>
      <c r="CY318" s="83"/>
      <c r="DG318" s="58"/>
      <c r="DH318" s="83"/>
      <c r="DQ318" s="83"/>
      <c r="EE318" s="58"/>
      <c r="EF318" s="83"/>
      <c r="EI318" s="83">
        <v>67.28</v>
      </c>
      <c r="EK318" s="58"/>
      <c r="EL318" s="83">
        <v>73.31</v>
      </c>
      <c r="EO318" s="58"/>
      <c r="EP318" s="83"/>
      <c r="EQ318" s="58"/>
      <c r="ER318" s="83"/>
      <c r="ES318" s="58"/>
      <c r="ET318" s="83"/>
      <c r="EU318" s="58"/>
    </row>
    <row r="319" spans="1:151">
      <c r="A319" s="83" t="s">
        <v>325</v>
      </c>
      <c r="B319" s="173" t="s">
        <v>146</v>
      </c>
      <c r="C319" s="173" t="s">
        <v>506</v>
      </c>
      <c r="D319" s="83" t="s">
        <v>98</v>
      </c>
      <c r="F319" s="49" t="s">
        <v>286</v>
      </c>
      <c r="G319" s="49">
        <v>32.68</v>
      </c>
      <c r="I319" s="49">
        <v>1424</v>
      </c>
      <c r="J319" s="159">
        <v>1.7365853658536585</v>
      </c>
      <c r="K319" s="49">
        <v>1</v>
      </c>
      <c r="L319" s="49">
        <v>2</v>
      </c>
      <c r="M319" s="83">
        <v>0</v>
      </c>
      <c r="N319" s="49">
        <v>1</v>
      </c>
      <c r="O319" s="49">
        <v>0</v>
      </c>
      <c r="P319" s="49">
        <v>0</v>
      </c>
      <c r="Q319" s="58">
        <v>0</v>
      </c>
      <c r="R319" s="42">
        <v>1</v>
      </c>
      <c r="S319" s="83" t="s">
        <v>283</v>
      </c>
      <c r="T319" s="49">
        <v>8</v>
      </c>
      <c r="U319" s="83">
        <v>1</v>
      </c>
      <c r="V319" s="49">
        <v>2</v>
      </c>
      <c r="W319" s="49">
        <v>2</v>
      </c>
      <c r="X319" s="58"/>
      <c r="Y319" s="83">
        <v>1</v>
      </c>
      <c r="AA319" s="49">
        <v>9</v>
      </c>
      <c r="AD319" s="49">
        <v>11</v>
      </c>
      <c r="AE319" s="49">
        <v>20</v>
      </c>
      <c r="AH319" s="49">
        <v>5</v>
      </c>
      <c r="AI319" s="49">
        <v>59</v>
      </c>
      <c r="AJ319" s="49">
        <v>0</v>
      </c>
      <c r="AK319" s="83">
        <v>0</v>
      </c>
      <c r="AL319" s="49">
        <v>0</v>
      </c>
      <c r="AM319" s="49">
        <v>1</v>
      </c>
      <c r="AN319" s="49">
        <v>0</v>
      </c>
      <c r="AO319" s="58">
        <v>0</v>
      </c>
      <c r="AP319" s="174">
        <v>0</v>
      </c>
      <c r="AQ319" s="175">
        <v>0</v>
      </c>
      <c r="AR319" s="175">
        <v>42</v>
      </c>
      <c r="AS319" s="175">
        <v>136</v>
      </c>
      <c r="AT319" s="175">
        <v>0</v>
      </c>
      <c r="AU319" s="175">
        <v>0</v>
      </c>
      <c r="AV319" s="175">
        <v>0</v>
      </c>
      <c r="AW319" s="175">
        <v>0</v>
      </c>
      <c r="AX319" s="83">
        <v>0</v>
      </c>
      <c r="AY319" s="49">
        <v>0</v>
      </c>
      <c r="AZ319" s="49">
        <v>0</v>
      </c>
      <c r="BA319" s="49">
        <v>0</v>
      </c>
      <c r="BB319" s="58">
        <v>0</v>
      </c>
      <c r="BC319" s="42">
        <v>103</v>
      </c>
      <c r="BE319" s="49"/>
      <c r="BS319" s="58"/>
      <c r="BT319" s="83"/>
      <c r="CE319" s="83"/>
      <c r="CK319" s="58"/>
      <c r="CL319" s="83"/>
      <c r="CO319" s="58"/>
      <c r="CP319" s="83"/>
      <c r="CR319" s="58"/>
      <c r="CS319" s="83"/>
      <c r="CY319" s="83"/>
      <c r="DG319" s="58"/>
      <c r="DH319" s="83"/>
      <c r="DQ319" s="83"/>
      <c r="EE319" s="58"/>
      <c r="EF319" s="83"/>
      <c r="EI319" s="83"/>
      <c r="EK319" s="58"/>
      <c r="EL319" s="83"/>
      <c r="EO319" s="58"/>
      <c r="EP319" s="83"/>
      <c r="EQ319" s="58"/>
      <c r="ER319" s="83"/>
      <c r="ES319" s="58"/>
      <c r="ET319" s="83"/>
      <c r="EU319" s="58"/>
    </row>
    <row r="320" spans="1:151">
      <c r="A320" s="83" t="s">
        <v>325</v>
      </c>
      <c r="B320" s="173" t="s">
        <v>146</v>
      </c>
      <c r="C320" s="173" t="s">
        <v>506</v>
      </c>
      <c r="D320" s="83" t="s">
        <v>99</v>
      </c>
      <c r="F320" s="49" t="s">
        <v>286</v>
      </c>
      <c r="G320" s="49">
        <v>32.68</v>
      </c>
      <c r="I320" s="49">
        <v>2831</v>
      </c>
      <c r="J320" s="159">
        <v>1.8467058056099153</v>
      </c>
      <c r="K320" s="49">
        <v>1</v>
      </c>
      <c r="L320" s="49">
        <v>3</v>
      </c>
      <c r="M320" s="83">
        <v>0</v>
      </c>
      <c r="N320" s="49">
        <v>2</v>
      </c>
      <c r="O320" s="49">
        <v>0</v>
      </c>
      <c r="P320" s="49">
        <v>1</v>
      </c>
      <c r="Q320" s="58">
        <v>0</v>
      </c>
      <c r="R320" s="42">
        <v>3</v>
      </c>
      <c r="S320" s="83">
        <v>1</v>
      </c>
      <c r="U320" s="83">
        <v>2</v>
      </c>
      <c r="V320" s="49">
        <v>3</v>
      </c>
      <c r="W320" s="49">
        <v>3</v>
      </c>
      <c r="X320" s="58">
        <v>3</v>
      </c>
      <c r="Y320" s="83">
        <v>10</v>
      </c>
      <c r="Z320" s="49">
        <v>11</v>
      </c>
      <c r="AA320" s="49">
        <v>27</v>
      </c>
      <c r="AD320" s="49">
        <v>19</v>
      </c>
      <c r="AE320" s="49">
        <v>290</v>
      </c>
      <c r="AF320" s="49">
        <v>32</v>
      </c>
      <c r="AG320" s="49">
        <v>222</v>
      </c>
      <c r="AH320" s="49">
        <v>20</v>
      </c>
      <c r="AI320" s="49">
        <v>415</v>
      </c>
      <c r="AJ320" s="49">
        <v>0</v>
      </c>
      <c r="AK320" s="83">
        <v>0</v>
      </c>
      <c r="AL320" s="49">
        <v>0</v>
      </c>
      <c r="AM320" s="49">
        <v>1</v>
      </c>
      <c r="AN320" s="49">
        <v>0</v>
      </c>
      <c r="AO320" s="58">
        <v>0</v>
      </c>
      <c r="AP320" s="174" t="s">
        <v>284</v>
      </c>
      <c r="AQ320" s="175" t="s">
        <v>284</v>
      </c>
      <c r="AR320" s="175">
        <v>134</v>
      </c>
      <c r="AS320" s="175">
        <v>203</v>
      </c>
      <c r="AT320" s="175" t="s">
        <v>284</v>
      </c>
      <c r="AU320" s="175" t="s">
        <v>284</v>
      </c>
      <c r="AV320" s="175" t="s">
        <v>284</v>
      </c>
      <c r="AW320" s="175" t="s">
        <v>284</v>
      </c>
      <c r="AX320" s="83">
        <v>0</v>
      </c>
      <c r="AY320" s="49">
        <v>0</v>
      </c>
      <c r="AZ320" s="49">
        <v>0</v>
      </c>
      <c r="BA320" s="49">
        <v>0</v>
      </c>
      <c r="BB320" s="58">
        <v>0</v>
      </c>
      <c r="BC320" s="42">
        <v>155</v>
      </c>
      <c r="BE320" s="49"/>
      <c r="BS320" s="58"/>
      <c r="BT320" s="83"/>
      <c r="CE320" s="83"/>
      <c r="CK320" s="58"/>
      <c r="CL320" s="83"/>
      <c r="CO320" s="58"/>
      <c r="CP320" s="83"/>
      <c r="CR320" s="58"/>
      <c r="CS320" s="83"/>
      <c r="CY320" s="83"/>
      <c r="DG320" s="58"/>
      <c r="DH320" s="83"/>
      <c r="DQ320" s="83"/>
      <c r="EE320" s="58"/>
      <c r="EF320" s="83"/>
      <c r="EI320" s="83"/>
      <c r="EK320" s="58"/>
      <c r="EL320" s="83"/>
      <c r="EO320" s="58"/>
      <c r="EP320" s="83"/>
      <c r="EQ320" s="58"/>
      <c r="ER320" s="83"/>
      <c r="ES320" s="58"/>
      <c r="ET320" s="83"/>
      <c r="EU320" s="58"/>
    </row>
    <row r="321" spans="1:151">
      <c r="A321" s="83" t="s">
        <v>325</v>
      </c>
      <c r="B321" s="173" t="s">
        <v>146</v>
      </c>
      <c r="C321" s="173" t="s">
        <v>506</v>
      </c>
      <c r="D321" s="83" t="s">
        <v>114</v>
      </c>
      <c r="F321" s="49" t="s">
        <v>286</v>
      </c>
      <c r="G321" s="49">
        <v>32.68</v>
      </c>
      <c r="I321" s="49">
        <v>2066</v>
      </c>
      <c r="J321" s="159">
        <v>1.2025611175785798</v>
      </c>
      <c r="K321" s="49">
        <v>4</v>
      </c>
      <c r="L321" s="49">
        <v>3</v>
      </c>
      <c r="M321" s="83">
        <v>1</v>
      </c>
      <c r="N321" s="49">
        <v>2</v>
      </c>
      <c r="O321" s="49">
        <v>1</v>
      </c>
      <c r="P321" s="49">
        <v>1</v>
      </c>
      <c r="Q321" s="58">
        <v>0</v>
      </c>
      <c r="R321" s="42">
        <v>5</v>
      </c>
      <c r="S321" s="83">
        <v>1</v>
      </c>
      <c r="U321" s="83">
        <v>3</v>
      </c>
      <c r="V321" s="49">
        <v>2</v>
      </c>
      <c r="W321" s="49">
        <v>3</v>
      </c>
      <c r="X321" s="58">
        <v>3</v>
      </c>
      <c r="Y321" s="83">
        <v>1</v>
      </c>
      <c r="Z321" s="49">
        <v>3</v>
      </c>
      <c r="AA321" s="49">
        <v>16</v>
      </c>
      <c r="AD321" s="49">
        <v>18</v>
      </c>
      <c r="AE321" s="49">
        <v>99</v>
      </c>
      <c r="AJ321" s="49">
        <v>0</v>
      </c>
      <c r="AK321" s="83">
        <v>0</v>
      </c>
      <c r="AL321" s="49">
        <v>0</v>
      </c>
      <c r="AM321" s="49">
        <v>0</v>
      </c>
      <c r="AN321" s="49">
        <v>0</v>
      </c>
      <c r="AO321" s="58">
        <v>0</v>
      </c>
      <c r="AP321" s="174" t="s">
        <v>284</v>
      </c>
      <c r="AQ321" s="175" t="s">
        <v>284</v>
      </c>
      <c r="AR321" s="175" t="s">
        <v>284</v>
      </c>
      <c r="AS321" s="175" t="s">
        <v>284</v>
      </c>
      <c r="AT321" s="175" t="s">
        <v>284</v>
      </c>
      <c r="AU321" s="175" t="s">
        <v>284</v>
      </c>
      <c r="AV321" s="175" t="s">
        <v>284</v>
      </c>
      <c r="AW321" s="175" t="s">
        <v>284</v>
      </c>
      <c r="AX321" s="83">
        <v>0</v>
      </c>
      <c r="AY321" s="49">
        <v>0</v>
      </c>
      <c r="AZ321" s="49">
        <v>0</v>
      </c>
      <c r="BA321" s="49">
        <v>0</v>
      </c>
      <c r="BB321" s="58">
        <v>0</v>
      </c>
      <c r="BC321" s="42">
        <v>144</v>
      </c>
      <c r="BE321" s="49"/>
      <c r="BS321" s="58"/>
      <c r="BT321" s="83"/>
      <c r="CE321" s="83"/>
      <c r="CK321" s="58"/>
      <c r="CL321" s="83"/>
      <c r="CO321" s="58"/>
      <c r="CP321" s="83"/>
      <c r="CR321" s="58"/>
      <c r="CS321" s="83"/>
      <c r="CY321" s="83"/>
      <c r="DG321" s="58"/>
      <c r="DH321" s="83"/>
      <c r="DQ321" s="83"/>
      <c r="EE321" s="58"/>
      <c r="EF321" s="83"/>
      <c r="EI321" s="83"/>
      <c r="EK321" s="58"/>
      <c r="EL321" s="83"/>
      <c r="EO321" s="58"/>
      <c r="EP321" s="83"/>
      <c r="EQ321" s="58"/>
      <c r="ER321" s="83"/>
      <c r="ES321" s="58"/>
      <c r="ET321" s="83"/>
      <c r="EU321" s="58"/>
    </row>
    <row r="322" spans="1:151">
      <c r="A322" s="83" t="s">
        <v>325</v>
      </c>
      <c r="B322" s="173" t="s">
        <v>146</v>
      </c>
      <c r="C322" s="173" t="s">
        <v>506</v>
      </c>
      <c r="D322" s="83" t="s">
        <v>119</v>
      </c>
      <c r="F322" s="49" t="s">
        <v>287</v>
      </c>
      <c r="G322" s="49">
        <v>32.68</v>
      </c>
      <c r="I322" s="49">
        <v>916</v>
      </c>
      <c r="J322" s="159">
        <v>2.5164835164835164</v>
      </c>
      <c r="K322" s="49">
        <v>1</v>
      </c>
      <c r="L322" s="49">
        <v>3</v>
      </c>
      <c r="M322" s="83">
        <v>0</v>
      </c>
      <c r="N322" s="49">
        <v>1</v>
      </c>
      <c r="O322" s="49">
        <v>1</v>
      </c>
      <c r="P322" s="49">
        <v>1</v>
      </c>
      <c r="Q322" s="58">
        <v>0</v>
      </c>
      <c r="R322" s="42">
        <v>3</v>
      </c>
      <c r="S322" s="83" t="s">
        <v>283</v>
      </c>
      <c r="U322" s="83">
        <v>2</v>
      </c>
      <c r="V322" s="49">
        <v>3</v>
      </c>
      <c r="W322" s="49">
        <v>1</v>
      </c>
      <c r="X322" s="58">
        <v>1</v>
      </c>
      <c r="Y322" s="83">
        <v>1</v>
      </c>
      <c r="AA322" s="49">
        <v>8</v>
      </c>
      <c r="AD322" s="49">
        <v>7</v>
      </c>
      <c r="AE322" s="49">
        <v>24</v>
      </c>
      <c r="AH322" s="49">
        <v>40</v>
      </c>
      <c r="AI322" s="49">
        <v>72</v>
      </c>
      <c r="AJ322" s="49">
        <v>0</v>
      </c>
      <c r="AK322" s="83">
        <v>0</v>
      </c>
      <c r="AL322" s="49">
        <v>0</v>
      </c>
      <c r="AM322" s="49">
        <v>0</v>
      </c>
      <c r="AN322" s="49">
        <v>0</v>
      </c>
      <c r="AO322" s="58">
        <v>0</v>
      </c>
      <c r="AP322" s="174" t="s">
        <v>284</v>
      </c>
      <c r="AQ322" s="175" t="s">
        <v>284</v>
      </c>
      <c r="AR322" s="175" t="s">
        <v>284</v>
      </c>
      <c r="AS322" s="175" t="s">
        <v>284</v>
      </c>
      <c r="AT322" s="175" t="s">
        <v>284</v>
      </c>
      <c r="AU322" s="175" t="s">
        <v>284</v>
      </c>
      <c r="AV322" s="175" t="s">
        <v>284</v>
      </c>
      <c r="AW322" s="175" t="s">
        <v>284</v>
      </c>
      <c r="AX322" s="83">
        <v>0</v>
      </c>
      <c r="AY322" s="49">
        <v>0</v>
      </c>
      <c r="AZ322" s="49">
        <v>0</v>
      </c>
      <c r="BA322" s="49">
        <v>0</v>
      </c>
      <c r="BB322" s="58">
        <v>0</v>
      </c>
      <c r="BC322" s="42">
        <v>97</v>
      </c>
      <c r="BE322" s="49"/>
      <c r="BS322" s="58"/>
      <c r="BT322" s="83"/>
      <c r="CE322" s="83"/>
      <c r="CK322" s="58"/>
      <c r="CL322" s="83"/>
      <c r="CO322" s="58"/>
      <c r="CP322" s="83"/>
      <c r="CR322" s="58"/>
      <c r="CS322" s="83"/>
      <c r="CY322" s="83"/>
      <c r="DG322" s="58"/>
      <c r="DH322" s="83"/>
      <c r="DQ322" s="83"/>
      <c r="EE322" s="58"/>
      <c r="EF322" s="83"/>
      <c r="EI322" s="83"/>
      <c r="EK322" s="58"/>
      <c r="EL322" s="83"/>
      <c r="EO322" s="58"/>
      <c r="EP322" s="83"/>
      <c r="EQ322" s="58"/>
      <c r="ER322" s="83"/>
      <c r="ES322" s="58"/>
      <c r="ET322" s="83"/>
      <c r="EU322" s="58"/>
    </row>
    <row r="323" spans="1:151">
      <c r="A323" s="83" t="s">
        <v>325</v>
      </c>
      <c r="B323" s="173" t="s">
        <v>146</v>
      </c>
      <c r="C323" s="173" t="s">
        <v>506</v>
      </c>
      <c r="D323" s="83" t="s">
        <v>120</v>
      </c>
      <c r="F323" s="49" t="s">
        <v>286</v>
      </c>
      <c r="G323" s="49">
        <v>32.68</v>
      </c>
      <c r="I323" s="49">
        <v>1721</v>
      </c>
      <c r="J323" s="159">
        <v>1.6579961464354529</v>
      </c>
      <c r="K323" s="49">
        <v>1</v>
      </c>
      <c r="L323" s="49">
        <v>1</v>
      </c>
      <c r="M323" s="83">
        <v>0</v>
      </c>
      <c r="N323" s="49">
        <v>1</v>
      </c>
      <c r="O323" s="49">
        <v>1</v>
      </c>
      <c r="P323" s="49">
        <v>1</v>
      </c>
      <c r="Q323" s="58">
        <v>0</v>
      </c>
      <c r="R323" s="42">
        <v>3</v>
      </c>
      <c r="S323" s="83">
        <v>1</v>
      </c>
      <c r="U323" s="83">
        <v>1</v>
      </c>
      <c r="V323" s="49">
        <v>2</v>
      </c>
      <c r="W323" s="49">
        <v>2</v>
      </c>
      <c r="X323" s="58"/>
      <c r="Y323" s="83">
        <v>5</v>
      </c>
      <c r="Z323" s="49">
        <v>5</v>
      </c>
      <c r="AA323" s="49">
        <v>12</v>
      </c>
      <c r="AD323" s="49">
        <v>9</v>
      </c>
      <c r="AE323" s="49">
        <v>156</v>
      </c>
      <c r="AF323" s="49">
        <v>6</v>
      </c>
      <c r="AG323" s="49">
        <v>224</v>
      </c>
      <c r="AH323" s="49">
        <v>20</v>
      </c>
      <c r="AI323" s="49">
        <v>221</v>
      </c>
      <c r="AJ323" s="49">
        <v>0</v>
      </c>
      <c r="AK323" s="83">
        <v>0</v>
      </c>
      <c r="AL323" s="49">
        <v>0</v>
      </c>
      <c r="AM323" s="49">
        <v>1</v>
      </c>
      <c r="AN323" s="49">
        <v>0</v>
      </c>
      <c r="AO323" s="58">
        <v>0</v>
      </c>
      <c r="AP323" s="174" t="s">
        <v>284</v>
      </c>
      <c r="AQ323" s="175" t="s">
        <v>284</v>
      </c>
      <c r="AR323" s="175">
        <v>26</v>
      </c>
      <c r="AS323" s="175">
        <v>101</v>
      </c>
      <c r="AT323" s="175" t="s">
        <v>284</v>
      </c>
      <c r="AU323" s="175" t="s">
        <v>284</v>
      </c>
      <c r="AV323" s="175" t="s">
        <v>284</v>
      </c>
      <c r="AW323" s="175" t="s">
        <v>284</v>
      </c>
      <c r="AX323" s="83">
        <v>0</v>
      </c>
      <c r="AY323" s="49">
        <v>0</v>
      </c>
      <c r="AZ323" s="49">
        <v>0</v>
      </c>
      <c r="BA323" s="49">
        <v>0</v>
      </c>
      <c r="BB323" s="58">
        <v>0</v>
      </c>
      <c r="BC323" s="42">
        <v>165</v>
      </c>
      <c r="BE323" s="49"/>
      <c r="BS323" s="58"/>
      <c r="BT323" s="83"/>
      <c r="CE323" s="83"/>
      <c r="CK323" s="58"/>
      <c r="CL323" s="83">
        <v>62.43</v>
      </c>
      <c r="CO323" s="58"/>
      <c r="CP323" s="83">
        <v>64.900000000000006</v>
      </c>
      <c r="CR323" s="58"/>
      <c r="CS323" s="83"/>
      <c r="CY323" s="83">
        <v>77.239999999999995</v>
      </c>
      <c r="CZ323" s="49">
        <v>77.75</v>
      </c>
      <c r="DA323" s="49">
        <v>77.83</v>
      </c>
      <c r="DG323" s="58"/>
      <c r="DH323" s="83"/>
      <c r="DQ323" s="83"/>
      <c r="EE323" s="58"/>
      <c r="EF323" s="83"/>
      <c r="EI323" s="83"/>
      <c r="EK323" s="58"/>
      <c r="EL323" s="83"/>
      <c r="EO323" s="58"/>
      <c r="EP323" s="83"/>
      <c r="EQ323" s="58"/>
      <c r="ER323" s="83"/>
      <c r="ES323" s="58"/>
      <c r="ET323" s="83"/>
      <c r="EU323" s="58"/>
    </row>
    <row r="324" spans="1:151">
      <c r="A324" s="83" t="s">
        <v>325</v>
      </c>
      <c r="B324" s="173" t="s">
        <v>146</v>
      </c>
      <c r="C324" s="173" t="s">
        <v>506</v>
      </c>
      <c r="D324" s="83" t="s">
        <v>101</v>
      </c>
      <c r="F324" s="49" t="s">
        <v>286</v>
      </c>
      <c r="G324" s="49">
        <v>32.68</v>
      </c>
      <c r="I324" s="49">
        <v>1048</v>
      </c>
      <c r="J324" s="159">
        <v>1.4928774928774928</v>
      </c>
      <c r="K324" s="49">
        <v>4</v>
      </c>
      <c r="L324" s="49">
        <v>3</v>
      </c>
      <c r="M324" s="83">
        <v>0</v>
      </c>
      <c r="N324" s="49">
        <v>0</v>
      </c>
      <c r="O324" s="49">
        <v>1</v>
      </c>
      <c r="P324" s="49">
        <v>1</v>
      </c>
      <c r="Q324" s="58">
        <v>0</v>
      </c>
      <c r="R324" s="42">
        <v>2</v>
      </c>
      <c r="S324" s="83">
        <v>1</v>
      </c>
      <c r="U324" s="83">
        <v>3</v>
      </c>
      <c r="V324" s="49">
        <v>4</v>
      </c>
      <c r="W324" s="49">
        <v>3</v>
      </c>
      <c r="X324" s="58">
        <v>3</v>
      </c>
      <c r="Y324" s="83">
        <v>1</v>
      </c>
      <c r="AD324" s="49">
        <v>5</v>
      </c>
      <c r="AE324" s="49">
        <v>16</v>
      </c>
      <c r="AH324" s="49">
        <v>15</v>
      </c>
      <c r="AI324" s="49">
        <v>88</v>
      </c>
      <c r="AJ324" s="49">
        <v>0</v>
      </c>
      <c r="AK324" s="83">
        <v>0</v>
      </c>
      <c r="AL324" s="49">
        <v>0</v>
      </c>
      <c r="AM324" s="49">
        <v>1</v>
      </c>
      <c r="AN324" s="49">
        <v>0</v>
      </c>
      <c r="AO324" s="58">
        <v>0</v>
      </c>
      <c r="AP324" s="174" t="s">
        <v>284</v>
      </c>
      <c r="AQ324" s="175" t="s">
        <v>284</v>
      </c>
      <c r="AR324" s="175">
        <v>22</v>
      </c>
      <c r="AS324" s="175">
        <v>104</v>
      </c>
      <c r="AT324" s="175" t="s">
        <v>284</v>
      </c>
      <c r="AU324" s="175" t="s">
        <v>284</v>
      </c>
      <c r="AV324" s="175" t="s">
        <v>284</v>
      </c>
      <c r="AW324" s="175" t="s">
        <v>284</v>
      </c>
      <c r="AX324" s="83">
        <v>0</v>
      </c>
      <c r="AY324" s="49">
        <v>0</v>
      </c>
      <c r="AZ324" s="49">
        <v>0</v>
      </c>
      <c r="BA324" s="49">
        <v>0</v>
      </c>
      <c r="BB324" s="58">
        <v>0</v>
      </c>
      <c r="BC324" s="42">
        <v>170</v>
      </c>
      <c r="BD324" s="49">
        <v>79.81</v>
      </c>
      <c r="BE324" s="49"/>
      <c r="BS324" s="58"/>
      <c r="BT324" s="83">
        <v>72.599999999999994</v>
      </c>
      <c r="CE324" s="83">
        <v>62.95</v>
      </c>
      <c r="CF324" s="49">
        <v>60.61</v>
      </c>
      <c r="CK324" s="58"/>
      <c r="CL324" s="83">
        <v>52.59</v>
      </c>
      <c r="CO324" s="58"/>
      <c r="CP324" s="83"/>
      <c r="CR324" s="58"/>
      <c r="CS324" s="83"/>
      <c r="CY324" s="83"/>
      <c r="DG324" s="58"/>
      <c r="DH324" s="83"/>
      <c r="DQ324" s="83"/>
      <c r="EE324" s="58"/>
      <c r="EF324" s="83"/>
      <c r="EI324" s="83"/>
      <c r="EK324" s="58"/>
      <c r="EL324" s="83"/>
      <c r="EO324" s="58"/>
      <c r="EP324" s="83"/>
      <c r="EQ324" s="58"/>
      <c r="ER324" s="83"/>
      <c r="ES324" s="58"/>
      <c r="ET324" s="83"/>
      <c r="EU324" s="58"/>
    </row>
    <row r="325" spans="1:151">
      <c r="A325" s="83" t="s">
        <v>325</v>
      </c>
      <c r="B325" s="173" t="s">
        <v>146</v>
      </c>
      <c r="C325" s="173" t="s">
        <v>506</v>
      </c>
      <c r="D325" s="83" t="s">
        <v>66</v>
      </c>
      <c r="F325" s="49" t="s">
        <v>286</v>
      </c>
      <c r="G325" s="49">
        <v>32.68</v>
      </c>
      <c r="I325" s="49">
        <v>1225</v>
      </c>
      <c r="J325" s="159">
        <v>1.4583333333333333</v>
      </c>
      <c r="K325" s="49">
        <v>1</v>
      </c>
      <c r="L325" s="49">
        <v>2</v>
      </c>
      <c r="M325" s="83">
        <v>1</v>
      </c>
      <c r="N325" s="49">
        <v>1</v>
      </c>
      <c r="O325" s="49">
        <v>1</v>
      </c>
      <c r="P325" s="49">
        <v>1</v>
      </c>
      <c r="Q325" s="58">
        <v>0</v>
      </c>
      <c r="R325" s="42">
        <v>4</v>
      </c>
      <c r="S325" s="83">
        <v>1</v>
      </c>
      <c r="U325" s="83">
        <v>2</v>
      </c>
      <c r="V325" s="49">
        <v>3</v>
      </c>
      <c r="W325" s="49">
        <v>3</v>
      </c>
      <c r="X325" s="58">
        <v>2</v>
      </c>
      <c r="Y325" s="83">
        <v>2</v>
      </c>
      <c r="AD325" s="49">
        <v>12</v>
      </c>
      <c r="AE325" s="49">
        <v>32</v>
      </c>
      <c r="AF325" s="49">
        <v>12</v>
      </c>
      <c r="AG325" s="49">
        <v>73</v>
      </c>
      <c r="AH325" s="49">
        <v>9</v>
      </c>
      <c r="AI325" s="49">
        <v>35</v>
      </c>
      <c r="AJ325" s="49">
        <v>0</v>
      </c>
      <c r="AK325" s="83">
        <v>0</v>
      </c>
      <c r="AL325" s="49">
        <v>0</v>
      </c>
      <c r="AM325" s="49">
        <v>1</v>
      </c>
      <c r="AN325" s="49">
        <v>0</v>
      </c>
      <c r="AO325" s="58">
        <v>0</v>
      </c>
      <c r="AP325" s="174" t="s">
        <v>284</v>
      </c>
      <c r="AQ325" s="175" t="s">
        <v>284</v>
      </c>
      <c r="AR325" s="175" t="s">
        <v>501</v>
      </c>
      <c r="AS325" s="175" t="s">
        <v>501</v>
      </c>
      <c r="AT325" s="175" t="s">
        <v>284</v>
      </c>
      <c r="AU325" s="175" t="s">
        <v>284</v>
      </c>
      <c r="AV325" s="175" t="s">
        <v>284</v>
      </c>
      <c r="AW325" s="175" t="s">
        <v>284</v>
      </c>
      <c r="AX325" s="83">
        <v>0</v>
      </c>
      <c r="AY325" s="49">
        <v>0</v>
      </c>
      <c r="AZ325" s="49">
        <v>0</v>
      </c>
      <c r="BA325" s="49">
        <v>0</v>
      </c>
      <c r="BB325" s="58">
        <v>0</v>
      </c>
      <c r="BC325" s="42">
        <v>104</v>
      </c>
      <c r="BE325" s="49"/>
      <c r="BS325" s="58"/>
      <c r="BT325" s="83">
        <v>81.38</v>
      </c>
      <c r="CE325" s="83">
        <v>64.430000000000007</v>
      </c>
      <c r="CK325" s="58"/>
      <c r="CL325" s="83">
        <v>56.21</v>
      </c>
      <c r="CM325" s="49">
        <v>64.290000000000006</v>
      </c>
      <c r="CO325" s="58"/>
      <c r="CP325" s="83"/>
      <c r="CR325" s="58"/>
      <c r="CS325" s="83"/>
      <c r="CY325" s="83"/>
      <c r="DG325" s="58"/>
      <c r="DH325" s="83"/>
      <c r="DQ325" s="83"/>
      <c r="EE325" s="58"/>
      <c r="EF325" s="83"/>
      <c r="EI325" s="83"/>
      <c r="EK325" s="58"/>
      <c r="EL325" s="83"/>
      <c r="EO325" s="58"/>
      <c r="EP325" s="83"/>
      <c r="EQ325" s="58"/>
      <c r="ER325" s="83"/>
      <c r="ES325" s="58"/>
      <c r="ET325" s="83"/>
      <c r="EU325" s="58"/>
    </row>
    <row r="326" spans="1:151">
      <c r="A326" s="83" t="s">
        <v>325</v>
      </c>
      <c r="B326" s="173" t="s">
        <v>146</v>
      </c>
      <c r="C326" s="173" t="s">
        <v>506</v>
      </c>
      <c r="D326" s="83" t="s">
        <v>103</v>
      </c>
      <c r="F326" s="49" t="s">
        <v>286</v>
      </c>
      <c r="G326" s="49">
        <v>32.68</v>
      </c>
      <c r="I326" s="49">
        <v>2058</v>
      </c>
      <c r="J326" s="159">
        <v>1.2579462102689487</v>
      </c>
      <c r="K326" s="49">
        <v>1</v>
      </c>
      <c r="L326" s="49">
        <v>2</v>
      </c>
      <c r="M326" s="83">
        <v>0</v>
      </c>
      <c r="N326" s="49">
        <v>3</v>
      </c>
      <c r="O326" s="49">
        <v>1</v>
      </c>
      <c r="P326" s="49">
        <v>1</v>
      </c>
      <c r="Q326" s="58">
        <v>0</v>
      </c>
      <c r="R326" s="42">
        <v>5</v>
      </c>
      <c r="S326" s="83" t="s">
        <v>283</v>
      </c>
      <c r="U326" s="83">
        <v>1</v>
      </c>
      <c r="V326" s="49">
        <v>2</v>
      </c>
      <c r="W326" s="49">
        <v>2</v>
      </c>
      <c r="X326" s="58"/>
      <c r="Y326" s="83">
        <v>5</v>
      </c>
      <c r="Z326" s="49">
        <v>5</v>
      </c>
      <c r="AA326" s="49">
        <v>191</v>
      </c>
      <c r="AD326" s="49">
        <v>10</v>
      </c>
      <c r="AE326" s="49">
        <v>630</v>
      </c>
      <c r="AF326" s="49">
        <v>12</v>
      </c>
      <c r="AG326" s="49">
        <v>99</v>
      </c>
      <c r="AH326" s="49">
        <v>49</v>
      </c>
      <c r="AI326" s="49">
        <v>448</v>
      </c>
      <c r="AJ326" s="49">
        <v>0</v>
      </c>
      <c r="AK326" s="83">
        <v>0</v>
      </c>
      <c r="AL326" s="49">
        <v>0</v>
      </c>
      <c r="AM326" s="49">
        <v>0</v>
      </c>
      <c r="AN326" s="49">
        <v>0</v>
      </c>
      <c r="AO326" s="58">
        <v>0</v>
      </c>
      <c r="AP326" s="174" t="s">
        <v>284</v>
      </c>
      <c r="AQ326" s="175" t="s">
        <v>284</v>
      </c>
      <c r="AR326" s="175" t="s">
        <v>284</v>
      </c>
      <c r="AS326" s="175" t="s">
        <v>284</v>
      </c>
      <c r="AT326" s="175" t="s">
        <v>284</v>
      </c>
      <c r="AU326" s="175" t="s">
        <v>284</v>
      </c>
      <c r="AV326" s="175" t="s">
        <v>284</v>
      </c>
      <c r="AW326" s="175" t="s">
        <v>284</v>
      </c>
      <c r="AX326" s="83">
        <v>0</v>
      </c>
      <c r="AY326" s="49">
        <v>0</v>
      </c>
      <c r="AZ326" s="49">
        <v>0</v>
      </c>
      <c r="BA326" s="49">
        <v>0</v>
      </c>
      <c r="BB326" s="58">
        <v>0</v>
      </c>
      <c r="BC326" s="42"/>
      <c r="BE326" s="49"/>
      <c r="BS326" s="58"/>
      <c r="BT326" s="83">
        <v>79.91</v>
      </c>
      <c r="CE326" s="83">
        <v>65.53</v>
      </c>
      <c r="CK326" s="58"/>
      <c r="CL326" s="83"/>
      <c r="CO326" s="58"/>
      <c r="CP326" s="83"/>
      <c r="CR326" s="58"/>
      <c r="CS326" s="83"/>
      <c r="CY326" s="83">
        <v>80.83</v>
      </c>
      <c r="CZ326" s="49">
        <v>75.239999999999995</v>
      </c>
      <c r="DG326" s="58"/>
      <c r="DH326" s="83"/>
      <c r="DQ326" s="83"/>
      <c r="EE326" s="58"/>
      <c r="EF326" s="83"/>
      <c r="EI326" s="83"/>
      <c r="EK326" s="58"/>
      <c r="EL326" s="83"/>
      <c r="EO326" s="58"/>
      <c r="EP326" s="83"/>
      <c r="EQ326" s="58"/>
      <c r="ER326" s="83"/>
      <c r="ES326" s="58"/>
      <c r="ET326" s="83"/>
      <c r="EU326" s="58"/>
    </row>
    <row r="327" spans="1:151">
      <c r="A327" s="83" t="s">
        <v>325</v>
      </c>
      <c r="B327" s="173" t="s">
        <v>146</v>
      </c>
      <c r="C327" s="173" t="s">
        <v>506</v>
      </c>
      <c r="D327" s="83" t="s">
        <v>147</v>
      </c>
      <c r="E327" s="49" t="s">
        <v>0</v>
      </c>
      <c r="F327" s="49" t="s">
        <v>287</v>
      </c>
      <c r="G327" s="49">
        <v>32.68</v>
      </c>
      <c r="I327" s="49">
        <v>758</v>
      </c>
      <c r="J327" s="159">
        <v>1.0133689839572193</v>
      </c>
      <c r="K327" s="49">
        <v>1</v>
      </c>
      <c r="L327" s="49">
        <v>2</v>
      </c>
      <c r="M327" s="83">
        <v>0</v>
      </c>
      <c r="N327" s="49">
        <v>0</v>
      </c>
      <c r="O327" s="49">
        <v>1</v>
      </c>
      <c r="P327" s="49">
        <v>1</v>
      </c>
      <c r="Q327" s="58">
        <v>0</v>
      </c>
      <c r="R327" s="42">
        <v>2</v>
      </c>
      <c r="S327" s="83" t="s">
        <v>283</v>
      </c>
      <c r="T327" s="49">
        <v>6</v>
      </c>
      <c r="U327" s="83">
        <v>1</v>
      </c>
      <c r="V327" s="49">
        <v>2</v>
      </c>
      <c r="W327" s="49">
        <v>1</v>
      </c>
      <c r="X327" s="58">
        <v>3</v>
      </c>
      <c r="Y327" s="83">
        <v>0</v>
      </c>
      <c r="AJ327" s="49">
        <v>0</v>
      </c>
      <c r="AK327" s="83">
        <v>0</v>
      </c>
      <c r="AL327" s="49">
        <v>1</v>
      </c>
      <c r="AM327" s="49">
        <v>0</v>
      </c>
      <c r="AN327" s="49">
        <v>0</v>
      </c>
      <c r="AO327" s="58">
        <v>0</v>
      </c>
      <c r="AP327" s="174">
        <v>0</v>
      </c>
      <c r="AQ327" s="175">
        <v>107</v>
      </c>
      <c r="AR327" s="175">
        <v>0</v>
      </c>
      <c r="AS327" s="175">
        <v>0</v>
      </c>
      <c r="AT327" s="175">
        <v>0</v>
      </c>
      <c r="AU327" s="175">
        <v>0</v>
      </c>
      <c r="AV327" s="175">
        <v>0</v>
      </c>
      <c r="AW327" s="175">
        <v>0</v>
      </c>
      <c r="AX327" s="83">
        <v>0</v>
      </c>
      <c r="AY327" s="49">
        <v>0</v>
      </c>
      <c r="AZ327" s="49">
        <v>0</v>
      </c>
      <c r="BA327" s="49">
        <v>0</v>
      </c>
      <c r="BB327" s="58">
        <v>0</v>
      </c>
      <c r="BC327" s="42">
        <v>131</v>
      </c>
      <c r="BD327" s="49">
        <v>78.41</v>
      </c>
      <c r="BE327" s="49"/>
      <c r="BS327" s="58"/>
      <c r="BT327" s="83">
        <v>73.44</v>
      </c>
      <c r="CE327" s="83">
        <v>64.87</v>
      </c>
      <c r="CK327" s="58"/>
      <c r="CL327" s="83"/>
      <c r="CO327" s="58"/>
      <c r="CP327" s="83"/>
      <c r="CR327" s="58"/>
      <c r="CS327" s="83"/>
      <c r="CY327" s="83"/>
      <c r="DG327" s="58"/>
      <c r="DH327" s="83"/>
      <c r="DQ327" s="83"/>
      <c r="EE327" s="58"/>
      <c r="EF327" s="83"/>
      <c r="EI327" s="83"/>
      <c r="EK327" s="58"/>
      <c r="EL327" s="83"/>
      <c r="EO327" s="58"/>
      <c r="EP327" s="83"/>
      <c r="EQ327" s="58"/>
      <c r="ER327" s="83"/>
      <c r="ES327" s="58"/>
      <c r="ET327" s="83"/>
      <c r="EU327" s="58"/>
    </row>
    <row r="328" spans="1:151">
      <c r="A328" s="83" t="s">
        <v>325</v>
      </c>
      <c r="B328" s="173" t="s">
        <v>146</v>
      </c>
      <c r="C328" s="173" t="s">
        <v>506</v>
      </c>
      <c r="D328" s="83" t="s">
        <v>147</v>
      </c>
      <c r="E328" s="49" t="s">
        <v>1</v>
      </c>
      <c r="F328" s="49" t="s">
        <v>287</v>
      </c>
      <c r="G328" s="49">
        <v>32.68</v>
      </c>
      <c r="I328" s="49">
        <v>522</v>
      </c>
      <c r="J328" s="159">
        <v>1.1012658227848102</v>
      </c>
      <c r="K328" s="49">
        <v>1</v>
      </c>
      <c r="L328" s="49">
        <v>2</v>
      </c>
      <c r="M328" s="83">
        <v>0</v>
      </c>
      <c r="N328" s="49">
        <v>0</v>
      </c>
      <c r="O328" s="49">
        <v>1</v>
      </c>
      <c r="P328" s="49">
        <v>1</v>
      </c>
      <c r="Q328" s="58">
        <v>0</v>
      </c>
      <c r="R328" s="42">
        <v>2</v>
      </c>
      <c r="S328" s="83" t="s">
        <v>283</v>
      </c>
      <c r="T328" s="49">
        <v>11</v>
      </c>
      <c r="U328" s="83">
        <v>2</v>
      </c>
      <c r="V328" s="49">
        <v>3</v>
      </c>
      <c r="W328" s="49">
        <v>1</v>
      </c>
      <c r="X328" s="58">
        <v>3</v>
      </c>
      <c r="Y328" s="83">
        <v>0</v>
      </c>
      <c r="AJ328" s="49">
        <v>0</v>
      </c>
      <c r="AK328" s="83">
        <v>0</v>
      </c>
      <c r="AL328" s="49">
        <v>0</v>
      </c>
      <c r="AM328" s="49">
        <v>0</v>
      </c>
      <c r="AN328" s="49">
        <v>0</v>
      </c>
      <c r="AO328" s="58">
        <v>0</v>
      </c>
      <c r="AP328" s="174">
        <v>0</v>
      </c>
      <c r="AQ328" s="175">
        <v>0</v>
      </c>
      <c r="AR328" s="175">
        <v>0</v>
      </c>
      <c r="AS328" s="175">
        <v>0</v>
      </c>
      <c r="AT328" s="175">
        <v>0</v>
      </c>
      <c r="AU328" s="175">
        <v>0</v>
      </c>
      <c r="AV328" s="175">
        <v>0</v>
      </c>
      <c r="AW328" s="175">
        <v>0</v>
      </c>
      <c r="AX328" s="83">
        <v>0</v>
      </c>
      <c r="AY328" s="49">
        <v>0</v>
      </c>
      <c r="AZ328" s="49">
        <v>0</v>
      </c>
      <c r="BA328" s="49">
        <v>0</v>
      </c>
      <c r="BB328" s="58">
        <v>0</v>
      </c>
      <c r="BC328" s="42">
        <v>131</v>
      </c>
      <c r="BD328" s="49">
        <v>76.459999999999994</v>
      </c>
      <c r="BE328" s="49"/>
      <c r="BS328" s="58"/>
      <c r="BT328" s="83">
        <v>75.930000000000007</v>
      </c>
      <c r="CE328" s="83">
        <v>66.930000000000007</v>
      </c>
      <c r="CK328" s="58"/>
      <c r="CL328" s="83">
        <v>54.82</v>
      </c>
      <c r="CO328" s="58"/>
      <c r="CP328" s="83"/>
      <c r="CR328" s="58"/>
      <c r="CS328" s="83"/>
      <c r="CY328" s="83"/>
      <c r="DG328" s="58"/>
      <c r="DH328" s="83"/>
      <c r="DQ328" s="83"/>
      <c r="EE328" s="58"/>
      <c r="EF328" s="83"/>
      <c r="EI328" s="83"/>
      <c r="EK328" s="58"/>
      <c r="EL328" s="83"/>
      <c r="EO328" s="58"/>
      <c r="EP328" s="83"/>
      <c r="EQ328" s="58"/>
      <c r="ER328" s="83"/>
      <c r="ES328" s="58"/>
      <c r="ET328" s="83"/>
      <c r="EU328" s="58"/>
    </row>
    <row r="329" spans="1:151">
      <c r="A329" s="83" t="s">
        <v>325</v>
      </c>
      <c r="B329" s="173" t="s">
        <v>146</v>
      </c>
      <c r="C329" s="173" t="s">
        <v>506</v>
      </c>
      <c r="D329" s="83" t="s">
        <v>148</v>
      </c>
      <c r="F329" s="49" t="s">
        <v>286</v>
      </c>
      <c r="G329" s="49">
        <v>32.68</v>
      </c>
      <c r="I329" s="49">
        <v>2731</v>
      </c>
      <c r="J329" s="159">
        <v>2.3262350936967633</v>
      </c>
      <c r="K329" s="49">
        <v>1</v>
      </c>
      <c r="L329" s="49">
        <v>2</v>
      </c>
      <c r="M329" s="83">
        <v>0</v>
      </c>
      <c r="N329" s="49">
        <v>1</v>
      </c>
      <c r="O329" s="49">
        <v>0</v>
      </c>
      <c r="P329" s="49">
        <v>1</v>
      </c>
      <c r="Q329" s="58">
        <v>0</v>
      </c>
      <c r="R329" s="42">
        <v>2</v>
      </c>
      <c r="S329" s="83">
        <v>1</v>
      </c>
      <c r="U329" s="83">
        <v>1</v>
      </c>
      <c r="V329" s="49">
        <v>2</v>
      </c>
      <c r="W329" s="49">
        <v>2</v>
      </c>
      <c r="X329" s="58"/>
      <c r="Y329" s="83">
        <v>15</v>
      </c>
      <c r="Z329" s="49">
        <v>2</v>
      </c>
      <c r="AA329" s="49">
        <v>17</v>
      </c>
      <c r="AD329" s="49">
        <v>10</v>
      </c>
      <c r="AE329" s="49">
        <v>59</v>
      </c>
      <c r="AF329" s="49">
        <v>6</v>
      </c>
      <c r="AG329" s="49">
        <v>221</v>
      </c>
      <c r="AH329" s="49">
        <v>17</v>
      </c>
      <c r="AI329" s="49">
        <v>874</v>
      </c>
      <c r="AJ329" s="49">
        <v>0</v>
      </c>
      <c r="AK329" s="83">
        <v>0</v>
      </c>
      <c r="AL329" s="49">
        <v>1</v>
      </c>
      <c r="AM329" s="49">
        <v>0</v>
      </c>
      <c r="AN329" s="49">
        <v>0</v>
      </c>
      <c r="AO329" s="58">
        <v>0</v>
      </c>
      <c r="AP329" s="174">
        <v>219</v>
      </c>
      <c r="AQ329" s="175">
        <v>659</v>
      </c>
      <c r="AR329" s="175">
        <v>0</v>
      </c>
      <c r="AS329" s="175">
        <v>0</v>
      </c>
      <c r="AT329" s="175">
        <v>0</v>
      </c>
      <c r="AU329" s="175">
        <v>0</v>
      </c>
      <c r="AV329" s="175">
        <v>0</v>
      </c>
      <c r="AW329" s="175">
        <v>0</v>
      </c>
      <c r="AX329" s="83">
        <v>0</v>
      </c>
      <c r="AY329" s="49">
        <v>0</v>
      </c>
      <c r="AZ329" s="49">
        <v>0</v>
      </c>
      <c r="BA329" s="49">
        <v>0</v>
      </c>
      <c r="BB329" s="58">
        <v>0</v>
      </c>
      <c r="BC329" s="42">
        <v>131</v>
      </c>
      <c r="BE329" s="49"/>
      <c r="BS329" s="58"/>
      <c r="BT329" s="83"/>
      <c r="CE329" s="83"/>
      <c r="CK329" s="58"/>
      <c r="CL329" s="83"/>
      <c r="CO329" s="58"/>
      <c r="CP329" s="83"/>
      <c r="CR329" s="58"/>
      <c r="CS329" s="83"/>
      <c r="CY329" s="83"/>
      <c r="DG329" s="58"/>
      <c r="DH329" s="83"/>
      <c r="DQ329" s="83"/>
      <c r="EE329" s="58"/>
      <c r="EF329" s="83"/>
      <c r="EI329" s="83"/>
      <c r="EK329" s="58"/>
      <c r="EL329" s="83"/>
      <c r="EO329" s="58"/>
      <c r="EP329" s="83"/>
      <c r="EQ329" s="58"/>
      <c r="ER329" s="83"/>
      <c r="ES329" s="58"/>
      <c r="ET329" s="83"/>
      <c r="EU329" s="58"/>
    </row>
    <row r="330" spans="1:151">
      <c r="A330" s="83" t="s">
        <v>325</v>
      </c>
      <c r="B330" s="173" t="s">
        <v>146</v>
      </c>
      <c r="C330" s="173" t="s">
        <v>506</v>
      </c>
      <c r="D330" s="83" t="s">
        <v>104</v>
      </c>
      <c r="F330" s="49" t="s">
        <v>286</v>
      </c>
      <c r="G330" s="49">
        <v>32.68</v>
      </c>
      <c r="I330" s="49">
        <v>2869</v>
      </c>
      <c r="J330" s="159">
        <v>1.3920426977195537</v>
      </c>
      <c r="K330" s="49">
        <v>1</v>
      </c>
      <c r="L330" s="49">
        <v>3</v>
      </c>
      <c r="M330" s="83">
        <v>0</v>
      </c>
      <c r="N330" s="49">
        <v>0</v>
      </c>
      <c r="O330" s="49">
        <v>0</v>
      </c>
      <c r="P330" s="49">
        <v>1</v>
      </c>
      <c r="Q330" s="58">
        <v>0</v>
      </c>
      <c r="R330" s="42">
        <v>1</v>
      </c>
      <c r="S330" s="83">
        <v>1</v>
      </c>
      <c r="U330" s="83">
        <v>2</v>
      </c>
      <c r="V330" s="49">
        <v>2</v>
      </c>
      <c r="W330" s="49">
        <v>3</v>
      </c>
      <c r="X330" s="58">
        <v>1</v>
      </c>
      <c r="Y330" s="83">
        <v>1</v>
      </c>
      <c r="Z330" s="49">
        <v>11</v>
      </c>
      <c r="AA330" s="49">
        <v>16</v>
      </c>
      <c r="AJ330" s="49">
        <v>0</v>
      </c>
      <c r="AK330" s="83">
        <v>0</v>
      </c>
      <c r="AL330" s="49">
        <v>1</v>
      </c>
      <c r="AM330" s="49">
        <v>0</v>
      </c>
      <c r="AN330" s="49">
        <v>0</v>
      </c>
      <c r="AO330" s="58">
        <v>0</v>
      </c>
      <c r="AP330" s="174">
        <v>0</v>
      </c>
      <c r="AQ330" s="175">
        <v>518</v>
      </c>
      <c r="AR330" s="175">
        <v>0</v>
      </c>
      <c r="AS330" s="175">
        <v>0</v>
      </c>
      <c r="AT330" s="175">
        <v>0</v>
      </c>
      <c r="AU330" s="175">
        <v>0</v>
      </c>
      <c r="AV330" s="175">
        <v>0</v>
      </c>
      <c r="AW330" s="175">
        <v>0</v>
      </c>
      <c r="AX330" s="83">
        <v>0</v>
      </c>
      <c r="AY330" s="49">
        <v>0</v>
      </c>
      <c r="AZ330" s="49">
        <v>0</v>
      </c>
      <c r="BA330" s="49">
        <v>0</v>
      </c>
      <c r="BB330" s="58">
        <v>0</v>
      </c>
      <c r="BC330" s="42">
        <v>119</v>
      </c>
      <c r="BE330" s="49"/>
      <c r="BS330" s="58"/>
      <c r="BT330" s="83"/>
      <c r="CE330" s="83"/>
      <c r="CK330" s="58"/>
      <c r="CL330" s="83"/>
      <c r="CO330" s="58"/>
      <c r="CP330" s="83"/>
      <c r="CR330" s="58"/>
      <c r="CS330" s="83"/>
      <c r="CY330" s="83"/>
      <c r="DG330" s="58"/>
      <c r="DH330" s="83"/>
      <c r="DQ330" s="83"/>
      <c r="EE330" s="58"/>
      <c r="EF330" s="83"/>
      <c r="EI330" s="83"/>
      <c r="EK330" s="58"/>
      <c r="EL330" s="83"/>
      <c r="EO330" s="58"/>
      <c r="EP330" s="83"/>
      <c r="EQ330" s="58"/>
      <c r="ER330" s="83"/>
      <c r="ES330" s="58"/>
      <c r="ET330" s="83"/>
      <c r="EU330" s="58"/>
    </row>
    <row r="331" spans="1:151">
      <c r="A331" s="83" t="s">
        <v>325</v>
      </c>
      <c r="B331" s="173" t="s">
        <v>146</v>
      </c>
      <c r="C331" s="173" t="s">
        <v>506</v>
      </c>
      <c r="D331" s="83" t="s">
        <v>149</v>
      </c>
      <c r="F331" s="49" t="s">
        <v>286</v>
      </c>
      <c r="G331" s="49">
        <v>32.68</v>
      </c>
      <c r="I331" s="49">
        <v>1955</v>
      </c>
      <c r="J331" s="159">
        <v>3.3706896551724137</v>
      </c>
      <c r="K331" s="49">
        <v>1</v>
      </c>
      <c r="L331" s="49">
        <v>2</v>
      </c>
      <c r="M331" s="83">
        <v>0</v>
      </c>
      <c r="N331" s="49">
        <v>1</v>
      </c>
      <c r="O331" s="49">
        <v>0</v>
      </c>
      <c r="P331" s="49">
        <v>1</v>
      </c>
      <c r="Q331" s="58">
        <v>0</v>
      </c>
      <c r="R331" s="42">
        <v>2</v>
      </c>
      <c r="S331" s="83">
        <v>1</v>
      </c>
      <c r="U331" s="83">
        <v>1</v>
      </c>
      <c r="V331" s="49">
        <v>2</v>
      </c>
      <c r="W331" s="49">
        <v>2</v>
      </c>
      <c r="X331" s="58"/>
      <c r="Y331" s="83">
        <v>5</v>
      </c>
      <c r="Z331" s="49">
        <v>6</v>
      </c>
      <c r="AA331" s="49">
        <v>15</v>
      </c>
      <c r="AD331" s="49">
        <v>8</v>
      </c>
      <c r="AE331" s="49">
        <v>63</v>
      </c>
      <c r="AF331" s="49">
        <v>11</v>
      </c>
      <c r="AG331" s="49">
        <v>80</v>
      </c>
      <c r="AJ331" s="49">
        <v>0</v>
      </c>
      <c r="AK331" s="83">
        <v>0</v>
      </c>
      <c r="AL331" s="49">
        <v>1</v>
      </c>
      <c r="AM331" s="49">
        <v>1</v>
      </c>
      <c r="AN331" s="49">
        <v>0</v>
      </c>
      <c r="AO331" s="58">
        <v>0</v>
      </c>
      <c r="AP331" s="174">
        <v>127</v>
      </c>
      <c r="AQ331" s="175">
        <v>562</v>
      </c>
      <c r="AR331" s="175">
        <v>35</v>
      </c>
      <c r="AS331" s="175">
        <v>113</v>
      </c>
      <c r="AT331" s="175">
        <v>0</v>
      </c>
      <c r="AU331" s="175">
        <v>0</v>
      </c>
      <c r="AV331" s="175">
        <v>0</v>
      </c>
      <c r="AW331" s="175">
        <v>0</v>
      </c>
      <c r="AX331" s="83">
        <v>0</v>
      </c>
      <c r="AY331" s="49">
        <v>0</v>
      </c>
      <c r="AZ331" s="49">
        <v>0</v>
      </c>
      <c r="BA331" s="49">
        <v>0</v>
      </c>
      <c r="BB331" s="58">
        <v>0</v>
      </c>
      <c r="BC331" s="42">
        <v>127</v>
      </c>
      <c r="BD331" s="49">
        <v>78.88</v>
      </c>
      <c r="BS331" s="58"/>
      <c r="BT331" s="83"/>
      <c r="CE331" s="83"/>
      <c r="CK331" s="58"/>
      <c r="CL331" s="83"/>
      <c r="CO331" s="58"/>
      <c r="CP331" s="83"/>
      <c r="CR331" s="58"/>
      <c r="CS331" s="83"/>
      <c r="CY331" s="83"/>
      <c r="DG331" s="58"/>
      <c r="DH331" s="83"/>
      <c r="DQ331" s="83">
        <v>65.989999999999995</v>
      </c>
      <c r="EE331" s="58"/>
      <c r="EF331" s="83"/>
      <c r="EI331" s="83">
        <v>68.13</v>
      </c>
      <c r="EK331" s="58"/>
      <c r="EL331" s="83">
        <v>74.569999999999993</v>
      </c>
      <c r="EO331" s="58"/>
      <c r="EP331" s="83">
        <v>65.040000000000006</v>
      </c>
      <c r="EQ331" s="58"/>
      <c r="ER331" s="83"/>
      <c r="ES331" s="58"/>
      <c r="ET331" s="83"/>
      <c r="EU331" s="58"/>
    </row>
    <row r="332" spans="1:151">
      <c r="A332" s="83" t="s">
        <v>325</v>
      </c>
      <c r="B332" s="173" t="s">
        <v>146</v>
      </c>
      <c r="C332" s="173" t="s">
        <v>506</v>
      </c>
      <c r="D332" s="83" t="s">
        <v>106</v>
      </c>
      <c r="F332" s="49" t="s">
        <v>286</v>
      </c>
      <c r="G332" s="49">
        <v>32.68</v>
      </c>
      <c r="I332" s="49">
        <v>1582</v>
      </c>
      <c r="J332" s="159">
        <v>2.0598958333333335</v>
      </c>
      <c r="K332" s="49">
        <v>4</v>
      </c>
      <c r="L332" s="49">
        <v>4</v>
      </c>
      <c r="M332" s="83">
        <v>0</v>
      </c>
      <c r="N332" s="49">
        <v>0</v>
      </c>
      <c r="O332" s="49">
        <v>0</v>
      </c>
      <c r="P332" s="49">
        <v>0</v>
      </c>
      <c r="Q332" s="58">
        <v>0</v>
      </c>
      <c r="R332" s="42">
        <v>0</v>
      </c>
      <c r="S332" s="83">
        <v>1</v>
      </c>
      <c r="U332" s="83">
        <v>1</v>
      </c>
      <c r="V332" s="49">
        <v>4</v>
      </c>
      <c r="W332" s="49">
        <v>2</v>
      </c>
      <c r="X332" s="58"/>
      <c r="Y332" s="83">
        <v>0</v>
      </c>
      <c r="AJ332" s="49">
        <v>0</v>
      </c>
      <c r="AK332" s="83">
        <v>0</v>
      </c>
      <c r="AL332" s="49">
        <v>1</v>
      </c>
      <c r="AM332" s="49">
        <v>0</v>
      </c>
      <c r="AN332" s="49">
        <v>0</v>
      </c>
      <c r="AO332" s="58">
        <v>0</v>
      </c>
      <c r="AP332" s="174">
        <v>295</v>
      </c>
      <c r="AQ332" s="175">
        <v>600</v>
      </c>
      <c r="AR332" s="175">
        <v>0</v>
      </c>
      <c r="AS332" s="175">
        <v>0</v>
      </c>
      <c r="AT332" s="175">
        <v>0</v>
      </c>
      <c r="AU332" s="175">
        <v>0</v>
      </c>
      <c r="AV332" s="175">
        <v>0</v>
      </c>
      <c r="AW332" s="175">
        <v>0</v>
      </c>
      <c r="AX332" s="83">
        <v>0</v>
      </c>
      <c r="AY332" s="49">
        <v>0</v>
      </c>
      <c r="AZ332" s="49">
        <v>0</v>
      </c>
      <c r="BA332" s="49">
        <v>0</v>
      </c>
      <c r="BB332" s="58">
        <v>0</v>
      </c>
      <c r="BC332" s="42">
        <v>121</v>
      </c>
      <c r="BE332" s="49"/>
      <c r="BS332" s="58"/>
      <c r="BT332" s="83"/>
      <c r="CE332" s="83"/>
      <c r="CK332" s="58"/>
      <c r="CL332" s="83"/>
      <c r="CO332" s="58"/>
      <c r="CP332" s="83"/>
      <c r="CR332" s="58"/>
      <c r="CS332" s="83"/>
      <c r="CY332" s="83"/>
      <c r="DG332" s="58"/>
      <c r="DH332" s="83"/>
      <c r="DQ332" s="83"/>
      <c r="EE332" s="58"/>
      <c r="EF332" s="83"/>
      <c r="EI332" s="83"/>
      <c r="EK332" s="58"/>
      <c r="EL332" s="83"/>
      <c r="EO332" s="58"/>
      <c r="EP332" s="83"/>
      <c r="EQ332" s="58"/>
      <c r="ER332" s="83"/>
      <c r="ES332" s="58"/>
      <c r="ET332" s="83"/>
      <c r="EU332" s="58"/>
    </row>
    <row r="333" spans="1:151">
      <c r="A333" s="83" t="s">
        <v>325</v>
      </c>
      <c r="B333" s="173" t="s">
        <v>146</v>
      </c>
      <c r="C333" s="173" t="s">
        <v>506</v>
      </c>
      <c r="D333" s="83" t="s">
        <v>107</v>
      </c>
      <c r="F333" s="49" t="s">
        <v>286</v>
      </c>
      <c r="G333" s="49">
        <v>32.68</v>
      </c>
      <c r="I333" s="49">
        <v>2849</v>
      </c>
      <c r="J333" s="159">
        <v>2.0994841562269713</v>
      </c>
      <c r="K333" s="49">
        <v>4</v>
      </c>
      <c r="L333" s="49">
        <v>3</v>
      </c>
      <c r="M333" s="83">
        <v>0</v>
      </c>
      <c r="N333" s="49">
        <v>0</v>
      </c>
      <c r="O333" s="49">
        <v>1</v>
      </c>
      <c r="P333" s="49">
        <v>1</v>
      </c>
      <c r="Q333" s="58">
        <v>0</v>
      </c>
      <c r="R333" s="42">
        <v>2</v>
      </c>
      <c r="S333" s="83">
        <v>1</v>
      </c>
      <c r="U333" s="83">
        <v>2</v>
      </c>
      <c r="V333" s="49">
        <v>3</v>
      </c>
      <c r="W333" s="49">
        <v>3</v>
      </c>
      <c r="X333" s="58">
        <v>1</v>
      </c>
      <c r="Y333" s="83">
        <v>3</v>
      </c>
      <c r="Z333" s="49">
        <v>6</v>
      </c>
      <c r="AA333" s="49">
        <v>25</v>
      </c>
      <c r="AD333" s="49">
        <v>13</v>
      </c>
      <c r="AE333" s="49">
        <v>81</v>
      </c>
      <c r="AF333" s="49">
        <v>9</v>
      </c>
      <c r="AG333" s="49">
        <v>106</v>
      </c>
      <c r="AH333" s="49">
        <v>40</v>
      </c>
      <c r="AI333" s="49">
        <v>86</v>
      </c>
      <c r="AJ333" s="49">
        <v>0</v>
      </c>
      <c r="AK333" s="83">
        <v>0</v>
      </c>
      <c r="AL333" s="49">
        <v>1</v>
      </c>
      <c r="AM333" s="49">
        <v>1</v>
      </c>
      <c r="AN333" s="49">
        <v>0</v>
      </c>
      <c r="AO333" s="58">
        <v>0</v>
      </c>
      <c r="AP333" s="174">
        <v>305</v>
      </c>
      <c r="AQ333" s="175">
        <v>1737</v>
      </c>
      <c r="AR333" s="175">
        <v>56</v>
      </c>
      <c r="AS333" s="175">
        <v>128</v>
      </c>
      <c r="AT333" s="175">
        <v>0</v>
      </c>
      <c r="AU333" s="175">
        <v>0</v>
      </c>
      <c r="AV333" s="175">
        <v>0</v>
      </c>
      <c r="AW333" s="175">
        <v>0</v>
      </c>
      <c r="AX333" s="83">
        <v>0</v>
      </c>
      <c r="AY333" s="49">
        <v>0</v>
      </c>
      <c r="AZ333" s="49">
        <v>0</v>
      </c>
      <c r="BA333" s="49">
        <v>0</v>
      </c>
      <c r="BB333" s="58">
        <v>0</v>
      </c>
      <c r="BC333" s="42">
        <v>169</v>
      </c>
      <c r="BE333" s="49"/>
      <c r="BS333" s="58"/>
      <c r="BT333" s="83">
        <v>74.22</v>
      </c>
      <c r="BU333" s="49">
        <v>75.430000000000007</v>
      </c>
      <c r="CE333" s="83">
        <v>65.23</v>
      </c>
      <c r="CK333" s="58"/>
      <c r="CL333" s="83"/>
      <c r="CO333" s="58"/>
      <c r="CP333" s="83"/>
      <c r="CR333" s="58"/>
      <c r="CS333" s="83"/>
      <c r="CY333" s="83">
        <v>72.61</v>
      </c>
      <c r="CZ333" s="49">
        <v>81.05</v>
      </c>
      <c r="DG333" s="58"/>
      <c r="DH333" s="83"/>
      <c r="DQ333" s="83"/>
      <c r="EE333" s="58"/>
      <c r="EF333" s="83"/>
      <c r="EI333" s="83"/>
      <c r="EK333" s="58"/>
      <c r="EL333" s="83"/>
      <c r="EO333" s="58"/>
      <c r="EP333" s="83"/>
      <c r="EQ333" s="58"/>
      <c r="ER333" s="83"/>
      <c r="ES333" s="58"/>
      <c r="ET333" s="83"/>
      <c r="EU333" s="58"/>
    </row>
    <row r="334" spans="1:151">
      <c r="A334" s="83" t="s">
        <v>325</v>
      </c>
      <c r="B334" s="173" t="s">
        <v>146</v>
      </c>
      <c r="C334" s="173" t="s">
        <v>506</v>
      </c>
      <c r="D334" s="83" t="s">
        <v>150</v>
      </c>
      <c r="F334" s="49" t="s">
        <v>287</v>
      </c>
      <c r="G334" s="49">
        <v>32.68</v>
      </c>
      <c r="I334" s="49">
        <v>829</v>
      </c>
      <c r="J334" s="159">
        <v>2.8685121107266438</v>
      </c>
      <c r="K334" s="49">
        <v>1</v>
      </c>
      <c r="L334" s="49">
        <v>1</v>
      </c>
      <c r="M334" s="83">
        <v>1</v>
      </c>
      <c r="N334" s="49">
        <v>0</v>
      </c>
      <c r="O334" s="49">
        <v>1</v>
      </c>
      <c r="P334" s="49">
        <v>0</v>
      </c>
      <c r="Q334" s="58">
        <v>0</v>
      </c>
      <c r="R334" s="42">
        <v>2</v>
      </c>
      <c r="S334" s="83">
        <v>1</v>
      </c>
      <c r="T334" s="49">
        <v>0</v>
      </c>
      <c r="U334" s="83">
        <v>1</v>
      </c>
      <c r="V334" s="49">
        <v>3</v>
      </c>
      <c r="W334" s="49">
        <v>1</v>
      </c>
      <c r="X334" s="58">
        <v>1</v>
      </c>
      <c r="Y334" s="83">
        <v>3</v>
      </c>
      <c r="AD334" s="49">
        <v>21</v>
      </c>
      <c r="AE334" s="49">
        <v>26</v>
      </c>
      <c r="AG334" s="49">
        <v>61</v>
      </c>
      <c r="AI334" s="49">
        <v>90</v>
      </c>
      <c r="AJ334" s="49">
        <v>0</v>
      </c>
      <c r="AK334" s="83">
        <v>0</v>
      </c>
      <c r="AL334" s="49">
        <v>0</v>
      </c>
      <c r="AM334" s="49">
        <v>0</v>
      </c>
      <c r="AN334" s="49">
        <v>0</v>
      </c>
      <c r="AO334" s="58">
        <v>0</v>
      </c>
      <c r="AP334" s="174">
        <v>0</v>
      </c>
      <c r="AQ334" s="175">
        <v>0</v>
      </c>
      <c r="AR334" s="175">
        <v>0</v>
      </c>
      <c r="AS334" s="175">
        <v>0</v>
      </c>
      <c r="AT334" s="175">
        <v>0</v>
      </c>
      <c r="AU334" s="175">
        <v>0</v>
      </c>
      <c r="AV334" s="175">
        <v>0</v>
      </c>
      <c r="AW334" s="175">
        <v>0</v>
      </c>
      <c r="AX334" s="83">
        <v>0</v>
      </c>
      <c r="AY334" s="49">
        <v>0</v>
      </c>
      <c r="AZ334" s="49">
        <v>0</v>
      </c>
      <c r="BA334" s="49">
        <v>0</v>
      </c>
      <c r="BB334" s="58">
        <v>0</v>
      </c>
      <c r="BC334" s="42">
        <v>106</v>
      </c>
      <c r="BD334" s="49">
        <v>76.040000000000006</v>
      </c>
      <c r="BE334" s="49"/>
      <c r="BS334" s="58"/>
      <c r="BT334" s="83"/>
      <c r="CE334" s="83">
        <v>62.02</v>
      </c>
      <c r="CF334" s="49">
        <v>65.38</v>
      </c>
      <c r="CK334" s="58"/>
      <c r="CL334" s="83">
        <v>56.72</v>
      </c>
      <c r="CO334" s="58"/>
      <c r="CP334" s="83"/>
      <c r="CR334" s="58"/>
      <c r="CS334" s="83"/>
      <c r="CY334" s="83"/>
      <c r="DG334" s="58"/>
      <c r="DH334" s="83"/>
      <c r="DQ334" s="83"/>
      <c r="EE334" s="58"/>
      <c r="EF334" s="83"/>
      <c r="EI334" s="83"/>
      <c r="EK334" s="58"/>
      <c r="EL334" s="83"/>
      <c r="EO334" s="58"/>
      <c r="EP334" s="83"/>
      <c r="EQ334" s="58"/>
      <c r="ER334" s="83"/>
      <c r="ES334" s="58"/>
      <c r="ET334" s="83"/>
      <c r="EU334" s="58"/>
    </row>
    <row r="335" spans="1:151">
      <c r="A335" s="83" t="s">
        <v>325</v>
      </c>
      <c r="B335" s="173" t="s">
        <v>146</v>
      </c>
      <c r="C335" s="173" t="s">
        <v>506</v>
      </c>
      <c r="D335" s="83" t="s">
        <v>108</v>
      </c>
      <c r="F335" s="49" t="s">
        <v>287</v>
      </c>
      <c r="G335" s="49">
        <v>32.68</v>
      </c>
      <c r="I335" s="49">
        <v>873</v>
      </c>
      <c r="J335" s="159">
        <v>1.6378986866791745</v>
      </c>
      <c r="K335" s="49">
        <v>1</v>
      </c>
      <c r="L335" s="49">
        <v>3</v>
      </c>
      <c r="M335" s="83">
        <v>0</v>
      </c>
      <c r="N335" s="49">
        <v>3</v>
      </c>
      <c r="O335" s="49">
        <v>1</v>
      </c>
      <c r="P335" s="49">
        <v>1</v>
      </c>
      <c r="Q335" s="58">
        <v>0</v>
      </c>
      <c r="R335" s="42">
        <v>5</v>
      </c>
      <c r="S335" s="83">
        <v>1</v>
      </c>
      <c r="U335" s="83">
        <v>3</v>
      </c>
      <c r="V335" s="49">
        <v>3</v>
      </c>
      <c r="W335" s="49">
        <v>3</v>
      </c>
      <c r="X335" s="58">
        <v>3</v>
      </c>
      <c r="Y335" s="83">
        <v>5</v>
      </c>
      <c r="AD335" s="49">
        <v>27</v>
      </c>
      <c r="AE335" s="49">
        <v>109</v>
      </c>
      <c r="AH335" s="49">
        <v>22</v>
      </c>
      <c r="AI335" s="49">
        <v>253</v>
      </c>
      <c r="AJ335" s="49">
        <v>0</v>
      </c>
      <c r="AK335" s="83">
        <v>0</v>
      </c>
      <c r="AL335" s="49">
        <v>1</v>
      </c>
      <c r="AM335" s="49">
        <v>1</v>
      </c>
      <c r="AN335" s="49">
        <v>0</v>
      </c>
      <c r="AO335" s="58">
        <v>0</v>
      </c>
      <c r="AP335" s="174">
        <v>0</v>
      </c>
      <c r="AQ335" s="175">
        <v>155</v>
      </c>
      <c r="AR335" s="175">
        <v>40</v>
      </c>
      <c r="AS335" s="175">
        <v>155</v>
      </c>
      <c r="AT335" s="175" t="s">
        <v>284</v>
      </c>
      <c r="AU335" s="175" t="s">
        <v>284</v>
      </c>
      <c r="AV335" s="175" t="s">
        <v>284</v>
      </c>
      <c r="AW335" s="175" t="s">
        <v>284</v>
      </c>
      <c r="AX335" s="83">
        <v>0</v>
      </c>
      <c r="AY335" s="49">
        <v>0</v>
      </c>
      <c r="AZ335" s="49">
        <v>0</v>
      </c>
      <c r="BA335" s="49">
        <v>0</v>
      </c>
      <c r="BB335" s="58">
        <v>0</v>
      </c>
      <c r="BC335" s="42">
        <v>126</v>
      </c>
      <c r="BE335" s="49"/>
      <c r="BS335" s="58"/>
      <c r="BT335" s="83"/>
      <c r="CE335" s="83"/>
      <c r="CK335" s="58"/>
      <c r="CL335" s="83"/>
      <c r="CO335" s="58"/>
      <c r="CP335" s="83"/>
      <c r="CR335" s="58"/>
      <c r="CS335" s="83"/>
      <c r="CY335" s="83"/>
      <c r="DG335" s="58"/>
      <c r="DH335" s="83"/>
      <c r="DQ335" s="83"/>
      <c r="EE335" s="58"/>
      <c r="EF335" s="83"/>
      <c r="EI335" s="83"/>
      <c r="EK335" s="58"/>
      <c r="EL335" s="83"/>
      <c r="EO335" s="58"/>
      <c r="EP335" s="83"/>
      <c r="EQ335" s="58"/>
      <c r="ER335" s="83"/>
      <c r="ES335" s="58"/>
      <c r="ET335" s="83"/>
      <c r="EU335" s="58"/>
    </row>
    <row r="336" spans="1:151">
      <c r="A336" s="83" t="s">
        <v>325</v>
      </c>
      <c r="B336" s="173" t="s">
        <v>146</v>
      </c>
      <c r="C336" s="173" t="s">
        <v>506</v>
      </c>
      <c r="D336" s="83" t="s">
        <v>67</v>
      </c>
      <c r="E336" s="49" t="s">
        <v>1</v>
      </c>
      <c r="F336" s="49" t="s">
        <v>287</v>
      </c>
      <c r="G336" s="49">
        <v>32.68</v>
      </c>
      <c r="I336" s="49">
        <v>763</v>
      </c>
      <c r="J336" s="159">
        <v>1.4873294346978558</v>
      </c>
      <c r="K336" s="49">
        <v>1</v>
      </c>
      <c r="L336" s="49">
        <v>2</v>
      </c>
      <c r="M336" s="83">
        <v>0</v>
      </c>
      <c r="N336" s="49">
        <v>0</v>
      </c>
      <c r="O336" s="49">
        <v>0</v>
      </c>
      <c r="P336" s="49">
        <v>0</v>
      </c>
      <c r="Q336" s="58">
        <v>0</v>
      </c>
      <c r="R336" s="42">
        <v>0</v>
      </c>
      <c r="S336" s="83">
        <v>1</v>
      </c>
      <c r="U336" s="83">
        <v>1</v>
      </c>
      <c r="V336" s="49">
        <v>2</v>
      </c>
      <c r="W336" s="49">
        <v>1</v>
      </c>
      <c r="X336" s="58">
        <v>2</v>
      </c>
      <c r="Y336" s="83">
        <v>1</v>
      </c>
      <c r="AA336" s="49">
        <v>11</v>
      </c>
      <c r="AJ336" s="49">
        <v>0</v>
      </c>
      <c r="AK336" s="83">
        <v>0</v>
      </c>
      <c r="AL336" s="49">
        <v>0</v>
      </c>
      <c r="AM336" s="49">
        <v>0</v>
      </c>
      <c r="AN336" s="49">
        <v>0</v>
      </c>
      <c r="AO336" s="58">
        <v>0</v>
      </c>
      <c r="AP336" s="174">
        <v>0</v>
      </c>
      <c r="AQ336" s="175">
        <v>0</v>
      </c>
      <c r="AR336" s="175">
        <v>0</v>
      </c>
      <c r="AS336" s="175">
        <v>0</v>
      </c>
      <c r="AT336" s="175">
        <v>0</v>
      </c>
      <c r="AU336" s="175">
        <v>0</v>
      </c>
      <c r="AV336" s="175">
        <v>0</v>
      </c>
      <c r="AW336" s="175">
        <v>0</v>
      </c>
      <c r="AX336" s="83">
        <v>0</v>
      </c>
      <c r="AY336" s="49">
        <v>0</v>
      </c>
      <c r="AZ336" s="49">
        <v>0</v>
      </c>
      <c r="BA336" s="49">
        <v>0</v>
      </c>
      <c r="BB336" s="58">
        <v>0</v>
      </c>
      <c r="BC336" s="42">
        <v>207</v>
      </c>
      <c r="BE336" s="49"/>
      <c r="BS336" s="58"/>
      <c r="BT336" s="83"/>
      <c r="CE336" s="83"/>
      <c r="CK336" s="58"/>
      <c r="CL336" s="83"/>
      <c r="CO336" s="58"/>
      <c r="CP336" s="83"/>
      <c r="CR336" s="58"/>
      <c r="CS336" s="83"/>
      <c r="CY336" s="83"/>
      <c r="DG336" s="58"/>
      <c r="DH336" s="83"/>
      <c r="DQ336" s="83"/>
      <c r="EE336" s="58"/>
      <c r="EF336" s="83"/>
      <c r="EI336" s="83"/>
      <c r="EK336" s="58"/>
      <c r="EL336" s="83"/>
      <c r="EO336" s="58"/>
      <c r="EP336" s="83"/>
      <c r="EQ336" s="58"/>
      <c r="ER336" s="83"/>
      <c r="ES336" s="58"/>
      <c r="ET336" s="83"/>
      <c r="EU336" s="58"/>
    </row>
    <row r="337" spans="1:151">
      <c r="A337" s="83" t="s">
        <v>325</v>
      </c>
      <c r="B337" s="173" t="s">
        <v>146</v>
      </c>
      <c r="C337" s="173" t="s">
        <v>506</v>
      </c>
      <c r="D337" s="83" t="s">
        <v>151</v>
      </c>
      <c r="E337" s="49" t="s">
        <v>1</v>
      </c>
      <c r="F337" s="49" t="s">
        <v>287</v>
      </c>
      <c r="G337" s="49">
        <v>32.68</v>
      </c>
      <c r="I337" s="49">
        <v>537</v>
      </c>
      <c r="J337" s="159">
        <v>1.0675944333996024</v>
      </c>
      <c r="K337" s="49">
        <v>4</v>
      </c>
      <c r="L337" s="49">
        <v>2</v>
      </c>
      <c r="M337" s="83">
        <v>0</v>
      </c>
      <c r="N337" s="49">
        <v>3</v>
      </c>
      <c r="O337" s="49">
        <v>0</v>
      </c>
      <c r="P337" s="49">
        <v>0</v>
      </c>
      <c r="Q337" s="58">
        <v>0</v>
      </c>
      <c r="R337" s="42">
        <v>3</v>
      </c>
      <c r="S337" s="83" t="s">
        <v>284</v>
      </c>
      <c r="U337" s="83">
        <v>1</v>
      </c>
      <c r="V337" s="49">
        <v>3</v>
      </c>
      <c r="W337" s="49">
        <v>1</v>
      </c>
      <c r="X337" s="58">
        <v>1</v>
      </c>
      <c r="Y337" s="83">
        <v>5</v>
      </c>
      <c r="Z337" s="49">
        <v>4</v>
      </c>
      <c r="AA337" s="49">
        <v>13</v>
      </c>
      <c r="AH337" s="49">
        <v>13</v>
      </c>
      <c r="AI337" s="49">
        <v>67</v>
      </c>
      <c r="AJ337" s="49">
        <v>0</v>
      </c>
      <c r="AK337" s="83">
        <v>0</v>
      </c>
      <c r="AL337" s="49">
        <v>0</v>
      </c>
      <c r="AM337" s="49">
        <v>1</v>
      </c>
      <c r="AN337" s="49">
        <v>0</v>
      </c>
      <c r="AO337" s="58">
        <v>0</v>
      </c>
      <c r="AP337" s="174" t="s">
        <v>284</v>
      </c>
      <c r="AQ337" s="175" t="s">
        <v>284</v>
      </c>
      <c r="AR337" s="175">
        <v>70</v>
      </c>
      <c r="AS337" s="175">
        <v>93</v>
      </c>
      <c r="AT337" s="175" t="s">
        <v>284</v>
      </c>
      <c r="AU337" s="175" t="s">
        <v>284</v>
      </c>
      <c r="AV337" s="175" t="s">
        <v>284</v>
      </c>
      <c r="AW337" s="175" t="s">
        <v>284</v>
      </c>
      <c r="AX337" s="83">
        <v>0</v>
      </c>
      <c r="AY337" s="49">
        <v>0</v>
      </c>
      <c r="AZ337" s="49">
        <v>0</v>
      </c>
      <c r="BA337" s="49">
        <v>0</v>
      </c>
      <c r="BB337" s="58">
        <v>0</v>
      </c>
      <c r="BC337" s="42">
        <v>132</v>
      </c>
      <c r="BE337" s="49"/>
      <c r="BS337" s="58"/>
      <c r="BT337" s="83">
        <v>74.89</v>
      </c>
      <c r="CE337" s="83"/>
      <c r="CK337" s="58"/>
      <c r="CL337" s="83">
        <v>64.010000000000005</v>
      </c>
      <c r="CO337" s="58"/>
      <c r="CP337" s="83"/>
      <c r="CR337" s="58"/>
      <c r="CS337" s="83"/>
      <c r="CY337" s="83">
        <v>65.760000000000005</v>
      </c>
      <c r="DG337" s="58"/>
      <c r="DH337" s="83"/>
      <c r="DQ337" s="83"/>
      <c r="EE337" s="58"/>
      <c r="EF337" s="83"/>
      <c r="EI337" s="83"/>
      <c r="EK337" s="58"/>
      <c r="EL337" s="83"/>
      <c r="EO337" s="58"/>
      <c r="EP337" s="83"/>
      <c r="EQ337" s="58"/>
      <c r="ER337" s="83"/>
      <c r="ES337" s="58"/>
      <c r="ET337" s="83"/>
      <c r="EU337" s="58"/>
    </row>
    <row r="338" spans="1:151">
      <c r="A338" s="83" t="s">
        <v>325</v>
      </c>
      <c r="B338" s="173" t="s">
        <v>146</v>
      </c>
      <c r="C338" s="173" t="s">
        <v>506</v>
      </c>
      <c r="D338" s="83" t="s">
        <v>152</v>
      </c>
      <c r="F338" s="49" t="s">
        <v>287</v>
      </c>
      <c r="G338" s="49">
        <v>32.68</v>
      </c>
      <c r="I338" s="49">
        <v>887</v>
      </c>
      <c r="J338" s="159">
        <v>1.5085034013605443</v>
      </c>
      <c r="K338" s="49">
        <v>4</v>
      </c>
      <c r="L338" s="49">
        <v>3</v>
      </c>
      <c r="M338" s="83">
        <v>0</v>
      </c>
      <c r="N338" s="49">
        <v>0</v>
      </c>
      <c r="O338" s="49">
        <v>0</v>
      </c>
      <c r="P338" s="49">
        <v>0</v>
      </c>
      <c r="Q338" s="58">
        <v>0</v>
      </c>
      <c r="R338" s="42">
        <v>0</v>
      </c>
      <c r="S338" s="83">
        <v>1</v>
      </c>
      <c r="U338" s="83">
        <v>1</v>
      </c>
      <c r="V338" s="49">
        <v>1</v>
      </c>
      <c r="W338" s="49">
        <v>2</v>
      </c>
      <c r="X338" s="58"/>
      <c r="Y338" s="83">
        <v>0</v>
      </c>
      <c r="AJ338" s="49">
        <v>0</v>
      </c>
      <c r="AK338" s="83">
        <v>0</v>
      </c>
      <c r="AL338" s="49">
        <v>0</v>
      </c>
      <c r="AM338" s="49">
        <v>0</v>
      </c>
      <c r="AN338" s="49">
        <v>0</v>
      </c>
      <c r="AO338" s="58">
        <v>0</v>
      </c>
      <c r="AP338" s="174">
        <v>0</v>
      </c>
      <c r="AQ338" s="175">
        <v>0</v>
      </c>
      <c r="AR338" s="175">
        <v>0</v>
      </c>
      <c r="AS338" s="175">
        <v>0</v>
      </c>
      <c r="AT338" s="175">
        <v>0</v>
      </c>
      <c r="AU338" s="175">
        <v>0</v>
      </c>
      <c r="AV338" s="175">
        <v>0</v>
      </c>
      <c r="AW338" s="175">
        <v>0</v>
      </c>
      <c r="AX338" s="83">
        <v>0</v>
      </c>
      <c r="AY338" s="49">
        <v>0</v>
      </c>
      <c r="AZ338" s="49">
        <v>0</v>
      </c>
      <c r="BA338" s="49">
        <v>0</v>
      </c>
      <c r="BB338" s="58">
        <v>0</v>
      </c>
      <c r="BC338" s="42">
        <v>98</v>
      </c>
      <c r="BE338" s="49"/>
      <c r="BS338" s="58"/>
      <c r="BT338" s="83"/>
      <c r="CE338" s="83"/>
      <c r="CK338" s="58"/>
      <c r="CL338" s="83"/>
      <c r="CO338" s="58"/>
      <c r="CP338" s="83"/>
      <c r="CR338" s="58"/>
      <c r="CS338" s="83"/>
      <c r="CY338" s="83"/>
      <c r="DG338" s="58"/>
      <c r="DH338" s="83"/>
      <c r="DQ338" s="83"/>
      <c r="EE338" s="58"/>
      <c r="EF338" s="83"/>
      <c r="EI338" s="83"/>
      <c r="EK338" s="58"/>
      <c r="EL338" s="83"/>
      <c r="EO338" s="58"/>
      <c r="EP338" s="83"/>
      <c r="EQ338" s="58"/>
      <c r="ER338" s="83"/>
      <c r="ES338" s="58"/>
      <c r="ET338" s="83"/>
      <c r="EU338" s="58"/>
    </row>
    <row r="339" spans="1:151">
      <c r="A339" s="83" t="s">
        <v>325</v>
      </c>
      <c r="B339" s="173" t="s">
        <v>146</v>
      </c>
      <c r="C339" s="173" t="s">
        <v>506</v>
      </c>
      <c r="D339" s="83" t="s">
        <v>153</v>
      </c>
      <c r="F339" s="49" t="s">
        <v>286</v>
      </c>
      <c r="G339" s="49">
        <v>32.68</v>
      </c>
      <c r="I339" s="49">
        <v>2419</v>
      </c>
      <c r="J339" s="159">
        <v>2.3738959764474976</v>
      </c>
      <c r="K339" s="49">
        <v>1</v>
      </c>
      <c r="L339" s="49">
        <v>1</v>
      </c>
      <c r="M339" s="83">
        <v>0</v>
      </c>
      <c r="N339" s="49">
        <v>2</v>
      </c>
      <c r="O339" s="49">
        <v>0</v>
      </c>
      <c r="P339" s="49">
        <v>0</v>
      </c>
      <c r="Q339" s="58">
        <v>0</v>
      </c>
      <c r="R339" s="42">
        <v>2</v>
      </c>
      <c r="S339" s="83">
        <v>1</v>
      </c>
      <c r="U339" s="83">
        <v>1</v>
      </c>
      <c r="V339" s="49">
        <v>1</v>
      </c>
      <c r="W339" s="49">
        <v>2</v>
      </c>
      <c r="X339" s="58"/>
      <c r="Y339" s="83">
        <v>2</v>
      </c>
      <c r="AD339" s="49">
        <v>15</v>
      </c>
      <c r="AE339" s="49">
        <v>32</v>
      </c>
      <c r="AF339" s="49">
        <v>20</v>
      </c>
      <c r="AG339" s="49">
        <v>41</v>
      </c>
      <c r="AJ339" s="49">
        <v>0</v>
      </c>
      <c r="AK339" s="83">
        <v>0</v>
      </c>
      <c r="AL339" s="49">
        <v>0</v>
      </c>
      <c r="AM339" s="49">
        <v>0</v>
      </c>
      <c r="AN339" s="49">
        <v>0</v>
      </c>
      <c r="AO339" s="58">
        <v>0</v>
      </c>
      <c r="AP339" s="174">
        <v>0</v>
      </c>
      <c r="AQ339" s="175">
        <v>0</v>
      </c>
      <c r="AR339" s="175">
        <v>0</v>
      </c>
      <c r="AS339" s="175">
        <v>0</v>
      </c>
      <c r="AT339" s="175">
        <v>0</v>
      </c>
      <c r="AU339" s="175">
        <v>0</v>
      </c>
      <c r="AV339" s="175">
        <v>0</v>
      </c>
      <c r="AW339" s="175">
        <v>0</v>
      </c>
      <c r="AX339" s="83">
        <v>0</v>
      </c>
      <c r="AY339" s="49">
        <v>0</v>
      </c>
      <c r="AZ339" s="49">
        <v>0</v>
      </c>
      <c r="BA339" s="49">
        <v>0</v>
      </c>
      <c r="BB339" s="58">
        <v>0</v>
      </c>
      <c r="BC339" s="42">
        <v>174</v>
      </c>
      <c r="BE339" s="49"/>
      <c r="BS339" s="58"/>
      <c r="BT339" s="83"/>
      <c r="CE339" s="83"/>
      <c r="CK339" s="58"/>
      <c r="CL339" s="83"/>
      <c r="CO339" s="58"/>
      <c r="CP339" s="83"/>
      <c r="CR339" s="58"/>
      <c r="CS339" s="83"/>
      <c r="CY339" s="83"/>
      <c r="DG339" s="58"/>
      <c r="DH339" s="83"/>
      <c r="DQ339" s="83"/>
      <c r="EE339" s="58"/>
      <c r="EF339" s="83"/>
      <c r="EI339" s="83"/>
      <c r="EK339" s="58"/>
      <c r="EL339" s="83"/>
      <c r="EO339" s="58"/>
      <c r="EP339" s="83"/>
      <c r="EQ339" s="58"/>
      <c r="ER339" s="83"/>
      <c r="ES339" s="58"/>
      <c r="ET339" s="83"/>
      <c r="EU339" s="58"/>
    </row>
    <row r="340" spans="1:151">
      <c r="A340" s="83" t="s">
        <v>325</v>
      </c>
      <c r="B340" s="173" t="s">
        <v>146</v>
      </c>
      <c r="C340" s="173" t="s">
        <v>506</v>
      </c>
      <c r="D340" s="83" t="s">
        <v>154</v>
      </c>
      <c r="F340" s="49" t="s">
        <v>286</v>
      </c>
      <c r="G340" s="49">
        <v>32.68</v>
      </c>
      <c r="I340" s="49">
        <v>1511</v>
      </c>
      <c r="J340" s="159">
        <v>1.9521963824289406</v>
      </c>
      <c r="K340" s="49">
        <v>1</v>
      </c>
      <c r="L340" s="49">
        <v>2</v>
      </c>
      <c r="M340" s="83">
        <v>0</v>
      </c>
      <c r="N340" s="49">
        <v>0</v>
      </c>
      <c r="O340" s="49">
        <v>1</v>
      </c>
      <c r="P340" s="49">
        <v>1</v>
      </c>
      <c r="Q340" s="58">
        <v>0</v>
      </c>
      <c r="R340" s="42">
        <v>2</v>
      </c>
      <c r="S340" s="83" t="s">
        <v>283</v>
      </c>
      <c r="T340" s="49">
        <v>9</v>
      </c>
      <c r="U340" s="83">
        <v>3</v>
      </c>
      <c r="V340" s="49">
        <v>3</v>
      </c>
      <c r="W340" s="49">
        <v>3</v>
      </c>
      <c r="X340" s="58">
        <v>1</v>
      </c>
      <c r="Y340" s="83">
        <v>2</v>
      </c>
      <c r="Z340" s="49">
        <v>6</v>
      </c>
      <c r="AA340" s="49">
        <v>15</v>
      </c>
      <c r="AD340" s="49">
        <v>8</v>
      </c>
      <c r="AE340" s="49">
        <v>35</v>
      </c>
      <c r="AH340" s="49">
        <v>23</v>
      </c>
      <c r="AI340" s="49">
        <v>354</v>
      </c>
      <c r="AJ340" s="49">
        <v>0</v>
      </c>
      <c r="AK340" s="83">
        <v>0</v>
      </c>
      <c r="AL340" s="49">
        <v>1</v>
      </c>
      <c r="AM340" s="49">
        <v>0</v>
      </c>
      <c r="AN340" s="49">
        <v>0</v>
      </c>
      <c r="AO340" s="58">
        <v>0</v>
      </c>
      <c r="AP340" s="174">
        <v>0</v>
      </c>
      <c r="AQ340" s="175">
        <v>415</v>
      </c>
      <c r="AR340" s="175">
        <v>0</v>
      </c>
      <c r="AS340" s="175">
        <v>0</v>
      </c>
      <c r="AT340" s="175">
        <v>0</v>
      </c>
      <c r="AU340" s="175">
        <v>0</v>
      </c>
      <c r="AV340" s="175">
        <v>0</v>
      </c>
      <c r="AW340" s="175">
        <v>0</v>
      </c>
      <c r="AX340" s="83">
        <v>0</v>
      </c>
      <c r="AY340" s="49">
        <v>0</v>
      </c>
      <c r="AZ340" s="49">
        <v>0</v>
      </c>
      <c r="BA340" s="49">
        <v>0</v>
      </c>
      <c r="BB340" s="58">
        <v>0</v>
      </c>
      <c r="BC340" s="42">
        <v>107</v>
      </c>
      <c r="BE340" s="49"/>
      <c r="BS340" s="58"/>
      <c r="BT340" s="83"/>
      <c r="CE340" s="83"/>
      <c r="CK340" s="58"/>
      <c r="CL340" s="83"/>
      <c r="CO340" s="58"/>
      <c r="CP340" s="83"/>
      <c r="CR340" s="58"/>
      <c r="CS340" s="83"/>
      <c r="CY340" s="83"/>
      <c r="DG340" s="58"/>
      <c r="DH340" s="83"/>
      <c r="DQ340" s="83"/>
      <c r="EE340" s="58"/>
      <c r="EF340" s="83"/>
      <c r="EI340" s="83"/>
      <c r="EK340" s="58"/>
      <c r="EL340" s="83"/>
      <c r="EO340" s="58"/>
      <c r="EP340" s="83"/>
      <c r="EQ340" s="58"/>
      <c r="ER340" s="83"/>
      <c r="ES340" s="58"/>
      <c r="ET340" s="83"/>
      <c r="EU340" s="58"/>
    </row>
    <row r="341" spans="1:151">
      <c r="A341" s="83" t="s">
        <v>325</v>
      </c>
      <c r="B341" s="173" t="s">
        <v>146</v>
      </c>
      <c r="C341" s="173" t="s">
        <v>506</v>
      </c>
      <c r="D341" s="83" t="s">
        <v>155</v>
      </c>
      <c r="F341" s="49" t="s">
        <v>287</v>
      </c>
      <c r="G341" s="49">
        <v>32.68</v>
      </c>
      <c r="I341" s="49">
        <v>729</v>
      </c>
      <c r="J341" s="159">
        <v>2.1632047477744809</v>
      </c>
      <c r="K341" s="49">
        <v>1</v>
      </c>
      <c r="L341" s="49">
        <v>1</v>
      </c>
      <c r="M341" s="83">
        <v>1</v>
      </c>
      <c r="N341" s="49">
        <v>0</v>
      </c>
      <c r="O341" s="49">
        <v>1</v>
      </c>
      <c r="P341" s="49">
        <v>0</v>
      </c>
      <c r="Q341" s="58">
        <v>0</v>
      </c>
      <c r="R341" s="42">
        <v>2</v>
      </c>
      <c r="S341" s="83">
        <v>1</v>
      </c>
      <c r="U341" s="83">
        <v>1</v>
      </c>
      <c r="V341" s="49">
        <v>1</v>
      </c>
      <c r="W341" s="49">
        <v>1</v>
      </c>
      <c r="X341" s="58">
        <v>1</v>
      </c>
      <c r="Y341" s="83">
        <v>2</v>
      </c>
      <c r="Z341" s="49">
        <v>2</v>
      </c>
      <c r="AI341" s="49">
        <v>98</v>
      </c>
      <c r="AJ341" s="49">
        <v>0</v>
      </c>
      <c r="AK341" s="83">
        <v>0</v>
      </c>
      <c r="AL341" s="49">
        <v>1</v>
      </c>
      <c r="AM341" s="49">
        <v>1</v>
      </c>
      <c r="AN341" s="49">
        <v>0</v>
      </c>
      <c r="AO341" s="58">
        <v>0</v>
      </c>
      <c r="AP341" s="174">
        <v>176</v>
      </c>
      <c r="AQ341" s="175">
        <v>195</v>
      </c>
      <c r="AR341" s="175">
        <v>0</v>
      </c>
      <c r="AS341" s="175">
        <v>61</v>
      </c>
      <c r="AT341" s="175">
        <v>0</v>
      </c>
      <c r="AU341" s="175">
        <v>0</v>
      </c>
      <c r="AV341" s="175">
        <v>0</v>
      </c>
      <c r="AW341" s="175">
        <v>0</v>
      </c>
      <c r="AX341" s="83">
        <v>0</v>
      </c>
      <c r="AY341" s="49">
        <v>0</v>
      </c>
      <c r="AZ341" s="49">
        <v>0</v>
      </c>
      <c r="BA341" s="49">
        <v>0</v>
      </c>
      <c r="BB341" s="58">
        <v>0</v>
      </c>
      <c r="BC341" s="42">
        <v>107</v>
      </c>
      <c r="BE341" s="49"/>
      <c r="BS341" s="58"/>
      <c r="BT341" s="83"/>
      <c r="CE341" s="83"/>
      <c r="CK341" s="58"/>
      <c r="CL341" s="83"/>
      <c r="CO341" s="58"/>
      <c r="CP341" s="83"/>
      <c r="CR341" s="58"/>
      <c r="CS341" s="83"/>
      <c r="CY341" s="83"/>
      <c r="DG341" s="58"/>
      <c r="DH341" s="83"/>
      <c r="DQ341" s="83"/>
      <c r="EE341" s="58"/>
      <c r="EF341" s="83"/>
      <c r="EI341" s="83"/>
      <c r="EK341" s="58"/>
      <c r="EL341" s="83"/>
      <c r="EO341" s="58"/>
      <c r="EP341" s="83"/>
      <c r="EQ341" s="58"/>
      <c r="ER341" s="83"/>
      <c r="ES341" s="58"/>
      <c r="ET341" s="83"/>
      <c r="EU341" s="58"/>
    </row>
    <row r="342" spans="1:151">
      <c r="A342" s="83" t="s">
        <v>325</v>
      </c>
      <c r="B342" s="173" t="s">
        <v>146</v>
      </c>
      <c r="C342" s="173" t="s">
        <v>506</v>
      </c>
      <c r="D342" s="83" t="s">
        <v>156</v>
      </c>
      <c r="F342" s="49" t="s">
        <v>286</v>
      </c>
      <c r="G342" s="49">
        <v>32.68</v>
      </c>
      <c r="I342" s="49">
        <v>1470</v>
      </c>
      <c r="J342" s="159">
        <v>1.6424581005586592</v>
      </c>
      <c r="K342" s="49">
        <v>1</v>
      </c>
      <c r="L342" s="49">
        <v>2</v>
      </c>
      <c r="M342" s="83">
        <v>0</v>
      </c>
      <c r="N342" s="49">
        <v>2</v>
      </c>
      <c r="O342" s="49">
        <v>1</v>
      </c>
      <c r="P342" s="49">
        <v>0</v>
      </c>
      <c r="Q342" s="58">
        <v>0</v>
      </c>
      <c r="R342" s="42">
        <v>3</v>
      </c>
      <c r="S342" s="83">
        <v>1</v>
      </c>
      <c r="U342" s="83">
        <v>1</v>
      </c>
      <c r="V342" s="49">
        <v>2</v>
      </c>
      <c r="W342" s="49">
        <v>1</v>
      </c>
      <c r="X342" s="58">
        <v>3</v>
      </c>
      <c r="Y342" s="83">
        <v>10</v>
      </c>
      <c r="Z342" s="49">
        <v>5</v>
      </c>
      <c r="AA342" s="49">
        <v>10</v>
      </c>
      <c r="AD342" s="49">
        <v>8</v>
      </c>
      <c r="AE342" s="49">
        <v>288</v>
      </c>
      <c r="AF342" s="49">
        <v>21</v>
      </c>
      <c r="AG342" s="49">
        <v>121</v>
      </c>
      <c r="AJ342" s="49">
        <v>0</v>
      </c>
      <c r="AK342" s="83">
        <v>0</v>
      </c>
      <c r="AL342" s="49">
        <v>0</v>
      </c>
      <c r="AM342" s="49">
        <v>1</v>
      </c>
      <c r="AN342" s="49">
        <v>0</v>
      </c>
      <c r="AO342" s="58">
        <v>0</v>
      </c>
      <c r="AP342" s="174" t="s">
        <v>284</v>
      </c>
      <c r="AQ342" s="175" t="s">
        <v>284</v>
      </c>
      <c r="AR342" s="175">
        <v>52</v>
      </c>
      <c r="AS342" s="175">
        <v>237</v>
      </c>
      <c r="AT342" s="175" t="s">
        <v>284</v>
      </c>
      <c r="AU342" s="175" t="s">
        <v>284</v>
      </c>
      <c r="AV342" s="175" t="s">
        <v>284</v>
      </c>
      <c r="AW342" s="175" t="s">
        <v>284</v>
      </c>
      <c r="AX342" s="83">
        <v>0</v>
      </c>
      <c r="AY342" s="49">
        <v>0</v>
      </c>
      <c r="AZ342" s="49">
        <v>0</v>
      </c>
      <c r="BA342" s="49">
        <v>0</v>
      </c>
      <c r="BB342" s="58">
        <v>0</v>
      </c>
      <c r="BC342" s="42">
        <v>122</v>
      </c>
      <c r="BD342" s="49">
        <v>81.94</v>
      </c>
      <c r="BE342" s="49">
        <v>82.12</v>
      </c>
      <c r="BF342" s="49">
        <v>82.58</v>
      </c>
      <c r="BS342" s="58"/>
      <c r="BT342" s="83"/>
      <c r="CE342" s="83"/>
      <c r="CK342" s="58"/>
      <c r="CL342" s="83">
        <v>64.91</v>
      </c>
      <c r="CM342" s="49">
        <v>62.76</v>
      </c>
      <c r="CO342" s="58"/>
      <c r="CP342" s="83"/>
      <c r="CR342" s="58"/>
      <c r="CS342" s="83"/>
      <c r="CY342" s="83"/>
      <c r="DG342" s="58"/>
      <c r="DH342" s="83"/>
      <c r="DQ342" s="83">
        <v>80.33</v>
      </c>
      <c r="EE342" s="58"/>
      <c r="EF342" s="83"/>
      <c r="EI342" s="83"/>
      <c r="EK342" s="58"/>
      <c r="EL342" s="83"/>
      <c r="EO342" s="58"/>
      <c r="EP342" s="83"/>
      <c r="EQ342" s="58"/>
      <c r="ER342" s="83"/>
      <c r="ES342" s="58"/>
      <c r="ET342" s="83"/>
      <c r="EU342" s="58"/>
    </row>
    <row r="343" spans="1:151">
      <c r="A343" s="83" t="s">
        <v>325</v>
      </c>
      <c r="B343" s="173" t="s">
        <v>146</v>
      </c>
      <c r="C343" s="173" t="s">
        <v>506</v>
      </c>
      <c r="D343" s="83" t="s">
        <v>157</v>
      </c>
      <c r="F343" s="49" t="s">
        <v>286</v>
      </c>
      <c r="G343" s="49">
        <v>32.68</v>
      </c>
      <c r="I343" s="49">
        <v>1462</v>
      </c>
      <c r="J343" s="159">
        <v>4.2748538011695905</v>
      </c>
      <c r="K343" s="49">
        <v>1</v>
      </c>
      <c r="L343" s="49">
        <v>2</v>
      </c>
      <c r="M343" s="83">
        <v>0</v>
      </c>
      <c r="N343" s="49">
        <v>4</v>
      </c>
      <c r="O343" s="49">
        <v>1</v>
      </c>
      <c r="P343" s="49">
        <v>0</v>
      </c>
      <c r="Q343" s="58">
        <v>0</v>
      </c>
      <c r="R343" s="42">
        <v>5</v>
      </c>
      <c r="S343" s="83">
        <v>1</v>
      </c>
      <c r="U343" s="83">
        <v>1</v>
      </c>
      <c r="V343" s="49">
        <v>4</v>
      </c>
      <c r="W343" s="49">
        <v>1</v>
      </c>
      <c r="X343" s="58">
        <v>3</v>
      </c>
      <c r="Y343" s="83">
        <v>10</v>
      </c>
      <c r="Z343" s="49">
        <v>4</v>
      </c>
      <c r="AA343" s="49">
        <v>14</v>
      </c>
      <c r="AD343" s="49">
        <v>6</v>
      </c>
      <c r="AE343" s="49">
        <v>114</v>
      </c>
      <c r="AH343" s="49">
        <v>13</v>
      </c>
      <c r="AI343" s="49">
        <v>112</v>
      </c>
      <c r="AJ343" s="49">
        <v>0</v>
      </c>
      <c r="AK343" s="83">
        <v>0</v>
      </c>
      <c r="AL343" s="49">
        <v>1</v>
      </c>
      <c r="AM343" s="49">
        <v>1</v>
      </c>
      <c r="AN343" s="49">
        <v>0</v>
      </c>
      <c r="AO343" s="58">
        <v>0</v>
      </c>
      <c r="AP343" s="174">
        <v>0</v>
      </c>
      <c r="AQ343" s="175">
        <v>314</v>
      </c>
      <c r="AR343" s="175">
        <v>74</v>
      </c>
      <c r="AS343" s="175">
        <v>444</v>
      </c>
      <c r="AT343" s="175">
        <v>0</v>
      </c>
      <c r="AU343" s="175">
        <v>0</v>
      </c>
      <c r="AV343" s="175">
        <v>0</v>
      </c>
      <c r="AW343" s="175">
        <v>0</v>
      </c>
      <c r="AX343" s="83">
        <v>0</v>
      </c>
      <c r="AY343" s="49">
        <v>0</v>
      </c>
      <c r="AZ343" s="49">
        <v>0</v>
      </c>
      <c r="BA343" s="49">
        <v>0</v>
      </c>
      <c r="BB343" s="58">
        <v>0</v>
      </c>
      <c r="BC343" s="42">
        <v>131</v>
      </c>
      <c r="BD343" s="49">
        <v>76.11</v>
      </c>
      <c r="BE343" s="49"/>
      <c r="BS343" s="58"/>
      <c r="BT343" s="83">
        <v>61.5</v>
      </c>
      <c r="BU343" s="49">
        <v>61.49</v>
      </c>
      <c r="CE343" s="83">
        <v>62.01</v>
      </c>
      <c r="CF343" s="49">
        <v>66.19</v>
      </c>
      <c r="CK343" s="58"/>
      <c r="CL343" s="83">
        <v>58.31</v>
      </c>
      <c r="CO343" s="58"/>
      <c r="CP343" s="83"/>
      <c r="CR343" s="58"/>
      <c r="CS343" s="83"/>
      <c r="CY343" s="83"/>
      <c r="DG343" s="58"/>
      <c r="DH343" s="83"/>
      <c r="DQ343" s="83">
        <v>63.72</v>
      </c>
      <c r="DR343" s="49">
        <v>65.900000000000006</v>
      </c>
      <c r="DS343" s="49">
        <v>69.099999999999994</v>
      </c>
      <c r="EE343" s="58"/>
      <c r="EF343" s="83"/>
      <c r="EI343" s="83"/>
      <c r="EK343" s="58"/>
      <c r="EL343" s="83"/>
      <c r="EO343" s="58"/>
      <c r="EP343" s="83"/>
      <c r="EQ343" s="58"/>
      <c r="ER343" s="83"/>
      <c r="ES343" s="58"/>
      <c r="ET343" s="83"/>
      <c r="EU343" s="58"/>
    </row>
    <row r="344" spans="1:151">
      <c r="A344" s="83" t="s">
        <v>325</v>
      </c>
      <c r="B344" s="173" t="s">
        <v>146</v>
      </c>
      <c r="C344" s="173" t="s">
        <v>506</v>
      </c>
      <c r="D344" s="83" t="s">
        <v>158</v>
      </c>
      <c r="E344" s="49" t="s">
        <v>0</v>
      </c>
      <c r="F344" s="49" t="s">
        <v>287</v>
      </c>
      <c r="G344" s="49">
        <v>32.68</v>
      </c>
      <c r="I344" s="49">
        <v>490</v>
      </c>
      <c r="J344" s="159">
        <v>8.3050847457627111</v>
      </c>
      <c r="K344" s="49">
        <v>2</v>
      </c>
      <c r="L344" s="49">
        <v>3</v>
      </c>
      <c r="M344" s="83">
        <v>0</v>
      </c>
      <c r="N344" s="49">
        <v>0</v>
      </c>
      <c r="O344" s="49">
        <v>0</v>
      </c>
      <c r="P344" s="49">
        <v>0</v>
      </c>
      <c r="Q344" s="58">
        <v>0</v>
      </c>
      <c r="R344" s="42">
        <v>0</v>
      </c>
      <c r="S344" s="83" t="s">
        <v>284</v>
      </c>
      <c r="U344" s="83">
        <v>0</v>
      </c>
      <c r="V344" s="49">
        <v>0</v>
      </c>
      <c r="W344" s="49">
        <v>0</v>
      </c>
      <c r="X344" s="58"/>
      <c r="Y344" s="83">
        <v>1</v>
      </c>
      <c r="AE344" s="49">
        <v>24</v>
      </c>
      <c r="AJ344" s="49">
        <v>0</v>
      </c>
      <c r="AK344" s="83">
        <v>0</v>
      </c>
      <c r="AL344" s="49">
        <v>0</v>
      </c>
      <c r="AM344" s="49">
        <v>0</v>
      </c>
      <c r="AN344" s="49">
        <v>0</v>
      </c>
      <c r="AO344" s="58">
        <v>0</v>
      </c>
      <c r="AP344" s="174">
        <v>0</v>
      </c>
      <c r="AQ344" s="175">
        <v>0</v>
      </c>
      <c r="AR344" s="175">
        <v>0</v>
      </c>
      <c r="AS344" s="175">
        <v>0</v>
      </c>
      <c r="AT344" s="175">
        <v>0</v>
      </c>
      <c r="AU344" s="175">
        <v>0</v>
      </c>
      <c r="AV344" s="175">
        <v>0</v>
      </c>
      <c r="AW344" s="175">
        <v>0</v>
      </c>
      <c r="AX344" s="83">
        <v>0</v>
      </c>
      <c r="AY344" s="49">
        <v>0</v>
      </c>
      <c r="AZ344" s="49">
        <v>0</v>
      </c>
      <c r="BA344" s="49">
        <v>0</v>
      </c>
      <c r="BB344" s="58">
        <v>0</v>
      </c>
      <c r="BC344" s="42">
        <v>114</v>
      </c>
      <c r="BE344" s="49"/>
      <c r="BS344" s="58"/>
      <c r="BT344" s="83"/>
      <c r="CE344" s="83"/>
      <c r="CK344" s="58"/>
      <c r="CL344" s="83"/>
      <c r="CO344" s="58"/>
      <c r="CP344" s="83"/>
      <c r="CR344" s="58"/>
      <c r="CS344" s="83"/>
      <c r="CY344" s="83"/>
      <c r="DG344" s="58"/>
      <c r="DH344" s="83"/>
      <c r="DQ344" s="83"/>
      <c r="EE344" s="58"/>
      <c r="EF344" s="83"/>
      <c r="EI344" s="83"/>
      <c r="EK344" s="58"/>
      <c r="EL344" s="83"/>
      <c r="EO344" s="58"/>
      <c r="EP344" s="83"/>
      <c r="EQ344" s="58"/>
      <c r="ER344" s="83"/>
      <c r="ES344" s="58"/>
      <c r="ET344" s="83"/>
      <c r="EU344" s="58"/>
    </row>
    <row r="345" spans="1:151">
      <c r="A345" s="83" t="s">
        <v>325</v>
      </c>
      <c r="B345" s="173" t="s">
        <v>146</v>
      </c>
      <c r="C345" s="173" t="s">
        <v>506</v>
      </c>
      <c r="D345" s="83" t="s">
        <v>158</v>
      </c>
      <c r="E345" s="49" t="s">
        <v>1</v>
      </c>
      <c r="F345" s="49" t="s">
        <v>287</v>
      </c>
      <c r="G345" s="49">
        <v>32.68</v>
      </c>
      <c r="I345" s="49">
        <v>448</v>
      </c>
      <c r="J345" s="159">
        <v>9.9555555555555557</v>
      </c>
      <c r="K345" s="49">
        <v>3</v>
      </c>
      <c r="L345" s="49">
        <v>2</v>
      </c>
      <c r="M345" s="83">
        <v>0</v>
      </c>
      <c r="N345" s="49">
        <v>0</v>
      </c>
      <c r="O345" s="49">
        <v>0</v>
      </c>
      <c r="P345" s="49">
        <v>0</v>
      </c>
      <c r="Q345" s="58">
        <v>0</v>
      </c>
      <c r="R345" s="42">
        <v>0</v>
      </c>
      <c r="S345" s="83" t="s">
        <v>284</v>
      </c>
      <c r="U345" s="83">
        <v>0</v>
      </c>
      <c r="V345" s="49">
        <v>0</v>
      </c>
      <c r="W345" s="49">
        <v>0</v>
      </c>
      <c r="X345" s="58"/>
      <c r="Y345" s="83">
        <v>3</v>
      </c>
      <c r="AD345" s="49">
        <v>5</v>
      </c>
      <c r="AE345" s="49">
        <v>48</v>
      </c>
      <c r="AI345" s="49">
        <v>20</v>
      </c>
      <c r="AJ345" s="49">
        <v>0</v>
      </c>
      <c r="AK345" s="83">
        <v>0</v>
      </c>
      <c r="AL345" s="49">
        <v>0</v>
      </c>
      <c r="AM345" s="49">
        <v>0</v>
      </c>
      <c r="AN345" s="49">
        <v>0</v>
      </c>
      <c r="AO345" s="58">
        <v>0</v>
      </c>
      <c r="AP345" s="174">
        <v>0</v>
      </c>
      <c r="AQ345" s="175">
        <v>0</v>
      </c>
      <c r="AR345" s="175">
        <v>0</v>
      </c>
      <c r="AS345" s="175">
        <v>0</v>
      </c>
      <c r="AT345" s="175">
        <v>0</v>
      </c>
      <c r="AU345" s="175">
        <v>0</v>
      </c>
      <c r="AV345" s="175">
        <v>0</v>
      </c>
      <c r="AW345" s="175">
        <v>0</v>
      </c>
      <c r="AX345" s="83">
        <v>0</v>
      </c>
      <c r="AY345" s="49">
        <v>0</v>
      </c>
      <c r="AZ345" s="49">
        <v>0</v>
      </c>
      <c r="BA345" s="49">
        <v>0</v>
      </c>
      <c r="BB345" s="58">
        <v>0</v>
      </c>
      <c r="BC345" s="42">
        <v>114</v>
      </c>
      <c r="BE345" s="49"/>
      <c r="BS345" s="58"/>
      <c r="BT345" s="83"/>
      <c r="CE345" s="83"/>
      <c r="CK345" s="58"/>
      <c r="CL345" s="83"/>
      <c r="CO345" s="58"/>
      <c r="CP345" s="83"/>
      <c r="CR345" s="58"/>
      <c r="CS345" s="83"/>
      <c r="CY345" s="83"/>
      <c r="DG345" s="58"/>
      <c r="DH345" s="83"/>
      <c r="DQ345" s="83"/>
      <c r="EE345" s="58"/>
      <c r="EF345" s="83"/>
      <c r="EI345" s="83"/>
      <c r="EK345" s="58"/>
      <c r="EL345" s="83"/>
      <c r="EO345" s="58"/>
      <c r="EP345" s="83"/>
      <c r="EQ345" s="58"/>
      <c r="ER345" s="83"/>
      <c r="ES345" s="58"/>
      <c r="ET345" s="83"/>
      <c r="EU345" s="58"/>
    </row>
    <row r="346" spans="1:151">
      <c r="A346" s="83" t="s">
        <v>325</v>
      </c>
      <c r="B346" s="173" t="s">
        <v>146</v>
      </c>
      <c r="C346" s="173" t="s">
        <v>506</v>
      </c>
      <c r="D346" s="83" t="s">
        <v>159</v>
      </c>
      <c r="F346" s="49" t="s">
        <v>287</v>
      </c>
      <c r="G346" s="49">
        <v>32.68</v>
      </c>
      <c r="I346" s="49">
        <v>562</v>
      </c>
      <c r="J346" s="159">
        <v>2.2480000000000002</v>
      </c>
      <c r="K346" s="49">
        <v>1</v>
      </c>
      <c r="L346" s="49">
        <v>1</v>
      </c>
      <c r="M346" s="83">
        <v>1</v>
      </c>
      <c r="N346" s="49">
        <v>0</v>
      </c>
      <c r="O346" s="49">
        <v>0</v>
      </c>
      <c r="P346" s="49">
        <v>0</v>
      </c>
      <c r="Q346" s="58">
        <v>0</v>
      </c>
      <c r="R346" s="42">
        <v>1</v>
      </c>
      <c r="S346" s="83">
        <v>1</v>
      </c>
      <c r="U346" s="83">
        <v>0</v>
      </c>
      <c r="V346" s="49">
        <v>0</v>
      </c>
      <c r="W346" s="49">
        <v>0</v>
      </c>
      <c r="X346" s="58"/>
      <c r="Y346" s="83">
        <v>1</v>
      </c>
      <c r="AD346" s="49">
        <v>4</v>
      </c>
      <c r="AE346" s="49">
        <v>7</v>
      </c>
      <c r="AJ346" s="49">
        <v>0</v>
      </c>
      <c r="AK346" s="83">
        <v>0</v>
      </c>
      <c r="AL346" s="49">
        <v>0</v>
      </c>
      <c r="AM346" s="49">
        <v>0</v>
      </c>
      <c r="AN346" s="49">
        <v>0</v>
      </c>
      <c r="AO346" s="58">
        <v>0</v>
      </c>
      <c r="AP346" s="174">
        <v>0</v>
      </c>
      <c r="AQ346" s="175">
        <v>0</v>
      </c>
      <c r="AR346" s="175">
        <v>0</v>
      </c>
      <c r="AS346" s="175">
        <v>0</v>
      </c>
      <c r="AT346" s="175">
        <v>0</v>
      </c>
      <c r="AU346" s="175">
        <v>0</v>
      </c>
      <c r="AV346" s="175">
        <v>0</v>
      </c>
      <c r="AW346" s="175">
        <v>0</v>
      </c>
      <c r="AX346" s="83">
        <v>0</v>
      </c>
      <c r="AY346" s="49">
        <v>0</v>
      </c>
      <c r="AZ346" s="49">
        <v>0</v>
      </c>
      <c r="BA346" s="49">
        <v>0</v>
      </c>
      <c r="BB346" s="58">
        <v>0</v>
      </c>
      <c r="BC346" s="42">
        <v>92</v>
      </c>
      <c r="BE346" s="49"/>
      <c r="BS346" s="58"/>
      <c r="BT346" s="83"/>
      <c r="CE346" s="83"/>
      <c r="CK346" s="58"/>
      <c r="CL346" s="83"/>
      <c r="CO346" s="58"/>
      <c r="CP346" s="83"/>
      <c r="CR346" s="58"/>
      <c r="CS346" s="83"/>
      <c r="CY346" s="83"/>
      <c r="DG346" s="58"/>
      <c r="DH346" s="83"/>
      <c r="DQ346" s="83"/>
      <c r="EE346" s="58"/>
      <c r="EF346" s="83"/>
      <c r="EI346" s="83"/>
      <c r="EK346" s="58"/>
      <c r="EL346" s="83"/>
      <c r="EO346" s="58"/>
      <c r="EP346" s="83"/>
      <c r="EQ346" s="58"/>
      <c r="ER346" s="83"/>
      <c r="ES346" s="58"/>
      <c r="ET346" s="83"/>
      <c r="EU346" s="58"/>
    </row>
    <row r="347" spans="1:151">
      <c r="A347" s="83" t="s">
        <v>325</v>
      </c>
      <c r="B347" s="173" t="s">
        <v>146</v>
      </c>
      <c r="C347" s="173" t="s">
        <v>506</v>
      </c>
      <c r="D347" s="83" t="s">
        <v>160</v>
      </c>
      <c r="F347" s="49" t="s">
        <v>286</v>
      </c>
      <c r="G347" s="49">
        <v>32.68</v>
      </c>
      <c r="I347" s="49">
        <v>6288</v>
      </c>
      <c r="J347" s="159">
        <v>2.6917808219178081</v>
      </c>
      <c r="K347" s="49">
        <v>4</v>
      </c>
      <c r="L347" s="49">
        <v>4</v>
      </c>
      <c r="M347" s="83">
        <v>0</v>
      </c>
      <c r="N347" s="49">
        <v>2</v>
      </c>
      <c r="O347" s="49">
        <v>0</v>
      </c>
      <c r="P347" s="49">
        <v>1</v>
      </c>
      <c r="Q347" s="58">
        <v>0</v>
      </c>
      <c r="R347" s="42">
        <v>3</v>
      </c>
      <c r="S347" s="83">
        <v>1</v>
      </c>
      <c r="U347" s="83">
        <v>2</v>
      </c>
      <c r="V347" s="49">
        <v>3</v>
      </c>
      <c r="W347" s="49">
        <v>3</v>
      </c>
      <c r="X347" s="58">
        <v>1</v>
      </c>
      <c r="Y347" s="83">
        <v>3</v>
      </c>
      <c r="AA347" s="49">
        <v>15</v>
      </c>
      <c r="AD347" s="49">
        <v>14</v>
      </c>
      <c r="AE347" s="49">
        <v>500</v>
      </c>
      <c r="AF347" s="49">
        <v>20</v>
      </c>
      <c r="AG347" s="49">
        <v>164</v>
      </c>
      <c r="AH347" s="49">
        <v>99</v>
      </c>
      <c r="AI347" s="49">
        <v>1386</v>
      </c>
      <c r="AJ347" s="49">
        <v>0</v>
      </c>
      <c r="AK347" s="83">
        <v>0</v>
      </c>
      <c r="AL347" s="49">
        <v>1</v>
      </c>
      <c r="AM347" s="49">
        <v>0</v>
      </c>
      <c r="AN347" s="49">
        <v>0</v>
      </c>
      <c r="AO347" s="58">
        <v>0</v>
      </c>
      <c r="AP347" s="174">
        <v>630</v>
      </c>
      <c r="AQ347" s="175">
        <v>3566</v>
      </c>
      <c r="AR347" s="175">
        <v>0</v>
      </c>
      <c r="AS347" s="175">
        <v>0</v>
      </c>
      <c r="AT347" s="175">
        <v>0</v>
      </c>
      <c r="AU347" s="175">
        <v>0</v>
      </c>
      <c r="AV347" s="175">
        <v>0</v>
      </c>
      <c r="AW347" s="175">
        <v>0</v>
      </c>
      <c r="AX347" s="83">
        <v>0</v>
      </c>
      <c r="AY347" s="49">
        <v>0</v>
      </c>
      <c r="AZ347" s="49">
        <v>0</v>
      </c>
      <c r="BA347" s="49">
        <v>0</v>
      </c>
      <c r="BB347" s="58">
        <v>0</v>
      </c>
      <c r="BC347" s="42">
        <v>226</v>
      </c>
      <c r="BE347" s="49"/>
      <c r="BS347" s="58"/>
      <c r="BT347" s="83"/>
      <c r="CE347" s="83"/>
      <c r="CK347" s="58"/>
      <c r="CL347" s="83"/>
      <c r="CO347" s="58"/>
      <c r="CP347" s="83"/>
      <c r="CR347" s="58"/>
      <c r="CS347" s="83"/>
      <c r="CY347" s="83"/>
      <c r="DG347" s="58"/>
      <c r="DH347" s="83"/>
      <c r="DQ347" s="83"/>
      <c r="EE347" s="58"/>
      <c r="EF347" s="83"/>
      <c r="EI347" s="83"/>
      <c r="EK347" s="58"/>
      <c r="EL347" s="83"/>
      <c r="EO347" s="58"/>
      <c r="EP347" s="83"/>
      <c r="EQ347" s="58"/>
      <c r="ER347" s="83"/>
      <c r="ES347" s="58"/>
      <c r="ET347" s="83"/>
      <c r="EU347" s="58"/>
    </row>
    <row r="348" spans="1:151">
      <c r="A348" s="83" t="s">
        <v>325</v>
      </c>
      <c r="B348" s="173" t="s">
        <v>146</v>
      </c>
      <c r="C348" s="173" t="s">
        <v>506</v>
      </c>
      <c r="D348" s="83" t="s">
        <v>68</v>
      </c>
      <c r="E348" s="49" t="s">
        <v>1</v>
      </c>
      <c r="F348" s="49" t="s">
        <v>287</v>
      </c>
      <c r="G348" s="49">
        <v>32.68</v>
      </c>
      <c r="I348" s="49">
        <v>712</v>
      </c>
      <c r="J348" s="159">
        <v>1.8590078328981723</v>
      </c>
      <c r="K348" s="49">
        <v>1</v>
      </c>
      <c r="L348" s="49">
        <v>1</v>
      </c>
      <c r="M348" s="83">
        <v>0</v>
      </c>
      <c r="N348" s="49">
        <v>1</v>
      </c>
      <c r="O348" s="49">
        <v>0</v>
      </c>
      <c r="P348" s="49">
        <v>0</v>
      </c>
      <c r="Q348" s="58">
        <v>0</v>
      </c>
      <c r="R348" s="42">
        <v>1</v>
      </c>
      <c r="S348" s="83" t="s">
        <v>284</v>
      </c>
      <c r="U348" s="83">
        <v>1</v>
      </c>
      <c r="V348" s="49">
        <v>1</v>
      </c>
      <c r="W348" s="49">
        <v>2</v>
      </c>
      <c r="X348" s="58"/>
      <c r="Y348" s="83">
        <v>0</v>
      </c>
      <c r="AJ348" s="49">
        <v>0</v>
      </c>
      <c r="AK348" s="83">
        <v>0</v>
      </c>
      <c r="AL348" s="49">
        <v>1</v>
      </c>
      <c r="AM348" s="49">
        <v>0</v>
      </c>
      <c r="AN348" s="49">
        <v>0</v>
      </c>
      <c r="AO348" s="58">
        <v>0</v>
      </c>
      <c r="AP348" s="174">
        <v>0</v>
      </c>
      <c r="AQ348" s="175">
        <v>336</v>
      </c>
      <c r="AR348" s="175">
        <v>0</v>
      </c>
      <c r="AS348" s="175">
        <v>0</v>
      </c>
      <c r="AT348" s="175">
        <v>0</v>
      </c>
      <c r="AU348" s="175">
        <v>0</v>
      </c>
      <c r="AV348" s="175">
        <v>0</v>
      </c>
      <c r="AW348" s="175">
        <v>0</v>
      </c>
      <c r="AX348" s="83">
        <v>0</v>
      </c>
      <c r="AY348" s="49">
        <v>0</v>
      </c>
      <c r="AZ348" s="49">
        <v>0</v>
      </c>
      <c r="BA348" s="49">
        <v>0</v>
      </c>
      <c r="BB348" s="58">
        <v>0</v>
      </c>
      <c r="BC348" s="42">
        <v>131</v>
      </c>
      <c r="BD348" s="49">
        <v>75.03</v>
      </c>
      <c r="BE348" s="49"/>
      <c r="BS348" s="58"/>
      <c r="BT348" s="83"/>
      <c r="CE348" s="83"/>
      <c r="CK348" s="58"/>
      <c r="CL348" s="83">
        <v>64.45</v>
      </c>
      <c r="CO348" s="58"/>
      <c r="CP348" s="83"/>
      <c r="CR348" s="58"/>
      <c r="CS348" s="83"/>
      <c r="CY348" s="83"/>
      <c r="DG348" s="58"/>
      <c r="DH348" s="83"/>
      <c r="DQ348" s="83"/>
      <c r="EE348" s="58"/>
      <c r="EF348" s="83"/>
      <c r="EI348" s="83"/>
      <c r="EK348" s="58"/>
      <c r="EL348" s="83"/>
      <c r="EO348" s="58"/>
      <c r="EP348" s="83"/>
      <c r="EQ348" s="58"/>
      <c r="ER348" s="83"/>
      <c r="ES348" s="58"/>
      <c r="ET348" s="83"/>
      <c r="EU348" s="58"/>
    </row>
    <row r="349" spans="1:151">
      <c r="A349" s="83" t="s">
        <v>325</v>
      </c>
      <c r="B349" s="173" t="s">
        <v>146</v>
      </c>
      <c r="C349" s="173" t="s">
        <v>506</v>
      </c>
      <c r="D349" s="83" t="s">
        <v>68</v>
      </c>
      <c r="E349" s="49" t="s">
        <v>2</v>
      </c>
      <c r="F349" s="49" t="s">
        <v>287</v>
      </c>
      <c r="G349" s="49">
        <v>32.68</v>
      </c>
      <c r="I349" s="49">
        <v>556</v>
      </c>
      <c r="J349" s="159">
        <v>6.4651162790697674</v>
      </c>
      <c r="K349" s="49">
        <v>2</v>
      </c>
      <c r="L349" s="49">
        <v>3</v>
      </c>
      <c r="M349" s="83">
        <v>0</v>
      </c>
      <c r="N349" s="49">
        <v>0</v>
      </c>
      <c r="O349" s="49">
        <v>0</v>
      </c>
      <c r="P349" s="49">
        <v>0</v>
      </c>
      <c r="Q349" s="58">
        <v>0</v>
      </c>
      <c r="R349" s="42">
        <v>0</v>
      </c>
      <c r="S349" s="83" t="s">
        <v>284</v>
      </c>
      <c r="U349" s="83">
        <v>0</v>
      </c>
      <c r="V349" s="49">
        <v>0</v>
      </c>
      <c r="W349" s="49">
        <v>0</v>
      </c>
      <c r="X349" s="58"/>
      <c r="Y349" s="83">
        <v>2</v>
      </c>
      <c r="AD349" s="49">
        <v>11</v>
      </c>
      <c r="AE349" s="49">
        <v>49</v>
      </c>
      <c r="AJ349" s="49">
        <v>0</v>
      </c>
      <c r="AK349" s="83">
        <v>0</v>
      </c>
      <c r="AL349" s="49">
        <v>0</v>
      </c>
      <c r="AM349" s="49">
        <v>0</v>
      </c>
      <c r="AN349" s="49">
        <v>0</v>
      </c>
      <c r="AO349" s="58">
        <v>0</v>
      </c>
      <c r="AP349" s="174">
        <v>0</v>
      </c>
      <c r="AQ349" s="175">
        <v>0</v>
      </c>
      <c r="AR349" s="175">
        <v>0</v>
      </c>
      <c r="AS349" s="175">
        <v>0</v>
      </c>
      <c r="AT349" s="175">
        <v>0</v>
      </c>
      <c r="AU349" s="175">
        <v>0</v>
      </c>
      <c r="AV349" s="175">
        <v>0</v>
      </c>
      <c r="AW349" s="175">
        <v>0</v>
      </c>
      <c r="AX349" s="83">
        <v>0</v>
      </c>
      <c r="AY349" s="49">
        <v>0</v>
      </c>
      <c r="AZ349" s="49">
        <v>0</v>
      </c>
      <c r="BA349" s="49">
        <v>0</v>
      </c>
      <c r="BB349" s="58">
        <v>0</v>
      </c>
      <c r="BC349" s="42">
        <v>131</v>
      </c>
      <c r="BE349" s="49"/>
      <c r="BS349" s="58"/>
      <c r="BT349" s="83"/>
      <c r="CE349" s="83"/>
      <c r="CK349" s="58"/>
      <c r="CL349" s="83">
        <v>57.82</v>
      </c>
      <c r="CO349" s="58"/>
      <c r="CP349" s="83"/>
      <c r="CR349" s="58"/>
      <c r="CS349" s="83"/>
      <c r="CY349" s="83"/>
      <c r="DG349" s="58"/>
      <c r="DH349" s="83">
        <v>61.65</v>
      </c>
      <c r="DQ349" s="83"/>
      <c r="EE349" s="58"/>
      <c r="EF349" s="83"/>
      <c r="EI349" s="83"/>
      <c r="EK349" s="58"/>
      <c r="EL349" s="83"/>
      <c r="EO349" s="58"/>
      <c r="EP349" s="83"/>
      <c r="EQ349" s="58"/>
      <c r="ER349" s="83"/>
      <c r="ES349" s="58"/>
      <c r="ET349" s="83"/>
      <c r="EU349" s="58"/>
    </row>
    <row r="350" spans="1:151">
      <c r="A350" s="83" t="s">
        <v>325</v>
      </c>
      <c r="B350" s="173" t="s">
        <v>146</v>
      </c>
      <c r="C350" s="173" t="s">
        <v>506</v>
      </c>
      <c r="D350" s="83" t="s">
        <v>68</v>
      </c>
      <c r="E350" s="49" t="s">
        <v>0</v>
      </c>
      <c r="F350" s="49" t="s">
        <v>287</v>
      </c>
      <c r="G350" s="49">
        <v>32.68</v>
      </c>
      <c r="I350" s="49">
        <v>553</v>
      </c>
      <c r="J350" s="159">
        <v>1.4035532994923858</v>
      </c>
      <c r="K350" s="49">
        <v>1</v>
      </c>
      <c r="L350" s="49">
        <v>1</v>
      </c>
      <c r="M350" s="83">
        <v>1</v>
      </c>
      <c r="N350" s="49">
        <v>0</v>
      </c>
      <c r="O350" s="49">
        <v>0</v>
      </c>
      <c r="P350" s="49">
        <v>0</v>
      </c>
      <c r="Q350" s="58">
        <v>0</v>
      </c>
      <c r="R350" s="42">
        <v>1</v>
      </c>
      <c r="S350" s="83" t="s">
        <v>284</v>
      </c>
      <c r="U350" s="83">
        <v>2</v>
      </c>
      <c r="V350" s="49">
        <v>2</v>
      </c>
      <c r="W350" s="49">
        <v>3</v>
      </c>
      <c r="X350" s="58">
        <v>1</v>
      </c>
      <c r="Y350" s="83">
        <v>0</v>
      </c>
      <c r="AJ350" s="49">
        <v>0</v>
      </c>
      <c r="AK350" s="83">
        <v>0</v>
      </c>
      <c r="AL350" s="49">
        <v>1</v>
      </c>
      <c r="AM350" s="49">
        <v>0</v>
      </c>
      <c r="AN350" s="49">
        <v>0</v>
      </c>
      <c r="AO350" s="58">
        <v>0</v>
      </c>
      <c r="AP350" s="174">
        <v>0</v>
      </c>
      <c r="AQ350" s="175">
        <v>291</v>
      </c>
      <c r="AR350" s="175">
        <v>0</v>
      </c>
      <c r="AS350" s="175">
        <v>0</v>
      </c>
      <c r="AT350" s="175">
        <v>0</v>
      </c>
      <c r="AU350" s="175">
        <v>0</v>
      </c>
      <c r="AV350" s="175">
        <v>0</v>
      </c>
      <c r="AW350" s="175">
        <v>0</v>
      </c>
      <c r="AX350" s="83">
        <v>0</v>
      </c>
      <c r="AY350" s="49">
        <v>0</v>
      </c>
      <c r="AZ350" s="49">
        <v>0</v>
      </c>
      <c r="BA350" s="49">
        <v>0</v>
      </c>
      <c r="BB350" s="58">
        <v>0</v>
      </c>
      <c r="BC350" s="42">
        <v>131</v>
      </c>
      <c r="BE350" s="49"/>
      <c r="BS350" s="58"/>
      <c r="BT350" s="83"/>
      <c r="CE350" s="83"/>
      <c r="CK350" s="58"/>
      <c r="CL350" s="83"/>
      <c r="CO350" s="58"/>
      <c r="CP350" s="83"/>
      <c r="CR350" s="58"/>
      <c r="CS350" s="83"/>
      <c r="CY350" s="83"/>
      <c r="DG350" s="58"/>
      <c r="DH350" s="83"/>
      <c r="DQ350" s="83"/>
      <c r="EE350" s="58"/>
      <c r="EF350" s="83"/>
      <c r="EI350" s="83"/>
      <c r="EK350" s="58"/>
      <c r="EL350" s="83"/>
      <c r="EO350" s="58"/>
      <c r="EP350" s="83"/>
      <c r="EQ350" s="58"/>
      <c r="ER350" s="83"/>
      <c r="ES350" s="58"/>
      <c r="ET350" s="83"/>
      <c r="EU350" s="58"/>
    </row>
    <row r="351" spans="1:151">
      <c r="A351" s="83" t="s">
        <v>325</v>
      </c>
      <c r="B351" s="173" t="s">
        <v>146</v>
      </c>
      <c r="C351" s="173" t="s">
        <v>506</v>
      </c>
      <c r="D351" s="83" t="s">
        <v>161</v>
      </c>
      <c r="F351" s="49" t="s">
        <v>286</v>
      </c>
      <c r="G351" s="49">
        <v>32.68</v>
      </c>
      <c r="I351" s="49">
        <v>3490</v>
      </c>
      <c r="J351" s="159">
        <v>1.7546505781799899</v>
      </c>
      <c r="K351" s="49">
        <v>1</v>
      </c>
      <c r="L351" s="49">
        <v>2</v>
      </c>
      <c r="M351" s="83">
        <v>1</v>
      </c>
      <c r="N351" s="49">
        <v>2</v>
      </c>
      <c r="O351" s="49">
        <v>1</v>
      </c>
      <c r="P351" s="49">
        <v>1</v>
      </c>
      <c r="Q351" s="58">
        <v>0</v>
      </c>
      <c r="R351" s="42">
        <v>5</v>
      </c>
      <c r="S351" s="83" t="s">
        <v>284</v>
      </c>
      <c r="U351" s="83">
        <v>2</v>
      </c>
      <c r="V351" s="49">
        <v>2</v>
      </c>
      <c r="W351" s="49">
        <v>3</v>
      </c>
      <c r="X351" s="58">
        <v>1</v>
      </c>
      <c r="Y351" s="83">
        <v>5</v>
      </c>
      <c r="Z351" s="49">
        <v>8</v>
      </c>
      <c r="AA351" s="49">
        <v>37</v>
      </c>
      <c r="AD351" s="49">
        <v>24</v>
      </c>
      <c r="AE351" s="49">
        <v>123</v>
      </c>
      <c r="AF351" s="49">
        <v>13</v>
      </c>
      <c r="AG351" s="49">
        <v>160</v>
      </c>
      <c r="AJ351" s="49">
        <v>0</v>
      </c>
      <c r="AK351" s="83">
        <v>0</v>
      </c>
      <c r="AL351" s="49">
        <v>1</v>
      </c>
      <c r="AM351" s="49">
        <v>0</v>
      </c>
      <c r="AN351" s="49">
        <v>0</v>
      </c>
      <c r="AO351" s="58">
        <v>0</v>
      </c>
      <c r="AP351" s="174">
        <v>157</v>
      </c>
      <c r="AQ351" s="175">
        <v>608</v>
      </c>
      <c r="AR351" s="175">
        <v>0</v>
      </c>
      <c r="AS351" s="175">
        <v>0</v>
      </c>
      <c r="AT351" s="175">
        <v>0</v>
      </c>
      <c r="AU351" s="175">
        <v>0</v>
      </c>
      <c r="AV351" s="175">
        <v>0</v>
      </c>
      <c r="AW351" s="175">
        <v>0</v>
      </c>
      <c r="AX351" s="83">
        <v>0</v>
      </c>
      <c r="AY351" s="49">
        <v>0</v>
      </c>
      <c r="AZ351" s="49">
        <v>0</v>
      </c>
      <c r="BA351" s="49">
        <v>0</v>
      </c>
      <c r="BB351" s="58">
        <v>0</v>
      </c>
      <c r="BC351" s="42">
        <v>226</v>
      </c>
      <c r="BE351" s="49"/>
      <c r="BS351" s="58"/>
      <c r="BT351" s="83">
        <v>79.81</v>
      </c>
      <c r="BU351" s="49">
        <v>75.87</v>
      </c>
      <c r="CE351" s="83">
        <v>74</v>
      </c>
      <c r="CF351" s="49">
        <v>77.05</v>
      </c>
      <c r="CK351" s="58"/>
      <c r="CL351" s="83">
        <v>65.040000000000006</v>
      </c>
      <c r="CO351" s="58"/>
      <c r="CP351" s="83"/>
      <c r="CR351" s="58"/>
      <c r="CS351" s="83"/>
      <c r="CY351" s="83"/>
      <c r="DG351" s="58"/>
      <c r="DH351" s="83"/>
      <c r="DQ351" s="83"/>
      <c r="EE351" s="58"/>
      <c r="EF351" s="83"/>
      <c r="EI351" s="83"/>
      <c r="EK351" s="58"/>
      <c r="EL351" s="83"/>
      <c r="EO351" s="58"/>
      <c r="EP351" s="83"/>
      <c r="EQ351" s="58"/>
      <c r="ER351" s="83"/>
      <c r="ES351" s="58"/>
      <c r="ET351" s="83"/>
      <c r="EU351" s="58"/>
    </row>
    <row r="352" spans="1:151">
      <c r="A352" s="83" t="s">
        <v>325</v>
      </c>
      <c r="B352" s="173" t="s">
        <v>146</v>
      </c>
      <c r="C352" s="173" t="s">
        <v>506</v>
      </c>
      <c r="D352" s="83" t="s">
        <v>162</v>
      </c>
      <c r="F352" s="49" t="s">
        <v>286</v>
      </c>
      <c r="G352" s="49">
        <v>32.68</v>
      </c>
      <c r="I352" s="49">
        <v>3041</v>
      </c>
      <c r="J352" s="159">
        <v>1.5136884021901444</v>
      </c>
      <c r="K352" s="49">
        <v>1</v>
      </c>
      <c r="L352" s="49">
        <v>3</v>
      </c>
      <c r="M352" s="83">
        <v>0</v>
      </c>
      <c r="N352" s="49">
        <v>0</v>
      </c>
      <c r="O352" s="49">
        <v>0</v>
      </c>
      <c r="P352" s="49">
        <v>1</v>
      </c>
      <c r="Q352" s="58">
        <v>0</v>
      </c>
      <c r="R352" s="42">
        <v>1</v>
      </c>
      <c r="S352" s="83">
        <v>1</v>
      </c>
      <c r="U352" s="83">
        <v>2</v>
      </c>
      <c r="V352" s="49">
        <v>3</v>
      </c>
      <c r="W352" s="49">
        <v>3</v>
      </c>
      <c r="X352" s="58">
        <v>2</v>
      </c>
      <c r="Y352" s="83">
        <v>2</v>
      </c>
      <c r="Z352" s="49">
        <v>12</v>
      </c>
      <c r="AA352" s="49">
        <v>83</v>
      </c>
      <c r="AD352" s="49">
        <v>7</v>
      </c>
      <c r="AE352" s="49">
        <v>48</v>
      </c>
      <c r="AF352" s="49">
        <v>12</v>
      </c>
      <c r="AG352" s="49">
        <v>184</v>
      </c>
      <c r="AI352" s="49">
        <v>59</v>
      </c>
      <c r="AJ352" s="49">
        <v>0</v>
      </c>
      <c r="AK352" s="83">
        <v>0</v>
      </c>
      <c r="AL352" s="49">
        <v>1</v>
      </c>
      <c r="AM352" s="49">
        <v>0</v>
      </c>
      <c r="AN352" s="49">
        <v>0</v>
      </c>
      <c r="AO352" s="58">
        <v>0</v>
      </c>
      <c r="AP352" s="174">
        <v>423</v>
      </c>
      <c r="AQ352" s="175">
        <v>1195</v>
      </c>
      <c r="AR352" s="175">
        <v>0</v>
      </c>
      <c r="AS352" s="175">
        <v>0</v>
      </c>
      <c r="AT352" s="175">
        <v>0</v>
      </c>
      <c r="AU352" s="175">
        <v>0</v>
      </c>
      <c r="AV352" s="175">
        <v>0</v>
      </c>
      <c r="AW352" s="175">
        <v>0</v>
      </c>
      <c r="AX352" s="83">
        <v>0</v>
      </c>
      <c r="AY352" s="49">
        <v>0</v>
      </c>
      <c r="AZ352" s="49">
        <v>0</v>
      </c>
      <c r="BA352" s="49">
        <v>0</v>
      </c>
      <c r="BB352" s="58">
        <v>0</v>
      </c>
      <c r="BC352" s="42">
        <v>226</v>
      </c>
      <c r="BE352" s="49"/>
      <c r="BS352" s="58"/>
      <c r="BT352" s="83">
        <v>79.8</v>
      </c>
      <c r="BU352" s="49">
        <v>81.45</v>
      </c>
      <c r="CE352" s="83"/>
      <c r="CK352" s="58"/>
      <c r="CL352" s="83">
        <v>64.12</v>
      </c>
      <c r="CO352" s="58"/>
      <c r="CP352" s="83"/>
      <c r="CR352" s="58"/>
      <c r="CS352" s="83"/>
      <c r="CY352" s="83"/>
      <c r="DG352" s="58"/>
      <c r="DH352" s="83"/>
      <c r="DQ352" s="83"/>
      <c r="EE352" s="58"/>
      <c r="EF352" s="83"/>
      <c r="EI352" s="83"/>
      <c r="EK352" s="58"/>
      <c r="EL352" s="83"/>
      <c r="EO352" s="58"/>
      <c r="EP352" s="83"/>
      <c r="EQ352" s="58"/>
      <c r="ER352" s="83"/>
      <c r="ES352" s="58"/>
      <c r="ET352" s="83"/>
      <c r="EU352" s="58"/>
    </row>
    <row r="353" spans="1:151">
      <c r="A353" s="83" t="s">
        <v>325</v>
      </c>
      <c r="B353" s="173" t="s">
        <v>146</v>
      </c>
      <c r="C353" s="173" t="s">
        <v>506</v>
      </c>
      <c r="D353" s="83" t="s">
        <v>163</v>
      </c>
      <c r="F353" s="49" t="s">
        <v>286</v>
      </c>
      <c r="G353" s="49">
        <v>32.68</v>
      </c>
      <c r="I353" s="49">
        <v>3838</v>
      </c>
      <c r="J353" s="159">
        <v>2.0491190603310199</v>
      </c>
      <c r="K353" s="49">
        <v>1</v>
      </c>
      <c r="L353" s="49">
        <v>3</v>
      </c>
      <c r="M353" s="83">
        <v>0</v>
      </c>
      <c r="N353" s="49">
        <v>2</v>
      </c>
      <c r="O353" s="49">
        <v>0</v>
      </c>
      <c r="P353" s="49">
        <v>1</v>
      </c>
      <c r="Q353" s="58">
        <v>0</v>
      </c>
      <c r="R353" s="42">
        <v>3</v>
      </c>
      <c r="S353" s="83">
        <v>1</v>
      </c>
      <c r="U353" s="83">
        <v>1</v>
      </c>
      <c r="V353" s="49">
        <v>3</v>
      </c>
      <c r="W353" s="49">
        <v>2</v>
      </c>
      <c r="X353" s="58"/>
      <c r="Y353" s="83">
        <v>10</v>
      </c>
      <c r="Z353" s="49">
        <v>8</v>
      </c>
      <c r="AA353" s="49">
        <v>87</v>
      </c>
      <c r="AD353" s="49">
        <v>29</v>
      </c>
      <c r="AE353" s="49">
        <v>484</v>
      </c>
      <c r="AF353" s="49">
        <v>14</v>
      </c>
      <c r="AG353" s="49">
        <v>158</v>
      </c>
      <c r="AH353" s="49">
        <v>352</v>
      </c>
      <c r="AI353" s="49">
        <v>916</v>
      </c>
      <c r="AJ353" s="49">
        <v>0</v>
      </c>
      <c r="AK353" s="83">
        <v>0</v>
      </c>
      <c r="AL353" s="49">
        <v>1</v>
      </c>
      <c r="AM353" s="49">
        <v>0</v>
      </c>
      <c r="AN353" s="49">
        <v>0</v>
      </c>
      <c r="AO353" s="58">
        <v>0</v>
      </c>
      <c r="AP353" s="174">
        <v>0</v>
      </c>
      <c r="AQ353" s="175">
        <v>1324</v>
      </c>
      <c r="AR353" s="175">
        <v>0</v>
      </c>
      <c r="AS353" s="175">
        <v>0</v>
      </c>
      <c r="AT353" s="175">
        <v>0</v>
      </c>
      <c r="AU353" s="175">
        <v>0</v>
      </c>
      <c r="AV353" s="175">
        <v>0</v>
      </c>
      <c r="AW353" s="175">
        <v>0</v>
      </c>
      <c r="AX353" s="83">
        <v>0</v>
      </c>
      <c r="AY353" s="49">
        <v>0</v>
      </c>
      <c r="AZ353" s="49">
        <v>0</v>
      </c>
      <c r="BA353" s="49">
        <v>0</v>
      </c>
      <c r="BB353" s="58">
        <v>0</v>
      </c>
      <c r="BC353" s="42">
        <v>194</v>
      </c>
      <c r="BE353" s="49"/>
      <c r="BS353" s="58"/>
      <c r="BT353" s="83"/>
      <c r="CE353" s="83"/>
      <c r="CK353" s="58"/>
      <c r="CL353" s="83">
        <v>62.12</v>
      </c>
      <c r="CO353" s="58"/>
      <c r="CP353" s="83"/>
      <c r="CR353" s="58"/>
      <c r="CS353" s="83"/>
      <c r="CY353" s="83">
        <v>75.81</v>
      </c>
      <c r="CZ353" s="49">
        <v>0.05</v>
      </c>
      <c r="DA353" s="49">
        <v>72.67</v>
      </c>
      <c r="DB353" s="49">
        <v>74</v>
      </c>
      <c r="DC353" s="49">
        <v>79.47</v>
      </c>
      <c r="DG353" s="58"/>
      <c r="DH353" s="83"/>
      <c r="DQ353" s="83"/>
      <c r="EE353" s="58"/>
      <c r="EF353" s="83"/>
      <c r="EI353" s="83"/>
      <c r="EK353" s="58"/>
      <c r="EL353" s="83"/>
      <c r="EO353" s="58"/>
      <c r="EP353" s="83"/>
      <c r="EQ353" s="58"/>
      <c r="ER353" s="83"/>
      <c r="ES353" s="58"/>
      <c r="ET353" s="83"/>
      <c r="EU353" s="58"/>
    </row>
    <row r="354" spans="1:151">
      <c r="A354" s="83" t="s">
        <v>325</v>
      </c>
      <c r="B354" s="173" t="s">
        <v>146</v>
      </c>
      <c r="C354" s="173" t="s">
        <v>506</v>
      </c>
      <c r="D354" s="83" t="s">
        <v>164</v>
      </c>
      <c r="F354" s="49" t="s">
        <v>286</v>
      </c>
      <c r="G354" s="49">
        <v>32.68</v>
      </c>
      <c r="I354" s="49">
        <v>7505</v>
      </c>
      <c r="J354" s="159">
        <v>1.4849624060150375</v>
      </c>
      <c r="K354" s="49">
        <v>4</v>
      </c>
      <c r="L354" s="49">
        <v>3</v>
      </c>
      <c r="M354" s="83">
        <v>0</v>
      </c>
      <c r="N354" s="49">
        <v>5</v>
      </c>
      <c r="O354" s="49">
        <v>0</v>
      </c>
      <c r="P354" s="49">
        <v>0</v>
      </c>
      <c r="Q354" s="58">
        <v>0</v>
      </c>
      <c r="R354" s="42">
        <v>5</v>
      </c>
      <c r="S354" s="83">
        <v>1</v>
      </c>
      <c r="U354" s="83">
        <v>1</v>
      </c>
      <c r="V354" s="49">
        <v>4</v>
      </c>
      <c r="W354" s="49">
        <v>2</v>
      </c>
      <c r="X354" s="58"/>
      <c r="Y354" s="83">
        <v>15</v>
      </c>
      <c r="AD354" s="49">
        <v>34</v>
      </c>
      <c r="AE354" s="49">
        <v>362</v>
      </c>
      <c r="AF354" s="49">
        <v>29</v>
      </c>
      <c r="AG354" s="49">
        <v>716</v>
      </c>
      <c r="AH354" s="49">
        <v>23</v>
      </c>
      <c r="AI354" s="49">
        <v>1967</v>
      </c>
      <c r="AJ354" s="49">
        <v>0</v>
      </c>
      <c r="AK354" s="83">
        <v>0</v>
      </c>
      <c r="AL354" s="49">
        <v>0</v>
      </c>
      <c r="AM354" s="49">
        <v>0</v>
      </c>
      <c r="AN354" s="49">
        <v>0</v>
      </c>
      <c r="AO354" s="58">
        <v>0</v>
      </c>
      <c r="AP354" s="174">
        <v>0</v>
      </c>
      <c r="AQ354" s="175">
        <v>0</v>
      </c>
      <c r="AR354" s="175">
        <v>0</v>
      </c>
      <c r="AS354" s="175">
        <v>0</v>
      </c>
      <c r="AT354" s="175">
        <v>0</v>
      </c>
      <c r="AU354" s="175">
        <v>0</v>
      </c>
      <c r="AV354" s="175">
        <v>0</v>
      </c>
      <c r="AW354" s="175">
        <v>0</v>
      </c>
      <c r="AX354" s="83">
        <v>0</v>
      </c>
      <c r="AY354" s="49">
        <v>1</v>
      </c>
      <c r="AZ354" s="49">
        <v>0</v>
      </c>
      <c r="BA354" s="49">
        <v>0</v>
      </c>
      <c r="BB354" s="58">
        <v>1</v>
      </c>
      <c r="BC354" s="42">
        <v>194</v>
      </c>
      <c r="BE354" s="49"/>
      <c r="BS354" s="58"/>
      <c r="BT354" s="83"/>
      <c r="CE354" s="83"/>
      <c r="CK354" s="58"/>
      <c r="CL354" s="83">
        <v>62.12</v>
      </c>
      <c r="CM354" s="49">
        <v>63.03</v>
      </c>
      <c r="CO354" s="58"/>
      <c r="CP354" s="83"/>
      <c r="CR354" s="58"/>
      <c r="CS354" s="83"/>
      <c r="CY354" s="83">
        <v>81.650000000000006</v>
      </c>
      <c r="CZ354" s="49">
        <v>79.709999999999994</v>
      </c>
      <c r="DA354" s="49">
        <v>80.739999999999995</v>
      </c>
      <c r="DB354" s="49">
        <v>79.23</v>
      </c>
      <c r="DC354" s="49">
        <v>80.48</v>
      </c>
      <c r="DD354" s="49">
        <v>80.02</v>
      </c>
      <c r="DE354" s="49">
        <v>80</v>
      </c>
      <c r="DF354" s="49">
        <v>77.16</v>
      </c>
      <c r="DG354" s="58">
        <v>77.77</v>
      </c>
      <c r="DH354" s="83"/>
      <c r="DQ354" s="83">
        <v>73.53</v>
      </c>
      <c r="DR354" s="49">
        <v>73.400000000000006</v>
      </c>
      <c r="EE354" s="58"/>
      <c r="EF354" s="83"/>
      <c r="EI354" s="83"/>
      <c r="EK354" s="58"/>
      <c r="EL354" s="83"/>
      <c r="EO354" s="58"/>
      <c r="EP354" s="83"/>
      <c r="EQ354" s="58"/>
      <c r="ER354" s="83"/>
      <c r="ES354" s="58"/>
      <c r="ET354" s="83"/>
      <c r="EU354" s="58"/>
    </row>
    <row r="355" spans="1:151">
      <c r="A355" s="83" t="s">
        <v>325</v>
      </c>
      <c r="B355" s="173" t="s">
        <v>146</v>
      </c>
      <c r="C355" s="173" t="s">
        <v>506</v>
      </c>
      <c r="D355" s="83" t="s">
        <v>165</v>
      </c>
      <c r="F355" s="49" t="s">
        <v>286</v>
      </c>
      <c r="G355" s="49">
        <v>32.68</v>
      </c>
      <c r="I355" s="49">
        <v>4155</v>
      </c>
      <c r="J355" s="159">
        <v>1.708470394736842</v>
      </c>
      <c r="K355" s="49">
        <v>4</v>
      </c>
      <c r="L355" s="49">
        <v>3</v>
      </c>
      <c r="M355" s="83">
        <v>0</v>
      </c>
      <c r="N355" s="49">
        <v>0</v>
      </c>
      <c r="O355" s="49">
        <v>0</v>
      </c>
      <c r="P355" s="49">
        <v>1</v>
      </c>
      <c r="Q355" s="58">
        <v>0</v>
      </c>
      <c r="R355" s="42">
        <v>1</v>
      </c>
      <c r="S355" s="83">
        <v>1</v>
      </c>
      <c r="U355" s="83">
        <v>2</v>
      </c>
      <c r="V355" s="49">
        <v>4</v>
      </c>
      <c r="W355" s="49">
        <v>3</v>
      </c>
      <c r="X355" s="58">
        <v>2</v>
      </c>
      <c r="Y355" s="83">
        <v>5</v>
      </c>
      <c r="AD355" s="49">
        <v>20</v>
      </c>
      <c r="AE355" s="49">
        <v>249</v>
      </c>
      <c r="AF355" s="49">
        <v>8</v>
      </c>
      <c r="AG355" s="49">
        <v>83</v>
      </c>
      <c r="AH355" s="49">
        <v>21</v>
      </c>
      <c r="AI355" s="49">
        <v>613</v>
      </c>
      <c r="AJ355" s="49">
        <v>0</v>
      </c>
      <c r="AK355" s="83">
        <v>0</v>
      </c>
      <c r="AL355" s="49">
        <v>0</v>
      </c>
      <c r="AM355" s="49">
        <v>1</v>
      </c>
      <c r="AN355" s="49">
        <v>0</v>
      </c>
      <c r="AO355" s="58">
        <v>0</v>
      </c>
      <c r="AP355" s="174" t="s">
        <v>284</v>
      </c>
      <c r="AQ355" s="175" t="s">
        <v>284</v>
      </c>
      <c r="AR355" s="175">
        <v>47</v>
      </c>
      <c r="AS355" s="175">
        <v>245</v>
      </c>
      <c r="AT355" s="175" t="s">
        <v>284</v>
      </c>
      <c r="AU355" s="175" t="s">
        <v>284</v>
      </c>
      <c r="AV355" s="175" t="s">
        <v>284</v>
      </c>
      <c r="AW355" s="175" t="s">
        <v>284</v>
      </c>
      <c r="AX355" s="83">
        <v>0</v>
      </c>
      <c r="AY355" s="49">
        <v>0</v>
      </c>
      <c r="AZ355" s="49">
        <v>0</v>
      </c>
      <c r="BA355" s="49">
        <v>0</v>
      </c>
      <c r="BB355" s="58">
        <v>0</v>
      </c>
      <c r="BC355" s="42">
        <v>148</v>
      </c>
      <c r="BD355" s="49">
        <v>75.209999999999994</v>
      </c>
      <c r="BE355" s="49"/>
      <c r="BS355" s="58"/>
      <c r="BT355" s="83">
        <v>79.98</v>
      </c>
      <c r="BU355" s="49">
        <v>82.02</v>
      </c>
      <c r="CE355" s="83">
        <v>61.6</v>
      </c>
      <c r="CK355" s="58"/>
      <c r="CL355" s="83">
        <v>58.79</v>
      </c>
      <c r="CO355" s="58"/>
      <c r="CP355" s="83"/>
      <c r="CR355" s="58"/>
      <c r="CS355" s="83"/>
      <c r="CY355" s="83"/>
      <c r="DG355" s="58"/>
      <c r="DH355" s="83"/>
      <c r="DQ355" s="83"/>
      <c r="EE355" s="58"/>
      <c r="EF355" s="83"/>
      <c r="EI355" s="83"/>
      <c r="EK355" s="58"/>
      <c r="EL355" s="83"/>
      <c r="EO355" s="58"/>
      <c r="EP355" s="83"/>
      <c r="EQ355" s="58"/>
      <c r="ER355" s="83"/>
      <c r="ES355" s="58"/>
      <c r="ET355" s="83"/>
      <c r="EU355" s="58"/>
    </row>
    <row r="356" spans="1:151">
      <c r="A356" s="83" t="s">
        <v>325</v>
      </c>
      <c r="B356" s="173" t="s">
        <v>146</v>
      </c>
      <c r="C356" s="173" t="s">
        <v>506</v>
      </c>
      <c r="D356" s="83" t="s">
        <v>166</v>
      </c>
      <c r="F356" s="49" t="s">
        <v>286</v>
      </c>
      <c r="G356" s="49">
        <v>32.68</v>
      </c>
      <c r="I356" s="49">
        <v>3681</v>
      </c>
      <c r="J356" s="159">
        <v>1.5531645569620254</v>
      </c>
      <c r="K356" s="49">
        <v>1</v>
      </c>
      <c r="L356" s="49">
        <v>1</v>
      </c>
      <c r="M356" s="83">
        <v>0</v>
      </c>
      <c r="N356" s="49">
        <v>1</v>
      </c>
      <c r="O356" s="49">
        <v>0</v>
      </c>
      <c r="P356" s="49">
        <v>1</v>
      </c>
      <c r="Q356" s="58">
        <v>0</v>
      </c>
      <c r="R356" s="42">
        <v>2</v>
      </c>
      <c r="S356" s="83">
        <v>1</v>
      </c>
      <c r="U356" s="83">
        <v>1</v>
      </c>
      <c r="V356" s="49">
        <v>1</v>
      </c>
      <c r="W356" s="49">
        <v>2</v>
      </c>
      <c r="X356" s="58"/>
      <c r="Y356" s="83">
        <v>1</v>
      </c>
      <c r="Z356" s="49">
        <v>13</v>
      </c>
      <c r="AA356" s="49">
        <v>25</v>
      </c>
      <c r="AD356" s="49">
        <v>15</v>
      </c>
      <c r="AE356" s="49">
        <v>63</v>
      </c>
      <c r="AF356" s="49">
        <v>15</v>
      </c>
      <c r="AG356" s="49">
        <v>70</v>
      </c>
      <c r="AH356" s="49">
        <v>31</v>
      </c>
      <c r="AI356" s="49">
        <v>429</v>
      </c>
      <c r="AJ356" s="49">
        <v>0</v>
      </c>
      <c r="AK356" s="83">
        <v>0</v>
      </c>
      <c r="AL356" s="49">
        <v>1</v>
      </c>
      <c r="AM356" s="49">
        <v>0</v>
      </c>
      <c r="AN356" s="49">
        <v>0</v>
      </c>
      <c r="AO356" s="58">
        <v>0</v>
      </c>
      <c r="AP356" s="174">
        <v>81</v>
      </c>
      <c r="AQ356" s="175">
        <v>2691</v>
      </c>
      <c r="AR356" s="175">
        <v>0</v>
      </c>
      <c r="AS356" s="175">
        <v>0</v>
      </c>
      <c r="AT356" s="175">
        <v>0</v>
      </c>
      <c r="AU356" s="175">
        <v>0</v>
      </c>
      <c r="AV356" s="175">
        <v>0</v>
      </c>
      <c r="AW356" s="175">
        <v>0</v>
      </c>
      <c r="AX356" s="83">
        <v>0</v>
      </c>
      <c r="AY356" s="49">
        <v>0</v>
      </c>
      <c r="AZ356" s="49">
        <v>0</v>
      </c>
      <c r="BA356" s="49">
        <v>0</v>
      </c>
      <c r="BB356" s="58">
        <v>0</v>
      </c>
      <c r="BC356" s="42">
        <v>185</v>
      </c>
      <c r="BD356" s="49">
        <v>79.61</v>
      </c>
      <c r="BE356" s="49">
        <v>79.36</v>
      </c>
      <c r="BS356" s="58"/>
      <c r="BT356" s="83">
        <v>82.16</v>
      </c>
      <c r="CE356" s="83"/>
      <c r="CK356" s="58"/>
      <c r="CL356" s="83">
        <v>63.07</v>
      </c>
      <c r="CO356" s="58"/>
      <c r="CP356" s="83"/>
      <c r="CR356" s="58"/>
      <c r="CS356" s="83"/>
      <c r="CY356" s="83"/>
      <c r="DG356" s="58"/>
      <c r="DH356" s="83"/>
      <c r="DQ356" s="83"/>
      <c r="EE356" s="58"/>
      <c r="EF356" s="83"/>
      <c r="EI356" s="83"/>
      <c r="EK356" s="58"/>
      <c r="EL356" s="83"/>
      <c r="EO356" s="58"/>
      <c r="EP356" s="83"/>
      <c r="EQ356" s="58"/>
      <c r="ER356" s="83"/>
      <c r="ES356" s="58"/>
      <c r="ET356" s="83"/>
      <c r="EU356" s="58"/>
    </row>
    <row r="357" spans="1:151">
      <c r="A357" s="83" t="s">
        <v>325</v>
      </c>
      <c r="B357" s="173" t="s">
        <v>146</v>
      </c>
      <c r="C357" s="173" t="s">
        <v>506</v>
      </c>
      <c r="D357" s="83" t="s">
        <v>69</v>
      </c>
      <c r="F357" s="49" t="s">
        <v>286</v>
      </c>
      <c r="G357" s="49">
        <v>32.68</v>
      </c>
      <c r="I357" s="49">
        <v>2104</v>
      </c>
      <c r="J357" s="159">
        <v>2.5077473182359951</v>
      </c>
      <c r="K357" s="49">
        <v>1</v>
      </c>
      <c r="L357" s="49">
        <v>1</v>
      </c>
      <c r="M357" s="83">
        <v>0</v>
      </c>
      <c r="N357" s="49">
        <v>1</v>
      </c>
      <c r="O357" s="49">
        <v>0</v>
      </c>
      <c r="P357" s="49">
        <v>0</v>
      </c>
      <c r="Q357" s="58">
        <v>0</v>
      </c>
      <c r="R357" s="42">
        <v>1</v>
      </c>
      <c r="S357" s="83">
        <v>1</v>
      </c>
      <c r="U357" s="83">
        <v>1</v>
      </c>
      <c r="V357" s="49">
        <v>1</v>
      </c>
      <c r="W357" s="49">
        <v>2</v>
      </c>
      <c r="X357" s="58"/>
      <c r="Y357" s="83">
        <v>0</v>
      </c>
      <c r="AJ357" s="49">
        <v>0</v>
      </c>
      <c r="AK357" s="83">
        <v>0</v>
      </c>
      <c r="AL357" s="49">
        <v>1</v>
      </c>
      <c r="AM357" s="49">
        <v>1</v>
      </c>
      <c r="AN357" s="49">
        <v>0</v>
      </c>
      <c r="AO357" s="58">
        <v>0</v>
      </c>
      <c r="AP357" s="174">
        <v>261</v>
      </c>
      <c r="AQ357" s="175">
        <v>546</v>
      </c>
      <c r="AR357" s="175">
        <v>42</v>
      </c>
      <c r="AS357" s="175">
        <v>90</v>
      </c>
      <c r="AT357" s="175">
        <v>0</v>
      </c>
      <c r="AU357" s="175">
        <v>0</v>
      </c>
      <c r="AV357" s="175">
        <v>0</v>
      </c>
      <c r="AW357" s="175">
        <v>0</v>
      </c>
      <c r="AX357" s="83">
        <v>0</v>
      </c>
      <c r="AY357" s="49">
        <v>0</v>
      </c>
      <c r="AZ357" s="49">
        <v>0</v>
      </c>
      <c r="BA357" s="49">
        <v>0</v>
      </c>
      <c r="BB357" s="58">
        <v>0</v>
      </c>
      <c r="BC357" s="42">
        <v>197</v>
      </c>
      <c r="BE357" s="49"/>
      <c r="BS357" s="58"/>
      <c r="BT357" s="83"/>
      <c r="CE357" s="83"/>
      <c r="CK357" s="58"/>
      <c r="CL357" s="83"/>
      <c r="CO357" s="58"/>
      <c r="CP357" s="83"/>
      <c r="CR357" s="58"/>
      <c r="CS357" s="83"/>
      <c r="CY357" s="83"/>
      <c r="DG357" s="58"/>
      <c r="DH357" s="83"/>
      <c r="DQ357" s="83"/>
      <c r="EE357" s="58"/>
      <c r="EF357" s="83"/>
      <c r="EI357" s="83"/>
      <c r="EK357" s="58"/>
      <c r="EL357" s="83"/>
      <c r="EO357" s="58"/>
      <c r="EP357" s="83"/>
      <c r="EQ357" s="58"/>
      <c r="ER357" s="83"/>
      <c r="ES357" s="58"/>
      <c r="ET357" s="83"/>
      <c r="EU357" s="58"/>
    </row>
    <row r="358" spans="1:151">
      <c r="A358" s="83" t="s">
        <v>325</v>
      </c>
      <c r="B358" s="173" t="s">
        <v>146</v>
      </c>
      <c r="C358" s="173" t="s">
        <v>506</v>
      </c>
      <c r="D358" s="83" t="s">
        <v>74</v>
      </c>
      <c r="E358" s="49" t="s">
        <v>0</v>
      </c>
      <c r="F358" s="49" t="s">
        <v>287</v>
      </c>
      <c r="G358" s="49">
        <v>32.68</v>
      </c>
      <c r="I358" s="49">
        <v>723</v>
      </c>
      <c r="J358" s="159">
        <v>19.54054054054054</v>
      </c>
      <c r="K358" s="49">
        <v>3</v>
      </c>
      <c r="L358" s="49">
        <v>2</v>
      </c>
      <c r="M358" s="83">
        <v>0</v>
      </c>
      <c r="N358" s="49">
        <v>0</v>
      </c>
      <c r="O358" s="49">
        <v>0</v>
      </c>
      <c r="P358" s="49">
        <v>0</v>
      </c>
      <c r="Q358" s="58">
        <v>0</v>
      </c>
      <c r="R358" s="42">
        <v>0</v>
      </c>
      <c r="S358" s="83" t="s">
        <v>284</v>
      </c>
      <c r="U358" s="83">
        <v>0</v>
      </c>
      <c r="V358" s="49">
        <v>0</v>
      </c>
      <c r="W358" s="49">
        <v>0</v>
      </c>
      <c r="X358" s="58"/>
      <c r="Y358" s="83">
        <v>5</v>
      </c>
      <c r="AD358" s="49">
        <v>12</v>
      </c>
      <c r="AE358" s="49">
        <v>129</v>
      </c>
      <c r="AJ358" s="49">
        <v>0</v>
      </c>
      <c r="AK358" s="83">
        <v>0</v>
      </c>
      <c r="AL358" s="49">
        <v>0</v>
      </c>
      <c r="AM358" s="49">
        <v>0</v>
      </c>
      <c r="AN358" s="49">
        <v>0</v>
      </c>
      <c r="AO358" s="58">
        <v>0</v>
      </c>
      <c r="AP358" s="174">
        <v>0</v>
      </c>
      <c r="AQ358" s="175">
        <v>0</v>
      </c>
      <c r="AR358" s="175">
        <v>0</v>
      </c>
      <c r="AS358" s="175">
        <v>0</v>
      </c>
      <c r="AT358" s="175">
        <v>0</v>
      </c>
      <c r="AU358" s="175">
        <v>0</v>
      </c>
      <c r="AV358" s="175">
        <v>0</v>
      </c>
      <c r="AW358" s="175">
        <v>0</v>
      </c>
      <c r="AX358" s="83">
        <v>0</v>
      </c>
      <c r="AY358" s="49">
        <v>0</v>
      </c>
      <c r="AZ358" s="49">
        <v>0</v>
      </c>
      <c r="BA358" s="49">
        <v>0</v>
      </c>
      <c r="BB358" s="58">
        <v>0</v>
      </c>
      <c r="BC358" s="42">
        <v>164</v>
      </c>
      <c r="BE358" s="49"/>
      <c r="BS358" s="58"/>
      <c r="BT358" s="83"/>
      <c r="CE358" s="83"/>
      <c r="CK358" s="58"/>
      <c r="CL358" s="83"/>
      <c r="CO358" s="58"/>
      <c r="CP358" s="83"/>
      <c r="CR358" s="58"/>
      <c r="CS358" s="83"/>
      <c r="CY358" s="83"/>
      <c r="DG358" s="58"/>
      <c r="DH358" s="83"/>
      <c r="DQ358" s="83"/>
      <c r="EE358" s="58"/>
      <c r="EF358" s="83"/>
      <c r="EI358" s="83"/>
      <c r="EK358" s="58"/>
      <c r="EL358" s="83"/>
      <c r="EO358" s="58"/>
      <c r="EP358" s="83"/>
      <c r="EQ358" s="58"/>
      <c r="ER358" s="83"/>
      <c r="ES358" s="58"/>
      <c r="ET358" s="83"/>
      <c r="EU358" s="58"/>
    </row>
    <row r="359" spans="1:151">
      <c r="A359" s="83" t="s">
        <v>325</v>
      </c>
      <c r="B359" s="173" t="s">
        <v>146</v>
      </c>
      <c r="C359" s="173" t="s">
        <v>506</v>
      </c>
      <c r="D359" s="83" t="s">
        <v>74</v>
      </c>
      <c r="E359" s="49" t="s">
        <v>1</v>
      </c>
      <c r="F359" s="49" t="s">
        <v>287</v>
      </c>
      <c r="G359" s="49">
        <v>32.68</v>
      </c>
      <c r="I359" s="49">
        <v>430</v>
      </c>
      <c r="J359" s="159">
        <v>15.925925925925926</v>
      </c>
      <c r="K359" s="49">
        <v>3</v>
      </c>
      <c r="L359" s="49">
        <v>1</v>
      </c>
      <c r="M359" s="83">
        <v>0</v>
      </c>
      <c r="N359" s="49">
        <v>0</v>
      </c>
      <c r="O359" s="49">
        <v>0</v>
      </c>
      <c r="P359" s="49">
        <v>0</v>
      </c>
      <c r="Q359" s="58">
        <v>0</v>
      </c>
      <c r="R359" s="42">
        <v>0</v>
      </c>
      <c r="S359" s="83" t="s">
        <v>284</v>
      </c>
      <c r="U359" s="83">
        <v>0</v>
      </c>
      <c r="V359" s="49">
        <v>0</v>
      </c>
      <c r="W359" s="49">
        <v>0</v>
      </c>
      <c r="X359" s="58"/>
      <c r="Y359" s="83">
        <v>1</v>
      </c>
      <c r="AD359" s="49">
        <v>15</v>
      </c>
      <c r="AE359" s="49">
        <v>31</v>
      </c>
      <c r="AJ359" s="49">
        <v>0</v>
      </c>
      <c r="AK359" s="83">
        <v>0</v>
      </c>
      <c r="AL359" s="49">
        <v>0</v>
      </c>
      <c r="AM359" s="49">
        <v>0</v>
      </c>
      <c r="AN359" s="49">
        <v>0</v>
      </c>
      <c r="AO359" s="58">
        <v>0</v>
      </c>
      <c r="AP359" s="174">
        <v>0</v>
      </c>
      <c r="AQ359" s="175">
        <v>0</v>
      </c>
      <c r="AR359" s="175">
        <v>0</v>
      </c>
      <c r="AS359" s="175">
        <v>0</v>
      </c>
      <c r="AT359" s="175">
        <v>0</v>
      </c>
      <c r="AU359" s="175">
        <v>0</v>
      </c>
      <c r="AV359" s="175">
        <v>0</v>
      </c>
      <c r="AW359" s="175">
        <v>0</v>
      </c>
      <c r="AX359" s="83">
        <v>0</v>
      </c>
      <c r="AY359" s="49">
        <v>0</v>
      </c>
      <c r="AZ359" s="49">
        <v>0</v>
      </c>
      <c r="BA359" s="49">
        <v>0</v>
      </c>
      <c r="BB359" s="58">
        <v>0</v>
      </c>
      <c r="BC359" s="42">
        <v>164</v>
      </c>
      <c r="BE359" s="49"/>
      <c r="BS359" s="58"/>
      <c r="BT359" s="83"/>
      <c r="CE359" s="83"/>
      <c r="CK359" s="58"/>
      <c r="CL359" s="83"/>
      <c r="CO359" s="58"/>
      <c r="CP359" s="83"/>
      <c r="CR359" s="58"/>
      <c r="CS359" s="83"/>
      <c r="CY359" s="83"/>
      <c r="DG359" s="58"/>
      <c r="DH359" s="83"/>
      <c r="DQ359" s="83"/>
      <c r="EE359" s="58"/>
      <c r="EF359" s="83"/>
      <c r="EI359" s="83"/>
      <c r="EK359" s="58"/>
      <c r="EL359" s="83"/>
      <c r="EO359" s="58"/>
      <c r="EP359" s="83"/>
      <c r="EQ359" s="58"/>
      <c r="ER359" s="83"/>
      <c r="ES359" s="58"/>
      <c r="ET359" s="83"/>
      <c r="EU359" s="58"/>
    </row>
    <row r="360" spans="1:151">
      <c r="A360" s="83" t="s">
        <v>325</v>
      </c>
      <c r="B360" s="173" t="s">
        <v>146</v>
      </c>
      <c r="C360" s="173" t="s">
        <v>506</v>
      </c>
      <c r="D360" s="83" t="s">
        <v>74</v>
      </c>
      <c r="E360" s="49" t="s">
        <v>2</v>
      </c>
      <c r="F360" s="49" t="s">
        <v>287</v>
      </c>
      <c r="G360" s="49">
        <v>32.68</v>
      </c>
      <c r="I360" s="49">
        <v>463</v>
      </c>
      <c r="J360" s="159">
        <v>1.3459302325581395</v>
      </c>
      <c r="K360" s="49">
        <v>1</v>
      </c>
      <c r="L360" s="49">
        <v>3</v>
      </c>
      <c r="M360" s="83">
        <v>0</v>
      </c>
      <c r="N360" s="49">
        <v>3</v>
      </c>
      <c r="O360" s="49">
        <v>0</v>
      </c>
      <c r="P360" s="49">
        <v>0</v>
      </c>
      <c r="Q360" s="58">
        <v>0</v>
      </c>
      <c r="R360" s="42">
        <v>3</v>
      </c>
      <c r="S360" s="83" t="s">
        <v>283</v>
      </c>
      <c r="T360" s="49">
        <v>5</v>
      </c>
      <c r="U360" s="83">
        <v>1</v>
      </c>
      <c r="V360" s="49">
        <v>3</v>
      </c>
      <c r="W360" s="49">
        <v>2</v>
      </c>
      <c r="X360" s="58"/>
      <c r="Y360" s="83">
        <v>10</v>
      </c>
      <c r="Z360" s="49">
        <v>4</v>
      </c>
      <c r="AA360" s="49">
        <v>20</v>
      </c>
      <c r="AD360" s="49">
        <v>10</v>
      </c>
      <c r="AE360" s="49">
        <v>38</v>
      </c>
      <c r="AH360" s="49">
        <v>13</v>
      </c>
      <c r="AI360" s="49">
        <v>136</v>
      </c>
      <c r="AJ360" s="49">
        <v>0</v>
      </c>
      <c r="AK360" s="83">
        <v>0</v>
      </c>
      <c r="AL360" s="49">
        <v>0</v>
      </c>
      <c r="AM360" s="49">
        <v>0</v>
      </c>
      <c r="AN360" s="49">
        <v>0</v>
      </c>
      <c r="AO360" s="58">
        <v>0</v>
      </c>
      <c r="AP360" s="174">
        <v>0</v>
      </c>
      <c r="AQ360" s="175">
        <v>0</v>
      </c>
      <c r="AR360" s="175">
        <v>0</v>
      </c>
      <c r="AS360" s="175">
        <v>0</v>
      </c>
      <c r="AT360" s="175">
        <v>0</v>
      </c>
      <c r="AU360" s="175">
        <v>0</v>
      </c>
      <c r="AV360" s="175">
        <v>0</v>
      </c>
      <c r="AW360" s="175">
        <v>0</v>
      </c>
      <c r="AX360" s="83">
        <v>0</v>
      </c>
      <c r="AY360" s="49">
        <v>0</v>
      </c>
      <c r="AZ360" s="49">
        <v>0</v>
      </c>
      <c r="BA360" s="49">
        <v>0</v>
      </c>
      <c r="BB360" s="58">
        <v>0</v>
      </c>
      <c r="BC360" s="42">
        <v>164</v>
      </c>
      <c r="BE360" s="49"/>
      <c r="BS360" s="58"/>
      <c r="BT360" s="83"/>
      <c r="CE360" s="83"/>
      <c r="CK360" s="58"/>
      <c r="CL360" s="83"/>
      <c r="CO360" s="58"/>
      <c r="CP360" s="83"/>
      <c r="CR360" s="58"/>
      <c r="CS360" s="83"/>
      <c r="CY360" s="83"/>
      <c r="DG360" s="58"/>
      <c r="DH360" s="83"/>
      <c r="DQ360" s="83"/>
      <c r="EE360" s="58"/>
      <c r="EF360" s="83"/>
      <c r="EI360" s="83"/>
      <c r="EK360" s="58"/>
      <c r="EL360" s="83"/>
      <c r="EO360" s="58"/>
      <c r="EP360" s="83"/>
      <c r="EQ360" s="58"/>
      <c r="ER360" s="83"/>
      <c r="ES360" s="58"/>
      <c r="ET360" s="83"/>
      <c r="EU360" s="58"/>
    </row>
    <row r="361" spans="1:151">
      <c r="A361" s="83" t="s">
        <v>325</v>
      </c>
      <c r="B361" s="173" t="s">
        <v>146</v>
      </c>
      <c r="C361" s="173" t="s">
        <v>506</v>
      </c>
      <c r="D361" s="83" t="s">
        <v>75</v>
      </c>
      <c r="F361" s="49" t="s">
        <v>287</v>
      </c>
      <c r="G361" s="49">
        <v>32.68</v>
      </c>
      <c r="I361" s="49">
        <v>860</v>
      </c>
      <c r="J361" s="159">
        <v>1.9196428571428572</v>
      </c>
      <c r="K361" s="49">
        <v>4</v>
      </c>
      <c r="L361" s="49">
        <v>3</v>
      </c>
      <c r="M361" s="83">
        <v>0</v>
      </c>
      <c r="N361" s="49">
        <v>1</v>
      </c>
      <c r="O361" s="49">
        <v>0</v>
      </c>
      <c r="P361" s="49">
        <v>1</v>
      </c>
      <c r="Q361" s="58">
        <v>0</v>
      </c>
      <c r="R361" s="42">
        <v>2</v>
      </c>
      <c r="S361" s="83">
        <v>1</v>
      </c>
      <c r="U361" s="83">
        <v>1</v>
      </c>
      <c r="V361" s="49">
        <v>4</v>
      </c>
      <c r="W361" s="49">
        <v>1</v>
      </c>
      <c r="X361" s="58">
        <v>2</v>
      </c>
      <c r="Y361" s="83">
        <v>10</v>
      </c>
      <c r="AD361" s="49">
        <v>10</v>
      </c>
      <c r="AE361" s="49">
        <v>30</v>
      </c>
      <c r="AH361" s="49">
        <v>44</v>
      </c>
      <c r="AI361" s="49">
        <v>297</v>
      </c>
      <c r="AJ361" s="49">
        <v>0</v>
      </c>
      <c r="AK361" s="83">
        <v>0</v>
      </c>
      <c r="AL361" s="49">
        <v>0</v>
      </c>
      <c r="AM361" s="49">
        <v>0</v>
      </c>
      <c r="AN361" s="49">
        <v>0</v>
      </c>
      <c r="AO361" s="58">
        <v>0</v>
      </c>
      <c r="AP361" s="174">
        <v>0</v>
      </c>
      <c r="AQ361" s="175">
        <v>0</v>
      </c>
      <c r="AR361" s="175">
        <v>0</v>
      </c>
      <c r="AS361" s="175">
        <v>0</v>
      </c>
      <c r="AT361" s="175">
        <v>0</v>
      </c>
      <c r="AU361" s="175">
        <v>0</v>
      </c>
      <c r="AV361" s="175">
        <v>0</v>
      </c>
      <c r="AW361" s="175">
        <v>0</v>
      </c>
      <c r="AX361" s="83">
        <v>0</v>
      </c>
      <c r="AY361" s="49">
        <v>0</v>
      </c>
      <c r="AZ361" s="49">
        <v>0</v>
      </c>
      <c r="BA361" s="49">
        <v>0</v>
      </c>
      <c r="BB361" s="58">
        <v>0</v>
      </c>
      <c r="BC361" s="42">
        <v>76</v>
      </c>
      <c r="BE361" s="49"/>
      <c r="BS361" s="58"/>
      <c r="BT361" s="83"/>
      <c r="CE361" s="83"/>
      <c r="CK361" s="58"/>
      <c r="CL361" s="83"/>
      <c r="CO361" s="58"/>
      <c r="CP361" s="83"/>
      <c r="CR361" s="58"/>
      <c r="CS361" s="83"/>
      <c r="CY361" s="83"/>
      <c r="DG361" s="58"/>
      <c r="DH361" s="83"/>
      <c r="DQ361" s="83"/>
      <c r="EE361" s="58"/>
      <c r="EF361" s="83"/>
      <c r="EI361" s="83"/>
      <c r="EK361" s="58"/>
      <c r="EL361" s="83"/>
      <c r="EO361" s="58"/>
      <c r="EP361" s="83"/>
      <c r="EQ361" s="58"/>
      <c r="ER361" s="83"/>
      <c r="ES361" s="58"/>
      <c r="ET361" s="83"/>
      <c r="EU361" s="58"/>
    </row>
    <row r="362" spans="1:151">
      <c r="A362" s="83" t="s">
        <v>325</v>
      </c>
      <c r="B362" s="173" t="s">
        <v>146</v>
      </c>
      <c r="C362" s="173" t="s">
        <v>506</v>
      </c>
      <c r="D362" s="83" t="s">
        <v>76</v>
      </c>
      <c r="F362" s="49" t="s">
        <v>287</v>
      </c>
      <c r="G362" s="49">
        <v>32.68</v>
      </c>
      <c r="I362" s="49">
        <v>734</v>
      </c>
      <c r="J362" s="159">
        <v>1.0222841225626742</v>
      </c>
      <c r="K362" s="49">
        <v>4</v>
      </c>
      <c r="L362" s="49">
        <v>4</v>
      </c>
      <c r="M362" s="83">
        <v>0</v>
      </c>
      <c r="N362" s="49">
        <v>0</v>
      </c>
      <c r="O362" s="49">
        <v>0</v>
      </c>
      <c r="P362" s="49">
        <v>0</v>
      </c>
      <c r="Q362" s="58">
        <v>0</v>
      </c>
      <c r="R362" s="42">
        <v>0</v>
      </c>
      <c r="S362" s="83" t="s">
        <v>284</v>
      </c>
      <c r="U362" s="83">
        <v>1</v>
      </c>
      <c r="V362" s="49">
        <v>4</v>
      </c>
      <c r="W362" s="49">
        <v>2</v>
      </c>
      <c r="X362" s="58"/>
      <c r="Y362" s="83">
        <v>2</v>
      </c>
      <c r="AA362" s="49">
        <v>7</v>
      </c>
      <c r="AD362" s="49">
        <v>14</v>
      </c>
      <c r="AE362" s="49">
        <v>30</v>
      </c>
      <c r="AJ362" s="49">
        <v>0</v>
      </c>
      <c r="AK362" s="83">
        <v>0</v>
      </c>
      <c r="AL362" s="49">
        <v>0</v>
      </c>
      <c r="AM362" s="49">
        <v>1</v>
      </c>
      <c r="AN362" s="49">
        <v>0</v>
      </c>
      <c r="AO362" s="58">
        <v>0</v>
      </c>
      <c r="AP362" s="174" t="s">
        <v>284</v>
      </c>
      <c r="AQ362" s="175" t="s">
        <v>284</v>
      </c>
      <c r="AR362" s="175">
        <v>29</v>
      </c>
      <c r="AS362" s="175">
        <v>127</v>
      </c>
      <c r="AT362" s="175" t="s">
        <v>284</v>
      </c>
      <c r="AU362" s="175" t="s">
        <v>284</v>
      </c>
      <c r="AV362" s="175" t="s">
        <v>284</v>
      </c>
      <c r="AW362" s="175" t="s">
        <v>284</v>
      </c>
      <c r="AX362" s="83">
        <v>0</v>
      </c>
      <c r="AY362" s="49">
        <v>0</v>
      </c>
      <c r="AZ362" s="49">
        <v>0</v>
      </c>
      <c r="BA362" s="49">
        <v>0</v>
      </c>
      <c r="BB362" s="58">
        <v>0</v>
      </c>
      <c r="BC362" s="42">
        <v>107</v>
      </c>
      <c r="BE362" s="49"/>
      <c r="BS362" s="58"/>
      <c r="BT362" s="83"/>
      <c r="CE362" s="83"/>
      <c r="CK362" s="58"/>
      <c r="CL362" s="83"/>
      <c r="CO362" s="58"/>
      <c r="CP362" s="83"/>
      <c r="CR362" s="58"/>
      <c r="CS362" s="83"/>
      <c r="CY362" s="83"/>
      <c r="DG362" s="58"/>
      <c r="DH362" s="83"/>
      <c r="DQ362" s="83"/>
      <c r="EE362" s="58"/>
      <c r="EF362" s="83"/>
      <c r="EI362" s="83"/>
      <c r="EK362" s="58"/>
      <c r="EL362" s="83"/>
      <c r="EO362" s="58"/>
      <c r="EP362" s="83"/>
      <c r="EQ362" s="58"/>
      <c r="ER362" s="83"/>
      <c r="ES362" s="58"/>
      <c r="ET362" s="83"/>
      <c r="EU362" s="58"/>
    </row>
    <row r="363" spans="1:151">
      <c r="A363" s="83" t="s">
        <v>325</v>
      </c>
      <c r="B363" s="173" t="s">
        <v>146</v>
      </c>
      <c r="C363" s="173" t="s">
        <v>506</v>
      </c>
      <c r="D363" s="83" t="s">
        <v>132</v>
      </c>
      <c r="F363" s="49" t="s">
        <v>287</v>
      </c>
      <c r="G363" s="49">
        <v>32.68</v>
      </c>
      <c r="I363" s="49">
        <v>982</v>
      </c>
      <c r="J363" s="159">
        <v>2.3051643192488265</v>
      </c>
      <c r="K363" s="49">
        <v>4</v>
      </c>
      <c r="L363" s="49">
        <v>4</v>
      </c>
      <c r="M363" s="83">
        <v>0</v>
      </c>
      <c r="N363" s="49">
        <v>1</v>
      </c>
      <c r="O363" s="49">
        <v>0</v>
      </c>
      <c r="P363" s="49">
        <v>1</v>
      </c>
      <c r="Q363" s="58">
        <v>0</v>
      </c>
      <c r="R363" s="42">
        <v>2</v>
      </c>
      <c r="S363" s="83">
        <v>1</v>
      </c>
      <c r="U363" s="83">
        <v>1</v>
      </c>
      <c r="V363" s="49">
        <v>2</v>
      </c>
      <c r="W363" s="49">
        <v>1</v>
      </c>
      <c r="X363" s="58">
        <v>2</v>
      </c>
      <c r="Y363" s="83">
        <v>1</v>
      </c>
      <c r="AD363" s="49">
        <v>16</v>
      </c>
      <c r="AE363" s="49">
        <v>136</v>
      </c>
      <c r="AH363" s="49">
        <v>37</v>
      </c>
      <c r="AI363" s="49">
        <v>162</v>
      </c>
      <c r="AJ363" s="49">
        <v>0</v>
      </c>
      <c r="AK363" s="83">
        <v>0</v>
      </c>
      <c r="AL363" s="49">
        <v>1</v>
      </c>
      <c r="AM363" s="49">
        <v>1</v>
      </c>
      <c r="AN363" s="49">
        <v>0</v>
      </c>
      <c r="AO363" s="58">
        <v>0</v>
      </c>
      <c r="AP363" s="174">
        <v>0</v>
      </c>
      <c r="AQ363" s="175">
        <v>571</v>
      </c>
      <c r="AR363" s="175">
        <v>51</v>
      </c>
      <c r="AS363" s="175">
        <v>90</v>
      </c>
      <c r="AT363" s="175">
        <v>0</v>
      </c>
      <c r="AU363" s="175">
        <v>0</v>
      </c>
      <c r="AV363" s="175">
        <v>0</v>
      </c>
      <c r="AW363" s="175">
        <v>0</v>
      </c>
      <c r="AX363" s="83">
        <v>0</v>
      </c>
      <c r="AY363" s="49">
        <v>0</v>
      </c>
      <c r="AZ363" s="49">
        <v>0</v>
      </c>
      <c r="BA363" s="49">
        <v>0</v>
      </c>
      <c r="BB363" s="58">
        <v>0</v>
      </c>
      <c r="BC363" s="42">
        <v>104</v>
      </c>
      <c r="BD363" s="49">
        <v>72.83</v>
      </c>
      <c r="BE363" s="49"/>
      <c r="BS363" s="58"/>
      <c r="BT363" s="83">
        <v>77.06</v>
      </c>
      <c r="CE363" s="83"/>
      <c r="CK363" s="58"/>
      <c r="CL363" s="83">
        <v>63.67</v>
      </c>
      <c r="CO363" s="58"/>
      <c r="CP363" s="83"/>
      <c r="CR363" s="58"/>
      <c r="CS363" s="83"/>
      <c r="CY363" s="83"/>
      <c r="DG363" s="58"/>
      <c r="DH363" s="83"/>
      <c r="DQ363" s="83"/>
      <c r="EE363" s="58"/>
      <c r="EF363" s="83"/>
      <c r="EI363" s="83"/>
      <c r="EK363" s="58"/>
      <c r="EL363" s="83"/>
      <c r="EO363" s="58"/>
      <c r="EP363" s="83"/>
      <c r="EQ363" s="58"/>
      <c r="ER363" s="83"/>
      <c r="ES363" s="58"/>
      <c r="ET363" s="83"/>
      <c r="EU363" s="58"/>
    </row>
    <row r="364" spans="1:151">
      <c r="A364" s="83" t="s">
        <v>325</v>
      </c>
      <c r="B364" s="173" t="s">
        <v>146</v>
      </c>
      <c r="C364" s="173" t="s">
        <v>506</v>
      </c>
      <c r="D364" s="83" t="s">
        <v>167</v>
      </c>
      <c r="F364" s="49" t="s">
        <v>287</v>
      </c>
      <c r="G364" s="49">
        <v>32.68</v>
      </c>
      <c r="I364" s="49">
        <v>782</v>
      </c>
      <c r="J364" s="159">
        <v>1.0831024930747923</v>
      </c>
      <c r="K364" s="49">
        <v>4</v>
      </c>
      <c r="L364" s="49">
        <v>4</v>
      </c>
      <c r="M364" s="83">
        <v>0</v>
      </c>
      <c r="N364" s="49">
        <v>0</v>
      </c>
      <c r="O364" s="49">
        <v>0</v>
      </c>
      <c r="P364" s="49">
        <v>0</v>
      </c>
      <c r="Q364" s="58">
        <v>0</v>
      </c>
      <c r="R364" s="42">
        <v>0</v>
      </c>
      <c r="S364" s="83" t="s">
        <v>283</v>
      </c>
      <c r="T364" s="49">
        <v>67</v>
      </c>
      <c r="U364" s="83">
        <v>1</v>
      </c>
      <c r="V364" s="49">
        <v>4</v>
      </c>
      <c r="W364" s="49">
        <v>2</v>
      </c>
      <c r="X364" s="58"/>
      <c r="Y364" s="83">
        <v>2</v>
      </c>
      <c r="AD364" s="49">
        <v>5</v>
      </c>
      <c r="AE364" s="49">
        <v>32</v>
      </c>
      <c r="AG364" s="49">
        <v>99</v>
      </c>
      <c r="AH364" s="49">
        <v>20</v>
      </c>
      <c r="AI364" s="49">
        <v>375</v>
      </c>
      <c r="AJ364" s="49">
        <v>0</v>
      </c>
      <c r="AK364" s="83">
        <v>0</v>
      </c>
      <c r="AL364" s="49">
        <v>0</v>
      </c>
      <c r="AM364" s="49">
        <v>1</v>
      </c>
      <c r="AN364" s="49">
        <v>0</v>
      </c>
      <c r="AO364" s="58">
        <v>0</v>
      </c>
      <c r="AP364" s="174">
        <v>0</v>
      </c>
      <c r="AQ364" s="175">
        <v>0</v>
      </c>
      <c r="AR364" s="175">
        <v>47</v>
      </c>
      <c r="AS364" s="175">
        <v>214</v>
      </c>
      <c r="AT364" s="175">
        <v>0</v>
      </c>
      <c r="AU364" s="175">
        <v>0</v>
      </c>
      <c r="AV364" s="175">
        <v>0</v>
      </c>
      <c r="AW364" s="175">
        <v>0</v>
      </c>
      <c r="AX364" s="83">
        <v>0</v>
      </c>
      <c r="AY364" s="49">
        <v>0</v>
      </c>
      <c r="AZ364" s="49">
        <v>0</v>
      </c>
      <c r="BA364" s="49">
        <v>0</v>
      </c>
      <c r="BB364" s="58">
        <v>0</v>
      </c>
      <c r="BC364" s="42">
        <v>148</v>
      </c>
      <c r="BE364" s="49"/>
      <c r="BS364" s="58"/>
      <c r="BT364" s="83"/>
      <c r="CE364" s="83"/>
      <c r="CK364" s="58"/>
      <c r="CL364" s="83"/>
      <c r="CO364" s="58"/>
      <c r="CP364" s="83"/>
      <c r="CR364" s="58"/>
      <c r="CS364" s="83"/>
      <c r="CY364" s="83"/>
      <c r="DG364" s="58"/>
      <c r="DH364" s="83"/>
      <c r="DQ364" s="83"/>
      <c r="EE364" s="58"/>
      <c r="EF364" s="83"/>
      <c r="EI364" s="83"/>
      <c r="EK364" s="58"/>
      <c r="EL364" s="83"/>
      <c r="EO364" s="58"/>
      <c r="EP364" s="83"/>
      <c r="EQ364" s="58"/>
      <c r="ER364" s="83"/>
      <c r="ES364" s="58"/>
      <c r="ET364" s="83"/>
      <c r="EU364" s="58"/>
    </row>
    <row r="365" spans="1:151">
      <c r="A365" s="83" t="s">
        <v>325</v>
      </c>
      <c r="B365" s="173" t="s">
        <v>146</v>
      </c>
      <c r="C365" s="173" t="s">
        <v>506</v>
      </c>
      <c r="D365" s="83" t="s">
        <v>168</v>
      </c>
      <c r="F365" s="49" t="s">
        <v>286</v>
      </c>
      <c r="G365" s="49">
        <v>32.68</v>
      </c>
      <c r="I365" s="49">
        <v>1366</v>
      </c>
      <c r="J365" s="159">
        <v>1.1498316498316499</v>
      </c>
      <c r="K365" s="49">
        <v>4</v>
      </c>
      <c r="L365" s="49">
        <v>3</v>
      </c>
      <c r="M365" s="83">
        <v>0</v>
      </c>
      <c r="N365" s="49">
        <v>0</v>
      </c>
      <c r="O365" s="49">
        <v>1</v>
      </c>
      <c r="P365" s="49">
        <v>1</v>
      </c>
      <c r="Q365" s="58">
        <v>0</v>
      </c>
      <c r="R365" s="42">
        <v>2</v>
      </c>
      <c r="S365" s="83" t="s">
        <v>283</v>
      </c>
      <c r="T365" s="49">
        <v>9</v>
      </c>
      <c r="U365" s="83">
        <v>1</v>
      </c>
      <c r="V365" s="49">
        <v>3</v>
      </c>
      <c r="W365" s="49">
        <v>1</v>
      </c>
      <c r="X365" s="58">
        <v>2</v>
      </c>
      <c r="Y365" s="83">
        <v>1</v>
      </c>
      <c r="Z365" s="49">
        <v>6</v>
      </c>
      <c r="AA365" s="49">
        <v>13</v>
      </c>
      <c r="AD365" s="49">
        <v>11</v>
      </c>
      <c r="AE365" s="49">
        <v>40</v>
      </c>
      <c r="AG365" s="49">
        <v>8</v>
      </c>
      <c r="AI365" s="49">
        <v>26</v>
      </c>
      <c r="AJ365" s="49">
        <v>0</v>
      </c>
      <c r="AK365" s="83">
        <v>0</v>
      </c>
      <c r="AL365" s="49">
        <v>0</v>
      </c>
      <c r="AM365" s="49">
        <v>1</v>
      </c>
      <c r="AN365" s="49">
        <v>0</v>
      </c>
      <c r="AO365" s="58">
        <v>1</v>
      </c>
      <c r="AP365" s="174">
        <v>0</v>
      </c>
      <c r="AQ365" s="175">
        <v>0</v>
      </c>
      <c r="AR365" s="175">
        <v>68</v>
      </c>
      <c r="AS365" s="175">
        <v>678</v>
      </c>
      <c r="AT365" s="175">
        <v>0</v>
      </c>
      <c r="AU365" s="175">
        <v>0</v>
      </c>
      <c r="AV365" s="175">
        <v>0</v>
      </c>
      <c r="AW365" s="175">
        <v>129</v>
      </c>
      <c r="AX365" s="83">
        <v>0</v>
      </c>
      <c r="AY365" s="49">
        <v>0</v>
      </c>
      <c r="AZ365" s="49">
        <v>0</v>
      </c>
      <c r="BA365" s="49">
        <v>0</v>
      </c>
      <c r="BB365" s="58">
        <v>0</v>
      </c>
      <c r="BC365" s="42">
        <v>133</v>
      </c>
      <c r="BD365" s="49">
        <v>77.459999999999994</v>
      </c>
      <c r="BE365" s="49">
        <v>78.53</v>
      </c>
      <c r="BS365" s="58"/>
      <c r="BT365" s="83"/>
      <c r="CE365" s="83">
        <v>65.790000000000006</v>
      </c>
      <c r="CK365" s="58"/>
      <c r="CL365" s="83"/>
      <c r="CO365" s="58"/>
      <c r="CP365" s="83"/>
      <c r="CR365" s="58"/>
      <c r="CS365" s="83"/>
      <c r="CY365" s="83"/>
      <c r="DG365" s="58"/>
      <c r="DH365" s="83"/>
      <c r="DQ365" s="83"/>
      <c r="EE365" s="58"/>
      <c r="EF365" s="83"/>
      <c r="EI365" s="83"/>
      <c r="EK365" s="58"/>
      <c r="EL365" s="83"/>
      <c r="EO365" s="58"/>
      <c r="EP365" s="83"/>
      <c r="EQ365" s="58"/>
      <c r="ER365" s="83"/>
      <c r="ES365" s="58"/>
      <c r="ET365" s="83"/>
      <c r="EU365" s="58"/>
    </row>
    <row r="366" spans="1:151" ht="17" thickBot="1">
      <c r="A366" s="83" t="s">
        <v>325</v>
      </c>
      <c r="B366" s="47" t="s">
        <v>146</v>
      </c>
      <c r="C366" s="47" t="s">
        <v>506</v>
      </c>
      <c r="D366" s="84" t="s">
        <v>169</v>
      </c>
      <c r="E366" s="57"/>
      <c r="F366" s="57" t="s">
        <v>286</v>
      </c>
      <c r="G366" s="57">
        <v>32.68</v>
      </c>
      <c r="H366" s="57"/>
      <c r="I366" s="57">
        <v>1126</v>
      </c>
      <c r="J366" s="75">
        <v>8.9365079365079367</v>
      </c>
      <c r="K366" s="57">
        <v>2</v>
      </c>
      <c r="L366" s="57">
        <v>2</v>
      </c>
      <c r="M366" s="84">
        <v>1</v>
      </c>
      <c r="N366" s="57">
        <v>0</v>
      </c>
      <c r="O366" s="57">
        <v>0</v>
      </c>
      <c r="P366" s="57">
        <v>0</v>
      </c>
      <c r="Q366" s="56">
        <v>0</v>
      </c>
      <c r="R366" s="55">
        <v>1</v>
      </c>
      <c r="S366" s="84" t="s">
        <v>283</v>
      </c>
      <c r="T366" s="57">
        <v>4</v>
      </c>
      <c r="U366" s="84">
        <v>0</v>
      </c>
      <c r="V366" s="57">
        <v>0</v>
      </c>
      <c r="W366" s="57">
        <v>0</v>
      </c>
      <c r="X366" s="56"/>
      <c r="Y366" s="84">
        <v>3</v>
      </c>
      <c r="Z366" s="57"/>
      <c r="AA366" s="57"/>
      <c r="AB366" s="57"/>
      <c r="AC366" s="57"/>
      <c r="AD366" s="57">
        <v>10</v>
      </c>
      <c r="AE366" s="57">
        <v>45</v>
      </c>
      <c r="AF366" s="57"/>
      <c r="AG366" s="57">
        <v>150</v>
      </c>
      <c r="AH366" s="57"/>
      <c r="AI366" s="57">
        <v>18</v>
      </c>
      <c r="AJ366" s="57">
        <v>0</v>
      </c>
      <c r="AK366" s="84">
        <v>0</v>
      </c>
      <c r="AL366" s="57">
        <v>0</v>
      </c>
      <c r="AM366" s="57">
        <v>1</v>
      </c>
      <c r="AN366" s="57">
        <v>0</v>
      </c>
      <c r="AO366" s="56">
        <v>0</v>
      </c>
      <c r="AP366" s="178">
        <v>0</v>
      </c>
      <c r="AQ366" s="179">
        <v>0</v>
      </c>
      <c r="AR366" s="179">
        <v>0</v>
      </c>
      <c r="AS366" s="179">
        <v>199</v>
      </c>
      <c r="AT366" s="179">
        <v>0</v>
      </c>
      <c r="AU366" s="179">
        <v>0</v>
      </c>
      <c r="AV366" s="179">
        <v>0</v>
      </c>
      <c r="AW366" s="179">
        <v>0</v>
      </c>
      <c r="AX366" s="84">
        <v>0</v>
      </c>
      <c r="AY366" s="57">
        <v>0</v>
      </c>
      <c r="AZ366" s="57">
        <v>0</v>
      </c>
      <c r="BA366" s="57">
        <v>0</v>
      </c>
      <c r="BB366" s="56">
        <v>0</v>
      </c>
      <c r="BC366" s="55">
        <v>112</v>
      </c>
      <c r="BD366" s="57"/>
      <c r="BE366" s="57"/>
      <c r="BF366" s="57"/>
      <c r="BG366" s="57"/>
      <c r="BH366" s="57"/>
      <c r="BI366" s="57"/>
      <c r="BJ366" s="57"/>
      <c r="BK366" s="57"/>
      <c r="BL366" s="57"/>
      <c r="BM366" s="57"/>
      <c r="BN366" s="57"/>
      <c r="BO366" s="57"/>
      <c r="BP366" s="57"/>
      <c r="BQ366" s="57"/>
      <c r="BR366" s="57"/>
      <c r="BS366" s="56"/>
      <c r="BT366" s="84"/>
      <c r="BU366" s="57"/>
      <c r="BV366" s="57"/>
      <c r="BW366" s="57"/>
      <c r="BX366" s="57"/>
      <c r="BY366" s="57"/>
      <c r="BZ366" s="57"/>
      <c r="CA366" s="57"/>
      <c r="CB366" s="57"/>
      <c r="CC366" s="57"/>
      <c r="CD366" s="57"/>
      <c r="CE366" s="84"/>
      <c r="CF366" s="57"/>
      <c r="CG366" s="57"/>
      <c r="CH366" s="57"/>
      <c r="CI366" s="57"/>
      <c r="CJ366" s="57"/>
      <c r="CK366" s="56"/>
      <c r="CL366" s="84"/>
      <c r="CM366" s="57"/>
      <c r="CN366" s="57"/>
      <c r="CO366" s="56"/>
      <c r="CP366" s="84"/>
      <c r="CQ366" s="57"/>
      <c r="CR366" s="56"/>
      <c r="CS366" s="84"/>
      <c r="CT366" s="57"/>
      <c r="CU366" s="57"/>
      <c r="CV366" s="57"/>
      <c r="CW366" s="57"/>
      <c r="CX366" s="57"/>
      <c r="CY366" s="84"/>
      <c r="CZ366" s="57"/>
      <c r="DA366" s="57"/>
      <c r="DB366" s="57"/>
      <c r="DC366" s="57"/>
      <c r="DD366" s="57"/>
      <c r="DE366" s="57"/>
      <c r="DF366" s="57"/>
      <c r="DG366" s="56"/>
      <c r="DH366" s="84"/>
      <c r="DI366" s="57"/>
      <c r="DJ366" s="57"/>
      <c r="DK366" s="57"/>
      <c r="DL366" s="57"/>
      <c r="DM366" s="57"/>
      <c r="DN366" s="57"/>
      <c r="DO366" s="57"/>
      <c r="DP366" s="57"/>
      <c r="DQ366" s="84"/>
      <c r="DR366" s="57"/>
      <c r="DS366" s="57"/>
      <c r="DT366" s="57"/>
      <c r="DU366" s="57"/>
      <c r="DV366" s="57"/>
      <c r="DW366" s="57"/>
      <c r="DX366" s="57"/>
      <c r="DY366" s="57"/>
      <c r="DZ366" s="57"/>
      <c r="EA366" s="57"/>
      <c r="EB366" s="57"/>
      <c r="EC366" s="57"/>
      <c r="ED366" s="57"/>
      <c r="EE366" s="56"/>
      <c r="EF366" s="84"/>
      <c r="EG366" s="57"/>
      <c r="EH366" s="57"/>
      <c r="EI366" s="84"/>
      <c r="EJ366" s="57"/>
      <c r="EK366" s="56"/>
      <c r="EL366" s="84"/>
      <c r="EM366" s="57"/>
      <c r="EN366" s="57"/>
      <c r="EO366" s="56"/>
      <c r="EP366" s="84"/>
      <c r="EQ366" s="56"/>
      <c r="ER366" s="84"/>
      <c r="ES366" s="56"/>
      <c r="ET366" s="84"/>
      <c r="EU366" s="56"/>
    </row>
    <row r="367" spans="1:151">
      <c r="A367" s="87" t="s">
        <v>325</v>
      </c>
      <c r="B367" s="7" t="s">
        <v>507</v>
      </c>
      <c r="C367" s="7" t="s">
        <v>508</v>
      </c>
      <c r="D367" s="147" t="s">
        <v>64</v>
      </c>
      <c r="E367" s="148" t="s">
        <v>0</v>
      </c>
      <c r="F367" s="148" t="s">
        <v>287</v>
      </c>
      <c r="G367" s="148">
        <v>31.957999999999998</v>
      </c>
      <c r="H367" s="148"/>
      <c r="I367" s="148">
        <v>599</v>
      </c>
      <c r="J367" s="158">
        <v>2.124113475177305</v>
      </c>
      <c r="K367" s="148">
        <v>1</v>
      </c>
      <c r="L367" s="148">
        <v>1</v>
      </c>
      <c r="M367" s="147">
        <v>1</v>
      </c>
      <c r="N367" s="148">
        <v>0</v>
      </c>
      <c r="O367" s="148">
        <v>0</v>
      </c>
      <c r="P367" s="148">
        <v>1</v>
      </c>
      <c r="Q367" s="149">
        <v>0</v>
      </c>
      <c r="R367" s="87">
        <v>2</v>
      </c>
      <c r="S367" s="147" t="s">
        <v>283</v>
      </c>
      <c r="T367" s="148">
        <v>3</v>
      </c>
      <c r="U367" s="147">
        <v>2</v>
      </c>
      <c r="V367" s="148">
        <v>2</v>
      </c>
      <c r="W367" s="148">
        <v>1</v>
      </c>
      <c r="X367" s="149">
        <v>2</v>
      </c>
      <c r="Y367" s="147">
        <v>0</v>
      </c>
      <c r="Z367" s="148"/>
      <c r="AA367" s="148"/>
      <c r="AB367" s="148"/>
      <c r="AC367" s="148"/>
      <c r="AD367" s="148"/>
      <c r="AE367" s="148"/>
      <c r="AF367" s="148"/>
      <c r="AG367" s="148"/>
      <c r="AH367" s="148"/>
      <c r="AI367" s="148"/>
      <c r="AJ367" s="148">
        <v>0</v>
      </c>
      <c r="AK367" s="147">
        <v>0</v>
      </c>
      <c r="AL367" s="148">
        <v>0</v>
      </c>
      <c r="AM367" s="148">
        <v>0</v>
      </c>
      <c r="AN367" s="148">
        <v>0</v>
      </c>
      <c r="AO367" s="149">
        <v>0</v>
      </c>
      <c r="AP367" s="169">
        <v>0</v>
      </c>
      <c r="AQ367" s="170">
        <v>0</v>
      </c>
      <c r="AR367" s="170">
        <v>0</v>
      </c>
      <c r="AS367" s="170">
        <v>0</v>
      </c>
      <c r="AT367" s="170">
        <v>0</v>
      </c>
      <c r="AU367" s="170">
        <v>0</v>
      </c>
      <c r="AV367" s="170">
        <v>0</v>
      </c>
      <c r="AW367" s="170">
        <v>0</v>
      </c>
      <c r="AX367" s="147">
        <v>0</v>
      </c>
      <c r="AY367" s="148">
        <v>0</v>
      </c>
      <c r="AZ367" s="148">
        <v>0</v>
      </c>
      <c r="BA367" s="148">
        <v>0</v>
      </c>
      <c r="BB367" s="149">
        <v>0</v>
      </c>
      <c r="BC367" s="87">
        <v>87</v>
      </c>
      <c r="BD367" s="148"/>
      <c r="BE367" s="148"/>
      <c r="BF367" s="148"/>
      <c r="BG367" s="148"/>
      <c r="BH367" s="148"/>
      <c r="BI367" s="148"/>
      <c r="BJ367" s="148"/>
      <c r="BK367" s="148"/>
      <c r="BL367" s="148"/>
      <c r="BM367" s="148"/>
      <c r="BN367" s="148"/>
      <c r="BO367" s="148"/>
      <c r="BP367" s="148"/>
      <c r="BQ367" s="148"/>
      <c r="BR367" s="148"/>
      <c r="BS367" s="149"/>
      <c r="BT367" s="147"/>
      <c r="BU367" s="148"/>
      <c r="BV367" s="148"/>
      <c r="BW367" s="148"/>
      <c r="BX367" s="148"/>
      <c r="BY367" s="148"/>
      <c r="BZ367" s="148"/>
      <c r="CA367" s="148"/>
      <c r="CB367" s="148"/>
      <c r="CC367" s="148"/>
      <c r="CD367" s="148"/>
      <c r="CE367" s="147"/>
      <c r="CF367" s="148"/>
      <c r="CG367" s="148"/>
      <c r="CH367" s="148"/>
      <c r="CI367" s="148"/>
      <c r="CJ367" s="148"/>
      <c r="CK367" s="149"/>
      <c r="CL367" s="147"/>
      <c r="CM367" s="148"/>
      <c r="CN367" s="148"/>
      <c r="CO367" s="149"/>
      <c r="CP367" s="147"/>
      <c r="CQ367" s="148"/>
      <c r="CR367" s="149"/>
      <c r="CS367" s="147"/>
      <c r="CT367" s="148"/>
      <c r="CU367" s="148"/>
      <c r="CV367" s="148"/>
      <c r="CW367" s="148"/>
      <c r="CX367" s="148"/>
      <c r="CY367" s="147"/>
      <c r="CZ367" s="148"/>
      <c r="DA367" s="148"/>
      <c r="DB367" s="148"/>
      <c r="DC367" s="148"/>
      <c r="DD367" s="148"/>
      <c r="DE367" s="148"/>
      <c r="DF367" s="148"/>
      <c r="DG367" s="149"/>
      <c r="DH367" s="147"/>
      <c r="DI367" s="148"/>
      <c r="DJ367" s="148"/>
      <c r="DK367" s="148"/>
      <c r="DL367" s="148"/>
      <c r="DM367" s="148"/>
      <c r="DN367" s="148"/>
      <c r="DO367" s="148"/>
      <c r="DP367" s="148"/>
      <c r="DQ367" s="147"/>
      <c r="DR367" s="148"/>
      <c r="DS367" s="148"/>
      <c r="DT367" s="148"/>
      <c r="DU367" s="148"/>
      <c r="DV367" s="148"/>
      <c r="DW367" s="148"/>
      <c r="DX367" s="148"/>
      <c r="DY367" s="148"/>
      <c r="DZ367" s="148"/>
      <c r="EA367" s="148"/>
      <c r="EB367" s="148"/>
      <c r="EC367" s="148"/>
      <c r="ED367" s="148"/>
      <c r="EE367" s="149"/>
      <c r="EF367" s="147"/>
      <c r="EG367" s="148"/>
      <c r="EH367" s="148"/>
      <c r="EI367" s="147"/>
      <c r="EJ367" s="148"/>
      <c r="EK367" s="149"/>
      <c r="EL367" s="147"/>
      <c r="EM367" s="148"/>
      <c r="EN367" s="148"/>
      <c r="EO367" s="149"/>
      <c r="EP367" s="147"/>
      <c r="EQ367" s="149"/>
      <c r="ER367" s="147"/>
      <c r="ES367" s="149"/>
      <c r="ET367" s="147"/>
      <c r="EU367" s="149"/>
    </row>
    <row r="368" spans="1:151">
      <c r="A368" s="42" t="s">
        <v>325</v>
      </c>
      <c r="B368" s="173" t="s">
        <v>507</v>
      </c>
      <c r="C368" s="173" t="s">
        <v>508</v>
      </c>
      <c r="D368" s="83" t="s">
        <v>64</v>
      </c>
      <c r="E368" s="49" t="s">
        <v>1</v>
      </c>
      <c r="F368" s="49" t="s">
        <v>287</v>
      </c>
      <c r="G368" s="49">
        <v>31.957999999999998</v>
      </c>
      <c r="I368" s="49">
        <v>229</v>
      </c>
      <c r="J368" s="159">
        <v>1.1865284974093264</v>
      </c>
      <c r="K368" s="49">
        <v>1</v>
      </c>
      <c r="L368" s="49">
        <v>1</v>
      </c>
      <c r="M368" s="83">
        <v>1</v>
      </c>
      <c r="N368" s="49">
        <v>0</v>
      </c>
      <c r="O368" s="49">
        <v>0</v>
      </c>
      <c r="P368" s="49">
        <v>1</v>
      </c>
      <c r="Q368" s="58">
        <v>0</v>
      </c>
      <c r="R368" s="42">
        <v>2</v>
      </c>
      <c r="S368" s="83" t="s">
        <v>283</v>
      </c>
      <c r="T368" s="49">
        <v>3</v>
      </c>
      <c r="U368" s="83">
        <v>1</v>
      </c>
      <c r="V368" s="49">
        <v>1</v>
      </c>
      <c r="W368" s="49">
        <v>1</v>
      </c>
      <c r="X368" s="58">
        <v>2</v>
      </c>
      <c r="Y368" s="83">
        <v>0</v>
      </c>
      <c r="AJ368" s="49">
        <v>0</v>
      </c>
      <c r="AK368" s="83">
        <v>0</v>
      </c>
      <c r="AL368" s="49">
        <v>0</v>
      </c>
      <c r="AM368" s="49">
        <v>0</v>
      </c>
      <c r="AN368" s="49">
        <v>0</v>
      </c>
      <c r="AO368" s="58">
        <v>0</v>
      </c>
      <c r="AP368" s="174">
        <v>0</v>
      </c>
      <c r="AQ368" s="175">
        <v>0</v>
      </c>
      <c r="AR368" s="175">
        <v>0</v>
      </c>
      <c r="AS368" s="175">
        <v>0</v>
      </c>
      <c r="AT368" s="175">
        <v>0</v>
      </c>
      <c r="AU368" s="175">
        <v>0</v>
      </c>
      <c r="AV368" s="175">
        <v>0</v>
      </c>
      <c r="AW368" s="175">
        <v>0</v>
      </c>
      <c r="AX368" s="83">
        <v>0</v>
      </c>
      <c r="AY368" s="49">
        <v>0</v>
      </c>
      <c r="AZ368" s="49">
        <v>0</v>
      </c>
      <c r="BA368" s="49">
        <v>0</v>
      </c>
      <c r="BB368" s="58">
        <v>0</v>
      </c>
      <c r="BC368" s="42">
        <v>87</v>
      </c>
      <c r="BE368" s="49"/>
      <c r="BS368" s="58"/>
      <c r="BT368" s="83"/>
      <c r="CE368" s="83"/>
      <c r="CK368" s="58"/>
      <c r="CL368" s="83"/>
      <c r="CO368" s="58"/>
      <c r="CP368" s="83"/>
      <c r="CR368" s="58"/>
      <c r="CS368" s="83"/>
      <c r="CY368" s="83"/>
      <c r="DG368" s="58"/>
      <c r="DH368" s="83"/>
      <c r="DQ368" s="83"/>
      <c r="EE368" s="58"/>
      <c r="EF368" s="83"/>
      <c r="EI368" s="83"/>
      <c r="EK368" s="58"/>
      <c r="EL368" s="83"/>
      <c r="EO368" s="58"/>
      <c r="EP368" s="83"/>
      <c r="EQ368" s="58"/>
      <c r="ER368" s="83"/>
      <c r="ES368" s="58"/>
      <c r="ET368" s="83"/>
      <c r="EU368" s="58"/>
    </row>
    <row r="369" spans="1:151">
      <c r="A369" s="42" t="s">
        <v>325</v>
      </c>
      <c r="B369" s="173" t="s">
        <v>507</v>
      </c>
      <c r="C369" s="173" t="s">
        <v>508</v>
      </c>
      <c r="D369" s="83" t="s">
        <v>64</v>
      </c>
      <c r="E369" s="49" t="s">
        <v>2</v>
      </c>
      <c r="F369" s="49" t="s">
        <v>287</v>
      </c>
      <c r="G369" s="49">
        <v>31.957999999999998</v>
      </c>
      <c r="I369" s="49">
        <v>179</v>
      </c>
      <c r="J369" s="159">
        <v>1.0591715976331362</v>
      </c>
      <c r="K369" s="49">
        <v>1</v>
      </c>
      <c r="L369" s="49">
        <v>1</v>
      </c>
      <c r="M369" s="83">
        <v>1</v>
      </c>
      <c r="N369" s="49">
        <v>0</v>
      </c>
      <c r="O369" s="49">
        <v>0</v>
      </c>
      <c r="P369" s="49">
        <v>1</v>
      </c>
      <c r="Q369" s="58">
        <v>0</v>
      </c>
      <c r="R369" s="42">
        <v>2</v>
      </c>
      <c r="S369" s="83" t="s">
        <v>283</v>
      </c>
      <c r="T369" s="49">
        <v>2</v>
      </c>
      <c r="U369" s="83">
        <v>0</v>
      </c>
      <c r="V369" s="49">
        <v>0</v>
      </c>
      <c r="W369" s="49">
        <v>0</v>
      </c>
      <c r="X369" s="58"/>
      <c r="Y369" s="83">
        <v>0</v>
      </c>
      <c r="AJ369" s="49">
        <v>0</v>
      </c>
      <c r="AK369" s="83">
        <v>0</v>
      </c>
      <c r="AL369" s="49">
        <v>0</v>
      </c>
      <c r="AM369" s="49">
        <v>0</v>
      </c>
      <c r="AN369" s="49">
        <v>0</v>
      </c>
      <c r="AO369" s="58">
        <v>0</v>
      </c>
      <c r="AP369" s="174">
        <v>0</v>
      </c>
      <c r="AQ369" s="175">
        <v>0</v>
      </c>
      <c r="AR369" s="175">
        <v>0</v>
      </c>
      <c r="AS369" s="175">
        <v>0</v>
      </c>
      <c r="AT369" s="175">
        <v>0</v>
      </c>
      <c r="AU369" s="175">
        <v>0</v>
      </c>
      <c r="AV369" s="175">
        <v>0</v>
      </c>
      <c r="AW369" s="175">
        <v>0</v>
      </c>
      <c r="AX369" s="83">
        <v>0</v>
      </c>
      <c r="AY369" s="49">
        <v>0</v>
      </c>
      <c r="AZ369" s="49">
        <v>0</v>
      </c>
      <c r="BA369" s="49">
        <v>0</v>
      </c>
      <c r="BB369" s="58">
        <v>0</v>
      </c>
      <c r="BC369" s="42">
        <v>87</v>
      </c>
      <c r="BE369" s="49"/>
      <c r="BS369" s="58"/>
      <c r="BT369" s="83"/>
      <c r="CE369" s="83"/>
      <c r="CK369" s="58"/>
      <c r="CL369" s="83"/>
      <c r="CO369" s="58"/>
      <c r="CP369" s="83"/>
      <c r="CR369" s="58"/>
      <c r="CS369" s="83"/>
      <c r="CY369" s="83"/>
      <c r="DG369" s="58"/>
      <c r="DH369" s="83"/>
      <c r="DQ369" s="83"/>
      <c r="EE369" s="58"/>
      <c r="EF369" s="83"/>
      <c r="EI369" s="83"/>
      <c r="EK369" s="58"/>
      <c r="EL369" s="83"/>
      <c r="EO369" s="58"/>
      <c r="EP369" s="83"/>
      <c r="EQ369" s="58"/>
      <c r="ER369" s="83"/>
      <c r="ES369" s="58"/>
      <c r="ET369" s="83"/>
      <c r="EU369" s="58"/>
    </row>
    <row r="370" spans="1:151">
      <c r="A370" s="42" t="s">
        <v>325</v>
      </c>
      <c r="B370" s="173" t="s">
        <v>507</v>
      </c>
      <c r="C370" s="173" t="s">
        <v>508</v>
      </c>
      <c r="D370" s="83" t="s">
        <v>64</v>
      </c>
      <c r="E370" s="49" t="s">
        <v>3</v>
      </c>
      <c r="F370" s="49" t="s">
        <v>287</v>
      </c>
      <c r="G370" s="49">
        <v>31.957999999999998</v>
      </c>
      <c r="I370" s="49">
        <v>666</v>
      </c>
      <c r="J370" s="159">
        <v>3.097674418604651</v>
      </c>
      <c r="K370" s="49">
        <v>1</v>
      </c>
      <c r="L370" s="49">
        <v>2</v>
      </c>
      <c r="M370" s="83">
        <v>1</v>
      </c>
      <c r="N370" s="49">
        <v>0</v>
      </c>
      <c r="O370" s="49">
        <v>0</v>
      </c>
      <c r="P370" s="49">
        <v>1</v>
      </c>
      <c r="Q370" s="58">
        <v>0</v>
      </c>
      <c r="R370" s="42">
        <v>2</v>
      </c>
      <c r="S370" s="83" t="s">
        <v>283</v>
      </c>
      <c r="T370" s="49">
        <v>3</v>
      </c>
      <c r="U370" s="83">
        <v>2</v>
      </c>
      <c r="V370" s="49">
        <v>3</v>
      </c>
      <c r="W370" s="49">
        <v>1</v>
      </c>
      <c r="X370" s="58">
        <v>2</v>
      </c>
      <c r="Y370" s="83">
        <v>1</v>
      </c>
      <c r="AE370" s="49">
        <v>91</v>
      </c>
      <c r="AJ370" s="49">
        <v>0</v>
      </c>
      <c r="AK370" s="83">
        <v>0</v>
      </c>
      <c r="AL370" s="49">
        <v>0</v>
      </c>
      <c r="AM370" s="49">
        <v>0</v>
      </c>
      <c r="AN370" s="49">
        <v>0</v>
      </c>
      <c r="AO370" s="58">
        <v>0</v>
      </c>
      <c r="AP370" s="174">
        <v>0</v>
      </c>
      <c r="AQ370" s="175">
        <v>0</v>
      </c>
      <c r="AR370" s="175">
        <v>0</v>
      </c>
      <c r="AS370" s="175">
        <v>0</v>
      </c>
      <c r="AT370" s="175">
        <v>0</v>
      </c>
      <c r="AU370" s="175">
        <v>0</v>
      </c>
      <c r="AV370" s="175">
        <v>0</v>
      </c>
      <c r="AW370" s="175">
        <v>0</v>
      </c>
      <c r="AX370" s="83">
        <v>0</v>
      </c>
      <c r="AY370" s="49">
        <v>0</v>
      </c>
      <c r="AZ370" s="49">
        <v>0</v>
      </c>
      <c r="BA370" s="49">
        <v>0</v>
      </c>
      <c r="BB370" s="58">
        <v>0</v>
      </c>
      <c r="BC370" s="42">
        <v>87</v>
      </c>
      <c r="BE370" s="49"/>
      <c r="BS370" s="58"/>
      <c r="BT370" s="83"/>
      <c r="CE370" s="83"/>
      <c r="CK370" s="58"/>
      <c r="CL370" s="83"/>
      <c r="CO370" s="58"/>
      <c r="CP370" s="83"/>
      <c r="CR370" s="58"/>
      <c r="CS370" s="83"/>
      <c r="CY370" s="83"/>
      <c r="DG370" s="58"/>
      <c r="DH370" s="83"/>
      <c r="DQ370" s="83"/>
      <c r="EE370" s="58"/>
      <c r="EF370" s="83"/>
      <c r="EI370" s="83"/>
      <c r="EK370" s="58"/>
      <c r="EL370" s="83"/>
      <c r="EO370" s="58"/>
      <c r="EP370" s="83"/>
      <c r="EQ370" s="58"/>
      <c r="ER370" s="83"/>
      <c r="ES370" s="58"/>
      <c r="ET370" s="83"/>
      <c r="EU370" s="58"/>
    </row>
    <row r="371" spans="1:151">
      <c r="A371" s="42" t="s">
        <v>325</v>
      </c>
      <c r="B371" s="173" t="s">
        <v>507</v>
      </c>
      <c r="C371" s="173" t="s">
        <v>508</v>
      </c>
      <c r="D371" s="83" t="s">
        <v>170</v>
      </c>
      <c r="F371" s="49" t="s">
        <v>286</v>
      </c>
      <c r="G371" s="49">
        <v>31.957999999999998</v>
      </c>
      <c r="I371" s="49">
        <v>2280</v>
      </c>
      <c r="J371" s="159">
        <v>0.97519247219846017</v>
      </c>
      <c r="K371" s="49">
        <v>4</v>
      </c>
      <c r="L371" s="49">
        <v>3</v>
      </c>
      <c r="M371" s="83">
        <v>1</v>
      </c>
      <c r="N371" s="49">
        <v>1</v>
      </c>
      <c r="O371" s="49">
        <v>1</v>
      </c>
      <c r="P371" s="49">
        <v>1</v>
      </c>
      <c r="Q371" s="58">
        <v>0</v>
      </c>
      <c r="R371" s="42">
        <v>4</v>
      </c>
      <c r="S371" s="83">
        <v>1</v>
      </c>
      <c r="U371" s="83">
        <v>3</v>
      </c>
      <c r="V371" s="49">
        <v>4</v>
      </c>
      <c r="W371" s="49">
        <v>3</v>
      </c>
      <c r="X371" s="58">
        <v>3</v>
      </c>
      <c r="Y371" s="83">
        <v>1</v>
      </c>
      <c r="AI371" s="49">
        <v>289</v>
      </c>
      <c r="AJ371" s="49">
        <v>0</v>
      </c>
      <c r="AK371" s="83">
        <v>0</v>
      </c>
      <c r="AL371" s="49">
        <v>0</v>
      </c>
      <c r="AM371" s="49">
        <v>0</v>
      </c>
      <c r="AN371" s="49">
        <v>0</v>
      </c>
      <c r="AO371" s="58">
        <v>0</v>
      </c>
      <c r="AP371" s="174">
        <v>0</v>
      </c>
      <c r="AQ371" s="175">
        <v>0</v>
      </c>
      <c r="AR371" s="175">
        <v>0</v>
      </c>
      <c r="AS371" s="175">
        <v>0</v>
      </c>
      <c r="AT371" s="175">
        <v>0</v>
      </c>
      <c r="AU371" s="175">
        <v>0</v>
      </c>
      <c r="AV371" s="175">
        <v>0</v>
      </c>
      <c r="AW371" s="175">
        <v>0</v>
      </c>
      <c r="AX371" s="83">
        <v>0</v>
      </c>
      <c r="AY371" s="49">
        <v>0</v>
      </c>
      <c r="AZ371" s="49">
        <v>0</v>
      </c>
      <c r="BA371" s="49">
        <v>0</v>
      </c>
      <c r="BB371" s="58">
        <v>0</v>
      </c>
      <c r="BC371" s="42">
        <v>101</v>
      </c>
      <c r="BD371" s="183">
        <v>80.31</v>
      </c>
      <c r="BE371" s="49"/>
      <c r="BS371" s="58"/>
      <c r="BT371" s="83">
        <v>75.58</v>
      </c>
      <c r="CE371" s="83">
        <v>52.29</v>
      </c>
      <c r="CK371" s="58"/>
      <c r="CL371" s="83"/>
      <c r="CO371" s="58"/>
      <c r="CP371" s="83"/>
      <c r="CR371" s="58"/>
      <c r="CS371" s="83"/>
      <c r="CY371" s="83"/>
      <c r="DG371" s="58"/>
      <c r="DH371" s="83"/>
      <c r="DQ371" s="83"/>
      <c r="EE371" s="58"/>
      <c r="EF371" s="83"/>
      <c r="EI371" s="83"/>
      <c r="EK371" s="58"/>
      <c r="EL371" s="83"/>
      <c r="EO371" s="58"/>
      <c r="EP371" s="83"/>
      <c r="EQ371" s="58"/>
      <c r="ER371" s="83"/>
      <c r="ES371" s="58"/>
      <c r="ET371" s="83"/>
      <c r="EU371" s="58"/>
    </row>
    <row r="372" spans="1:151">
      <c r="A372" s="42" t="s">
        <v>325</v>
      </c>
      <c r="B372" s="173" t="s">
        <v>507</v>
      </c>
      <c r="C372" s="173" t="s">
        <v>508</v>
      </c>
      <c r="D372" s="83" t="s">
        <v>65</v>
      </c>
      <c r="F372" s="49" t="s">
        <v>287</v>
      </c>
      <c r="G372" s="49">
        <v>31.957999999999998</v>
      </c>
      <c r="I372" s="49">
        <v>894</v>
      </c>
      <c r="J372" s="159">
        <v>3.3863636363636362</v>
      </c>
      <c r="K372" s="49">
        <v>2</v>
      </c>
      <c r="L372" s="49">
        <v>3</v>
      </c>
      <c r="M372" s="83">
        <v>1</v>
      </c>
      <c r="N372" s="49">
        <v>0</v>
      </c>
      <c r="O372" s="49">
        <v>0</v>
      </c>
      <c r="P372" s="49">
        <v>1</v>
      </c>
      <c r="Q372" s="58">
        <v>0</v>
      </c>
      <c r="R372" s="42">
        <v>2</v>
      </c>
      <c r="S372" s="83" t="s">
        <v>283</v>
      </c>
      <c r="T372" s="49">
        <v>2</v>
      </c>
      <c r="U372" s="83">
        <v>2</v>
      </c>
      <c r="V372" s="49">
        <v>2</v>
      </c>
      <c r="W372" s="49">
        <v>1</v>
      </c>
      <c r="X372" s="58">
        <v>2</v>
      </c>
      <c r="Y372" s="83">
        <v>0</v>
      </c>
      <c r="AJ372" s="49">
        <v>0</v>
      </c>
      <c r="AK372" s="83">
        <v>0</v>
      </c>
      <c r="AL372" s="49">
        <v>0</v>
      </c>
      <c r="AM372" s="49">
        <v>0</v>
      </c>
      <c r="AN372" s="49">
        <v>0</v>
      </c>
      <c r="AO372" s="58">
        <v>0</v>
      </c>
      <c r="AP372" s="174">
        <v>0</v>
      </c>
      <c r="AQ372" s="175">
        <v>0</v>
      </c>
      <c r="AR372" s="175">
        <v>0</v>
      </c>
      <c r="AS372" s="175">
        <v>0</v>
      </c>
      <c r="AT372" s="175">
        <v>0</v>
      </c>
      <c r="AU372" s="175">
        <v>0</v>
      </c>
      <c r="AV372" s="175">
        <v>0</v>
      </c>
      <c r="AW372" s="175">
        <v>0</v>
      </c>
      <c r="AX372" s="83">
        <v>0</v>
      </c>
      <c r="AY372" s="49">
        <v>0</v>
      </c>
      <c r="AZ372" s="49">
        <v>0</v>
      </c>
      <c r="BA372" s="49">
        <v>0</v>
      </c>
      <c r="BB372" s="58">
        <v>0</v>
      </c>
      <c r="BC372" s="42">
        <v>108</v>
      </c>
      <c r="BD372" s="183"/>
      <c r="BE372" s="49"/>
      <c r="BS372" s="58"/>
      <c r="BT372" s="83"/>
      <c r="CE372" s="83"/>
      <c r="CK372" s="58"/>
      <c r="CL372" s="83"/>
      <c r="CO372" s="58"/>
      <c r="CP372" s="83"/>
      <c r="CR372" s="58"/>
      <c r="CS372" s="83"/>
      <c r="CY372" s="83"/>
      <c r="DG372" s="58"/>
      <c r="DH372" s="83"/>
      <c r="DQ372" s="83"/>
      <c r="EE372" s="58"/>
      <c r="EF372" s="83"/>
      <c r="EI372" s="83"/>
      <c r="EK372" s="58"/>
      <c r="EL372" s="83"/>
      <c r="EO372" s="58"/>
      <c r="EP372" s="83"/>
      <c r="EQ372" s="58"/>
      <c r="ER372" s="83"/>
      <c r="ES372" s="58"/>
      <c r="ET372" s="83"/>
      <c r="EU372" s="58"/>
    </row>
    <row r="373" spans="1:151">
      <c r="A373" s="42" t="s">
        <v>325</v>
      </c>
      <c r="B373" s="173" t="s">
        <v>507</v>
      </c>
      <c r="C373" s="173" t="s">
        <v>508</v>
      </c>
      <c r="D373" s="83" t="s">
        <v>67</v>
      </c>
      <c r="F373" s="49" t="s">
        <v>286</v>
      </c>
      <c r="G373" s="49">
        <v>31.957999999999998</v>
      </c>
      <c r="I373" s="49">
        <v>1327</v>
      </c>
      <c r="J373" s="159">
        <v>2.532442748091603</v>
      </c>
      <c r="K373" s="49">
        <v>1</v>
      </c>
      <c r="L373" s="49">
        <v>2</v>
      </c>
      <c r="M373" s="83">
        <v>1</v>
      </c>
      <c r="N373" s="49">
        <v>0</v>
      </c>
      <c r="O373" s="49">
        <v>0</v>
      </c>
      <c r="P373" s="49">
        <v>0</v>
      </c>
      <c r="Q373" s="58">
        <v>0</v>
      </c>
      <c r="R373" s="42">
        <v>1</v>
      </c>
      <c r="S373" s="83" t="s">
        <v>283</v>
      </c>
      <c r="T373" s="49">
        <v>6</v>
      </c>
      <c r="U373" s="83">
        <v>0</v>
      </c>
      <c r="V373" s="49">
        <v>0</v>
      </c>
      <c r="W373" s="49">
        <v>0</v>
      </c>
      <c r="X373" s="58"/>
      <c r="Y373" s="83">
        <v>1</v>
      </c>
      <c r="AE373" s="49">
        <v>90</v>
      </c>
      <c r="AG373" s="49">
        <v>7</v>
      </c>
      <c r="AJ373" s="49">
        <v>0</v>
      </c>
      <c r="AK373" s="83">
        <v>0</v>
      </c>
      <c r="AL373" s="49">
        <v>0</v>
      </c>
      <c r="AM373" s="49">
        <v>0</v>
      </c>
      <c r="AN373" s="49">
        <v>0</v>
      </c>
      <c r="AO373" s="58">
        <v>0</v>
      </c>
      <c r="AP373" s="174">
        <v>0</v>
      </c>
      <c r="AQ373" s="175">
        <v>0</v>
      </c>
      <c r="AR373" s="175">
        <v>0</v>
      </c>
      <c r="AS373" s="175">
        <v>0</v>
      </c>
      <c r="AT373" s="175">
        <v>0</v>
      </c>
      <c r="AU373" s="175">
        <v>0</v>
      </c>
      <c r="AV373" s="175">
        <v>0</v>
      </c>
      <c r="AW373" s="175">
        <v>0</v>
      </c>
      <c r="AX373" s="83">
        <v>0</v>
      </c>
      <c r="AY373" s="49">
        <v>0</v>
      </c>
      <c r="AZ373" s="49">
        <v>0</v>
      </c>
      <c r="BA373" s="49">
        <v>0</v>
      </c>
      <c r="BB373" s="58">
        <v>0</v>
      </c>
      <c r="BC373" s="42">
        <v>97</v>
      </c>
      <c r="BD373" s="183">
        <v>54.29</v>
      </c>
      <c r="BE373" s="49"/>
      <c r="BS373" s="58"/>
      <c r="BT373" s="83"/>
      <c r="CE373" s="83">
        <v>56.17</v>
      </c>
      <c r="CK373" s="58"/>
      <c r="CL373" s="83"/>
      <c r="CO373" s="58"/>
      <c r="CP373" s="83"/>
      <c r="CR373" s="58"/>
      <c r="CS373" s="83"/>
      <c r="CY373" s="83"/>
      <c r="DG373" s="58"/>
      <c r="DH373" s="83"/>
      <c r="DQ373" s="83"/>
      <c r="EE373" s="58"/>
      <c r="EF373" s="83"/>
      <c r="EI373" s="83"/>
      <c r="EK373" s="58"/>
      <c r="EL373" s="83"/>
      <c r="EO373" s="58"/>
      <c r="EP373" s="83"/>
      <c r="EQ373" s="58"/>
      <c r="ER373" s="83"/>
      <c r="ES373" s="58"/>
      <c r="ET373" s="83"/>
      <c r="EU373" s="58"/>
    </row>
    <row r="374" spans="1:151">
      <c r="A374" s="42" t="s">
        <v>325</v>
      </c>
      <c r="B374" s="173" t="s">
        <v>507</v>
      </c>
      <c r="C374" s="173" t="s">
        <v>508</v>
      </c>
      <c r="D374" s="83" t="s">
        <v>68</v>
      </c>
      <c r="F374" s="49" t="s">
        <v>286</v>
      </c>
      <c r="G374" s="49">
        <v>31.957999999999998</v>
      </c>
      <c r="I374" s="49">
        <v>1497</v>
      </c>
      <c r="J374" s="159">
        <v>4.4289940828402363</v>
      </c>
      <c r="K374" s="49">
        <v>2</v>
      </c>
      <c r="L374" s="49">
        <v>2</v>
      </c>
      <c r="M374" s="83">
        <v>1</v>
      </c>
      <c r="N374" s="49">
        <v>0</v>
      </c>
      <c r="O374" s="49">
        <v>0</v>
      </c>
      <c r="P374" s="49">
        <v>1</v>
      </c>
      <c r="Q374" s="58">
        <v>0</v>
      </c>
      <c r="R374" s="42">
        <v>2</v>
      </c>
      <c r="S374" s="83">
        <v>1</v>
      </c>
      <c r="U374" s="83">
        <v>1</v>
      </c>
      <c r="V374" s="49">
        <v>1</v>
      </c>
      <c r="W374" s="49">
        <v>1</v>
      </c>
      <c r="X374" s="58">
        <v>2</v>
      </c>
      <c r="Y374" s="83">
        <v>3</v>
      </c>
      <c r="AE374" s="49">
        <v>50</v>
      </c>
      <c r="AF374" s="49">
        <v>25</v>
      </c>
      <c r="AG374" s="49">
        <v>622</v>
      </c>
      <c r="AI374" s="49">
        <v>30</v>
      </c>
      <c r="AJ374" s="49">
        <v>0</v>
      </c>
      <c r="AK374" s="83">
        <v>0</v>
      </c>
      <c r="AL374" s="49">
        <v>0</v>
      </c>
      <c r="AM374" s="49">
        <v>1</v>
      </c>
      <c r="AN374" s="49">
        <v>0</v>
      </c>
      <c r="AO374" s="58">
        <v>0</v>
      </c>
      <c r="AP374" s="174">
        <v>0</v>
      </c>
      <c r="AQ374" s="175">
        <v>0</v>
      </c>
      <c r="AR374" s="175">
        <v>112</v>
      </c>
      <c r="AS374" s="175">
        <v>336</v>
      </c>
      <c r="AT374" s="175">
        <v>0</v>
      </c>
      <c r="AU374" s="175">
        <v>0</v>
      </c>
      <c r="AV374" s="175">
        <v>0</v>
      </c>
      <c r="AW374" s="175">
        <v>0</v>
      </c>
      <c r="AX374" s="83">
        <v>0</v>
      </c>
      <c r="AY374" s="49">
        <v>0</v>
      </c>
      <c r="AZ374" s="49">
        <v>0</v>
      </c>
      <c r="BA374" s="49">
        <v>0</v>
      </c>
      <c r="BB374" s="58">
        <v>0</v>
      </c>
      <c r="BC374" s="42">
        <v>113</v>
      </c>
      <c r="BD374" s="183"/>
      <c r="BE374" s="49"/>
      <c r="BS374" s="58"/>
      <c r="BT374" s="83"/>
      <c r="CE374" s="83"/>
      <c r="CK374" s="58"/>
      <c r="CL374" s="83"/>
      <c r="CO374" s="58"/>
      <c r="CP374" s="83"/>
      <c r="CR374" s="58"/>
      <c r="CS374" s="83"/>
      <c r="CY374" s="83"/>
      <c r="DG374" s="58"/>
      <c r="DH374" s="83"/>
      <c r="DQ374" s="83"/>
      <c r="EE374" s="58"/>
      <c r="EF374" s="83"/>
      <c r="EI374" s="83"/>
      <c r="EK374" s="58"/>
      <c r="EL374" s="83"/>
      <c r="EO374" s="58"/>
      <c r="EP374" s="83"/>
      <c r="EQ374" s="58"/>
      <c r="ER374" s="83"/>
      <c r="ES374" s="58"/>
      <c r="ET374" s="83"/>
      <c r="EU374" s="58"/>
    </row>
    <row r="375" spans="1:151">
      <c r="A375" s="42" t="s">
        <v>325</v>
      </c>
      <c r="B375" s="173" t="s">
        <v>507</v>
      </c>
      <c r="C375" s="173" t="s">
        <v>508</v>
      </c>
      <c r="D375" s="83" t="s">
        <v>74</v>
      </c>
      <c r="F375" s="49" t="s">
        <v>286</v>
      </c>
      <c r="G375" s="49">
        <v>31.957999999999998</v>
      </c>
      <c r="I375" s="49">
        <v>1168</v>
      </c>
      <c r="J375" s="159">
        <v>1.6199722607489597</v>
      </c>
      <c r="K375" s="49">
        <v>1</v>
      </c>
      <c r="L375" s="49">
        <v>2</v>
      </c>
      <c r="M375" s="83">
        <v>1</v>
      </c>
      <c r="N375" s="49">
        <v>1</v>
      </c>
      <c r="O375" s="49">
        <v>0</v>
      </c>
      <c r="P375" s="49">
        <v>1</v>
      </c>
      <c r="Q375" s="58">
        <v>0</v>
      </c>
      <c r="R375" s="42">
        <v>3</v>
      </c>
      <c r="S375" s="83" t="s">
        <v>283</v>
      </c>
      <c r="T375" s="49">
        <v>4</v>
      </c>
      <c r="U375" s="83">
        <v>5</v>
      </c>
      <c r="V375" s="49">
        <v>3</v>
      </c>
      <c r="W375" s="49">
        <v>1</v>
      </c>
      <c r="X375" s="58">
        <v>1</v>
      </c>
      <c r="Y375" s="83">
        <v>1</v>
      </c>
      <c r="AA375" s="49">
        <v>11</v>
      </c>
      <c r="AD375" s="49">
        <v>16</v>
      </c>
      <c r="AE375" s="49">
        <v>58</v>
      </c>
      <c r="AH375" s="49">
        <v>8</v>
      </c>
      <c r="AI375" s="49">
        <v>70</v>
      </c>
      <c r="AJ375" s="49">
        <v>0</v>
      </c>
      <c r="AK375" s="83">
        <v>0</v>
      </c>
      <c r="AL375" s="49">
        <v>0</v>
      </c>
      <c r="AM375" s="49">
        <v>0</v>
      </c>
      <c r="AN375" s="49">
        <v>0</v>
      </c>
      <c r="AO375" s="58">
        <v>0</v>
      </c>
      <c r="AP375" s="174">
        <v>0</v>
      </c>
      <c r="AQ375" s="175">
        <v>0</v>
      </c>
      <c r="AR375" s="175">
        <v>0</v>
      </c>
      <c r="AS375" s="175">
        <v>0</v>
      </c>
      <c r="AT375" s="175">
        <v>0</v>
      </c>
      <c r="AU375" s="175">
        <v>0</v>
      </c>
      <c r="AV375" s="175">
        <v>0</v>
      </c>
      <c r="AW375" s="175">
        <v>0</v>
      </c>
      <c r="AX375" s="83">
        <v>0</v>
      </c>
      <c r="AY375" s="49">
        <v>0</v>
      </c>
      <c r="AZ375" s="49">
        <v>0</v>
      </c>
      <c r="BA375" s="49">
        <v>0</v>
      </c>
      <c r="BB375" s="58">
        <v>0</v>
      </c>
      <c r="BC375" s="42">
        <v>112</v>
      </c>
      <c r="BD375" s="183">
        <v>73.03</v>
      </c>
      <c r="BE375" s="49"/>
      <c r="BS375" s="58"/>
      <c r="BT375" s="83"/>
      <c r="CE375" s="83">
        <v>56.91</v>
      </c>
      <c r="CK375" s="58"/>
      <c r="CL375" s="83"/>
      <c r="CO375" s="58"/>
      <c r="CP375" s="83"/>
      <c r="CR375" s="58"/>
      <c r="CS375" s="83"/>
      <c r="CY375" s="83"/>
      <c r="DG375" s="58"/>
      <c r="DH375" s="83"/>
      <c r="DQ375" s="83"/>
      <c r="EE375" s="58"/>
      <c r="EF375" s="83"/>
      <c r="EI375" s="83"/>
      <c r="EK375" s="58"/>
      <c r="EL375" s="83"/>
      <c r="EO375" s="58"/>
      <c r="EP375" s="83"/>
      <c r="EQ375" s="58"/>
      <c r="ER375" s="83"/>
      <c r="ES375" s="58"/>
      <c r="ET375" s="83"/>
      <c r="EU375" s="58"/>
    </row>
    <row r="376" spans="1:151">
      <c r="A376" s="42" t="s">
        <v>325</v>
      </c>
      <c r="B376" s="173" t="s">
        <v>507</v>
      </c>
      <c r="C376" s="173" t="s">
        <v>508</v>
      </c>
      <c r="D376" s="83" t="s">
        <v>73</v>
      </c>
      <c r="F376" s="49" t="s">
        <v>286</v>
      </c>
      <c r="G376" s="49">
        <v>31.957999999999998</v>
      </c>
      <c r="I376" s="49">
        <v>1182</v>
      </c>
      <c r="J376" s="159">
        <v>4.7661290322580649</v>
      </c>
      <c r="K376" s="49">
        <v>1</v>
      </c>
      <c r="L376" s="49">
        <v>2</v>
      </c>
      <c r="M376" s="83">
        <v>0</v>
      </c>
      <c r="N376" s="49">
        <v>0</v>
      </c>
      <c r="O376" s="49">
        <v>0</v>
      </c>
      <c r="P376" s="49">
        <v>1</v>
      </c>
      <c r="Q376" s="58">
        <v>0</v>
      </c>
      <c r="R376" s="42">
        <v>1</v>
      </c>
      <c r="S376" s="83" t="s">
        <v>283</v>
      </c>
      <c r="T376" s="49">
        <v>4</v>
      </c>
      <c r="U376" s="83">
        <v>1</v>
      </c>
      <c r="V376" s="49">
        <v>4</v>
      </c>
      <c r="W376" s="49">
        <v>1</v>
      </c>
      <c r="X376" s="58">
        <v>2</v>
      </c>
      <c r="Y376" s="83">
        <v>1</v>
      </c>
      <c r="AD376" s="49">
        <v>3</v>
      </c>
      <c r="AE376" s="49">
        <v>38</v>
      </c>
      <c r="AH376" s="49">
        <v>5</v>
      </c>
      <c r="AI376" s="49">
        <v>27</v>
      </c>
      <c r="AJ376" s="49">
        <v>0</v>
      </c>
      <c r="AK376" s="83">
        <v>0</v>
      </c>
      <c r="AL376" s="49">
        <v>0</v>
      </c>
      <c r="AM376" s="49">
        <v>0</v>
      </c>
      <c r="AN376" s="49">
        <v>0</v>
      </c>
      <c r="AO376" s="58">
        <v>0</v>
      </c>
      <c r="AP376" s="174">
        <v>0</v>
      </c>
      <c r="AQ376" s="175">
        <v>0</v>
      </c>
      <c r="AR376" s="175">
        <v>0</v>
      </c>
      <c r="AS376" s="175">
        <v>0</v>
      </c>
      <c r="AT376" s="175">
        <v>0</v>
      </c>
      <c r="AU376" s="175">
        <v>0</v>
      </c>
      <c r="AV376" s="175">
        <v>0</v>
      </c>
      <c r="AW376" s="175">
        <v>0</v>
      </c>
      <c r="AX376" s="83">
        <v>0</v>
      </c>
      <c r="AY376" s="49">
        <v>0</v>
      </c>
      <c r="AZ376" s="49">
        <v>0</v>
      </c>
      <c r="BA376" s="49">
        <v>0</v>
      </c>
      <c r="BB376" s="58">
        <v>0</v>
      </c>
      <c r="BC376" s="42">
        <v>98</v>
      </c>
      <c r="BD376" s="183">
        <v>56.6</v>
      </c>
      <c r="BE376" s="49"/>
      <c r="BS376" s="58"/>
      <c r="BT376" s="83"/>
      <c r="CE376" s="83">
        <v>58.38</v>
      </c>
      <c r="CK376" s="58"/>
      <c r="CL376" s="83"/>
      <c r="CO376" s="58"/>
      <c r="CP376" s="83"/>
      <c r="CR376" s="58"/>
      <c r="CS376" s="83"/>
      <c r="CY376" s="83"/>
      <c r="DG376" s="58"/>
      <c r="DH376" s="83"/>
      <c r="DQ376" s="83"/>
      <c r="EE376" s="58"/>
      <c r="EF376" s="83"/>
      <c r="EI376" s="83"/>
      <c r="EK376" s="58"/>
      <c r="EL376" s="83"/>
      <c r="EO376" s="58"/>
      <c r="EP376" s="83"/>
      <c r="EQ376" s="58"/>
      <c r="ER376" s="83"/>
      <c r="ES376" s="58"/>
      <c r="ET376" s="83"/>
      <c r="EU376" s="58"/>
    </row>
    <row r="377" spans="1:151">
      <c r="A377" s="42" t="s">
        <v>325</v>
      </c>
      <c r="B377" s="173" t="s">
        <v>507</v>
      </c>
      <c r="C377" s="173" t="s">
        <v>508</v>
      </c>
      <c r="D377" s="83" t="s">
        <v>81</v>
      </c>
      <c r="F377" s="49" t="s">
        <v>286</v>
      </c>
      <c r="G377" s="49">
        <v>31.957999999999998</v>
      </c>
      <c r="I377" s="49">
        <v>2032</v>
      </c>
      <c r="J377" s="159">
        <v>7.6969696969696972</v>
      </c>
      <c r="K377" s="49">
        <v>2</v>
      </c>
      <c r="L377" s="49">
        <v>2</v>
      </c>
      <c r="M377" s="83">
        <v>1</v>
      </c>
      <c r="N377" s="49">
        <v>0</v>
      </c>
      <c r="O377" s="49">
        <v>0</v>
      </c>
      <c r="P377" s="49">
        <v>0</v>
      </c>
      <c r="Q377" s="58">
        <v>0</v>
      </c>
      <c r="R377" s="42">
        <v>1</v>
      </c>
      <c r="S377" s="83">
        <v>1</v>
      </c>
      <c r="U377" s="83">
        <v>1</v>
      </c>
      <c r="V377" s="49">
        <v>1</v>
      </c>
      <c r="W377" s="49">
        <v>1</v>
      </c>
      <c r="X377" s="58">
        <v>2</v>
      </c>
      <c r="Y377" s="83">
        <v>1</v>
      </c>
      <c r="AA377" s="49">
        <v>10</v>
      </c>
      <c r="AE377" s="49">
        <v>8</v>
      </c>
      <c r="AF377" s="49">
        <v>16</v>
      </c>
      <c r="AG377" s="49">
        <v>237</v>
      </c>
      <c r="AH377" s="49">
        <v>13</v>
      </c>
      <c r="AI377" s="49">
        <v>165</v>
      </c>
      <c r="AJ377" s="49">
        <v>0</v>
      </c>
      <c r="AK377" s="83">
        <v>0</v>
      </c>
      <c r="AL377" s="49">
        <v>0</v>
      </c>
      <c r="AM377" s="49">
        <v>1</v>
      </c>
      <c r="AN377" s="49">
        <v>0</v>
      </c>
      <c r="AO377" s="58">
        <v>0</v>
      </c>
      <c r="AP377" s="174">
        <v>0</v>
      </c>
      <c r="AQ377" s="175">
        <v>0</v>
      </c>
      <c r="AR377" s="175">
        <v>46</v>
      </c>
      <c r="AS377" s="175">
        <v>238</v>
      </c>
      <c r="AT377" s="175">
        <v>0</v>
      </c>
      <c r="AU377" s="175">
        <v>0</v>
      </c>
      <c r="AV377" s="175">
        <v>0</v>
      </c>
      <c r="AW377" s="175">
        <v>0</v>
      </c>
      <c r="AX377" s="83">
        <v>0</v>
      </c>
      <c r="AY377" s="49">
        <v>0</v>
      </c>
      <c r="AZ377" s="49">
        <v>0</v>
      </c>
      <c r="BA377" s="49">
        <v>0</v>
      </c>
      <c r="BB377" s="58">
        <v>0</v>
      </c>
      <c r="BC377" s="42">
        <v>99</v>
      </c>
      <c r="BD377" s="183"/>
      <c r="BE377" s="49"/>
      <c r="BS377" s="58"/>
      <c r="BT377" s="83"/>
      <c r="CE377" s="83"/>
      <c r="CK377" s="58"/>
      <c r="CL377" s="83"/>
      <c r="CO377" s="58"/>
      <c r="CP377" s="83"/>
      <c r="CR377" s="58"/>
      <c r="CS377" s="83"/>
      <c r="CY377" s="83"/>
      <c r="DG377" s="58"/>
      <c r="DH377" s="83"/>
      <c r="DQ377" s="83"/>
      <c r="EE377" s="58"/>
      <c r="EF377" s="83"/>
      <c r="EI377" s="83"/>
      <c r="EK377" s="58"/>
      <c r="EL377" s="83"/>
      <c r="EO377" s="58"/>
      <c r="EP377" s="83"/>
      <c r="EQ377" s="58"/>
      <c r="ER377" s="83"/>
      <c r="ES377" s="58"/>
      <c r="ET377" s="83"/>
      <c r="EU377" s="58"/>
    </row>
    <row r="378" spans="1:151">
      <c r="A378" s="42" t="s">
        <v>325</v>
      </c>
      <c r="B378" s="173" t="s">
        <v>507</v>
      </c>
      <c r="C378" s="173" t="s">
        <v>508</v>
      </c>
      <c r="D378" s="83" t="s">
        <v>171</v>
      </c>
      <c r="F378" s="49" t="s">
        <v>286</v>
      </c>
      <c r="G378" s="49">
        <v>31.957999999999998</v>
      </c>
      <c r="I378" s="49">
        <v>1048</v>
      </c>
      <c r="J378" s="159">
        <v>2.2063157894736842</v>
      </c>
      <c r="K378" s="49">
        <v>1</v>
      </c>
      <c r="L378" s="49">
        <v>1</v>
      </c>
      <c r="M378" s="83">
        <v>1</v>
      </c>
      <c r="N378" s="49">
        <v>0</v>
      </c>
      <c r="O378" s="49">
        <v>1</v>
      </c>
      <c r="P378" s="49">
        <v>1</v>
      </c>
      <c r="Q378" s="58">
        <v>0</v>
      </c>
      <c r="R378" s="42">
        <v>3</v>
      </c>
      <c r="S378" s="83" t="s">
        <v>283</v>
      </c>
      <c r="T378" s="49">
        <v>3</v>
      </c>
      <c r="U378" s="83">
        <v>0</v>
      </c>
      <c r="V378" s="49">
        <v>0</v>
      </c>
      <c r="W378" s="49">
        <v>0</v>
      </c>
      <c r="X378" s="58"/>
      <c r="Y378" s="83">
        <v>5</v>
      </c>
      <c r="AE378" s="49">
        <v>16</v>
      </c>
      <c r="AH378" s="49">
        <v>22</v>
      </c>
      <c r="AI378" s="49">
        <v>204</v>
      </c>
      <c r="AJ378" s="49">
        <v>0</v>
      </c>
      <c r="AK378" s="83">
        <v>0</v>
      </c>
      <c r="AL378" s="49">
        <v>0</v>
      </c>
      <c r="AM378" s="49">
        <v>0</v>
      </c>
      <c r="AN378" s="49">
        <v>0</v>
      </c>
      <c r="AO378" s="58">
        <v>0</v>
      </c>
      <c r="AP378" s="174">
        <v>0</v>
      </c>
      <c r="AQ378" s="175">
        <v>0</v>
      </c>
      <c r="AR378" s="175">
        <v>0</v>
      </c>
      <c r="AS378" s="175">
        <v>0</v>
      </c>
      <c r="AT378" s="175">
        <v>0</v>
      </c>
      <c r="AU378" s="175">
        <v>0</v>
      </c>
      <c r="AV378" s="175">
        <v>0</v>
      </c>
      <c r="AW378" s="175">
        <v>0</v>
      </c>
      <c r="AX378" s="83">
        <v>0</v>
      </c>
      <c r="AY378" s="49">
        <v>0</v>
      </c>
      <c r="AZ378" s="49">
        <v>0</v>
      </c>
      <c r="BA378" s="49">
        <v>0</v>
      </c>
      <c r="BB378" s="58">
        <v>0</v>
      </c>
      <c r="BC378" s="42">
        <v>99</v>
      </c>
      <c r="BD378" s="183"/>
      <c r="BE378" s="49"/>
      <c r="BS378" s="58"/>
      <c r="BT378" s="83"/>
      <c r="CE378" s="83"/>
      <c r="CK378" s="58"/>
      <c r="CL378" s="83"/>
      <c r="CO378" s="58"/>
      <c r="CP378" s="83"/>
      <c r="CR378" s="58"/>
      <c r="CS378" s="83"/>
      <c r="CY378" s="83"/>
      <c r="DG378" s="58"/>
      <c r="DH378" s="83"/>
      <c r="DQ378" s="83"/>
      <c r="EE378" s="58"/>
      <c r="EF378" s="83"/>
      <c r="EI378" s="83"/>
      <c r="EK378" s="58"/>
      <c r="EL378" s="83"/>
      <c r="EO378" s="58"/>
      <c r="EP378" s="83"/>
      <c r="EQ378" s="58"/>
      <c r="ER378" s="83"/>
      <c r="ES378" s="58"/>
      <c r="ET378" s="83"/>
      <c r="EU378" s="58"/>
    </row>
    <row r="379" spans="1:151">
      <c r="A379" s="42" t="s">
        <v>325</v>
      </c>
      <c r="B379" s="173" t="s">
        <v>507</v>
      </c>
      <c r="C379" s="173" t="s">
        <v>508</v>
      </c>
      <c r="D379" s="83" t="s">
        <v>172</v>
      </c>
      <c r="F379" s="49" t="s">
        <v>287</v>
      </c>
      <c r="G379" s="49">
        <v>31.957999999999998</v>
      </c>
      <c r="I379" s="49">
        <v>931</v>
      </c>
      <c r="J379" s="159">
        <v>2.1015801354401806</v>
      </c>
      <c r="K379" s="49">
        <v>1</v>
      </c>
      <c r="L379" s="49">
        <v>2</v>
      </c>
      <c r="M379" s="83">
        <v>1</v>
      </c>
      <c r="N379" s="49">
        <v>0</v>
      </c>
      <c r="O379" s="49">
        <v>1</v>
      </c>
      <c r="P379" s="49">
        <v>1</v>
      </c>
      <c r="Q379" s="58">
        <v>0</v>
      </c>
      <c r="R379" s="42">
        <v>3</v>
      </c>
      <c r="S379" s="83">
        <v>1</v>
      </c>
      <c r="U379" s="83">
        <v>2</v>
      </c>
      <c r="V379" s="49">
        <v>2</v>
      </c>
      <c r="W379" s="49">
        <v>1</v>
      </c>
      <c r="X379" s="58">
        <v>2</v>
      </c>
      <c r="Y379" s="83">
        <v>1</v>
      </c>
      <c r="AH379" s="49">
        <v>19</v>
      </c>
      <c r="AI379" s="49">
        <v>29</v>
      </c>
      <c r="AJ379" s="49">
        <v>0</v>
      </c>
      <c r="AK379" s="83">
        <v>0</v>
      </c>
      <c r="AL379" s="49">
        <v>1</v>
      </c>
      <c r="AM379" s="49">
        <v>0</v>
      </c>
      <c r="AN379" s="49">
        <v>0</v>
      </c>
      <c r="AO379" s="58">
        <v>0</v>
      </c>
      <c r="AP379" s="174">
        <v>0</v>
      </c>
      <c r="AQ379" s="175">
        <v>305</v>
      </c>
      <c r="AR379" s="175">
        <v>0</v>
      </c>
      <c r="AS379" s="175">
        <v>0</v>
      </c>
      <c r="AT379" s="175">
        <v>0</v>
      </c>
      <c r="AU379" s="175">
        <v>0</v>
      </c>
      <c r="AV379" s="175">
        <v>0</v>
      </c>
      <c r="AW379" s="175">
        <v>0</v>
      </c>
      <c r="AX379" s="83">
        <v>0</v>
      </c>
      <c r="AY379" s="49">
        <v>0</v>
      </c>
      <c r="AZ379" s="49">
        <v>0</v>
      </c>
      <c r="BA379" s="49">
        <v>1</v>
      </c>
      <c r="BB379" s="58">
        <v>15</v>
      </c>
      <c r="BC379" s="42">
        <v>83</v>
      </c>
      <c r="BD379" s="183"/>
      <c r="BE379" s="49"/>
      <c r="BS379" s="58"/>
      <c r="BT379" s="83"/>
      <c r="CE379" s="83"/>
      <c r="CK379" s="58"/>
      <c r="CL379" s="83"/>
      <c r="CO379" s="58"/>
      <c r="CP379" s="83"/>
      <c r="CR379" s="58"/>
      <c r="CS379" s="83"/>
      <c r="CY379" s="83"/>
      <c r="DG379" s="58"/>
      <c r="DH379" s="83"/>
      <c r="DQ379" s="83"/>
      <c r="EE379" s="58"/>
      <c r="EF379" s="83"/>
      <c r="EI379" s="83"/>
      <c r="EK379" s="58"/>
      <c r="EL379" s="83"/>
      <c r="EO379" s="58"/>
      <c r="EP379" s="83"/>
      <c r="EQ379" s="58"/>
      <c r="ER379" s="83"/>
      <c r="ES379" s="58"/>
      <c r="ET379" s="83"/>
      <c r="EU379" s="58"/>
    </row>
    <row r="380" spans="1:151">
      <c r="A380" s="42" t="s">
        <v>325</v>
      </c>
      <c r="B380" s="173" t="s">
        <v>507</v>
      </c>
      <c r="C380" s="173" t="s">
        <v>508</v>
      </c>
      <c r="D380" s="83" t="s">
        <v>88</v>
      </c>
      <c r="E380" s="49" t="s">
        <v>0</v>
      </c>
      <c r="F380" s="49" t="s">
        <v>286</v>
      </c>
      <c r="G380" s="49">
        <v>31.957999999999998</v>
      </c>
      <c r="I380" s="49">
        <v>1256</v>
      </c>
      <c r="J380" s="159">
        <v>2.9552941176470586</v>
      </c>
      <c r="K380" s="49">
        <v>2</v>
      </c>
      <c r="L380" s="49">
        <v>3</v>
      </c>
      <c r="M380" s="83">
        <v>0</v>
      </c>
      <c r="N380" s="49">
        <v>0</v>
      </c>
      <c r="O380" s="49">
        <v>0</v>
      </c>
      <c r="P380" s="49">
        <v>1</v>
      </c>
      <c r="Q380" s="58">
        <v>0</v>
      </c>
      <c r="R380" s="42">
        <v>1</v>
      </c>
      <c r="S380" s="83" t="s">
        <v>283</v>
      </c>
      <c r="T380" s="49">
        <v>3</v>
      </c>
      <c r="U380" s="83">
        <v>0</v>
      </c>
      <c r="V380" s="49">
        <v>0</v>
      </c>
      <c r="W380" s="49">
        <v>0</v>
      </c>
      <c r="X380" s="58"/>
      <c r="Y380" s="83">
        <v>0</v>
      </c>
      <c r="AJ380" s="49">
        <v>0</v>
      </c>
      <c r="AK380" s="83">
        <v>0</v>
      </c>
      <c r="AL380" s="49">
        <v>0</v>
      </c>
      <c r="AM380" s="49">
        <v>0</v>
      </c>
      <c r="AN380" s="49">
        <v>0</v>
      </c>
      <c r="AO380" s="58">
        <v>0</v>
      </c>
      <c r="AP380" s="174">
        <v>0</v>
      </c>
      <c r="AQ380" s="175">
        <v>0</v>
      </c>
      <c r="AR380" s="175">
        <v>0</v>
      </c>
      <c r="AS380" s="175">
        <v>0</v>
      </c>
      <c r="AT380" s="175">
        <v>0</v>
      </c>
      <c r="AU380" s="175">
        <v>0</v>
      </c>
      <c r="AV380" s="175">
        <v>0</v>
      </c>
      <c r="AW380" s="175">
        <v>0</v>
      </c>
      <c r="AX380" s="83">
        <v>0</v>
      </c>
      <c r="AY380" s="49">
        <v>0</v>
      </c>
      <c r="AZ380" s="49">
        <v>0</v>
      </c>
      <c r="BA380" s="49">
        <v>0</v>
      </c>
      <c r="BB380" s="58">
        <v>0</v>
      </c>
      <c r="BC380" s="42">
        <v>82</v>
      </c>
      <c r="BD380" s="183"/>
      <c r="BE380" s="49"/>
      <c r="BS380" s="58"/>
      <c r="BT380" s="83"/>
      <c r="CE380" s="83"/>
      <c r="CK380" s="58"/>
      <c r="CL380" s="83"/>
      <c r="CO380" s="58"/>
      <c r="CP380" s="83"/>
      <c r="CR380" s="58"/>
      <c r="CS380" s="83"/>
      <c r="CY380" s="83"/>
      <c r="DG380" s="58"/>
      <c r="DH380" s="83"/>
      <c r="DQ380" s="83"/>
      <c r="EE380" s="58"/>
      <c r="EF380" s="83"/>
      <c r="EI380" s="83"/>
      <c r="EK380" s="58"/>
      <c r="EL380" s="83"/>
      <c r="EO380" s="58"/>
      <c r="EP380" s="83"/>
      <c r="EQ380" s="58"/>
      <c r="ER380" s="83"/>
      <c r="ES380" s="58"/>
      <c r="ET380" s="83"/>
      <c r="EU380" s="58"/>
    </row>
    <row r="381" spans="1:151">
      <c r="A381" s="42" t="s">
        <v>325</v>
      </c>
      <c r="B381" s="173" t="s">
        <v>507</v>
      </c>
      <c r="C381" s="173" t="s">
        <v>508</v>
      </c>
      <c r="D381" s="83" t="s">
        <v>88</v>
      </c>
      <c r="E381" s="49" t="s">
        <v>1</v>
      </c>
      <c r="F381" s="49" t="s">
        <v>286</v>
      </c>
      <c r="G381" s="49">
        <v>31.957999999999998</v>
      </c>
      <c r="I381" s="49">
        <v>1689</v>
      </c>
      <c r="J381" s="159">
        <v>5.3280757097791795</v>
      </c>
      <c r="K381" s="49">
        <v>2</v>
      </c>
      <c r="L381" s="49">
        <v>3</v>
      </c>
      <c r="M381" s="83">
        <v>0</v>
      </c>
      <c r="N381" s="49">
        <v>0</v>
      </c>
      <c r="O381" s="49">
        <v>0</v>
      </c>
      <c r="P381" s="49">
        <v>1</v>
      </c>
      <c r="Q381" s="58">
        <v>0</v>
      </c>
      <c r="R381" s="42">
        <v>1</v>
      </c>
      <c r="S381" s="83" t="s">
        <v>283</v>
      </c>
      <c r="T381" s="49">
        <v>3</v>
      </c>
      <c r="U381" s="83">
        <v>0</v>
      </c>
      <c r="V381" s="49">
        <v>0</v>
      </c>
      <c r="W381" s="49">
        <v>0</v>
      </c>
      <c r="X381" s="58"/>
      <c r="Y381" s="83">
        <v>10</v>
      </c>
      <c r="AD381" s="49">
        <v>6</v>
      </c>
      <c r="AE381" s="49">
        <v>273</v>
      </c>
      <c r="AF381" s="49">
        <v>122</v>
      </c>
      <c r="AG381" s="49">
        <v>508</v>
      </c>
      <c r="AI381" s="49">
        <v>58</v>
      </c>
      <c r="AJ381" s="49">
        <v>0</v>
      </c>
      <c r="AK381" s="83">
        <v>0</v>
      </c>
      <c r="AL381" s="49">
        <v>0</v>
      </c>
      <c r="AM381" s="49">
        <v>1</v>
      </c>
      <c r="AN381" s="49">
        <v>0</v>
      </c>
      <c r="AO381" s="58">
        <v>0</v>
      </c>
      <c r="AP381" s="174">
        <v>0</v>
      </c>
      <c r="AQ381" s="175">
        <v>0</v>
      </c>
      <c r="AR381" s="175">
        <v>0</v>
      </c>
      <c r="AS381" s="175">
        <v>153</v>
      </c>
      <c r="AT381" s="175">
        <v>0</v>
      </c>
      <c r="AU381" s="175">
        <v>0</v>
      </c>
      <c r="AV381" s="175">
        <v>0</v>
      </c>
      <c r="AW381" s="175">
        <v>0</v>
      </c>
      <c r="AX381" s="83">
        <v>0</v>
      </c>
      <c r="AY381" s="49">
        <v>0</v>
      </c>
      <c r="AZ381" s="49">
        <v>0</v>
      </c>
      <c r="BA381" s="49">
        <v>0</v>
      </c>
      <c r="BB381" s="58">
        <v>0</v>
      </c>
      <c r="BC381" s="42">
        <v>82</v>
      </c>
      <c r="BD381" s="183"/>
      <c r="BE381" s="49"/>
      <c r="BS381" s="58"/>
      <c r="BT381" s="83"/>
      <c r="CE381" s="83"/>
      <c r="CK381" s="58"/>
      <c r="CL381" s="83"/>
      <c r="CO381" s="58"/>
      <c r="CP381" s="83"/>
      <c r="CR381" s="58"/>
      <c r="CS381" s="83"/>
      <c r="CY381" s="83"/>
      <c r="DG381" s="58"/>
      <c r="DH381" s="83"/>
      <c r="DQ381" s="83"/>
      <c r="EE381" s="58"/>
      <c r="EF381" s="83"/>
      <c r="EI381" s="83"/>
      <c r="EK381" s="58"/>
      <c r="EL381" s="83"/>
      <c r="EO381" s="58"/>
      <c r="EP381" s="83"/>
      <c r="EQ381" s="58"/>
      <c r="ER381" s="83"/>
      <c r="ES381" s="58"/>
      <c r="ET381" s="83"/>
      <c r="EU381" s="58"/>
    </row>
    <row r="382" spans="1:151">
      <c r="A382" s="42" t="s">
        <v>325</v>
      </c>
      <c r="B382" s="173" t="s">
        <v>507</v>
      </c>
      <c r="C382" s="173" t="s">
        <v>508</v>
      </c>
      <c r="D382" s="83" t="s">
        <v>173</v>
      </c>
      <c r="F382" s="49" t="s">
        <v>287</v>
      </c>
      <c r="G382" s="49">
        <v>31.957999999999998</v>
      </c>
      <c r="I382" s="49">
        <v>655</v>
      </c>
      <c r="J382" s="159">
        <v>2.3646209386281587</v>
      </c>
      <c r="K382" s="49">
        <v>1</v>
      </c>
      <c r="L382" s="49">
        <v>2</v>
      </c>
      <c r="M382" s="83">
        <v>1</v>
      </c>
      <c r="N382" s="49">
        <v>0</v>
      </c>
      <c r="O382" s="49">
        <v>0</v>
      </c>
      <c r="P382" s="49">
        <v>1</v>
      </c>
      <c r="Q382" s="58">
        <v>0</v>
      </c>
      <c r="R382" s="42">
        <v>2</v>
      </c>
      <c r="S382" s="83" t="s">
        <v>283</v>
      </c>
      <c r="T382" s="49">
        <v>3</v>
      </c>
      <c r="U382" s="83">
        <v>2</v>
      </c>
      <c r="V382" s="49">
        <v>2</v>
      </c>
      <c r="W382" s="49">
        <v>1</v>
      </c>
      <c r="X382" s="58">
        <v>2</v>
      </c>
      <c r="Y382" s="83">
        <v>0</v>
      </c>
      <c r="AJ382" s="49">
        <v>0</v>
      </c>
      <c r="AK382" s="83">
        <v>0</v>
      </c>
      <c r="AL382" s="49">
        <v>0</v>
      </c>
      <c r="AM382" s="49">
        <v>0</v>
      </c>
      <c r="AN382" s="49">
        <v>0</v>
      </c>
      <c r="AO382" s="58">
        <v>0</v>
      </c>
      <c r="AP382" s="174">
        <v>0</v>
      </c>
      <c r="AQ382" s="175">
        <v>0</v>
      </c>
      <c r="AR382" s="175">
        <v>0</v>
      </c>
      <c r="AS382" s="175">
        <v>0</v>
      </c>
      <c r="AT382" s="175">
        <v>0</v>
      </c>
      <c r="AU382" s="175">
        <v>0</v>
      </c>
      <c r="AV382" s="175">
        <v>0</v>
      </c>
      <c r="AW382" s="175">
        <v>0</v>
      </c>
      <c r="AX382" s="83">
        <v>0</v>
      </c>
      <c r="AY382" s="49">
        <v>0</v>
      </c>
      <c r="AZ382" s="49">
        <v>0</v>
      </c>
      <c r="BA382" s="49">
        <v>0</v>
      </c>
      <c r="BB382" s="58">
        <v>0</v>
      </c>
      <c r="BC382" s="42">
        <v>106</v>
      </c>
      <c r="BD382" s="183">
        <v>56.77</v>
      </c>
      <c r="BE382" s="49"/>
      <c r="BS382" s="58"/>
      <c r="BT382" s="83"/>
      <c r="CE382" s="83">
        <v>57.33</v>
      </c>
      <c r="CK382" s="58"/>
      <c r="CL382" s="83"/>
      <c r="CO382" s="58"/>
      <c r="CP382" s="83"/>
      <c r="CR382" s="58"/>
      <c r="CS382" s="83"/>
      <c r="CY382" s="83"/>
      <c r="DG382" s="58"/>
      <c r="DH382" s="83"/>
      <c r="DQ382" s="83"/>
      <c r="EE382" s="58"/>
      <c r="EF382" s="83"/>
      <c r="EI382" s="83"/>
      <c r="EK382" s="58"/>
      <c r="EL382" s="83"/>
      <c r="EO382" s="58"/>
      <c r="EP382" s="83"/>
      <c r="EQ382" s="58"/>
      <c r="ER382" s="83"/>
      <c r="ES382" s="58"/>
      <c r="ET382" s="83"/>
      <c r="EU382" s="58"/>
    </row>
    <row r="383" spans="1:151">
      <c r="A383" s="42" t="s">
        <v>325</v>
      </c>
      <c r="B383" s="173" t="s">
        <v>507</v>
      </c>
      <c r="C383" s="173" t="s">
        <v>508</v>
      </c>
      <c r="D383" s="83" t="s">
        <v>92</v>
      </c>
      <c r="F383" s="49" t="s">
        <v>286</v>
      </c>
      <c r="G383" s="49">
        <v>31.957999999999998</v>
      </c>
      <c r="I383" s="49">
        <v>1090</v>
      </c>
      <c r="J383" s="159">
        <v>3.9926739926739927</v>
      </c>
      <c r="K383" s="49">
        <v>2</v>
      </c>
      <c r="L383" s="49">
        <v>2</v>
      </c>
      <c r="M383" s="83">
        <v>1</v>
      </c>
      <c r="N383" s="49">
        <v>0</v>
      </c>
      <c r="O383" s="49">
        <v>0</v>
      </c>
      <c r="P383" s="49">
        <v>1</v>
      </c>
      <c r="Q383" s="58">
        <v>0</v>
      </c>
      <c r="R383" s="42">
        <v>2</v>
      </c>
      <c r="S383" s="83">
        <v>1</v>
      </c>
      <c r="U383" s="83">
        <v>1</v>
      </c>
      <c r="V383" s="49">
        <v>1</v>
      </c>
      <c r="W383" s="49">
        <v>1</v>
      </c>
      <c r="X383" s="58">
        <v>2</v>
      </c>
      <c r="Y383" s="83">
        <v>10</v>
      </c>
      <c r="AD383" s="49">
        <v>7</v>
      </c>
      <c r="AE383" s="49">
        <v>247</v>
      </c>
      <c r="AG383" s="49">
        <v>356</v>
      </c>
      <c r="AI383" s="49">
        <v>29</v>
      </c>
      <c r="AJ383" s="49">
        <v>0</v>
      </c>
      <c r="AK383" s="83">
        <v>0</v>
      </c>
      <c r="AL383" s="49">
        <v>1</v>
      </c>
      <c r="AM383" s="49">
        <v>0</v>
      </c>
      <c r="AN383" s="49">
        <v>0</v>
      </c>
      <c r="AO383" s="58">
        <v>0</v>
      </c>
      <c r="AP383" s="174">
        <v>0</v>
      </c>
      <c r="AQ383" s="175">
        <v>611</v>
      </c>
      <c r="AR383" s="175">
        <v>0</v>
      </c>
      <c r="AS383" s="175">
        <v>0</v>
      </c>
      <c r="AT383" s="175">
        <v>0</v>
      </c>
      <c r="AU383" s="175">
        <v>0</v>
      </c>
      <c r="AV383" s="175">
        <v>0</v>
      </c>
      <c r="AW383" s="175">
        <v>0</v>
      </c>
      <c r="AX383" s="83">
        <v>0</v>
      </c>
      <c r="AY383" s="49">
        <v>0</v>
      </c>
      <c r="AZ383" s="49">
        <v>0</v>
      </c>
      <c r="BA383" s="49">
        <v>0</v>
      </c>
      <c r="BB383" s="58">
        <v>0</v>
      </c>
      <c r="BC383" s="42">
        <v>112</v>
      </c>
      <c r="BD383" s="183"/>
      <c r="BE383" s="49"/>
      <c r="BS383" s="58"/>
      <c r="BT383" s="83"/>
      <c r="CE383" s="83"/>
      <c r="CK383" s="58"/>
      <c r="CL383" s="83"/>
      <c r="CO383" s="58"/>
      <c r="CP383" s="83"/>
      <c r="CR383" s="58"/>
      <c r="CS383" s="83"/>
      <c r="CY383" s="83"/>
      <c r="DG383" s="58"/>
      <c r="DH383" s="83"/>
      <c r="DQ383" s="83"/>
      <c r="EE383" s="58"/>
      <c r="EF383" s="83"/>
      <c r="EI383" s="83"/>
      <c r="EK383" s="58"/>
      <c r="EL383" s="83"/>
      <c r="EO383" s="58"/>
      <c r="EP383" s="83"/>
      <c r="EQ383" s="58"/>
      <c r="ER383" s="83"/>
      <c r="ES383" s="58"/>
      <c r="ET383" s="83"/>
      <c r="EU383" s="58"/>
    </row>
    <row r="384" spans="1:151">
      <c r="A384" s="42" t="s">
        <v>325</v>
      </c>
      <c r="B384" s="173" t="s">
        <v>507</v>
      </c>
      <c r="C384" s="173" t="s">
        <v>508</v>
      </c>
      <c r="D384" s="83" t="s">
        <v>174</v>
      </c>
      <c r="F384" s="49" t="s">
        <v>286</v>
      </c>
      <c r="G384" s="49">
        <v>31.957999999999998</v>
      </c>
      <c r="I384" s="49">
        <v>2805</v>
      </c>
      <c r="J384" s="159">
        <v>5.4046242774566471</v>
      </c>
      <c r="K384" s="49">
        <v>1</v>
      </c>
      <c r="L384" s="49">
        <v>2</v>
      </c>
      <c r="M384" s="83">
        <v>1</v>
      </c>
      <c r="N384" s="49">
        <v>0</v>
      </c>
      <c r="O384" s="49">
        <v>0</v>
      </c>
      <c r="P384" s="49">
        <v>1</v>
      </c>
      <c r="Q384" s="58">
        <v>0</v>
      </c>
      <c r="R384" s="42">
        <v>2</v>
      </c>
      <c r="S384" s="83" t="s">
        <v>283</v>
      </c>
      <c r="T384" s="49">
        <v>3</v>
      </c>
      <c r="U384" s="83">
        <v>1</v>
      </c>
      <c r="V384" s="49">
        <v>1</v>
      </c>
      <c r="W384" s="49">
        <v>1</v>
      </c>
      <c r="X384" s="58">
        <v>2</v>
      </c>
      <c r="Y384" s="83">
        <v>2</v>
      </c>
      <c r="Z384" s="49">
        <v>9</v>
      </c>
      <c r="AA384" s="49">
        <v>18</v>
      </c>
      <c r="AF384" s="49">
        <v>15</v>
      </c>
      <c r="AG384" s="49">
        <v>382</v>
      </c>
      <c r="AH384" s="49">
        <v>49</v>
      </c>
      <c r="AI384" s="49">
        <v>164</v>
      </c>
      <c r="AJ384" s="49">
        <v>1</v>
      </c>
      <c r="AK384" s="83">
        <v>0</v>
      </c>
      <c r="AL384" s="49">
        <v>1</v>
      </c>
      <c r="AM384" s="49">
        <v>1</v>
      </c>
      <c r="AN384" s="49">
        <v>0</v>
      </c>
      <c r="AO384" s="58">
        <v>0</v>
      </c>
      <c r="AP384" s="174">
        <v>82</v>
      </c>
      <c r="AQ384" s="175">
        <v>258</v>
      </c>
      <c r="AR384" s="175">
        <v>163</v>
      </c>
      <c r="AS384" s="175">
        <v>580</v>
      </c>
      <c r="AT384" s="175">
        <v>0</v>
      </c>
      <c r="AU384" s="175">
        <v>0</v>
      </c>
      <c r="AV384" s="175">
        <v>0</v>
      </c>
      <c r="AW384" s="175">
        <v>0</v>
      </c>
      <c r="AX384" s="83">
        <v>0</v>
      </c>
      <c r="AY384" s="49">
        <v>0</v>
      </c>
      <c r="AZ384" s="49">
        <v>0</v>
      </c>
      <c r="BA384" s="49">
        <v>0</v>
      </c>
      <c r="BB384" s="58">
        <v>0</v>
      </c>
      <c r="BC384" s="42">
        <v>128</v>
      </c>
      <c r="BD384" s="183">
        <v>55.39</v>
      </c>
      <c r="BE384" s="49"/>
      <c r="BS384" s="58"/>
      <c r="BT384" s="83"/>
      <c r="CE384" s="83">
        <v>51.99</v>
      </c>
      <c r="CF384" s="49">
        <v>54.56</v>
      </c>
      <c r="CK384" s="58"/>
      <c r="CL384" s="83"/>
      <c r="CO384" s="58"/>
      <c r="CP384" s="83"/>
      <c r="CR384" s="58"/>
      <c r="CS384" s="83"/>
      <c r="CY384" s="83"/>
      <c r="DG384" s="58"/>
      <c r="DH384" s="83"/>
      <c r="DQ384" s="83"/>
      <c r="EE384" s="58"/>
      <c r="EF384" s="83"/>
      <c r="EI384" s="83"/>
      <c r="EK384" s="58"/>
      <c r="EL384" s="83"/>
      <c r="EO384" s="58"/>
      <c r="EP384" s="83"/>
      <c r="EQ384" s="58"/>
      <c r="ER384" s="83"/>
      <c r="ES384" s="58"/>
      <c r="ET384" s="83"/>
      <c r="EU384" s="58"/>
    </row>
    <row r="385" spans="1:151">
      <c r="A385" s="42" t="s">
        <v>325</v>
      </c>
      <c r="B385" s="173" t="s">
        <v>507</v>
      </c>
      <c r="C385" s="173" t="s">
        <v>508</v>
      </c>
      <c r="D385" s="83" t="s">
        <v>175</v>
      </c>
      <c r="F385" s="49" t="s">
        <v>286</v>
      </c>
      <c r="G385" s="49">
        <v>31.957999999999998</v>
      </c>
      <c r="I385" s="49">
        <v>2733</v>
      </c>
      <c r="J385" s="159">
        <v>5.9803063457330419</v>
      </c>
      <c r="K385" s="49">
        <v>2</v>
      </c>
      <c r="L385" s="49">
        <v>2</v>
      </c>
      <c r="M385" s="83">
        <v>0</v>
      </c>
      <c r="N385" s="49">
        <v>0</v>
      </c>
      <c r="O385" s="49">
        <v>0</v>
      </c>
      <c r="P385" s="49">
        <v>1</v>
      </c>
      <c r="Q385" s="58">
        <v>0</v>
      </c>
      <c r="R385" s="42">
        <v>1</v>
      </c>
      <c r="S385" s="83" t="s">
        <v>283</v>
      </c>
      <c r="T385" s="49">
        <v>7</v>
      </c>
      <c r="U385" s="83">
        <v>0</v>
      </c>
      <c r="V385" s="49">
        <v>0</v>
      </c>
      <c r="W385" s="49">
        <v>0</v>
      </c>
      <c r="X385" s="58"/>
      <c r="Y385" s="83">
        <v>2</v>
      </c>
      <c r="AD385" s="49">
        <v>7</v>
      </c>
      <c r="AE385" s="49">
        <v>32</v>
      </c>
      <c r="AG385" s="49">
        <v>38</v>
      </c>
      <c r="AH385" s="49">
        <v>38</v>
      </c>
      <c r="AI385" s="49">
        <v>200</v>
      </c>
      <c r="AJ385" s="49">
        <v>0</v>
      </c>
      <c r="AK385" s="83">
        <v>0</v>
      </c>
      <c r="AL385" s="49">
        <v>0</v>
      </c>
      <c r="AM385" s="49">
        <v>1</v>
      </c>
      <c r="AN385" s="49">
        <v>1</v>
      </c>
      <c r="AO385" s="58">
        <v>0</v>
      </c>
      <c r="AP385" s="174">
        <v>0</v>
      </c>
      <c r="AQ385" s="175">
        <v>0</v>
      </c>
      <c r="AR385" s="175">
        <v>193</v>
      </c>
      <c r="AS385" s="175">
        <v>471</v>
      </c>
      <c r="AT385" s="175">
        <v>405</v>
      </c>
      <c r="AU385" s="175">
        <v>476</v>
      </c>
      <c r="AV385" s="175">
        <v>0</v>
      </c>
      <c r="AW385" s="175">
        <v>0</v>
      </c>
      <c r="AX385" s="83">
        <v>0</v>
      </c>
      <c r="AY385" s="49">
        <v>0</v>
      </c>
      <c r="AZ385" s="49">
        <v>0</v>
      </c>
      <c r="BA385" s="49">
        <v>0</v>
      </c>
      <c r="BB385" s="58">
        <v>0</v>
      </c>
      <c r="BC385" s="42">
        <v>129</v>
      </c>
      <c r="BD385" s="183"/>
      <c r="BE385" s="49"/>
      <c r="BS385" s="58"/>
      <c r="BT385" s="83"/>
      <c r="CE385" s="83"/>
      <c r="CK385" s="58"/>
      <c r="CL385" s="83"/>
      <c r="CO385" s="58"/>
      <c r="CP385" s="83"/>
      <c r="CR385" s="58"/>
      <c r="CS385" s="83"/>
      <c r="CY385" s="83"/>
      <c r="DG385" s="58"/>
      <c r="DH385" s="83"/>
      <c r="DQ385" s="83"/>
      <c r="EE385" s="58"/>
      <c r="EF385" s="83"/>
      <c r="EI385" s="83"/>
      <c r="EK385" s="58"/>
      <c r="EL385" s="83"/>
      <c r="EO385" s="58"/>
      <c r="EP385" s="83"/>
      <c r="EQ385" s="58"/>
      <c r="ER385" s="83"/>
      <c r="ES385" s="58"/>
      <c r="ET385" s="83"/>
      <c r="EU385" s="58"/>
    </row>
    <row r="386" spans="1:151">
      <c r="A386" s="42" t="s">
        <v>325</v>
      </c>
      <c r="B386" s="173" t="s">
        <v>507</v>
      </c>
      <c r="C386" s="173" t="s">
        <v>508</v>
      </c>
      <c r="D386" s="83" t="s">
        <v>131</v>
      </c>
      <c r="F386" s="49" t="s">
        <v>286</v>
      </c>
      <c r="G386" s="49">
        <v>31.957999999999998</v>
      </c>
      <c r="I386" s="49">
        <v>2258</v>
      </c>
      <c r="J386" s="159">
        <v>3.2867540029112083</v>
      </c>
      <c r="K386" s="49">
        <v>1</v>
      </c>
      <c r="L386" s="49">
        <v>3</v>
      </c>
      <c r="M386" s="83">
        <v>1</v>
      </c>
      <c r="N386" s="49">
        <v>0</v>
      </c>
      <c r="O386" s="49">
        <v>0</v>
      </c>
      <c r="P386" s="49">
        <v>1</v>
      </c>
      <c r="Q386" s="58">
        <v>0</v>
      </c>
      <c r="R386" s="42">
        <v>2</v>
      </c>
      <c r="S386" s="83" t="s">
        <v>283</v>
      </c>
      <c r="T386" s="49">
        <v>7</v>
      </c>
      <c r="U386" s="83">
        <v>1</v>
      </c>
      <c r="V386" s="49">
        <v>1</v>
      </c>
      <c r="W386" s="49">
        <v>1</v>
      </c>
      <c r="X386" s="58">
        <v>2</v>
      </c>
      <c r="Y386" s="83">
        <v>3</v>
      </c>
      <c r="AD386" s="49">
        <v>7</v>
      </c>
      <c r="AE386" s="49">
        <v>129</v>
      </c>
      <c r="AH386" s="49">
        <v>14</v>
      </c>
      <c r="AI386" s="49">
        <v>559</v>
      </c>
      <c r="AJ386" s="49">
        <v>0</v>
      </c>
      <c r="AK386" s="83">
        <v>0</v>
      </c>
      <c r="AL386" s="49">
        <v>1</v>
      </c>
      <c r="AM386" s="49">
        <v>1</v>
      </c>
      <c r="AN386" s="49">
        <v>0</v>
      </c>
      <c r="AO386" s="58">
        <v>0</v>
      </c>
      <c r="AP386" s="174">
        <v>438</v>
      </c>
      <c r="AQ386" s="175">
        <v>715</v>
      </c>
      <c r="AR386" s="175">
        <v>70</v>
      </c>
      <c r="AS386" s="175">
        <v>698</v>
      </c>
      <c r="AT386" s="175">
        <v>0</v>
      </c>
      <c r="AU386" s="175">
        <v>0</v>
      </c>
      <c r="AV386" s="175">
        <v>0</v>
      </c>
      <c r="AW386" s="175">
        <v>0</v>
      </c>
      <c r="AX386" s="83">
        <v>0</v>
      </c>
      <c r="AY386" s="49">
        <v>0</v>
      </c>
      <c r="AZ386" s="49">
        <v>0</v>
      </c>
      <c r="BA386" s="49">
        <v>0</v>
      </c>
      <c r="BB386" s="58">
        <v>0</v>
      </c>
      <c r="BC386" s="42">
        <v>125</v>
      </c>
      <c r="BD386" s="183"/>
      <c r="BE386" s="49"/>
      <c r="BS386" s="58"/>
      <c r="BT386" s="83"/>
      <c r="CE386" s="83"/>
      <c r="CK386" s="58"/>
      <c r="CL386" s="83"/>
      <c r="CO386" s="58"/>
      <c r="CP386" s="83"/>
      <c r="CR386" s="58"/>
      <c r="CS386" s="83"/>
      <c r="CY386" s="83"/>
      <c r="DG386" s="58"/>
      <c r="DH386" s="83"/>
      <c r="DQ386" s="83"/>
      <c r="EE386" s="58"/>
      <c r="EF386" s="83"/>
      <c r="EI386" s="83"/>
      <c r="EK386" s="58"/>
      <c r="EL386" s="83"/>
      <c r="EO386" s="58"/>
      <c r="EP386" s="83"/>
      <c r="EQ386" s="58"/>
      <c r="ER386" s="83"/>
      <c r="ES386" s="58"/>
      <c r="ET386" s="83"/>
      <c r="EU386" s="58"/>
    </row>
    <row r="387" spans="1:151">
      <c r="A387" s="42" t="s">
        <v>325</v>
      </c>
      <c r="B387" s="173" t="s">
        <v>507</v>
      </c>
      <c r="C387" s="173" t="s">
        <v>508</v>
      </c>
      <c r="D387" s="83" t="s">
        <v>130</v>
      </c>
      <c r="F387" s="49" t="s">
        <v>286</v>
      </c>
      <c r="G387" s="49">
        <v>31.957999999999998</v>
      </c>
      <c r="I387" s="49">
        <v>1798</v>
      </c>
      <c r="J387" s="159">
        <v>3.7693920335429771</v>
      </c>
      <c r="K387" s="49">
        <v>1</v>
      </c>
      <c r="L387" s="49">
        <v>2</v>
      </c>
      <c r="M387" s="83">
        <v>1</v>
      </c>
      <c r="N387" s="49">
        <v>0</v>
      </c>
      <c r="O387" s="49">
        <v>0</v>
      </c>
      <c r="P387" s="49">
        <v>0</v>
      </c>
      <c r="Q387" s="58">
        <v>0</v>
      </c>
      <c r="R387" s="42">
        <v>1</v>
      </c>
      <c r="S387" s="83" t="s">
        <v>283</v>
      </c>
      <c r="T387" s="49">
        <v>6</v>
      </c>
      <c r="U387" s="83">
        <v>4</v>
      </c>
      <c r="V387" s="49">
        <v>2</v>
      </c>
      <c r="W387" s="49">
        <v>1</v>
      </c>
      <c r="X387" s="58">
        <v>2</v>
      </c>
      <c r="Y387" s="83">
        <v>3</v>
      </c>
      <c r="AD387" s="49">
        <v>14</v>
      </c>
      <c r="AE387" s="49">
        <v>67</v>
      </c>
      <c r="AG387" s="49">
        <v>18</v>
      </c>
      <c r="AH387" s="49">
        <v>31</v>
      </c>
      <c r="AI387" s="49">
        <v>298</v>
      </c>
      <c r="AJ387" s="49">
        <v>0</v>
      </c>
      <c r="AK387" s="83">
        <v>0</v>
      </c>
      <c r="AL387" s="49">
        <v>0</v>
      </c>
      <c r="AM387" s="49">
        <v>1</v>
      </c>
      <c r="AN387" s="49">
        <v>0</v>
      </c>
      <c r="AO387" s="58">
        <v>0</v>
      </c>
      <c r="AP387" s="174">
        <v>0</v>
      </c>
      <c r="AQ387" s="175">
        <v>0</v>
      </c>
      <c r="AR387" s="175">
        <v>229</v>
      </c>
      <c r="AS387" s="175">
        <v>527</v>
      </c>
      <c r="AT387" s="175">
        <v>0</v>
      </c>
      <c r="AU387" s="175">
        <v>0</v>
      </c>
      <c r="AV387" s="175">
        <v>0</v>
      </c>
      <c r="AW387" s="175">
        <v>0</v>
      </c>
      <c r="AX387" s="83">
        <v>0</v>
      </c>
      <c r="AY387" s="49">
        <v>0</v>
      </c>
      <c r="AZ387" s="49">
        <v>0</v>
      </c>
      <c r="BA387" s="49">
        <v>0</v>
      </c>
      <c r="BB387" s="58">
        <v>0</v>
      </c>
      <c r="BC387" s="42">
        <v>127</v>
      </c>
      <c r="BD387" s="183"/>
      <c r="BE387" s="49"/>
      <c r="BS387" s="58"/>
      <c r="BT387" s="83"/>
      <c r="CE387" s="83"/>
      <c r="CK387" s="58"/>
      <c r="CL387" s="83"/>
      <c r="CO387" s="58"/>
      <c r="CP387" s="83"/>
      <c r="CR387" s="58"/>
      <c r="CS387" s="83"/>
      <c r="CY387" s="83"/>
      <c r="DG387" s="58"/>
      <c r="DH387" s="83"/>
      <c r="DQ387" s="83"/>
      <c r="EE387" s="58"/>
      <c r="EF387" s="83"/>
      <c r="EI387" s="83"/>
      <c r="EK387" s="58"/>
      <c r="EL387" s="83"/>
      <c r="EO387" s="58"/>
      <c r="EP387" s="83"/>
      <c r="EQ387" s="58"/>
      <c r="ER387" s="83"/>
      <c r="ES387" s="58"/>
      <c r="ET387" s="83"/>
      <c r="EU387" s="58"/>
    </row>
    <row r="388" spans="1:151">
      <c r="A388" s="42" t="s">
        <v>325</v>
      </c>
      <c r="B388" s="173" t="s">
        <v>507</v>
      </c>
      <c r="C388" s="173" t="s">
        <v>508</v>
      </c>
      <c r="D388" s="83" t="s">
        <v>176</v>
      </c>
      <c r="F388" s="49" t="s">
        <v>287</v>
      </c>
      <c r="G388" s="49">
        <v>31.957999999999998</v>
      </c>
      <c r="I388" s="49">
        <v>719</v>
      </c>
      <c r="J388" s="159">
        <v>1.806532663316583</v>
      </c>
      <c r="K388" s="49">
        <v>1</v>
      </c>
      <c r="L388" s="49">
        <v>3</v>
      </c>
      <c r="M388" s="83">
        <v>1</v>
      </c>
      <c r="N388" s="49">
        <v>0</v>
      </c>
      <c r="O388" s="49">
        <v>0</v>
      </c>
      <c r="P388" s="49">
        <v>0</v>
      </c>
      <c r="Q388" s="58">
        <v>0</v>
      </c>
      <c r="R388" s="42">
        <v>1</v>
      </c>
      <c r="S388" s="83" t="s">
        <v>283</v>
      </c>
      <c r="T388" s="49">
        <v>5</v>
      </c>
      <c r="U388" s="83">
        <v>1</v>
      </c>
      <c r="V388" s="49">
        <v>2</v>
      </c>
      <c r="W388" s="49">
        <v>2</v>
      </c>
      <c r="X388" s="58"/>
      <c r="Y388" s="83">
        <v>1</v>
      </c>
      <c r="AI388" s="49">
        <v>34</v>
      </c>
      <c r="AJ388" s="49">
        <v>0</v>
      </c>
      <c r="AK388" s="83">
        <v>0</v>
      </c>
      <c r="AL388" s="49">
        <v>0</v>
      </c>
      <c r="AM388" s="49">
        <v>1</v>
      </c>
      <c r="AN388" s="49">
        <v>0</v>
      </c>
      <c r="AO388" s="58">
        <v>0</v>
      </c>
      <c r="AP388" s="174">
        <v>0</v>
      </c>
      <c r="AQ388" s="175">
        <v>0</v>
      </c>
      <c r="AR388" s="175">
        <v>157</v>
      </c>
      <c r="AS388" s="175">
        <v>708</v>
      </c>
      <c r="AT388" s="175">
        <v>0</v>
      </c>
      <c r="AU388" s="175">
        <v>0</v>
      </c>
      <c r="AV388" s="175">
        <v>0</v>
      </c>
      <c r="AW388" s="175">
        <v>0</v>
      </c>
      <c r="AX388" s="83">
        <v>0</v>
      </c>
      <c r="AY388" s="49">
        <v>0</v>
      </c>
      <c r="AZ388" s="49">
        <v>0</v>
      </c>
      <c r="BA388" s="49">
        <v>0</v>
      </c>
      <c r="BB388" s="58">
        <v>0</v>
      </c>
      <c r="BC388" s="42">
        <v>126</v>
      </c>
      <c r="BD388" s="183"/>
      <c r="BE388" s="49"/>
      <c r="BS388" s="58"/>
      <c r="BT388" s="83"/>
      <c r="CE388" s="83"/>
      <c r="CK388" s="58"/>
      <c r="CL388" s="83"/>
      <c r="CO388" s="58"/>
      <c r="CP388" s="83"/>
      <c r="CR388" s="58"/>
      <c r="CS388" s="83"/>
      <c r="CY388" s="83"/>
      <c r="DG388" s="58"/>
      <c r="DH388" s="83"/>
      <c r="DQ388" s="83"/>
      <c r="EE388" s="58"/>
      <c r="EF388" s="83"/>
      <c r="EI388" s="83"/>
      <c r="EK388" s="58"/>
      <c r="EL388" s="83"/>
      <c r="EO388" s="58"/>
      <c r="EP388" s="83"/>
      <c r="EQ388" s="58"/>
      <c r="ER388" s="83"/>
      <c r="ES388" s="58"/>
      <c r="ET388" s="83"/>
      <c r="EU388" s="58"/>
    </row>
    <row r="389" spans="1:151">
      <c r="A389" s="42" t="s">
        <v>325</v>
      </c>
      <c r="B389" s="173" t="s">
        <v>507</v>
      </c>
      <c r="C389" s="173" t="s">
        <v>508</v>
      </c>
      <c r="D389" s="83" t="s">
        <v>177</v>
      </c>
      <c r="F389" s="49" t="s">
        <v>286</v>
      </c>
      <c r="G389" s="49">
        <v>31.957999999999998</v>
      </c>
      <c r="I389" s="49">
        <v>4152</v>
      </c>
      <c r="J389" s="159">
        <v>5.0572472594397073</v>
      </c>
      <c r="K389" s="49">
        <v>2</v>
      </c>
      <c r="L389" s="49">
        <v>3</v>
      </c>
      <c r="M389" s="83">
        <v>1</v>
      </c>
      <c r="N389" s="49">
        <v>0</v>
      </c>
      <c r="O389" s="49">
        <v>0</v>
      </c>
      <c r="P389" s="49">
        <v>1</v>
      </c>
      <c r="Q389" s="58">
        <v>0</v>
      </c>
      <c r="R389" s="42">
        <v>2</v>
      </c>
      <c r="S389" s="83">
        <v>1</v>
      </c>
      <c r="U389" s="83">
        <v>1</v>
      </c>
      <c r="V389" s="49">
        <v>3</v>
      </c>
      <c r="W389" s="49">
        <v>1</v>
      </c>
      <c r="X389" s="58">
        <v>2</v>
      </c>
      <c r="Y389" s="83">
        <v>5</v>
      </c>
      <c r="AD389" s="49">
        <v>11</v>
      </c>
      <c r="AE389" s="49">
        <v>243</v>
      </c>
      <c r="AF389" s="49">
        <v>28</v>
      </c>
      <c r="AG389" s="49">
        <v>30</v>
      </c>
      <c r="AH389" s="49">
        <v>70</v>
      </c>
      <c r="AI389" s="49">
        <v>736</v>
      </c>
      <c r="AJ389" s="49">
        <v>0</v>
      </c>
      <c r="AK389" s="83">
        <v>0</v>
      </c>
      <c r="AL389" s="49">
        <v>0</v>
      </c>
      <c r="AM389" s="49">
        <v>1</v>
      </c>
      <c r="AN389" s="49">
        <v>1</v>
      </c>
      <c r="AO389" s="58">
        <v>0</v>
      </c>
      <c r="AP389" s="174">
        <v>0</v>
      </c>
      <c r="AQ389" s="175">
        <v>0</v>
      </c>
      <c r="AR389" s="175">
        <v>218</v>
      </c>
      <c r="AS389" s="175">
        <v>416</v>
      </c>
      <c r="AT389" s="175">
        <v>455</v>
      </c>
      <c r="AU389" s="175">
        <v>885</v>
      </c>
      <c r="AV389" s="175">
        <v>0</v>
      </c>
      <c r="AW389" s="175">
        <v>0</v>
      </c>
      <c r="AX389" s="83">
        <v>0</v>
      </c>
      <c r="AY389" s="49">
        <v>0</v>
      </c>
      <c r="AZ389" s="49">
        <v>1</v>
      </c>
      <c r="BA389" s="49">
        <v>0</v>
      </c>
      <c r="BB389" s="58">
        <v>1</v>
      </c>
      <c r="BC389" s="42">
        <v>126</v>
      </c>
      <c r="BD389" s="183">
        <v>50.95</v>
      </c>
      <c r="BE389" s="49"/>
      <c r="BS389" s="58"/>
      <c r="BT389" s="83"/>
      <c r="CE389" s="83">
        <v>55.02</v>
      </c>
      <c r="CK389" s="58"/>
      <c r="CL389" s="83"/>
      <c r="CO389" s="58"/>
      <c r="CP389" s="83"/>
      <c r="CR389" s="58"/>
      <c r="CS389" s="83"/>
      <c r="CY389" s="83"/>
      <c r="DG389" s="58"/>
      <c r="DH389" s="83"/>
      <c r="DQ389" s="83"/>
      <c r="EE389" s="58"/>
      <c r="EF389" s="83"/>
      <c r="EI389" s="83"/>
      <c r="EK389" s="58"/>
      <c r="EL389" s="83"/>
      <c r="EO389" s="58"/>
      <c r="EP389" s="83"/>
      <c r="EQ389" s="58"/>
      <c r="ER389" s="83"/>
      <c r="ES389" s="58"/>
      <c r="ET389" s="83"/>
      <c r="EU389" s="58"/>
    </row>
    <row r="390" spans="1:151">
      <c r="A390" s="42" t="s">
        <v>325</v>
      </c>
      <c r="B390" s="173" t="s">
        <v>507</v>
      </c>
      <c r="C390" s="173" t="s">
        <v>508</v>
      </c>
      <c r="D390" s="83" t="s">
        <v>178</v>
      </c>
      <c r="F390" s="49" t="s">
        <v>286</v>
      </c>
      <c r="G390" s="49">
        <v>31.957999999999998</v>
      </c>
      <c r="I390" s="49">
        <v>1046</v>
      </c>
      <c r="J390" s="159">
        <v>3.1130952380952381</v>
      </c>
      <c r="K390" s="49">
        <v>1</v>
      </c>
      <c r="L390" s="49">
        <v>2</v>
      </c>
      <c r="M390" s="83">
        <v>1</v>
      </c>
      <c r="N390" s="49">
        <v>0</v>
      </c>
      <c r="O390" s="49">
        <v>0</v>
      </c>
      <c r="P390" s="49">
        <v>1</v>
      </c>
      <c r="Q390" s="58">
        <v>0</v>
      </c>
      <c r="R390" s="42">
        <v>2</v>
      </c>
      <c r="S390" s="83">
        <v>1</v>
      </c>
      <c r="T390" s="49">
        <v>6</v>
      </c>
      <c r="U390" s="83">
        <v>1</v>
      </c>
      <c r="V390" s="49">
        <v>2</v>
      </c>
      <c r="W390" s="49">
        <v>1</v>
      </c>
      <c r="X390" s="58">
        <v>2</v>
      </c>
      <c r="Y390" s="83">
        <v>5</v>
      </c>
      <c r="AA390" s="49">
        <v>6</v>
      </c>
      <c r="AH390" s="49">
        <v>86</v>
      </c>
      <c r="AI390" s="49">
        <v>415</v>
      </c>
      <c r="AJ390" s="49">
        <v>0</v>
      </c>
      <c r="AK390" s="83">
        <v>0</v>
      </c>
      <c r="AL390" s="49">
        <v>0</v>
      </c>
      <c r="AM390" s="49">
        <v>1</v>
      </c>
      <c r="AN390" s="49">
        <v>0</v>
      </c>
      <c r="AO390" s="58">
        <v>0</v>
      </c>
      <c r="AP390" s="174">
        <v>0</v>
      </c>
      <c r="AQ390" s="175">
        <v>0</v>
      </c>
      <c r="AR390" s="175">
        <v>35</v>
      </c>
      <c r="AS390" s="175">
        <v>400</v>
      </c>
      <c r="AT390" s="175">
        <v>0</v>
      </c>
      <c r="AU390" s="175">
        <v>0</v>
      </c>
      <c r="AV390" s="175">
        <v>0</v>
      </c>
      <c r="AW390" s="175">
        <v>0</v>
      </c>
      <c r="AX390" s="83">
        <v>0</v>
      </c>
      <c r="AY390" s="49">
        <v>0</v>
      </c>
      <c r="AZ390" s="49">
        <v>0</v>
      </c>
      <c r="BA390" s="49">
        <v>0</v>
      </c>
      <c r="BB390" s="58">
        <v>0</v>
      </c>
      <c r="BC390" s="42">
        <v>112</v>
      </c>
      <c r="BD390" s="183">
        <v>57.05</v>
      </c>
      <c r="BE390" s="49"/>
      <c r="BS390" s="58"/>
      <c r="BT390" s="83"/>
      <c r="CE390" s="83">
        <v>58.51</v>
      </c>
      <c r="CK390" s="58"/>
      <c r="CL390" s="83"/>
      <c r="CO390" s="58"/>
      <c r="CP390" s="83"/>
      <c r="CR390" s="58"/>
      <c r="CS390" s="83"/>
      <c r="CY390" s="83"/>
      <c r="DG390" s="58"/>
      <c r="DH390" s="83"/>
      <c r="DQ390" s="83"/>
      <c r="EE390" s="58"/>
      <c r="EF390" s="83"/>
      <c r="EI390" s="83"/>
      <c r="EK390" s="58"/>
      <c r="EL390" s="83"/>
      <c r="EO390" s="58"/>
      <c r="EP390" s="83"/>
      <c r="EQ390" s="58"/>
      <c r="ER390" s="83"/>
      <c r="ES390" s="58"/>
      <c r="ET390" s="83"/>
      <c r="EU390" s="58"/>
    </row>
    <row r="391" spans="1:151">
      <c r="A391" s="42" t="s">
        <v>325</v>
      </c>
      <c r="B391" s="173" t="s">
        <v>507</v>
      </c>
      <c r="C391" s="173" t="s">
        <v>508</v>
      </c>
      <c r="D391" s="83" t="s">
        <v>93</v>
      </c>
      <c r="F391" s="49" t="s">
        <v>286</v>
      </c>
      <c r="G391" s="49">
        <v>31.957999999999998</v>
      </c>
      <c r="I391" s="49">
        <v>2519</v>
      </c>
      <c r="J391" s="159">
        <v>4.6908752327746743</v>
      </c>
      <c r="K391" s="49">
        <v>1</v>
      </c>
      <c r="L391" s="49">
        <v>2</v>
      </c>
      <c r="M391" s="83">
        <v>1</v>
      </c>
      <c r="N391" s="49">
        <v>0</v>
      </c>
      <c r="O391" s="49">
        <v>0</v>
      </c>
      <c r="P391" s="49">
        <v>1</v>
      </c>
      <c r="Q391" s="58">
        <v>0</v>
      </c>
      <c r="R391" s="42">
        <v>2</v>
      </c>
      <c r="S391" s="83">
        <v>1</v>
      </c>
      <c r="U391" s="83">
        <v>1</v>
      </c>
      <c r="V391" s="49">
        <v>2</v>
      </c>
      <c r="W391" s="49">
        <v>1</v>
      </c>
      <c r="X391" s="58">
        <v>2</v>
      </c>
      <c r="Y391" s="83">
        <v>1</v>
      </c>
      <c r="AA391" s="49">
        <v>53</v>
      </c>
      <c r="AD391" s="49">
        <v>59</v>
      </c>
      <c r="AE391" s="49">
        <v>144</v>
      </c>
      <c r="AF391" s="49">
        <v>66</v>
      </c>
      <c r="AG391" s="49">
        <v>216</v>
      </c>
      <c r="AH391" s="49">
        <v>54</v>
      </c>
      <c r="AI391" s="49">
        <v>167</v>
      </c>
      <c r="AJ391" s="49">
        <v>0</v>
      </c>
      <c r="AK391" s="83">
        <v>0</v>
      </c>
      <c r="AL391" s="49">
        <v>0</v>
      </c>
      <c r="AM391" s="49">
        <v>1</v>
      </c>
      <c r="AN391" s="49">
        <v>0</v>
      </c>
      <c r="AO391" s="58">
        <v>0</v>
      </c>
      <c r="AP391" s="174">
        <v>0</v>
      </c>
      <c r="AQ391" s="175">
        <v>0</v>
      </c>
      <c r="AR391" s="175">
        <v>0</v>
      </c>
      <c r="AS391" s="175">
        <v>400</v>
      </c>
      <c r="AT391" s="175">
        <v>0</v>
      </c>
      <c r="AU391" s="175">
        <v>0</v>
      </c>
      <c r="AV391" s="175">
        <v>0</v>
      </c>
      <c r="AW391" s="175">
        <v>0</v>
      </c>
      <c r="AX391" s="83">
        <v>0</v>
      </c>
      <c r="AY391" s="49">
        <v>0</v>
      </c>
      <c r="AZ391" s="49">
        <v>0</v>
      </c>
      <c r="BA391" s="49">
        <v>0</v>
      </c>
      <c r="BB391" s="58">
        <v>0</v>
      </c>
      <c r="BC391" s="42">
        <v>98</v>
      </c>
      <c r="BD391" s="183">
        <v>52.8</v>
      </c>
      <c r="BE391" s="49"/>
      <c r="BS391" s="58"/>
      <c r="BT391" s="83"/>
      <c r="CE391" s="83">
        <v>57.01</v>
      </c>
      <c r="CK391" s="58"/>
      <c r="CL391" s="83"/>
      <c r="CO391" s="58"/>
      <c r="CP391" s="83"/>
      <c r="CR391" s="58"/>
      <c r="CS391" s="83"/>
      <c r="CY391" s="83"/>
      <c r="DG391" s="58"/>
      <c r="DH391" s="83"/>
      <c r="DQ391" s="83"/>
      <c r="EE391" s="58"/>
      <c r="EF391" s="83"/>
      <c r="EI391" s="83"/>
      <c r="EK391" s="58"/>
      <c r="EL391" s="83"/>
      <c r="EO391" s="58"/>
      <c r="EP391" s="83"/>
      <c r="EQ391" s="58"/>
      <c r="ER391" s="83"/>
      <c r="ES391" s="58"/>
      <c r="ET391" s="83"/>
      <c r="EU391" s="58"/>
    </row>
    <row r="392" spans="1:151" ht="17" thickBot="1">
      <c r="A392" s="55" t="s">
        <v>325</v>
      </c>
      <c r="B392" s="47" t="s">
        <v>507</v>
      </c>
      <c r="C392" s="47" t="s">
        <v>508</v>
      </c>
      <c r="D392" s="84" t="s">
        <v>94</v>
      </c>
      <c r="E392" s="57"/>
      <c r="F392" s="57" t="s">
        <v>287</v>
      </c>
      <c r="G392" s="57">
        <v>31.957999999999998</v>
      </c>
      <c r="H392" s="57"/>
      <c r="I392" s="57">
        <v>353</v>
      </c>
      <c r="J392" s="75">
        <v>1.3576923076923078</v>
      </c>
      <c r="K392" s="57">
        <v>1</v>
      </c>
      <c r="L392" s="57">
        <v>2</v>
      </c>
      <c r="M392" s="84">
        <v>1</v>
      </c>
      <c r="N392" s="57">
        <v>0</v>
      </c>
      <c r="O392" s="57">
        <v>0</v>
      </c>
      <c r="P392" s="57">
        <v>1</v>
      </c>
      <c r="Q392" s="56">
        <v>0</v>
      </c>
      <c r="R392" s="55">
        <v>2</v>
      </c>
      <c r="S392" s="84" t="s">
        <v>283</v>
      </c>
      <c r="T392" s="57">
        <v>2</v>
      </c>
      <c r="U392" s="84">
        <v>3</v>
      </c>
      <c r="V392" s="57">
        <v>2</v>
      </c>
      <c r="W392" s="57">
        <v>1</v>
      </c>
      <c r="X392" s="56">
        <v>2</v>
      </c>
      <c r="Y392" s="84">
        <v>0</v>
      </c>
      <c r="Z392" s="57"/>
      <c r="AA392" s="57"/>
      <c r="AB392" s="57"/>
      <c r="AC392" s="57"/>
      <c r="AD392" s="57"/>
      <c r="AE392" s="57"/>
      <c r="AF392" s="57"/>
      <c r="AG392" s="57"/>
      <c r="AH392" s="57"/>
      <c r="AI392" s="57"/>
      <c r="AJ392" s="57">
        <v>0</v>
      </c>
      <c r="AK392" s="84">
        <v>0</v>
      </c>
      <c r="AL392" s="57">
        <v>0</v>
      </c>
      <c r="AM392" s="57">
        <v>1</v>
      </c>
      <c r="AN392" s="57">
        <v>0</v>
      </c>
      <c r="AO392" s="56">
        <v>0</v>
      </c>
      <c r="AP392" s="178">
        <v>0</v>
      </c>
      <c r="AQ392" s="179">
        <v>0</v>
      </c>
      <c r="AR392" s="179">
        <v>25</v>
      </c>
      <c r="AS392" s="179">
        <v>34</v>
      </c>
      <c r="AT392" s="179">
        <v>0</v>
      </c>
      <c r="AU392" s="179">
        <v>0</v>
      </c>
      <c r="AV392" s="179">
        <v>0</v>
      </c>
      <c r="AW392" s="179">
        <v>0</v>
      </c>
      <c r="AX392" s="84">
        <v>0</v>
      </c>
      <c r="AY392" s="57">
        <v>0</v>
      </c>
      <c r="AZ392" s="57">
        <v>0</v>
      </c>
      <c r="BA392" s="57">
        <v>0</v>
      </c>
      <c r="BB392" s="56">
        <v>0</v>
      </c>
      <c r="BC392" s="55">
        <v>68</v>
      </c>
      <c r="BD392" s="184"/>
      <c r="BE392" s="57"/>
      <c r="BF392" s="57"/>
      <c r="BG392" s="57"/>
      <c r="BH392" s="57"/>
      <c r="BI392" s="57"/>
      <c r="BJ392" s="57"/>
      <c r="BK392" s="57"/>
      <c r="BL392" s="57"/>
      <c r="BM392" s="57"/>
      <c r="BN392" s="57"/>
      <c r="BO392" s="57"/>
      <c r="BP392" s="57"/>
      <c r="BQ392" s="57"/>
      <c r="BR392" s="57"/>
      <c r="BS392" s="56"/>
      <c r="BT392" s="84"/>
      <c r="BU392" s="57"/>
      <c r="BV392" s="57"/>
      <c r="BW392" s="57"/>
      <c r="BX392" s="57"/>
      <c r="BY392" s="57"/>
      <c r="BZ392" s="57"/>
      <c r="CA392" s="57"/>
      <c r="CB392" s="57"/>
      <c r="CC392" s="57"/>
      <c r="CD392" s="57"/>
      <c r="CE392" s="84"/>
      <c r="CF392" s="57"/>
      <c r="CG392" s="57"/>
      <c r="CH392" s="57"/>
      <c r="CI392" s="57"/>
      <c r="CJ392" s="57"/>
      <c r="CK392" s="56"/>
      <c r="CL392" s="84"/>
      <c r="CM392" s="57"/>
      <c r="CN392" s="57"/>
      <c r="CO392" s="56"/>
      <c r="CP392" s="84"/>
      <c r="CQ392" s="57"/>
      <c r="CR392" s="56"/>
      <c r="CS392" s="84"/>
      <c r="CT392" s="57"/>
      <c r="CU392" s="57"/>
      <c r="CV392" s="57"/>
      <c r="CW392" s="57"/>
      <c r="CX392" s="57"/>
      <c r="CY392" s="84"/>
      <c r="CZ392" s="57"/>
      <c r="DA392" s="57"/>
      <c r="DB392" s="57"/>
      <c r="DC392" s="57"/>
      <c r="DD392" s="57"/>
      <c r="DE392" s="57"/>
      <c r="DF392" s="57"/>
      <c r="DG392" s="56"/>
      <c r="DH392" s="84"/>
      <c r="DI392" s="57"/>
      <c r="DJ392" s="57"/>
      <c r="DK392" s="57"/>
      <c r="DL392" s="57"/>
      <c r="DM392" s="57"/>
      <c r="DN392" s="57"/>
      <c r="DO392" s="57"/>
      <c r="DP392" s="57"/>
      <c r="DQ392" s="84"/>
      <c r="DR392" s="57"/>
      <c r="DS392" s="57"/>
      <c r="DT392" s="57"/>
      <c r="DU392" s="57"/>
      <c r="DV392" s="57"/>
      <c r="DW392" s="57"/>
      <c r="DX392" s="57"/>
      <c r="DY392" s="57"/>
      <c r="DZ392" s="57"/>
      <c r="EA392" s="57"/>
      <c r="EB392" s="57"/>
      <c r="EC392" s="57"/>
      <c r="ED392" s="57"/>
      <c r="EE392" s="56"/>
      <c r="EF392" s="84"/>
      <c r="EG392" s="57"/>
      <c r="EH392" s="57"/>
      <c r="EI392" s="84"/>
      <c r="EJ392" s="57"/>
      <c r="EK392" s="56"/>
      <c r="EL392" s="84"/>
      <c r="EM392" s="57"/>
      <c r="EN392" s="57"/>
      <c r="EO392" s="56"/>
      <c r="EP392" s="84"/>
      <c r="EQ392" s="56"/>
      <c r="ER392" s="84"/>
      <c r="ES392" s="56"/>
      <c r="ET392" s="84"/>
      <c r="EU392" s="56"/>
    </row>
    <row r="393" spans="1:151">
      <c r="A393" s="83" t="s">
        <v>325</v>
      </c>
      <c r="B393" s="7" t="s">
        <v>509</v>
      </c>
      <c r="C393" s="7" t="s">
        <v>510</v>
      </c>
      <c r="D393" s="147" t="s">
        <v>64</v>
      </c>
      <c r="E393" s="148"/>
      <c r="F393" s="148" t="s">
        <v>286</v>
      </c>
      <c r="G393" s="148">
        <v>31.957999999999998</v>
      </c>
      <c r="H393" s="148"/>
      <c r="I393" s="148">
        <v>3321</v>
      </c>
      <c r="J393" s="158">
        <v>4.7307692307692308</v>
      </c>
      <c r="K393" s="148">
        <v>1</v>
      </c>
      <c r="L393" s="148">
        <v>3</v>
      </c>
      <c r="M393" s="147">
        <v>0</v>
      </c>
      <c r="N393" s="148">
        <v>1</v>
      </c>
      <c r="O393" s="148">
        <v>0</v>
      </c>
      <c r="P393" s="148">
        <v>0</v>
      </c>
      <c r="Q393" s="149">
        <v>0</v>
      </c>
      <c r="R393" s="87">
        <v>1</v>
      </c>
      <c r="S393" s="147" t="s">
        <v>283</v>
      </c>
      <c r="T393" s="148">
        <v>7</v>
      </c>
      <c r="U393" s="147">
        <v>1</v>
      </c>
      <c r="V393" s="148">
        <v>3</v>
      </c>
      <c r="W393" s="148">
        <v>2</v>
      </c>
      <c r="X393" s="149"/>
      <c r="Y393" s="147">
        <v>5</v>
      </c>
      <c r="Z393" s="148">
        <v>6</v>
      </c>
      <c r="AA393" s="148">
        <v>11</v>
      </c>
      <c r="AB393" s="148"/>
      <c r="AC393" s="148"/>
      <c r="AD393" s="148">
        <v>6</v>
      </c>
      <c r="AE393" s="148">
        <v>158</v>
      </c>
      <c r="AF393" s="148">
        <v>4</v>
      </c>
      <c r="AG393" s="148">
        <v>137</v>
      </c>
      <c r="AH393" s="148">
        <v>10</v>
      </c>
      <c r="AI393" s="148">
        <v>408</v>
      </c>
      <c r="AJ393" s="148">
        <v>0</v>
      </c>
      <c r="AK393" s="147">
        <v>0</v>
      </c>
      <c r="AL393" s="148">
        <v>1</v>
      </c>
      <c r="AM393" s="148">
        <v>0</v>
      </c>
      <c r="AN393" s="148">
        <v>0</v>
      </c>
      <c r="AO393" s="149">
        <v>0</v>
      </c>
      <c r="AP393" s="169">
        <v>0</v>
      </c>
      <c r="AQ393" s="170">
        <v>259</v>
      </c>
      <c r="AR393" s="170">
        <v>0</v>
      </c>
      <c r="AS393" s="170">
        <v>0</v>
      </c>
      <c r="AT393" s="170">
        <v>0</v>
      </c>
      <c r="AU393" s="170">
        <v>0</v>
      </c>
      <c r="AV393" s="170">
        <v>0</v>
      </c>
      <c r="AW393" s="170">
        <v>0</v>
      </c>
      <c r="AX393" s="147">
        <v>0</v>
      </c>
      <c r="AY393" s="148">
        <v>0</v>
      </c>
      <c r="AZ393" s="148">
        <v>0</v>
      </c>
      <c r="BA393" s="148">
        <v>0</v>
      </c>
      <c r="BB393" s="149">
        <v>0</v>
      </c>
      <c r="BC393" s="87">
        <v>124</v>
      </c>
      <c r="BD393" s="148"/>
      <c r="BE393" s="148"/>
      <c r="BF393" s="148"/>
      <c r="BG393" s="148"/>
      <c r="BH393" s="148"/>
      <c r="BI393" s="148"/>
      <c r="BJ393" s="148"/>
      <c r="BK393" s="148"/>
      <c r="BL393" s="148"/>
      <c r="BM393" s="148"/>
      <c r="BN393" s="148"/>
      <c r="BO393" s="148"/>
      <c r="BP393" s="148"/>
      <c r="BQ393" s="148"/>
      <c r="BR393" s="148"/>
      <c r="BS393" s="149"/>
      <c r="BT393" s="147">
        <v>78.27</v>
      </c>
      <c r="BU393" s="148"/>
      <c r="BV393" s="148"/>
      <c r="BW393" s="148"/>
      <c r="BX393" s="148"/>
      <c r="BY393" s="148"/>
      <c r="BZ393" s="148"/>
      <c r="CA393" s="148"/>
      <c r="CB393" s="148"/>
      <c r="CC393" s="148"/>
      <c r="CD393" s="148"/>
      <c r="CE393" s="147">
        <v>74.739999999999995</v>
      </c>
      <c r="CF393" s="148"/>
      <c r="CG393" s="148"/>
      <c r="CH393" s="148"/>
      <c r="CI393" s="148"/>
      <c r="CJ393" s="148"/>
      <c r="CK393" s="149"/>
      <c r="CL393" s="147">
        <v>56.09</v>
      </c>
      <c r="CM393" s="148"/>
      <c r="CN393" s="148"/>
      <c r="CO393" s="149"/>
      <c r="CP393" s="147"/>
      <c r="CQ393" s="148"/>
      <c r="CR393" s="149"/>
      <c r="CS393" s="147"/>
      <c r="CT393" s="148"/>
      <c r="CU393" s="148"/>
      <c r="CV393" s="148"/>
      <c r="CW393" s="148"/>
      <c r="CX393" s="148"/>
      <c r="CY393" s="147">
        <v>78.97</v>
      </c>
      <c r="CZ393" s="148">
        <v>79.53</v>
      </c>
      <c r="DA393" s="148"/>
      <c r="DB393" s="148"/>
      <c r="DC393" s="148"/>
      <c r="DD393" s="148"/>
      <c r="DE393" s="148"/>
      <c r="DF393" s="148"/>
      <c r="DG393" s="149"/>
      <c r="DH393" s="147"/>
      <c r="DI393" s="148"/>
      <c r="DJ393" s="148"/>
      <c r="DK393" s="148"/>
      <c r="DL393" s="148"/>
      <c r="DM393" s="148"/>
      <c r="DN393" s="148"/>
      <c r="DO393" s="148"/>
      <c r="DP393" s="148"/>
      <c r="DQ393" s="147"/>
      <c r="DR393" s="148"/>
      <c r="DS393" s="148"/>
      <c r="DT393" s="148"/>
      <c r="DU393" s="148"/>
      <c r="DV393" s="148"/>
      <c r="DW393" s="148"/>
      <c r="DX393" s="148"/>
      <c r="DY393" s="148"/>
      <c r="DZ393" s="148"/>
      <c r="EA393" s="148"/>
      <c r="EB393" s="148"/>
      <c r="EC393" s="148"/>
      <c r="ED393" s="148"/>
      <c r="EE393" s="149"/>
      <c r="EF393" s="147"/>
      <c r="EG393" s="148"/>
      <c r="EH393" s="148"/>
      <c r="EI393" s="147"/>
      <c r="EJ393" s="148"/>
      <c r="EK393" s="149"/>
      <c r="EL393" s="147"/>
      <c r="EM393" s="148"/>
      <c r="EN393" s="148"/>
      <c r="EO393" s="149"/>
      <c r="EP393" s="147"/>
      <c r="EQ393" s="149"/>
      <c r="ER393" s="147"/>
      <c r="ES393" s="149"/>
      <c r="ET393" s="147"/>
      <c r="EU393" s="149"/>
    </row>
    <row r="394" spans="1:151">
      <c r="A394" s="83" t="s">
        <v>325</v>
      </c>
      <c r="B394" s="173" t="s">
        <v>509</v>
      </c>
      <c r="C394" s="173" t="s">
        <v>510</v>
      </c>
      <c r="D394" s="83" t="s">
        <v>65</v>
      </c>
      <c r="F394" s="49" t="s">
        <v>286</v>
      </c>
      <c r="G394" s="49">
        <v>31.957999999999998</v>
      </c>
      <c r="I394" s="49">
        <v>3108</v>
      </c>
      <c r="J394" s="159">
        <v>2.9348441926345608</v>
      </c>
      <c r="K394" s="49">
        <v>1</v>
      </c>
      <c r="L394" s="49">
        <v>3</v>
      </c>
      <c r="M394" s="83">
        <v>0</v>
      </c>
      <c r="N394" s="49">
        <v>1</v>
      </c>
      <c r="O394" s="49">
        <v>1</v>
      </c>
      <c r="P394" s="49">
        <v>0</v>
      </c>
      <c r="Q394" s="58">
        <v>0</v>
      </c>
      <c r="R394" s="42">
        <v>2</v>
      </c>
      <c r="S394" s="83" t="s">
        <v>283</v>
      </c>
      <c r="T394" s="49">
        <v>30</v>
      </c>
      <c r="U394" s="83">
        <v>1</v>
      </c>
      <c r="V394" s="49">
        <v>3</v>
      </c>
      <c r="W394" s="49">
        <v>2</v>
      </c>
      <c r="X394" s="58"/>
      <c r="Y394" s="83">
        <v>1</v>
      </c>
      <c r="AD394" s="49">
        <v>9</v>
      </c>
      <c r="AE394" s="49">
        <v>25</v>
      </c>
      <c r="AG394" s="49">
        <v>210</v>
      </c>
      <c r="AH394" s="49">
        <v>5</v>
      </c>
      <c r="AI394" s="49">
        <v>203</v>
      </c>
      <c r="AJ394" s="49">
        <v>0</v>
      </c>
      <c r="AK394" s="83">
        <v>0</v>
      </c>
      <c r="AL394" s="49">
        <v>0</v>
      </c>
      <c r="AM394" s="49">
        <v>1</v>
      </c>
      <c r="AN394" s="49">
        <v>0</v>
      </c>
      <c r="AO394" s="58">
        <v>0</v>
      </c>
      <c r="AP394" s="174">
        <v>0</v>
      </c>
      <c r="AQ394" s="175">
        <v>0</v>
      </c>
      <c r="AR394" s="175">
        <v>22</v>
      </c>
      <c r="AS394" s="175">
        <v>43</v>
      </c>
      <c r="AT394" s="175">
        <v>0</v>
      </c>
      <c r="AU394" s="175">
        <v>0</v>
      </c>
      <c r="AV394" s="175">
        <v>0</v>
      </c>
      <c r="AW394" s="175">
        <v>0</v>
      </c>
      <c r="AX394" s="83">
        <v>0</v>
      </c>
      <c r="AY394" s="49">
        <v>0</v>
      </c>
      <c r="AZ394" s="49">
        <v>0</v>
      </c>
      <c r="BA394" s="49">
        <v>0</v>
      </c>
      <c r="BB394" s="58">
        <v>0</v>
      </c>
      <c r="BC394" s="42">
        <v>125</v>
      </c>
      <c r="BE394" s="49"/>
      <c r="BS394" s="58"/>
      <c r="BT394" s="83"/>
      <c r="CE394" s="83"/>
      <c r="CK394" s="58"/>
      <c r="CL394" s="83"/>
      <c r="CO394" s="58"/>
      <c r="CP394" s="83"/>
      <c r="CR394" s="58"/>
      <c r="CS394" s="83"/>
      <c r="CY394" s="83"/>
      <c r="DG394" s="58"/>
      <c r="DH394" s="83"/>
      <c r="DQ394" s="83"/>
      <c r="EE394" s="58"/>
      <c r="EF394" s="83"/>
      <c r="EI394" s="83"/>
      <c r="EK394" s="58"/>
      <c r="EL394" s="83"/>
      <c r="EO394" s="58"/>
      <c r="EP394" s="83"/>
      <c r="EQ394" s="58"/>
      <c r="ER394" s="83"/>
      <c r="ES394" s="58"/>
      <c r="ET394" s="83"/>
      <c r="EU394" s="58"/>
    </row>
    <row r="395" spans="1:151">
      <c r="A395" s="83" t="s">
        <v>325</v>
      </c>
      <c r="B395" s="173" t="s">
        <v>509</v>
      </c>
      <c r="C395" s="173" t="s">
        <v>510</v>
      </c>
      <c r="D395" s="83" t="s">
        <v>66</v>
      </c>
      <c r="F395" s="49" t="s">
        <v>286</v>
      </c>
      <c r="G395" s="49">
        <v>31.957999999999998</v>
      </c>
      <c r="I395" s="49">
        <v>3478</v>
      </c>
      <c r="J395" s="159">
        <v>4.8985915492957748</v>
      </c>
      <c r="K395" s="49">
        <v>1</v>
      </c>
      <c r="L395" s="49">
        <v>3</v>
      </c>
      <c r="M395" s="83">
        <v>0</v>
      </c>
      <c r="N395" s="49">
        <v>2</v>
      </c>
      <c r="O395" s="49">
        <v>0</v>
      </c>
      <c r="P395" s="49">
        <v>1</v>
      </c>
      <c r="Q395" s="58">
        <v>0</v>
      </c>
      <c r="R395" s="42">
        <v>3</v>
      </c>
      <c r="S395" s="83">
        <v>1</v>
      </c>
      <c r="U395" s="83">
        <v>1</v>
      </c>
      <c r="V395" s="49">
        <v>3</v>
      </c>
      <c r="W395" s="49">
        <v>2</v>
      </c>
      <c r="X395" s="58"/>
      <c r="Y395" s="83">
        <v>4</v>
      </c>
      <c r="Z395" s="49">
        <v>9</v>
      </c>
      <c r="AA395" s="49">
        <v>14</v>
      </c>
      <c r="AD395" s="49">
        <v>12</v>
      </c>
      <c r="AE395" s="49">
        <v>136</v>
      </c>
      <c r="AF395" s="49">
        <v>7</v>
      </c>
      <c r="AG395" s="49">
        <v>234</v>
      </c>
      <c r="AH395" s="49">
        <v>5</v>
      </c>
      <c r="AI395" s="49">
        <v>572</v>
      </c>
      <c r="AJ395" s="49">
        <v>0</v>
      </c>
      <c r="AK395" s="83">
        <v>0</v>
      </c>
      <c r="AL395" s="49">
        <v>1</v>
      </c>
      <c r="AM395" s="49">
        <v>0</v>
      </c>
      <c r="AN395" s="49">
        <v>0</v>
      </c>
      <c r="AO395" s="58">
        <v>0</v>
      </c>
      <c r="AP395" s="174">
        <v>911</v>
      </c>
      <c r="AQ395" s="175">
        <v>1253</v>
      </c>
      <c r="AR395" s="175">
        <v>0</v>
      </c>
      <c r="AS395" s="175">
        <v>0</v>
      </c>
      <c r="AT395" s="175">
        <v>0</v>
      </c>
      <c r="AU395" s="175">
        <v>0</v>
      </c>
      <c r="AV395" s="175">
        <v>0</v>
      </c>
      <c r="AW395" s="175">
        <v>0</v>
      </c>
      <c r="AX395" s="83">
        <v>0</v>
      </c>
      <c r="AY395" s="49">
        <v>0</v>
      </c>
      <c r="AZ395" s="49">
        <v>0</v>
      </c>
      <c r="BA395" s="49">
        <v>0</v>
      </c>
      <c r="BB395" s="58">
        <v>0</v>
      </c>
      <c r="BC395" s="42">
        <v>126</v>
      </c>
      <c r="BE395" s="49"/>
      <c r="BS395" s="58"/>
      <c r="BT395" s="83"/>
      <c r="CE395" s="83"/>
      <c r="CK395" s="58"/>
      <c r="CL395" s="83"/>
      <c r="CO395" s="58"/>
      <c r="CP395" s="83"/>
      <c r="CR395" s="58"/>
      <c r="CS395" s="83"/>
      <c r="CY395" s="83"/>
      <c r="DG395" s="58"/>
      <c r="DH395" s="83"/>
      <c r="DQ395" s="83"/>
      <c r="EE395" s="58"/>
      <c r="EF395" s="83"/>
      <c r="EI395" s="83"/>
      <c r="EK395" s="58"/>
      <c r="EL395" s="83"/>
      <c r="EO395" s="58"/>
      <c r="EP395" s="83"/>
      <c r="EQ395" s="58"/>
      <c r="ER395" s="83"/>
      <c r="ES395" s="58"/>
      <c r="ET395" s="83"/>
      <c r="EU395" s="58"/>
    </row>
    <row r="396" spans="1:151">
      <c r="A396" s="83" t="s">
        <v>325</v>
      </c>
      <c r="B396" s="173" t="s">
        <v>509</v>
      </c>
      <c r="C396" s="173" t="s">
        <v>510</v>
      </c>
      <c r="D396" s="83" t="s">
        <v>67</v>
      </c>
      <c r="F396" s="49" t="s">
        <v>286</v>
      </c>
      <c r="G396" s="49">
        <v>31.957999999999998</v>
      </c>
      <c r="I396" s="49">
        <v>1177</v>
      </c>
      <c r="J396" s="159">
        <v>1.2991169977924946</v>
      </c>
      <c r="K396" s="49">
        <v>1</v>
      </c>
      <c r="L396" s="49">
        <v>3</v>
      </c>
      <c r="M396" s="83">
        <v>1</v>
      </c>
      <c r="N396" s="49">
        <v>0</v>
      </c>
      <c r="O396" s="49">
        <v>0</v>
      </c>
      <c r="P396" s="49">
        <v>1</v>
      </c>
      <c r="Q396" s="58">
        <v>0</v>
      </c>
      <c r="R396" s="42">
        <v>2</v>
      </c>
      <c r="S396" s="83" t="s">
        <v>283</v>
      </c>
      <c r="T396" s="49">
        <v>6</v>
      </c>
      <c r="U396" s="83">
        <v>1</v>
      </c>
      <c r="V396" s="49">
        <v>4</v>
      </c>
      <c r="W396" s="49">
        <v>1</v>
      </c>
      <c r="X396" s="58">
        <v>1</v>
      </c>
      <c r="Y396" s="83">
        <v>3</v>
      </c>
      <c r="AD396" s="49">
        <v>5</v>
      </c>
      <c r="AE396" s="49">
        <v>31</v>
      </c>
      <c r="AF396" s="49">
        <v>4</v>
      </c>
      <c r="AG396" s="49">
        <v>27</v>
      </c>
      <c r="AH396" s="49">
        <v>10</v>
      </c>
      <c r="AI396" s="49">
        <v>346</v>
      </c>
      <c r="AJ396" s="49">
        <v>0</v>
      </c>
      <c r="AK396" s="83">
        <v>0</v>
      </c>
      <c r="AL396" s="49">
        <v>0</v>
      </c>
      <c r="AM396" s="49">
        <v>0</v>
      </c>
      <c r="AN396" s="49">
        <v>0</v>
      </c>
      <c r="AO396" s="58">
        <v>0</v>
      </c>
      <c r="AP396" s="174">
        <v>0</v>
      </c>
      <c r="AQ396" s="175">
        <v>0</v>
      </c>
      <c r="AR396" s="175">
        <v>0</v>
      </c>
      <c r="AS396" s="175">
        <v>0</v>
      </c>
      <c r="AT396" s="175">
        <v>0</v>
      </c>
      <c r="AU396" s="175">
        <v>0</v>
      </c>
      <c r="AV396" s="175">
        <v>0</v>
      </c>
      <c r="AW396" s="175">
        <v>0</v>
      </c>
      <c r="AX396" s="83">
        <v>0</v>
      </c>
      <c r="AY396" s="49">
        <v>0</v>
      </c>
      <c r="AZ396" s="49">
        <v>0</v>
      </c>
      <c r="BA396" s="49">
        <v>0</v>
      </c>
      <c r="BB396" s="58">
        <v>0</v>
      </c>
      <c r="BC396" s="42">
        <v>108</v>
      </c>
      <c r="BD396" s="49">
        <v>77.88</v>
      </c>
      <c r="BE396" s="49"/>
      <c r="BS396" s="58"/>
      <c r="BT396" s="83">
        <v>80.94</v>
      </c>
      <c r="CE396" s="83">
        <v>70.239999999999995</v>
      </c>
      <c r="CK396" s="58"/>
      <c r="CL396" s="83">
        <v>57.39</v>
      </c>
      <c r="CO396" s="58"/>
      <c r="CP396" s="83"/>
      <c r="CR396" s="58"/>
      <c r="CS396" s="83"/>
      <c r="CY396" s="83"/>
      <c r="DG396" s="58"/>
      <c r="DH396" s="83"/>
      <c r="DQ396" s="83">
        <v>75.77</v>
      </c>
      <c r="EE396" s="58"/>
      <c r="EF396" s="83"/>
      <c r="EI396" s="83"/>
      <c r="EK396" s="58"/>
      <c r="EL396" s="83"/>
      <c r="EO396" s="58"/>
      <c r="EP396" s="83"/>
      <c r="EQ396" s="58"/>
      <c r="ER396" s="83"/>
      <c r="ES396" s="58"/>
      <c r="ET396" s="83"/>
      <c r="EU396" s="58"/>
    </row>
    <row r="397" spans="1:151">
      <c r="A397" s="83" t="s">
        <v>325</v>
      </c>
      <c r="B397" s="173" t="s">
        <v>509</v>
      </c>
      <c r="C397" s="173" t="s">
        <v>510</v>
      </c>
      <c r="D397" s="83" t="s">
        <v>179</v>
      </c>
      <c r="F397" s="49" t="s">
        <v>286</v>
      </c>
      <c r="G397" s="49">
        <v>31.957999999999998</v>
      </c>
      <c r="I397" s="49">
        <v>2240</v>
      </c>
      <c r="J397" s="159">
        <v>1.2409972299168974</v>
      </c>
      <c r="K397" s="49">
        <v>4</v>
      </c>
      <c r="L397" s="49">
        <v>5</v>
      </c>
      <c r="M397" s="83">
        <v>1</v>
      </c>
      <c r="N397" s="49">
        <v>0</v>
      </c>
      <c r="O397" s="49">
        <v>1</v>
      </c>
      <c r="P397" s="49">
        <v>1</v>
      </c>
      <c r="Q397" s="58">
        <v>0</v>
      </c>
      <c r="R397" s="42">
        <v>3</v>
      </c>
      <c r="S397" s="83" t="s">
        <v>283</v>
      </c>
      <c r="U397" s="83">
        <v>3</v>
      </c>
      <c r="V397" s="49">
        <v>4</v>
      </c>
      <c r="W397" s="49">
        <v>3</v>
      </c>
      <c r="X397" s="58">
        <v>2</v>
      </c>
      <c r="Y397" s="83">
        <v>1</v>
      </c>
      <c r="AA397" s="49">
        <v>17</v>
      </c>
      <c r="AD397" s="49">
        <v>7</v>
      </c>
      <c r="AE397" s="49">
        <v>33</v>
      </c>
      <c r="AG397" s="49">
        <v>26</v>
      </c>
      <c r="AI397" s="49">
        <v>42</v>
      </c>
      <c r="AJ397" s="49">
        <v>1</v>
      </c>
      <c r="AK397" s="83">
        <v>0</v>
      </c>
      <c r="AL397" s="49">
        <v>0</v>
      </c>
      <c r="AM397" s="49">
        <v>1</v>
      </c>
      <c r="AN397" s="49">
        <v>0</v>
      </c>
      <c r="AO397" s="58">
        <v>0</v>
      </c>
      <c r="AP397" s="174">
        <v>0</v>
      </c>
      <c r="AQ397" s="175">
        <v>0</v>
      </c>
      <c r="AR397" s="175">
        <v>39</v>
      </c>
      <c r="AS397" s="175">
        <v>86</v>
      </c>
      <c r="AT397" s="175">
        <v>0</v>
      </c>
      <c r="AU397" s="175">
        <v>0</v>
      </c>
      <c r="AV397" s="175">
        <v>0</v>
      </c>
      <c r="AW397" s="175">
        <v>0</v>
      </c>
      <c r="AX397" s="83">
        <v>0</v>
      </c>
      <c r="AY397" s="49">
        <v>1</v>
      </c>
      <c r="AZ397" s="49">
        <v>0</v>
      </c>
      <c r="BA397" s="49">
        <v>3</v>
      </c>
      <c r="BB397" s="58">
        <v>4</v>
      </c>
      <c r="BC397" s="42">
        <v>127</v>
      </c>
      <c r="BE397" s="49"/>
      <c r="BS397" s="58"/>
      <c r="BT397" s="83"/>
      <c r="CE397" s="83"/>
      <c r="CK397" s="58"/>
      <c r="CL397" s="83"/>
      <c r="CO397" s="58"/>
      <c r="CP397" s="83"/>
      <c r="CR397" s="58"/>
      <c r="CS397" s="83"/>
      <c r="CY397" s="83"/>
      <c r="DG397" s="58"/>
      <c r="DH397" s="83"/>
      <c r="DQ397" s="83"/>
      <c r="EE397" s="58"/>
      <c r="EF397" s="83"/>
      <c r="EI397" s="83"/>
      <c r="EK397" s="58"/>
      <c r="EL397" s="83"/>
      <c r="EO397" s="58"/>
      <c r="EP397" s="83"/>
      <c r="EQ397" s="58"/>
      <c r="ER397" s="83"/>
      <c r="ES397" s="58"/>
      <c r="ET397" s="83"/>
      <c r="EU397" s="58"/>
    </row>
    <row r="398" spans="1:151">
      <c r="A398" s="83" t="s">
        <v>325</v>
      </c>
      <c r="B398" s="173" t="s">
        <v>509</v>
      </c>
      <c r="C398" s="173" t="s">
        <v>510</v>
      </c>
      <c r="D398" s="83" t="s">
        <v>69</v>
      </c>
      <c r="F398" s="49" t="s">
        <v>286</v>
      </c>
      <c r="G398" s="49">
        <v>31.957999999999998</v>
      </c>
      <c r="I398" s="49">
        <v>2861</v>
      </c>
      <c r="J398" s="159">
        <v>2.3547325102880658</v>
      </c>
      <c r="K398" s="49">
        <v>4</v>
      </c>
      <c r="L398" s="49">
        <v>4</v>
      </c>
      <c r="M398" s="83">
        <v>0</v>
      </c>
      <c r="N398" s="49">
        <v>0</v>
      </c>
      <c r="O398" s="49">
        <v>1</v>
      </c>
      <c r="P398" s="49">
        <v>1</v>
      </c>
      <c r="Q398" s="58">
        <v>0</v>
      </c>
      <c r="R398" s="42">
        <v>2</v>
      </c>
      <c r="S398" s="83" t="s">
        <v>284</v>
      </c>
      <c r="T398" s="49">
        <v>0</v>
      </c>
      <c r="U398" s="83">
        <v>1</v>
      </c>
      <c r="V398" s="49">
        <v>4</v>
      </c>
      <c r="W398" s="49">
        <v>2</v>
      </c>
      <c r="X398" s="58"/>
      <c r="Y398" s="83">
        <v>1</v>
      </c>
      <c r="AA398" s="49">
        <v>19</v>
      </c>
      <c r="AD398" s="49">
        <v>6</v>
      </c>
      <c r="AE398" s="49">
        <v>93</v>
      </c>
      <c r="AH398" s="49">
        <v>11</v>
      </c>
      <c r="AI398" s="49">
        <v>106</v>
      </c>
      <c r="AJ398" s="49">
        <v>0</v>
      </c>
      <c r="AK398" s="83">
        <v>0</v>
      </c>
      <c r="AL398" s="49">
        <v>0</v>
      </c>
      <c r="AM398" s="49">
        <v>1</v>
      </c>
      <c r="AN398" s="49">
        <v>0</v>
      </c>
      <c r="AO398" s="58">
        <v>0</v>
      </c>
      <c r="AP398" s="174">
        <v>0</v>
      </c>
      <c r="AQ398" s="175">
        <v>0</v>
      </c>
      <c r="AR398" s="175">
        <v>34</v>
      </c>
      <c r="AS398" s="175">
        <v>226</v>
      </c>
      <c r="AT398" s="175">
        <v>0</v>
      </c>
      <c r="AU398" s="175">
        <v>0</v>
      </c>
      <c r="AV398" s="175">
        <v>0</v>
      </c>
      <c r="AW398" s="175">
        <v>0</v>
      </c>
      <c r="AX398" s="83">
        <v>0</v>
      </c>
      <c r="AY398" s="49">
        <v>1</v>
      </c>
      <c r="AZ398" s="49">
        <v>0</v>
      </c>
      <c r="BA398" s="49">
        <v>0</v>
      </c>
      <c r="BB398" s="58">
        <v>1</v>
      </c>
      <c r="BC398" s="42">
        <v>120</v>
      </c>
      <c r="BD398" s="49">
        <v>74.64</v>
      </c>
      <c r="BE398" s="49"/>
      <c r="BS398" s="58"/>
      <c r="BT398" s="83">
        <v>79.069999999999993</v>
      </c>
      <c r="CE398" s="83">
        <v>68.36</v>
      </c>
      <c r="CF398" s="49">
        <v>69.75</v>
      </c>
      <c r="CG398" s="49">
        <v>68.77</v>
      </c>
      <c r="CK398" s="58"/>
      <c r="CL398" s="83"/>
      <c r="CO398" s="58"/>
      <c r="CP398" s="83"/>
      <c r="CR398" s="58"/>
      <c r="CS398" s="83"/>
      <c r="CY398" s="83"/>
      <c r="DG398" s="58"/>
      <c r="DH398" s="83"/>
      <c r="DQ398" s="83"/>
      <c r="EE398" s="58"/>
      <c r="EF398" s="83"/>
      <c r="EI398" s="83"/>
      <c r="EK398" s="58"/>
      <c r="EL398" s="83"/>
      <c r="EO398" s="58"/>
      <c r="EP398" s="83"/>
      <c r="EQ398" s="58"/>
      <c r="ER398" s="83"/>
      <c r="ES398" s="58"/>
      <c r="ET398" s="83"/>
      <c r="EU398" s="58"/>
    </row>
    <row r="399" spans="1:151">
      <c r="A399" s="83" t="s">
        <v>325</v>
      </c>
      <c r="B399" s="173" t="s">
        <v>509</v>
      </c>
      <c r="C399" s="173" t="s">
        <v>510</v>
      </c>
      <c r="D399" s="83" t="s">
        <v>76</v>
      </c>
      <c r="F399" s="49" t="s">
        <v>286</v>
      </c>
      <c r="G399" s="49">
        <v>31.957999999999998</v>
      </c>
      <c r="I399" s="49">
        <v>7200</v>
      </c>
      <c r="J399" s="159">
        <v>1.7098076466397529</v>
      </c>
      <c r="K399" s="49">
        <v>4</v>
      </c>
      <c r="L399" s="49">
        <v>3</v>
      </c>
      <c r="M399" s="83">
        <v>1</v>
      </c>
      <c r="N399" s="49">
        <v>1</v>
      </c>
      <c r="O399" s="49">
        <v>0</v>
      </c>
      <c r="P399" s="49">
        <v>0</v>
      </c>
      <c r="Q399" s="58">
        <v>0</v>
      </c>
      <c r="R399" s="42">
        <v>2</v>
      </c>
      <c r="S399" s="83">
        <v>1</v>
      </c>
      <c r="U399" s="83">
        <v>1</v>
      </c>
      <c r="V399" s="49">
        <v>3</v>
      </c>
      <c r="W399" s="49">
        <v>2</v>
      </c>
      <c r="X399" s="58"/>
      <c r="Y399" s="83">
        <v>1</v>
      </c>
      <c r="Z399" s="49">
        <v>4</v>
      </c>
      <c r="AA399" s="49">
        <v>22</v>
      </c>
      <c r="AD399" s="49">
        <v>10</v>
      </c>
      <c r="AE399" s="49">
        <v>366</v>
      </c>
      <c r="AF399" s="49">
        <v>11</v>
      </c>
      <c r="AG399" s="49">
        <v>339</v>
      </c>
      <c r="AH399" s="49">
        <v>27</v>
      </c>
      <c r="AI399" s="49">
        <v>1420</v>
      </c>
      <c r="AJ399" s="49">
        <v>0</v>
      </c>
      <c r="AK399" s="83">
        <v>0</v>
      </c>
      <c r="AL399" s="49">
        <v>1</v>
      </c>
      <c r="AM399" s="49">
        <v>1</v>
      </c>
      <c r="AN399" s="49">
        <v>0</v>
      </c>
      <c r="AO399" s="58">
        <v>0</v>
      </c>
      <c r="AP399" s="174">
        <v>412</v>
      </c>
      <c r="AQ399" s="175">
        <v>3546</v>
      </c>
      <c r="AR399" s="175">
        <v>0</v>
      </c>
      <c r="AS399" s="175">
        <v>420</v>
      </c>
      <c r="AT399" s="175">
        <v>0</v>
      </c>
      <c r="AU399" s="175">
        <v>0</v>
      </c>
      <c r="AV399" s="175">
        <v>0</v>
      </c>
      <c r="AW399" s="175">
        <v>0</v>
      </c>
      <c r="AX399" s="83">
        <v>0</v>
      </c>
      <c r="AY399" s="49">
        <v>0</v>
      </c>
      <c r="AZ399" s="49">
        <v>0</v>
      </c>
      <c r="BA399" s="49">
        <v>0</v>
      </c>
      <c r="BB399" s="58">
        <v>0</v>
      </c>
      <c r="BC399" s="42">
        <v>125</v>
      </c>
      <c r="BE399" s="49"/>
      <c r="BS399" s="58"/>
      <c r="BT399" s="83"/>
      <c r="CE399" s="83"/>
      <c r="CK399" s="58"/>
      <c r="CL399" s="83"/>
      <c r="CO399" s="58"/>
      <c r="CP399" s="83"/>
      <c r="CR399" s="58"/>
      <c r="CS399" s="83"/>
      <c r="CY399" s="83">
        <v>80.180000000000007</v>
      </c>
      <c r="CZ399" s="49">
        <v>80.94</v>
      </c>
      <c r="DA399" s="49">
        <v>80.36</v>
      </c>
      <c r="DB399" s="49">
        <v>75.52</v>
      </c>
      <c r="DG399" s="58"/>
      <c r="DH399" s="83"/>
      <c r="DQ399" s="83"/>
      <c r="EE399" s="58"/>
      <c r="EF399" s="83"/>
      <c r="EI399" s="83"/>
      <c r="EK399" s="58"/>
      <c r="EL399" s="83">
        <v>77.680000000000007</v>
      </c>
      <c r="EO399" s="58"/>
      <c r="EP399" s="83">
        <v>66.87</v>
      </c>
      <c r="EQ399" s="58"/>
      <c r="ER399" s="83"/>
      <c r="ES399" s="58"/>
      <c r="ET399" s="83"/>
      <c r="EU399" s="58"/>
    </row>
    <row r="400" spans="1:151">
      <c r="A400" s="83" t="s">
        <v>325</v>
      </c>
      <c r="B400" s="173" t="s">
        <v>509</v>
      </c>
      <c r="C400" s="173" t="s">
        <v>510</v>
      </c>
      <c r="D400" s="83" t="s">
        <v>75</v>
      </c>
      <c r="F400" s="49" t="s">
        <v>286</v>
      </c>
      <c r="G400" s="49">
        <v>31.957999999999998</v>
      </c>
      <c r="I400" s="49">
        <v>4913</v>
      </c>
      <c r="J400" s="159">
        <v>3.0591531755915318</v>
      </c>
      <c r="K400" s="49">
        <v>4</v>
      </c>
      <c r="L400" s="49">
        <v>3</v>
      </c>
      <c r="M400" s="83">
        <v>1</v>
      </c>
      <c r="N400" s="49">
        <v>3</v>
      </c>
      <c r="O400" s="49">
        <v>0</v>
      </c>
      <c r="P400" s="49">
        <v>1</v>
      </c>
      <c r="Q400" s="58">
        <v>0</v>
      </c>
      <c r="R400" s="42">
        <v>5</v>
      </c>
      <c r="S400" s="83" t="s">
        <v>283</v>
      </c>
      <c r="T400" s="49">
        <v>26</v>
      </c>
      <c r="U400" s="83">
        <v>2</v>
      </c>
      <c r="V400" s="49">
        <v>3</v>
      </c>
      <c r="W400" s="49">
        <v>3</v>
      </c>
      <c r="X400" s="58">
        <v>2</v>
      </c>
      <c r="Y400" s="83">
        <v>7</v>
      </c>
      <c r="Z400" s="49">
        <v>7</v>
      </c>
      <c r="AA400" s="49">
        <v>92</v>
      </c>
      <c r="AD400" s="49">
        <v>10</v>
      </c>
      <c r="AE400" s="49">
        <v>124</v>
      </c>
      <c r="AF400" s="49">
        <v>6</v>
      </c>
      <c r="AG400" s="49">
        <v>206</v>
      </c>
      <c r="AH400" s="49">
        <v>19</v>
      </c>
      <c r="AI400" s="49">
        <v>599</v>
      </c>
      <c r="AJ400" s="49">
        <v>1</v>
      </c>
      <c r="AK400" s="83">
        <v>0</v>
      </c>
      <c r="AL400" s="49">
        <v>1</v>
      </c>
      <c r="AM400" s="49">
        <v>1</v>
      </c>
      <c r="AN400" s="49">
        <v>0</v>
      </c>
      <c r="AO400" s="58">
        <v>0</v>
      </c>
      <c r="AP400" s="174">
        <v>385</v>
      </c>
      <c r="AQ400" s="175">
        <v>889</v>
      </c>
      <c r="AR400" s="175">
        <v>31</v>
      </c>
      <c r="AS400" s="175">
        <v>147</v>
      </c>
      <c r="AT400" s="175">
        <v>0</v>
      </c>
      <c r="AU400" s="175">
        <v>0</v>
      </c>
      <c r="AV400" s="175">
        <v>0</v>
      </c>
      <c r="AW400" s="175">
        <v>0</v>
      </c>
      <c r="AX400" s="83">
        <v>0</v>
      </c>
      <c r="AY400" s="49">
        <v>0</v>
      </c>
      <c r="AZ400" s="49">
        <v>0</v>
      </c>
      <c r="BA400" s="49">
        <v>0</v>
      </c>
      <c r="BB400" s="58">
        <v>0</v>
      </c>
      <c r="BC400" s="42">
        <v>128</v>
      </c>
      <c r="BE400" s="49"/>
      <c r="BS400" s="58"/>
      <c r="BT400" s="83">
        <v>79.52</v>
      </c>
      <c r="CE400" s="83"/>
      <c r="CK400" s="58"/>
      <c r="CL400" s="83">
        <v>72.260000000000005</v>
      </c>
      <c r="CO400" s="58"/>
      <c r="CP400" s="83"/>
      <c r="CR400" s="58"/>
      <c r="CS400" s="83"/>
      <c r="CY400" s="83">
        <v>78.239999999999995</v>
      </c>
      <c r="CZ400" s="49">
        <v>76.66</v>
      </c>
      <c r="DA400" s="49">
        <v>79.73</v>
      </c>
      <c r="DB400" s="49">
        <v>76.14</v>
      </c>
      <c r="DG400" s="58"/>
      <c r="DH400" s="83"/>
      <c r="DQ400" s="83"/>
      <c r="EE400" s="58"/>
      <c r="EF400" s="83"/>
      <c r="EI400" s="83"/>
      <c r="EK400" s="58"/>
      <c r="EL400" s="83"/>
      <c r="EO400" s="58"/>
      <c r="EP400" s="83"/>
      <c r="EQ400" s="58"/>
      <c r="ER400" s="83"/>
      <c r="ES400" s="58"/>
      <c r="ET400" s="83"/>
      <c r="EU400" s="58"/>
    </row>
    <row r="401" spans="1:151">
      <c r="A401" s="83" t="s">
        <v>325</v>
      </c>
      <c r="B401" s="173" t="s">
        <v>509</v>
      </c>
      <c r="C401" s="173" t="s">
        <v>510</v>
      </c>
      <c r="D401" s="83" t="s">
        <v>180</v>
      </c>
      <c r="F401" s="49" t="s">
        <v>286</v>
      </c>
      <c r="G401" s="49">
        <v>31.957999999999998</v>
      </c>
      <c r="I401" s="49">
        <v>7508</v>
      </c>
      <c r="J401" s="159">
        <v>2.0424374319912948</v>
      </c>
      <c r="K401" s="49">
        <v>4</v>
      </c>
      <c r="L401" s="49">
        <v>3</v>
      </c>
      <c r="M401" s="83">
        <v>0</v>
      </c>
      <c r="N401" s="49">
        <v>0</v>
      </c>
      <c r="O401" s="49">
        <v>0</v>
      </c>
      <c r="P401" s="49">
        <v>0</v>
      </c>
      <c r="Q401" s="58">
        <v>0</v>
      </c>
      <c r="R401" s="42">
        <v>0</v>
      </c>
      <c r="S401" s="83">
        <v>1</v>
      </c>
      <c r="U401" s="83">
        <v>1</v>
      </c>
      <c r="V401" s="49">
        <v>3</v>
      </c>
      <c r="W401" s="49">
        <v>2</v>
      </c>
      <c r="X401" s="58"/>
      <c r="Y401" s="83">
        <v>1</v>
      </c>
      <c r="Z401" s="49">
        <v>17</v>
      </c>
      <c r="AA401" s="49">
        <v>37</v>
      </c>
      <c r="AB401" s="49">
        <v>0</v>
      </c>
      <c r="AC401" s="49">
        <v>0</v>
      </c>
      <c r="AD401" s="49">
        <v>16</v>
      </c>
      <c r="AE401" s="49">
        <v>209</v>
      </c>
      <c r="AF401" s="49">
        <v>18</v>
      </c>
      <c r="AG401" s="49">
        <v>107</v>
      </c>
      <c r="AH401" s="49">
        <v>14</v>
      </c>
      <c r="AI401" s="49">
        <v>177</v>
      </c>
      <c r="AJ401" s="49">
        <v>0</v>
      </c>
      <c r="AK401" s="83">
        <v>0</v>
      </c>
      <c r="AL401" s="49">
        <v>1</v>
      </c>
      <c r="AM401" s="49">
        <v>0</v>
      </c>
      <c r="AN401" s="49">
        <v>0</v>
      </c>
      <c r="AO401" s="58">
        <v>0</v>
      </c>
      <c r="AP401" s="174">
        <v>0</v>
      </c>
      <c r="AQ401" s="175">
        <v>3818</v>
      </c>
      <c r="AR401" s="175">
        <v>0</v>
      </c>
      <c r="AS401" s="175">
        <v>0</v>
      </c>
      <c r="AT401" s="175">
        <v>0</v>
      </c>
      <c r="AU401" s="175">
        <v>0</v>
      </c>
      <c r="AV401" s="175">
        <v>0</v>
      </c>
      <c r="AW401" s="175">
        <v>0</v>
      </c>
      <c r="AX401" s="83">
        <v>0</v>
      </c>
      <c r="AY401" s="49">
        <v>0</v>
      </c>
      <c r="AZ401" s="49">
        <v>0</v>
      </c>
      <c r="BA401" s="49">
        <v>0</v>
      </c>
      <c r="BB401" s="58">
        <v>0</v>
      </c>
      <c r="BC401" s="42">
        <v>141</v>
      </c>
      <c r="BD401" s="49">
        <v>76.849999999999994</v>
      </c>
      <c r="BE401" s="49"/>
      <c r="BS401" s="58"/>
      <c r="BT401" s="83">
        <v>77.459999999999994</v>
      </c>
      <c r="CE401" s="83"/>
      <c r="CK401" s="58"/>
      <c r="CL401" s="83">
        <v>69.680000000000007</v>
      </c>
      <c r="CO401" s="58"/>
      <c r="CP401" s="83"/>
      <c r="CR401" s="58"/>
      <c r="CS401" s="83"/>
      <c r="CY401" s="83"/>
      <c r="DG401" s="58"/>
      <c r="DH401" s="83"/>
      <c r="DQ401" s="83"/>
      <c r="EE401" s="58"/>
      <c r="EF401" s="83"/>
      <c r="EI401" s="83"/>
      <c r="EK401" s="58"/>
      <c r="EL401" s="83"/>
      <c r="EO401" s="58"/>
      <c r="EP401" s="83"/>
      <c r="EQ401" s="58"/>
      <c r="ER401" s="83"/>
      <c r="ES401" s="58"/>
      <c r="ET401" s="83"/>
      <c r="EU401" s="58"/>
    </row>
    <row r="402" spans="1:151">
      <c r="A402" s="83" t="s">
        <v>325</v>
      </c>
      <c r="B402" s="173" t="s">
        <v>509</v>
      </c>
      <c r="C402" s="173" t="s">
        <v>510</v>
      </c>
      <c r="D402" s="83" t="s">
        <v>87</v>
      </c>
      <c r="F402" s="49" t="s">
        <v>286</v>
      </c>
      <c r="G402" s="49">
        <v>31.957999999999998</v>
      </c>
      <c r="I402" s="49">
        <v>5041</v>
      </c>
      <c r="J402" s="159">
        <v>3.9413604378420639</v>
      </c>
      <c r="K402" s="49">
        <v>1</v>
      </c>
      <c r="L402" s="49">
        <v>2</v>
      </c>
      <c r="M402" s="83">
        <v>1</v>
      </c>
      <c r="N402" s="49">
        <v>0</v>
      </c>
      <c r="O402" s="49">
        <v>0</v>
      </c>
      <c r="P402" s="49">
        <v>0</v>
      </c>
      <c r="Q402" s="58">
        <v>0</v>
      </c>
      <c r="R402" s="42">
        <v>1</v>
      </c>
      <c r="S402" s="83">
        <v>1</v>
      </c>
      <c r="U402" s="83">
        <v>2</v>
      </c>
      <c r="V402" s="49">
        <v>2</v>
      </c>
      <c r="W402" s="49">
        <v>3</v>
      </c>
      <c r="X402" s="58">
        <v>2</v>
      </c>
      <c r="Y402" s="83">
        <v>6</v>
      </c>
      <c r="AA402" s="49">
        <v>17</v>
      </c>
      <c r="AD402" s="49">
        <v>15</v>
      </c>
      <c r="AE402" s="49">
        <v>100</v>
      </c>
      <c r="AF402" s="49">
        <v>17</v>
      </c>
      <c r="AG402" s="49">
        <v>103</v>
      </c>
      <c r="AH402" s="49">
        <v>17</v>
      </c>
      <c r="AI402" s="49">
        <v>613</v>
      </c>
      <c r="AJ402" s="49">
        <v>0</v>
      </c>
      <c r="AK402" s="83">
        <v>0</v>
      </c>
      <c r="AL402" s="49">
        <v>1</v>
      </c>
      <c r="AM402" s="49">
        <v>0</v>
      </c>
      <c r="AN402" s="49">
        <v>0</v>
      </c>
      <c r="AO402" s="58">
        <v>0</v>
      </c>
      <c r="AP402" s="174">
        <v>820</v>
      </c>
      <c r="AQ402" s="175">
        <v>1845</v>
      </c>
      <c r="AR402" s="175">
        <v>0</v>
      </c>
      <c r="AS402" s="175">
        <v>0</v>
      </c>
      <c r="AT402" s="175">
        <v>0</v>
      </c>
      <c r="AU402" s="175">
        <v>0</v>
      </c>
      <c r="AV402" s="175">
        <v>0</v>
      </c>
      <c r="AW402" s="175">
        <v>0</v>
      </c>
      <c r="AX402" s="83">
        <v>0</v>
      </c>
      <c r="AY402" s="49">
        <v>0</v>
      </c>
      <c r="AZ402" s="49">
        <v>0</v>
      </c>
      <c r="BA402" s="49">
        <v>0</v>
      </c>
      <c r="BB402" s="58">
        <v>0</v>
      </c>
      <c r="BC402" s="42">
        <v>120</v>
      </c>
      <c r="BE402" s="49"/>
      <c r="BS402" s="58"/>
      <c r="BT402" s="83"/>
      <c r="CE402" s="83"/>
      <c r="CK402" s="58"/>
      <c r="CL402" s="83"/>
      <c r="CO402" s="58"/>
      <c r="CP402" s="83"/>
      <c r="CR402" s="58"/>
      <c r="CS402" s="83"/>
      <c r="CY402" s="83"/>
      <c r="DG402" s="58"/>
      <c r="DH402" s="83"/>
      <c r="DQ402" s="83"/>
      <c r="EE402" s="58"/>
      <c r="EF402" s="83"/>
      <c r="EI402" s="83"/>
      <c r="EK402" s="58"/>
      <c r="EL402" s="83"/>
      <c r="EO402" s="58"/>
      <c r="EP402" s="83"/>
      <c r="EQ402" s="58"/>
      <c r="ER402" s="83"/>
      <c r="ES402" s="58"/>
      <c r="ET402" s="83"/>
      <c r="EU402" s="58"/>
    </row>
    <row r="403" spans="1:151">
      <c r="A403" s="83" t="s">
        <v>325</v>
      </c>
      <c r="B403" s="173" t="s">
        <v>509</v>
      </c>
      <c r="C403" s="173" t="s">
        <v>510</v>
      </c>
      <c r="D403" s="83" t="s">
        <v>88</v>
      </c>
      <c r="F403" s="49" t="s">
        <v>286</v>
      </c>
      <c r="G403" s="49">
        <v>31.957999999999998</v>
      </c>
      <c r="I403" s="49">
        <v>4098</v>
      </c>
      <c r="J403" s="159">
        <v>1.7663793103448275</v>
      </c>
      <c r="K403" s="49">
        <v>4</v>
      </c>
      <c r="L403" s="49">
        <v>4</v>
      </c>
      <c r="M403" s="83">
        <v>0</v>
      </c>
      <c r="N403" s="49">
        <v>4</v>
      </c>
      <c r="O403" s="49">
        <v>0</v>
      </c>
      <c r="P403" s="49">
        <v>1</v>
      </c>
      <c r="Q403" s="58">
        <v>0</v>
      </c>
      <c r="R403" s="42">
        <v>5</v>
      </c>
      <c r="S403" s="83" t="s">
        <v>283</v>
      </c>
      <c r="T403" s="49">
        <v>28</v>
      </c>
      <c r="U403" s="83">
        <v>1</v>
      </c>
      <c r="V403" s="49">
        <v>5</v>
      </c>
      <c r="W403" s="49">
        <v>2</v>
      </c>
      <c r="X403" s="58"/>
      <c r="Y403" s="83">
        <v>1</v>
      </c>
      <c r="Z403" s="49">
        <v>4</v>
      </c>
      <c r="AA403" s="49">
        <v>13</v>
      </c>
      <c r="AD403" s="49">
        <v>9</v>
      </c>
      <c r="AE403" s="49">
        <v>42</v>
      </c>
      <c r="AF403" s="49">
        <v>8</v>
      </c>
      <c r="AG403" s="49">
        <v>13</v>
      </c>
      <c r="AH403" s="49">
        <v>8</v>
      </c>
      <c r="AI403" s="49">
        <v>156</v>
      </c>
      <c r="AJ403" s="49">
        <v>0</v>
      </c>
      <c r="AK403" s="83">
        <v>0</v>
      </c>
      <c r="AL403" s="49">
        <v>0</v>
      </c>
      <c r="AM403" s="49">
        <v>0</v>
      </c>
      <c r="AN403" s="49">
        <v>0</v>
      </c>
      <c r="AO403" s="58">
        <v>0</v>
      </c>
      <c r="AP403" s="174">
        <v>0</v>
      </c>
      <c r="AQ403" s="175">
        <v>0</v>
      </c>
      <c r="AR403" s="175">
        <v>0</v>
      </c>
      <c r="AS403" s="175">
        <v>0</v>
      </c>
      <c r="AT403" s="175">
        <v>0</v>
      </c>
      <c r="AU403" s="175">
        <v>0</v>
      </c>
      <c r="AV403" s="175">
        <v>0</v>
      </c>
      <c r="AW403" s="175">
        <v>0</v>
      </c>
      <c r="AX403" s="83">
        <v>0</v>
      </c>
      <c r="AY403" s="49">
        <v>0</v>
      </c>
      <c r="AZ403" s="49">
        <v>0</v>
      </c>
      <c r="BA403" s="49">
        <v>0</v>
      </c>
      <c r="BB403" s="58">
        <v>0</v>
      </c>
      <c r="BC403" s="42">
        <v>130</v>
      </c>
      <c r="BE403" s="49"/>
      <c r="BS403" s="58"/>
      <c r="BT403" s="83"/>
      <c r="CE403" s="83"/>
      <c r="CK403" s="58"/>
      <c r="CL403" s="83"/>
      <c r="CO403" s="58"/>
      <c r="CP403" s="83"/>
      <c r="CR403" s="58"/>
      <c r="CS403" s="83"/>
      <c r="CY403" s="83"/>
      <c r="DG403" s="58"/>
      <c r="DH403" s="83"/>
      <c r="DQ403" s="83"/>
      <c r="EE403" s="58"/>
      <c r="EF403" s="83"/>
      <c r="EI403" s="83"/>
      <c r="EK403" s="58"/>
      <c r="EL403" s="83"/>
      <c r="EO403" s="58"/>
      <c r="EP403" s="83"/>
      <c r="EQ403" s="58"/>
      <c r="ER403" s="83"/>
      <c r="ES403" s="58"/>
      <c r="ET403" s="83"/>
      <c r="EU403" s="58"/>
    </row>
    <row r="404" spans="1:151">
      <c r="A404" s="83" t="s">
        <v>325</v>
      </c>
      <c r="B404" s="173" t="s">
        <v>509</v>
      </c>
      <c r="C404" s="173" t="s">
        <v>510</v>
      </c>
      <c r="D404" s="83" t="s">
        <v>92</v>
      </c>
      <c r="F404" s="49" t="s">
        <v>286</v>
      </c>
      <c r="G404" s="49">
        <v>31.957999999999998</v>
      </c>
      <c r="I404" s="49">
        <v>4133</v>
      </c>
      <c r="J404" s="159">
        <v>3.5506872852233675</v>
      </c>
      <c r="K404" s="49">
        <v>4</v>
      </c>
      <c r="L404" s="49">
        <v>3</v>
      </c>
      <c r="M404" s="83">
        <v>0</v>
      </c>
      <c r="N404" s="49">
        <v>4</v>
      </c>
      <c r="O404" s="49">
        <v>0</v>
      </c>
      <c r="P404" s="49">
        <v>0</v>
      </c>
      <c r="Q404" s="58">
        <v>0</v>
      </c>
      <c r="R404" s="42">
        <v>4</v>
      </c>
      <c r="S404" s="83">
        <v>1</v>
      </c>
      <c r="U404" s="83">
        <v>1</v>
      </c>
      <c r="V404" s="49">
        <v>4</v>
      </c>
      <c r="W404" s="49">
        <v>2</v>
      </c>
      <c r="X404" s="58"/>
      <c r="Y404" s="83">
        <v>1</v>
      </c>
      <c r="AE404" s="49">
        <v>24</v>
      </c>
      <c r="AF404" s="49">
        <v>13</v>
      </c>
      <c r="AG404" s="49">
        <v>64</v>
      </c>
      <c r="AJ404" s="49">
        <v>0</v>
      </c>
      <c r="AK404" s="83">
        <v>0</v>
      </c>
      <c r="AL404" s="49">
        <v>1</v>
      </c>
      <c r="AM404" s="49">
        <v>0</v>
      </c>
      <c r="AN404" s="49">
        <v>0</v>
      </c>
      <c r="AO404" s="58">
        <v>0</v>
      </c>
      <c r="AP404" s="174">
        <v>1899</v>
      </c>
      <c r="AQ404" s="175">
        <v>2489</v>
      </c>
      <c r="AR404" s="175">
        <v>0</v>
      </c>
      <c r="AS404" s="175">
        <v>0</v>
      </c>
      <c r="AT404" s="175">
        <v>0</v>
      </c>
      <c r="AU404" s="175">
        <v>0</v>
      </c>
      <c r="AV404" s="175">
        <v>0</v>
      </c>
      <c r="AW404" s="175">
        <v>0</v>
      </c>
      <c r="AX404" s="83">
        <v>0</v>
      </c>
      <c r="AY404" s="49">
        <v>0</v>
      </c>
      <c r="AZ404" s="49">
        <v>0</v>
      </c>
      <c r="BA404" s="49">
        <v>0</v>
      </c>
      <c r="BB404" s="58">
        <v>0</v>
      </c>
      <c r="BC404" s="42">
        <v>122</v>
      </c>
      <c r="BE404" s="49"/>
      <c r="BS404" s="58"/>
      <c r="BT404" s="83"/>
      <c r="CE404" s="83"/>
      <c r="CK404" s="58"/>
      <c r="CL404" s="83"/>
      <c r="CO404" s="58"/>
      <c r="CP404" s="83"/>
      <c r="CR404" s="58"/>
      <c r="CS404" s="83"/>
      <c r="CY404" s="83"/>
      <c r="DG404" s="58"/>
      <c r="DH404" s="83"/>
      <c r="DQ404" s="83"/>
      <c r="EE404" s="58"/>
      <c r="EF404" s="83"/>
      <c r="EI404" s="83"/>
      <c r="EK404" s="58"/>
      <c r="EL404" s="83"/>
      <c r="EO404" s="58"/>
      <c r="EP404" s="83"/>
      <c r="EQ404" s="58"/>
      <c r="ER404" s="83"/>
      <c r="ES404" s="58"/>
      <c r="ET404" s="83"/>
      <c r="EU404" s="58"/>
    </row>
    <row r="405" spans="1:151">
      <c r="A405" s="83" t="s">
        <v>325</v>
      </c>
      <c r="B405" s="173" t="s">
        <v>509</v>
      </c>
      <c r="C405" s="173" t="s">
        <v>510</v>
      </c>
      <c r="D405" s="83" t="s">
        <v>93</v>
      </c>
      <c r="F405" s="49" t="s">
        <v>286</v>
      </c>
      <c r="G405" s="49">
        <v>31.957999999999998</v>
      </c>
      <c r="I405" s="49">
        <v>3908</v>
      </c>
      <c r="J405" s="159">
        <v>1.4179970972423803</v>
      </c>
      <c r="K405" s="49">
        <v>1</v>
      </c>
      <c r="L405" s="49">
        <v>2</v>
      </c>
      <c r="M405" s="83">
        <v>1</v>
      </c>
      <c r="N405" s="49">
        <v>0</v>
      </c>
      <c r="O405" s="49">
        <v>1</v>
      </c>
      <c r="P405" s="49">
        <v>1</v>
      </c>
      <c r="Q405" s="58">
        <v>0</v>
      </c>
      <c r="R405" s="42">
        <v>3</v>
      </c>
      <c r="S405" s="83">
        <v>1</v>
      </c>
      <c r="U405" s="83">
        <v>3</v>
      </c>
      <c r="V405" s="49">
        <v>2</v>
      </c>
      <c r="W405" s="49">
        <v>3</v>
      </c>
      <c r="X405" s="58">
        <v>3</v>
      </c>
      <c r="Y405" s="83">
        <v>1</v>
      </c>
      <c r="Z405" s="49">
        <v>11</v>
      </c>
      <c r="AA405" s="49">
        <v>47</v>
      </c>
      <c r="AD405" s="49">
        <v>14</v>
      </c>
      <c r="AE405" s="49">
        <v>45</v>
      </c>
      <c r="AH405" s="49">
        <v>21</v>
      </c>
      <c r="AI405" s="49">
        <v>301</v>
      </c>
      <c r="AJ405" s="49">
        <v>0</v>
      </c>
      <c r="AK405" s="83">
        <v>0</v>
      </c>
      <c r="AL405" s="49">
        <v>1</v>
      </c>
      <c r="AM405" s="49">
        <v>1</v>
      </c>
      <c r="AN405" s="49">
        <v>0</v>
      </c>
      <c r="AO405" s="58">
        <v>0</v>
      </c>
      <c r="AP405" s="174">
        <v>286</v>
      </c>
      <c r="AQ405" s="175">
        <v>1918</v>
      </c>
      <c r="AR405" s="175">
        <v>40</v>
      </c>
      <c r="AS405" s="175">
        <v>82</v>
      </c>
      <c r="AT405" s="175">
        <v>0</v>
      </c>
      <c r="AU405" s="175">
        <v>0</v>
      </c>
      <c r="AV405" s="175">
        <v>0</v>
      </c>
      <c r="AW405" s="175">
        <v>0</v>
      </c>
      <c r="AX405" s="83">
        <v>0</v>
      </c>
      <c r="AY405" s="49">
        <v>1</v>
      </c>
      <c r="AZ405" s="49">
        <v>0</v>
      </c>
      <c r="BA405" s="49">
        <v>0</v>
      </c>
      <c r="BB405" s="58">
        <v>20</v>
      </c>
      <c r="BC405" s="42">
        <v>143</v>
      </c>
      <c r="BD405" s="49">
        <v>78.13</v>
      </c>
      <c r="BE405" s="49"/>
      <c r="BS405" s="58"/>
      <c r="BT405" s="83">
        <v>74.680000000000007</v>
      </c>
      <c r="BU405" s="49">
        <v>78.17</v>
      </c>
      <c r="BV405" s="49">
        <v>78.11</v>
      </c>
      <c r="CE405" s="83">
        <v>70.22</v>
      </c>
      <c r="CK405" s="58"/>
      <c r="CL405" s="83">
        <v>66.61</v>
      </c>
      <c r="CO405" s="58"/>
      <c r="CP405" s="83"/>
      <c r="CR405" s="58"/>
      <c r="CS405" s="83"/>
      <c r="CY405" s="83"/>
      <c r="DG405" s="58"/>
      <c r="DH405" s="83"/>
      <c r="DQ405" s="83"/>
      <c r="EE405" s="58"/>
      <c r="EF405" s="83"/>
      <c r="EI405" s="83"/>
      <c r="EK405" s="58"/>
      <c r="EL405" s="83"/>
      <c r="EO405" s="58"/>
      <c r="EP405" s="83"/>
      <c r="EQ405" s="58"/>
      <c r="ER405" s="83"/>
      <c r="ES405" s="58"/>
      <c r="ET405" s="83"/>
      <c r="EU405" s="58"/>
    </row>
    <row r="406" spans="1:151">
      <c r="A406" s="83" t="s">
        <v>325</v>
      </c>
      <c r="B406" s="173" t="s">
        <v>509</v>
      </c>
      <c r="C406" s="173" t="s">
        <v>510</v>
      </c>
      <c r="D406" s="83" t="s">
        <v>112</v>
      </c>
      <c r="F406" s="49" t="s">
        <v>286</v>
      </c>
      <c r="G406" s="49">
        <v>31.957999999999998</v>
      </c>
      <c r="I406" s="49">
        <v>3688</v>
      </c>
      <c r="J406" s="159">
        <v>1.1981806367771279</v>
      </c>
      <c r="K406" s="49">
        <v>1</v>
      </c>
      <c r="L406" s="49">
        <v>3</v>
      </c>
      <c r="M406" s="83">
        <v>0</v>
      </c>
      <c r="N406" s="49">
        <v>3</v>
      </c>
      <c r="O406" s="49">
        <v>1</v>
      </c>
      <c r="P406" s="49">
        <v>0</v>
      </c>
      <c r="Q406" s="58">
        <v>0</v>
      </c>
      <c r="R406" s="42">
        <v>4</v>
      </c>
      <c r="S406" s="83">
        <v>1</v>
      </c>
      <c r="U406" s="83">
        <v>2</v>
      </c>
      <c r="V406" s="49">
        <v>3</v>
      </c>
      <c r="W406" s="49">
        <v>1</v>
      </c>
      <c r="X406" s="58">
        <v>1</v>
      </c>
      <c r="Y406" s="83">
        <v>2</v>
      </c>
      <c r="Z406" s="49">
        <v>10</v>
      </c>
      <c r="AA406" s="49">
        <v>30</v>
      </c>
      <c r="AD406" s="49">
        <v>14</v>
      </c>
      <c r="AE406" s="49">
        <v>255</v>
      </c>
      <c r="AF406" s="49">
        <v>10</v>
      </c>
      <c r="AG406" s="49">
        <v>147</v>
      </c>
      <c r="AH406" s="49">
        <v>31</v>
      </c>
      <c r="AI406" s="49">
        <v>394</v>
      </c>
      <c r="AJ406" s="49">
        <v>0</v>
      </c>
      <c r="AK406" s="83">
        <v>1</v>
      </c>
      <c r="AL406" s="49">
        <v>1</v>
      </c>
      <c r="AM406" s="49">
        <v>0</v>
      </c>
      <c r="AN406" s="49">
        <v>0</v>
      </c>
      <c r="AO406" s="58">
        <v>0</v>
      </c>
      <c r="AP406" s="174">
        <v>810</v>
      </c>
      <c r="AQ406" s="175">
        <v>1669</v>
      </c>
      <c r="AR406" s="175">
        <v>0</v>
      </c>
      <c r="AS406" s="175">
        <v>0</v>
      </c>
      <c r="AT406" s="175">
        <v>0</v>
      </c>
      <c r="AU406" s="175">
        <v>0</v>
      </c>
      <c r="AV406" s="175">
        <v>0</v>
      </c>
      <c r="AW406" s="175">
        <v>0</v>
      </c>
      <c r="AX406" s="83">
        <v>0</v>
      </c>
      <c r="AY406" s="49">
        <v>0</v>
      </c>
      <c r="AZ406" s="49">
        <v>0</v>
      </c>
      <c r="BA406" s="49">
        <v>0</v>
      </c>
      <c r="BB406" s="58">
        <v>0</v>
      </c>
      <c r="BC406" s="42">
        <v>136</v>
      </c>
      <c r="BE406" s="49"/>
      <c r="BS406" s="58"/>
      <c r="BT406" s="83">
        <v>77.599999999999994</v>
      </c>
      <c r="CE406" s="83">
        <v>72.61</v>
      </c>
      <c r="CK406" s="58"/>
      <c r="CL406" s="83"/>
      <c r="CO406" s="58"/>
      <c r="CP406" s="83"/>
      <c r="CR406" s="58"/>
      <c r="CS406" s="83"/>
      <c r="CY406" s="83">
        <v>75.14</v>
      </c>
      <c r="DG406" s="58"/>
      <c r="DH406" s="83"/>
      <c r="DQ406" s="83">
        <v>73.33</v>
      </c>
      <c r="DR406" s="49">
        <v>73.819999999999993</v>
      </c>
      <c r="EE406" s="58"/>
      <c r="EF406" s="83"/>
      <c r="EI406" s="83"/>
      <c r="EK406" s="58"/>
      <c r="EL406" s="83"/>
      <c r="EO406" s="58"/>
      <c r="EP406" s="83"/>
      <c r="EQ406" s="58"/>
      <c r="ER406" s="83"/>
      <c r="ES406" s="58"/>
      <c r="ET406" s="83"/>
      <c r="EU406" s="58"/>
    </row>
    <row r="407" spans="1:151">
      <c r="A407" s="83" t="s">
        <v>325</v>
      </c>
      <c r="B407" s="173" t="s">
        <v>509</v>
      </c>
      <c r="C407" s="173" t="s">
        <v>510</v>
      </c>
      <c r="D407" s="83" t="s">
        <v>94</v>
      </c>
      <c r="F407" s="49" t="s">
        <v>286</v>
      </c>
      <c r="G407" s="49">
        <v>31.957999999999998</v>
      </c>
      <c r="I407" s="49">
        <v>9868</v>
      </c>
      <c r="J407" s="159">
        <v>4.6789947842579425</v>
      </c>
      <c r="K407" s="49">
        <v>1</v>
      </c>
      <c r="L407" s="49">
        <v>2</v>
      </c>
      <c r="M407" s="83">
        <v>1</v>
      </c>
      <c r="N407" s="49">
        <v>2</v>
      </c>
      <c r="O407" s="49">
        <v>0</v>
      </c>
      <c r="P407" s="49">
        <v>0</v>
      </c>
      <c r="Q407" s="58">
        <v>0</v>
      </c>
      <c r="R407" s="42">
        <v>3</v>
      </c>
      <c r="S407" s="83" t="s">
        <v>283</v>
      </c>
      <c r="T407" s="49">
        <v>18</v>
      </c>
      <c r="U407" s="83">
        <v>2</v>
      </c>
      <c r="V407" s="49">
        <v>2</v>
      </c>
      <c r="W407" s="49">
        <v>3</v>
      </c>
      <c r="X407" s="58">
        <v>2</v>
      </c>
      <c r="Y407" s="83">
        <v>8</v>
      </c>
      <c r="Z407" s="49">
        <v>11</v>
      </c>
      <c r="AA407" s="49">
        <v>75</v>
      </c>
      <c r="AD407" s="49">
        <v>20</v>
      </c>
      <c r="AE407" s="49">
        <v>514</v>
      </c>
      <c r="AF407" s="49">
        <v>14</v>
      </c>
      <c r="AG407" s="49">
        <v>681</v>
      </c>
      <c r="AH407" s="49">
        <v>52</v>
      </c>
      <c r="AI407" s="49">
        <v>1214</v>
      </c>
      <c r="AJ407" s="49">
        <v>0</v>
      </c>
      <c r="AK407" s="83">
        <v>0</v>
      </c>
      <c r="AL407" s="49">
        <v>1</v>
      </c>
      <c r="AM407" s="49">
        <v>0</v>
      </c>
      <c r="AN407" s="49">
        <v>0</v>
      </c>
      <c r="AO407" s="58">
        <v>0</v>
      </c>
      <c r="AP407" s="174">
        <v>213</v>
      </c>
      <c r="AQ407" s="175">
        <v>708</v>
      </c>
      <c r="AR407" s="175">
        <v>0</v>
      </c>
      <c r="AS407" s="175">
        <v>0</v>
      </c>
      <c r="AT407" s="175">
        <v>0</v>
      </c>
      <c r="AU407" s="175">
        <v>0</v>
      </c>
      <c r="AV407" s="175">
        <v>0</v>
      </c>
      <c r="AW407" s="175">
        <v>0</v>
      </c>
      <c r="AX407" s="83">
        <v>0</v>
      </c>
      <c r="AY407" s="49">
        <v>0</v>
      </c>
      <c r="AZ407" s="49">
        <v>0</v>
      </c>
      <c r="BA407" s="49">
        <v>0</v>
      </c>
      <c r="BB407" s="58">
        <v>0</v>
      </c>
      <c r="BC407" s="42">
        <v>136</v>
      </c>
      <c r="BD407" s="49">
        <v>80.69</v>
      </c>
      <c r="BE407" s="49"/>
      <c r="BS407" s="58"/>
      <c r="BT407" s="83">
        <v>79.489999999999995</v>
      </c>
      <c r="CE407" s="83">
        <v>71.63</v>
      </c>
      <c r="CK407" s="58"/>
      <c r="CL407" s="83">
        <v>63.76</v>
      </c>
      <c r="CO407" s="58"/>
      <c r="CP407" s="83"/>
      <c r="CR407" s="58"/>
      <c r="CS407" s="83"/>
      <c r="CY407" s="83"/>
      <c r="DG407" s="58"/>
      <c r="DH407" s="83"/>
      <c r="DQ407" s="83">
        <v>76.67</v>
      </c>
      <c r="DR407" s="49">
        <v>75.17</v>
      </c>
      <c r="EE407" s="58"/>
      <c r="EF407" s="83"/>
      <c r="EI407" s="83"/>
      <c r="EK407" s="58"/>
      <c r="EL407" s="83"/>
      <c r="EO407" s="58"/>
      <c r="EP407" s="83"/>
      <c r="EQ407" s="58"/>
      <c r="ER407" s="83"/>
      <c r="ES407" s="58"/>
      <c r="ET407" s="83"/>
      <c r="EU407" s="58"/>
    </row>
    <row r="408" spans="1:151">
      <c r="A408" s="83" t="s">
        <v>325</v>
      </c>
      <c r="B408" s="173" t="s">
        <v>509</v>
      </c>
      <c r="C408" s="173" t="s">
        <v>510</v>
      </c>
      <c r="D408" s="83" t="s">
        <v>95</v>
      </c>
      <c r="F408" s="49" t="s">
        <v>286</v>
      </c>
      <c r="G408" s="49">
        <v>31.957999999999998</v>
      </c>
      <c r="I408" s="49">
        <v>4835</v>
      </c>
      <c r="J408" s="159">
        <v>1.2938185710462937</v>
      </c>
      <c r="K408" s="49">
        <v>1</v>
      </c>
      <c r="L408" s="49">
        <v>2</v>
      </c>
      <c r="M408" s="83">
        <v>1</v>
      </c>
      <c r="N408" s="49">
        <v>3</v>
      </c>
      <c r="O408" s="49">
        <v>1</v>
      </c>
      <c r="P408" s="49">
        <v>1</v>
      </c>
      <c r="Q408" s="58">
        <v>0</v>
      </c>
      <c r="R408" s="42">
        <v>6</v>
      </c>
      <c r="S408" s="83" t="s">
        <v>283</v>
      </c>
      <c r="T408" s="49">
        <v>37</v>
      </c>
      <c r="U408" s="83">
        <v>3</v>
      </c>
      <c r="V408" s="49">
        <v>2</v>
      </c>
      <c r="W408" s="49">
        <v>1</v>
      </c>
      <c r="X408" s="58">
        <v>1</v>
      </c>
      <c r="Y408" s="83">
        <v>4</v>
      </c>
      <c r="AA408" s="49">
        <v>5</v>
      </c>
      <c r="AD408" s="49">
        <v>14</v>
      </c>
      <c r="AE408" s="49">
        <v>628</v>
      </c>
      <c r="AF408" s="49">
        <v>8</v>
      </c>
      <c r="AG408" s="49">
        <v>311</v>
      </c>
      <c r="AH408" s="49">
        <v>35</v>
      </c>
      <c r="AI408" s="49">
        <v>584</v>
      </c>
      <c r="AJ408" s="49">
        <v>0</v>
      </c>
      <c r="AK408" s="83">
        <v>0</v>
      </c>
      <c r="AL408" s="49">
        <v>1</v>
      </c>
      <c r="AM408" s="49">
        <v>1</v>
      </c>
      <c r="AN408" s="49">
        <v>0</v>
      </c>
      <c r="AO408" s="58">
        <v>0</v>
      </c>
      <c r="AP408" s="174">
        <v>0</v>
      </c>
      <c r="AQ408" s="175">
        <v>638</v>
      </c>
      <c r="AR408" s="175">
        <v>26</v>
      </c>
      <c r="AS408" s="175">
        <v>36</v>
      </c>
      <c r="AT408" s="175">
        <v>0</v>
      </c>
      <c r="AU408" s="175">
        <v>0</v>
      </c>
      <c r="AV408" s="175">
        <v>0</v>
      </c>
      <c r="AW408" s="175">
        <v>0</v>
      </c>
      <c r="AX408" s="83">
        <v>0</v>
      </c>
      <c r="AY408" s="49">
        <v>0</v>
      </c>
      <c r="AZ408" s="49">
        <v>0</v>
      </c>
      <c r="BA408" s="49">
        <v>0</v>
      </c>
      <c r="BB408" s="58">
        <v>0</v>
      </c>
      <c r="BC408" s="42">
        <v>121</v>
      </c>
      <c r="BD408" s="49">
        <v>78.3</v>
      </c>
      <c r="BE408" s="49"/>
      <c r="BS408" s="58"/>
      <c r="BT408" s="83">
        <v>77.53</v>
      </c>
      <c r="BU408" s="49">
        <v>72.989999999999995</v>
      </c>
      <c r="CE408" s="83">
        <v>72.83</v>
      </c>
      <c r="CF408" s="49">
        <v>72.87</v>
      </c>
      <c r="CK408" s="58"/>
      <c r="CL408" s="83">
        <v>60.56</v>
      </c>
      <c r="CO408" s="58"/>
      <c r="CP408" s="83"/>
      <c r="CR408" s="58"/>
      <c r="CS408" s="83"/>
      <c r="CY408" s="83"/>
      <c r="DG408" s="58"/>
      <c r="DH408" s="83"/>
      <c r="DQ408" s="83">
        <v>78.3</v>
      </c>
      <c r="EE408" s="58"/>
      <c r="EF408" s="83"/>
      <c r="EI408" s="83"/>
      <c r="EK408" s="58"/>
      <c r="EL408" s="83"/>
      <c r="EO408" s="58"/>
      <c r="EP408" s="83"/>
      <c r="EQ408" s="58"/>
      <c r="ER408" s="83"/>
      <c r="ES408" s="58"/>
      <c r="ET408" s="83"/>
      <c r="EU408" s="58"/>
    </row>
    <row r="409" spans="1:151">
      <c r="A409" s="83" t="s">
        <v>325</v>
      </c>
      <c r="B409" s="173" t="s">
        <v>509</v>
      </c>
      <c r="C409" s="173" t="s">
        <v>510</v>
      </c>
      <c r="D409" s="83" t="s">
        <v>96</v>
      </c>
      <c r="E409" s="49" t="s">
        <v>0</v>
      </c>
      <c r="F409" s="49" t="s">
        <v>286</v>
      </c>
      <c r="G409" s="49">
        <v>31.957999999999998</v>
      </c>
      <c r="I409" s="49">
        <v>1232</v>
      </c>
      <c r="J409" s="159">
        <v>1.1722169362511894</v>
      </c>
      <c r="K409" s="49">
        <v>4</v>
      </c>
      <c r="L409" s="49">
        <v>4</v>
      </c>
      <c r="M409" s="83">
        <v>1</v>
      </c>
      <c r="N409" s="49">
        <v>2</v>
      </c>
      <c r="O409" s="49">
        <v>0</v>
      </c>
      <c r="P409" s="49">
        <v>0</v>
      </c>
      <c r="Q409" s="58">
        <v>0</v>
      </c>
      <c r="R409" s="42">
        <v>3</v>
      </c>
      <c r="S409" s="83" t="s">
        <v>283</v>
      </c>
      <c r="T409" s="49">
        <v>30</v>
      </c>
      <c r="U409" s="83">
        <v>1</v>
      </c>
      <c r="V409" s="49">
        <v>5</v>
      </c>
      <c r="W409" s="49">
        <v>2</v>
      </c>
      <c r="X409" s="58"/>
      <c r="Y409" s="83">
        <v>1</v>
      </c>
      <c r="AH409" s="49">
        <v>103</v>
      </c>
      <c r="AI409" s="49">
        <v>217</v>
      </c>
      <c r="AJ409" s="49">
        <v>0</v>
      </c>
      <c r="AK409" s="83">
        <v>0</v>
      </c>
      <c r="AL409" s="49">
        <v>0</v>
      </c>
      <c r="AM409" s="49">
        <v>0</v>
      </c>
      <c r="AN409" s="49">
        <v>0</v>
      </c>
      <c r="AO409" s="58">
        <v>0</v>
      </c>
      <c r="AP409" s="174">
        <v>0</v>
      </c>
      <c r="AQ409" s="175">
        <v>0</v>
      </c>
      <c r="AR409" s="175">
        <v>0</v>
      </c>
      <c r="AS409" s="175">
        <v>0</v>
      </c>
      <c r="AT409" s="175">
        <v>0</v>
      </c>
      <c r="AU409" s="175">
        <v>0</v>
      </c>
      <c r="AV409" s="175">
        <v>0</v>
      </c>
      <c r="AW409" s="175">
        <v>0</v>
      </c>
      <c r="AX409" s="83">
        <v>0</v>
      </c>
      <c r="AY409" s="49">
        <v>0</v>
      </c>
      <c r="AZ409" s="49">
        <v>0</v>
      </c>
      <c r="BA409" s="49">
        <v>0</v>
      </c>
      <c r="BB409" s="58">
        <v>0</v>
      </c>
      <c r="BC409" s="42">
        <v>111</v>
      </c>
      <c r="BE409" s="49"/>
      <c r="BS409" s="58"/>
      <c r="BT409" s="83"/>
      <c r="CE409" s="83"/>
      <c r="CK409" s="58"/>
      <c r="CL409" s="83"/>
      <c r="CO409" s="58"/>
      <c r="CP409" s="83"/>
      <c r="CR409" s="58"/>
      <c r="CS409" s="83"/>
      <c r="CY409" s="83"/>
      <c r="DG409" s="58"/>
      <c r="DH409" s="83"/>
      <c r="DQ409" s="83"/>
      <c r="EE409" s="58"/>
      <c r="EF409" s="83"/>
      <c r="EI409" s="83"/>
      <c r="EK409" s="58"/>
      <c r="EL409" s="83"/>
      <c r="EO409" s="58"/>
      <c r="EP409" s="83"/>
      <c r="EQ409" s="58"/>
      <c r="ER409" s="83"/>
      <c r="ES409" s="58"/>
      <c r="ET409" s="83"/>
      <c r="EU409" s="58"/>
    </row>
    <row r="410" spans="1:151">
      <c r="A410" s="83" t="s">
        <v>325</v>
      </c>
      <c r="B410" s="173" t="s">
        <v>509</v>
      </c>
      <c r="C410" s="173" t="s">
        <v>510</v>
      </c>
      <c r="D410" s="83" t="s">
        <v>96</v>
      </c>
      <c r="E410" s="49" t="s">
        <v>1</v>
      </c>
      <c r="F410" s="49" t="s">
        <v>286</v>
      </c>
      <c r="G410" s="49">
        <v>31.957999999999998</v>
      </c>
      <c r="I410" s="49">
        <v>5994</v>
      </c>
      <c r="J410" s="159">
        <v>1.9119617224880383</v>
      </c>
      <c r="K410" s="49">
        <v>1</v>
      </c>
      <c r="L410" s="49">
        <v>3</v>
      </c>
      <c r="M410" s="83">
        <v>1</v>
      </c>
      <c r="N410" s="49">
        <v>3</v>
      </c>
      <c r="O410" s="49">
        <v>0</v>
      </c>
      <c r="P410" s="49">
        <v>1</v>
      </c>
      <c r="Q410" s="58">
        <v>0</v>
      </c>
      <c r="R410" s="42">
        <v>5</v>
      </c>
      <c r="S410" s="83" t="s">
        <v>283</v>
      </c>
      <c r="T410" s="49">
        <v>35</v>
      </c>
      <c r="U410" s="83">
        <v>2</v>
      </c>
      <c r="V410" s="49">
        <v>4</v>
      </c>
      <c r="W410" s="49">
        <v>1</v>
      </c>
      <c r="X410" s="58">
        <v>2</v>
      </c>
      <c r="Y410" s="83">
        <v>6</v>
      </c>
      <c r="Z410" s="49">
        <v>6</v>
      </c>
      <c r="AA410" s="49">
        <v>77</v>
      </c>
      <c r="AD410" s="49">
        <v>15</v>
      </c>
      <c r="AE410" s="49">
        <v>257</v>
      </c>
      <c r="AF410" s="49">
        <v>15</v>
      </c>
      <c r="AG410" s="49">
        <v>494</v>
      </c>
      <c r="AH410" s="49">
        <v>60</v>
      </c>
      <c r="AI410" s="49">
        <v>836</v>
      </c>
      <c r="AJ410" s="49">
        <v>0</v>
      </c>
      <c r="AK410" s="83">
        <v>0</v>
      </c>
      <c r="AL410" s="49">
        <v>1</v>
      </c>
      <c r="AM410" s="49">
        <v>0</v>
      </c>
      <c r="AN410" s="49">
        <v>0</v>
      </c>
      <c r="AO410" s="58">
        <v>0</v>
      </c>
      <c r="AP410" s="174">
        <v>894</v>
      </c>
      <c r="AQ410" s="175">
        <v>1882</v>
      </c>
      <c r="AR410" s="175">
        <v>0</v>
      </c>
      <c r="AS410" s="175">
        <v>0</v>
      </c>
      <c r="AT410" s="175">
        <v>0</v>
      </c>
      <c r="AU410" s="175">
        <v>0</v>
      </c>
      <c r="AV410" s="175">
        <v>0</v>
      </c>
      <c r="AW410" s="175">
        <v>0</v>
      </c>
      <c r="AX410" s="83">
        <v>0</v>
      </c>
      <c r="AY410" s="49">
        <v>0</v>
      </c>
      <c r="AZ410" s="49">
        <v>0</v>
      </c>
      <c r="BA410" s="49">
        <v>0</v>
      </c>
      <c r="BB410" s="58">
        <v>0</v>
      </c>
      <c r="BC410" s="42">
        <v>111</v>
      </c>
      <c r="BE410" s="49"/>
      <c r="BS410" s="58"/>
      <c r="BT410" s="83">
        <v>78.3</v>
      </c>
      <c r="CE410" s="83"/>
      <c r="CK410" s="58"/>
      <c r="CL410" s="83">
        <v>64.790000000000006</v>
      </c>
      <c r="CO410" s="58"/>
      <c r="CP410" s="83"/>
      <c r="CR410" s="58"/>
      <c r="CS410" s="83"/>
      <c r="CY410" s="83"/>
      <c r="DG410" s="58"/>
      <c r="DH410" s="83"/>
      <c r="DQ410" s="83"/>
      <c r="EE410" s="58"/>
      <c r="EF410" s="83"/>
      <c r="EI410" s="83">
        <v>77.87</v>
      </c>
      <c r="EJ410" s="49">
        <v>77.08</v>
      </c>
      <c r="EK410" s="58">
        <v>78.930000000000007</v>
      </c>
      <c r="EL410" s="83">
        <v>78.599999999999994</v>
      </c>
      <c r="EM410" s="49">
        <v>79.42</v>
      </c>
      <c r="EN410" s="49">
        <v>78.3</v>
      </c>
      <c r="EO410" s="58"/>
      <c r="EP410" s="83"/>
      <c r="EQ410" s="58"/>
      <c r="ER410" s="83">
        <v>64.790000000000006</v>
      </c>
      <c r="ES410" s="58"/>
      <c r="ET410" s="83"/>
      <c r="EU410" s="58"/>
    </row>
    <row r="411" spans="1:151">
      <c r="A411" s="83" t="s">
        <v>325</v>
      </c>
      <c r="B411" s="173" t="s">
        <v>509</v>
      </c>
      <c r="C411" s="173" t="s">
        <v>510</v>
      </c>
      <c r="D411" s="83" t="s">
        <v>97</v>
      </c>
      <c r="F411" s="49" t="s">
        <v>286</v>
      </c>
      <c r="G411" s="49">
        <v>31.957999999999998</v>
      </c>
      <c r="I411" s="49">
        <v>3847</v>
      </c>
      <c r="J411" s="159">
        <v>1.4694423223834989</v>
      </c>
      <c r="K411" s="49">
        <v>4</v>
      </c>
      <c r="L411" s="49">
        <v>4</v>
      </c>
      <c r="M411" s="83">
        <v>0</v>
      </c>
      <c r="N411" s="49">
        <v>1</v>
      </c>
      <c r="O411" s="49">
        <v>0</v>
      </c>
      <c r="P411" s="49">
        <v>0</v>
      </c>
      <c r="Q411" s="58">
        <v>0</v>
      </c>
      <c r="R411" s="42">
        <v>1</v>
      </c>
      <c r="S411" s="83" t="s">
        <v>283</v>
      </c>
      <c r="T411" s="49">
        <v>12</v>
      </c>
      <c r="U411" s="83">
        <v>1</v>
      </c>
      <c r="V411" s="49">
        <v>4</v>
      </c>
      <c r="W411" s="49">
        <v>2</v>
      </c>
      <c r="X411" s="58"/>
      <c r="Y411" s="83">
        <v>1</v>
      </c>
      <c r="Z411" s="49">
        <v>9</v>
      </c>
      <c r="AA411" s="49">
        <v>32</v>
      </c>
      <c r="AD411" s="49">
        <v>7</v>
      </c>
      <c r="AE411" s="49">
        <v>35</v>
      </c>
      <c r="AF411" s="49">
        <v>10</v>
      </c>
      <c r="AG411" s="49">
        <v>211</v>
      </c>
      <c r="AI411" s="49">
        <v>188</v>
      </c>
      <c r="AJ411" s="49">
        <v>0</v>
      </c>
      <c r="AK411" s="83">
        <v>0</v>
      </c>
      <c r="AL411" s="49">
        <v>0</v>
      </c>
      <c r="AM411" s="49">
        <v>0</v>
      </c>
      <c r="AN411" s="49">
        <v>0</v>
      </c>
      <c r="AO411" s="58">
        <v>0</v>
      </c>
      <c r="AP411" s="174">
        <v>0</v>
      </c>
      <c r="AQ411" s="175">
        <v>0</v>
      </c>
      <c r="AR411" s="175">
        <v>0</v>
      </c>
      <c r="AS411" s="175">
        <v>0</v>
      </c>
      <c r="AT411" s="175">
        <v>0</v>
      </c>
      <c r="AU411" s="175">
        <v>0</v>
      </c>
      <c r="AV411" s="175">
        <v>0</v>
      </c>
      <c r="AW411" s="175">
        <v>0</v>
      </c>
      <c r="AX411" s="83">
        <v>0</v>
      </c>
      <c r="AY411" s="49">
        <v>0</v>
      </c>
      <c r="AZ411" s="49">
        <v>0</v>
      </c>
      <c r="BA411" s="49">
        <v>0</v>
      </c>
      <c r="BB411" s="58">
        <v>0</v>
      </c>
      <c r="BC411" s="42">
        <v>119</v>
      </c>
      <c r="BD411" s="49">
        <v>76.16</v>
      </c>
      <c r="BE411" s="49"/>
      <c r="BS411" s="58"/>
      <c r="BT411" s="83">
        <v>78.38</v>
      </c>
      <c r="CE411" s="83">
        <v>72.13</v>
      </c>
      <c r="CK411" s="58"/>
      <c r="CL411" s="83"/>
      <c r="CO411" s="58"/>
      <c r="CP411" s="83"/>
      <c r="CR411" s="58"/>
      <c r="CS411" s="83"/>
      <c r="CY411" s="83"/>
      <c r="DG411" s="58"/>
      <c r="DH411" s="83"/>
      <c r="DQ411" s="83"/>
      <c r="EE411" s="58"/>
      <c r="EF411" s="83"/>
      <c r="EI411" s="83"/>
      <c r="EK411" s="58"/>
      <c r="EL411" s="83"/>
      <c r="EO411" s="58"/>
      <c r="EP411" s="83"/>
      <c r="EQ411" s="58"/>
      <c r="ER411" s="83"/>
      <c r="ES411" s="58"/>
      <c r="ET411" s="83"/>
      <c r="EU411" s="58"/>
    </row>
    <row r="412" spans="1:151" ht="17" thickBot="1">
      <c r="A412" s="83" t="s">
        <v>325</v>
      </c>
      <c r="B412" s="47" t="s">
        <v>509</v>
      </c>
      <c r="C412" s="47" t="s">
        <v>510</v>
      </c>
      <c r="D412" s="84" t="s">
        <v>98</v>
      </c>
      <c r="E412" s="57"/>
      <c r="F412" s="57" t="s">
        <v>286</v>
      </c>
      <c r="G412" s="57">
        <v>31.957999999999998</v>
      </c>
      <c r="H412" s="57"/>
      <c r="I412" s="57">
        <v>3666</v>
      </c>
      <c r="J412" s="75">
        <v>2.6374100719424463</v>
      </c>
      <c r="K412" s="57">
        <v>1</v>
      </c>
      <c r="L412" s="57">
        <v>3</v>
      </c>
      <c r="M412" s="84">
        <v>1</v>
      </c>
      <c r="N412" s="57">
        <v>0</v>
      </c>
      <c r="O412" s="57">
        <v>0</v>
      </c>
      <c r="P412" s="57">
        <v>1</v>
      </c>
      <c r="Q412" s="56">
        <v>0</v>
      </c>
      <c r="R412" s="55">
        <v>2</v>
      </c>
      <c r="S412" s="84" t="s">
        <v>283</v>
      </c>
      <c r="T412" s="57">
        <v>33</v>
      </c>
      <c r="U412" s="84">
        <v>2</v>
      </c>
      <c r="V412" s="57">
        <v>2</v>
      </c>
      <c r="W412" s="57">
        <v>3</v>
      </c>
      <c r="X412" s="56">
        <v>1</v>
      </c>
      <c r="Y412" s="84">
        <v>1</v>
      </c>
      <c r="Z412" s="57"/>
      <c r="AA412" s="57"/>
      <c r="AB412" s="57"/>
      <c r="AC412" s="57"/>
      <c r="AD412" s="57">
        <v>17</v>
      </c>
      <c r="AE412" s="57">
        <v>205</v>
      </c>
      <c r="AF412" s="57">
        <v>10</v>
      </c>
      <c r="AG412" s="57">
        <v>67</v>
      </c>
      <c r="AH412" s="57">
        <v>11</v>
      </c>
      <c r="AI412" s="57">
        <v>222</v>
      </c>
      <c r="AJ412" s="57">
        <v>0</v>
      </c>
      <c r="AK412" s="84">
        <v>0</v>
      </c>
      <c r="AL412" s="57">
        <v>1</v>
      </c>
      <c r="AM412" s="57">
        <v>0</v>
      </c>
      <c r="AN412" s="57">
        <v>0</v>
      </c>
      <c r="AO412" s="56">
        <v>0</v>
      </c>
      <c r="AP412" s="178">
        <v>0</v>
      </c>
      <c r="AQ412" s="179">
        <v>432</v>
      </c>
      <c r="AR412" s="179">
        <v>0</v>
      </c>
      <c r="AS412" s="179">
        <v>0</v>
      </c>
      <c r="AT412" s="179">
        <v>0</v>
      </c>
      <c r="AU412" s="179">
        <v>0</v>
      </c>
      <c r="AV412" s="179">
        <v>0</v>
      </c>
      <c r="AW412" s="179">
        <v>0</v>
      </c>
      <c r="AX412" s="84">
        <v>0</v>
      </c>
      <c r="AY412" s="57">
        <v>0</v>
      </c>
      <c r="AZ412" s="57">
        <v>0</v>
      </c>
      <c r="BA412" s="57">
        <v>0</v>
      </c>
      <c r="BB412" s="56">
        <v>0</v>
      </c>
      <c r="BC412" s="55">
        <v>140</v>
      </c>
      <c r="BD412" s="57"/>
      <c r="BE412" s="57"/>
      <c r="BF412" s="57"/>
      <c r="BG412" s="57"/>
      <c r="BH412" s="57"/>
      <c r="BI412" s="57"/>
      <c r="BJ412" s="57"/>
      <c r="BK412" s="57"/>
      <c r="BL412" s="57"/>
      <c r="BM412" s="57"/>
      <c r="BN412" s="57"/>
      <c r="BO412" s="57"/>
      <c r="BP412" s="57"/>
      <c r="BQ412" s="57"/>
      <c r="BR412" s="57"/>
      <c r="BS412" s="56"/>
      <c r="BT412" s="84"/>
      <c r="BU412" s="57"/>
      <c r="BV412" s="57"/>
      <c r="BW412" s="57"/>
      <c r="BX412" s="57"/>
      <c r="BY412" s="57"/>
      <c r="BZ412" s="57"/>
      <c r="CA412" s="57"/>
      <c r="CB412" s="57"/>
      <c r="CC412" s="57"/>
      <c r="CD412" s="57"/>
      <c r="CE412" s="84"/>
      <c r="CF412" s="57"/>
      <c r="CG412" s="57"/>
      <c r="CH412" s="57"/>
      <c r="CI412" s="57"/>
      <c r="CJ412" s="57"/>
      <c r="CK412" s="56"/>
      <c r="CL412" s="84"/>
      <c r="CM412" s="57"/>
      <c r="CN412" s="57"/>
      <c r="CO412" s="56"/>
      <c r="CP412" s="84"/>
      <c r="CQ412" s="57"/>
      <c r="CR412" s="56"/>
      <c r="CS412" s="84"/>
      <c r="CT412" s="57"/>
      <c r="CU412" s="57"/>
      <c r="CV412" s="57"/>
      <c r="CW412" s="57"/>
      <c r="CX412" s="57"/>
      <c r="CY412" s="84"/>
      <c r="CZ412" s="57"/>
      <c r="DA412" s="57"/>
      <c r="DB412" s="57"/>
      <c r="DC412" s="57"/>
      <c r="DD412" s="57"/>
      <c r="DE412" s="57"/>
      <c r="DF412" s="57"/>
      <c r="DG412" s="56"/>
      <c r="DH412" s="84"/>
      <c r="DI412" s="57"/>
      <c r="DJ412" s="57"/>
      <c r="DK412" s="57"/>
      <c r="DL412" s="57"/>
      <c r="DM412" s="57"/>
      <c r="DN412" s="57"/>
      <c r="DO412" s="57"/>
      <c r="DP412" s="57"/>
      <c r="DQ412" s="84"/>
      <c r="DR412" s="57"/>
      <c r="DS412" s="57"/>
      <c r="DT412" s="57"/>
      <c r="DU412" s="57"/>
      <c r="DV412" s="57"/>
      <c r="DW412" s="57"/>
      <c r="DX412" s="57"/>
      <c r="DY412" s="57"/>
      <c r="DZ412" s="57"/>
      <c r="EA412" s="57"/>
      <c r="EB412" s="57"/>
      <c r="EC412" s="57"/>
      <c r="ED412" s="57"/>
      <c r="EE412" s="56"/>
      <c r="EF412" s="84"/>
      <c r="EG412" s="57"/>
      <c r="EH412" s="57"/>
      <c r="EI412" s="84"/>
      <c r="EJ412" s="57"/>
      <c r="EK412" s="56"/>
      <c r="EL412" s="84"/>
      <c r="EM412" s="57"/>
      <c r="EN412" s="57"/>
      <c r="EO412" s="56"/>
      <c r="EP412" s="84"/>
      <c r="EQ412" s="56"/>
      <c r="ER412" s="84"/>
      <c r="ES412" s="56"/>
      <c r="ET412" s="84"/>
      <c r="EU412" s="56"/>
    </row>
    <row r="413" spans="1:151">
      <c r="A413" s="87" t="s">
        <v>325</v>
      </c>
      <c r="B413" s="173" t="s">
        <v>511</v>
      </c>
      <c r="C413" s="173" t="s">
        <v>510</v>
      </c>
      <c r="D413" s="83" t="s">
        <v>64</v>
      </c>
      <c r="F413" s="49" t="s">
        <v>286</v>
      </c>
      <c r="G413" s="49">
        <v>31.957999999999998</v>
      </c>
      <c r="I413" s="49">
        <v>5523</v>
      </c>
      <c r="J413" s="159">
        <v>1.3845575332163449</v>
      </c>
      <c r="K413" s="49">
        <v>4</v>
      </c>
      <c r="L413" s="49">
        <v>4</v>
      </c>
      <c r="M413" s="83">
        <v>0</v>
      </c>
      <c r="N413" s="49">
        <v>0</v>
      </c>
      <c r="O413" s="49">
        <v>0</v>
      </c>
      <c r="P413" s="49">
        <v>1</v>
      </c>
      <c r="Q413" s="58">
        <v>0</v>
      </c>
      <c r="R413" s="42">
        <v>1</v>
      </c>
      <c r="S413" s="83">
        <v>1</v>
      </c>
      <c r="U413" s="83">
        <v>1</v>
      </c>
      <c r="V413" s="49">
        <v>4</v>
      </c>
      <c r="W413" s="49">
        <v>1</v>
      </c>
      <c r="X413" s="58">
        <v>2</v>
      </c>
      <c r="Y413" s="83">
        <v>2</v>
      </c>
      <c r="Z413" s="49">
        <v>6</v>
      </c>
      <c r="AA413" s="49">
        <v>14</v>
      </c>
      <c r="AD413" s="49">
        <v>13</v>
      </c>
      <c r="AE413" s="49">
        <v>233</v>
      </c>
      <c r="AF413" s="49">
        <v>131</v>
      </c>
      <c r="AG413" s="49">
        <v>681</v>
      </c>
      <c r="AH413" s="49">
        <v>31</v>
      </c>
      <c r="AI413" s="49">
        <v>788</v>
      </c>
      <c r="AJ413" s="49">
        <v>0</v>
      </c>
      <c r="AK413" s="83">
        <v>0</v>
      </c>
      <c r="AL413" s="49">
        <v>0</v>
      </c>
      <c r="AM413" s="49">
        <v>1</v>
      </c>
      <c r="AN413" s="49">
        <v>0</v>
      </c>
      <c r="AO413" s="58">
        <v>0</v>
      </c>
      <c r="AP413" s="174">
        <v>0</v>
      </c>
      <c r="AQ413" s="175">
        <v>0</v>
      </c>
      <c r="AR413" s="175">
        <v>0</v>
      </c>
      <c r="AS413" s="175">
        <v>437</v>
      </c>
      <c r="AT413" s="175">
        <v>0</v>
      </c>
      <c r="AU413" s="175">
        <v>0</v>
      </c>
      <c r="AV413" s="175">
        <v>0</v>
      </c>
      <c r="AW413" s="175">
        <v>0</v>
      </c>
      <c r="AX413" s="83">
        <v>0</v>
      </c>
      <c r="AY413" s="49">
        <v>0</v>
      </c>
      <c r="AZ413" s="49">
        <v>0</v>
      </c>
      <c r="BA413" s="49">
        <v>0</v>
      </c>
      <c r="BB413" s="58">
        <v>0</v>
      </c>
      <c r="BC413" s="42">
        <v>141</v>
      </c>
      <c r="BE413" s="49"/>
      <c r="BS413" s="58"/>
      <c r="BT413" s="83"/>
      <c r="CE413" s="83"/>
      <c r="CK413" s="58"/>
      <c r="CL413" s="83"/>
      <c r="CO413" s="58"/>
      <c r="CP413" s="83"/>
      <c r="CR413" s="58"/>
      <c r="CS413" s="83"/>
      <c r="CY413" s="83"/>
      <c r="DG413" s="58"/>
      <c r="DH413" s="83"/>
      <c r="DQ413" s="83"/>
      <c r="EE413" s="58"/>
      <c r="EF413" s="83"/>
      <c r="EI413" s="83"/>
      <c r="EK413" s="58"/>
      <c r="EL413" s="83"/>
      <c r="EO413" s="58"/>
      <c r="EP413" s="83"/>
      <c r="EQ413" s="58"/>
      <c r="ER413" s="83"/>
      <c r="ES413" s="58"/>
      <c r="ET413" s="83"/>
      <c r="EU413" s="58"/>
    </row>
    <row r="414" spans="1:151">
      <c r="A414" s="42" t="s">
        <v>325</v>
      </c>
      <c r="B414" s="173" t="s">
        <v>511</v>
      </c>
      <c r="C414" s="173" t="s">
        <v>510</v>
      </c>
      <c r="D414" s="83" t="s">
        <v>66</v>
      </c>
      <c r="F414" s="49" t="s">
        <v>286</v>
      </c>
      <c r="G414" s="49">
        <v>31.957999999999998</v>
      </c>
      <c r="I414" s="49">
        <v>11394</v>
      </c>
      <c r="J414" s="159">
        <v>1.3775843307943416</v>
      </c>
      <c r="K414" s="49">
        <v>1</v>
      </c>
      <c r="L414" s="49">
        <v>2</v>
      </c>
      <c r="M414" s="83">
        <v>1</v>
      </c>
      <c r="N414" s="49">
        <v>0</v>
      </c>
      <c r="O414" s="49">
        <v>1</v>
      </c>
      <c r="P414" s="49">
        <v>1</v>
      </c>
      <c r="Q414" s="58">
        <v>0</v>
      </c>
      <c r="R414" s="42">
        <v>3</v>
      </c>
      <c r="S414" s="83">
        <v>1</v>
      </c>
      <c r="U414" s="83">
        <v>1</v>
      </c>
      <c r="V414" s="49">
        <v>1</v>
      </c>
      <c r="W414" s="49">
        <v>2</v>
      </c>
      <c r="X414" s="58"/>
      <c r="Y414" s="83">
        <v>1</v>
      </c>
      <c r="Z414" s="49">
        <v>7</v>
      </c>
      <c r="AA414" s="49">
        <v>31</v>
      </c>
      <c r="AD414" s="49">
        <v>14</v>
      </c>
      <c r="AE414" s="49">
        <v>150</v>
      </c>
      <c r="AF414" s="49">
        <v>14</v>
      </c>
      <c r="AG414" s="49">
        <v>181</v>
      </c>
      <c r="AH414" s="49">
        <v>25</v>
      </c>
      <c r="AI414" s="49">
        <v>439</v>
      </c>
      <c r="AJ414" s="49">
        <v>0</v>
      </c>
      <c r="AK414" s="83">
        <v>0</v>
      </c>
      <c r="AL414" s="49">
        <v>1</v>
      </c>
      <c r="AM414" s="49">
        <v>1</v>
      </c>
      <c r="AN414" s="49">
        <v>0</v>
      </c>
      <c r="AO414" s="58">
        <v>0</v>
      </c>
      <c r="AP414" s="174">
        <v>531</v>
      </c>
      <c r="AQ414" s="175">
        <v>3730</v>
      </c>
      <c r="AR414" s="175">
        <v>0</v>
      </c>
      <c r="AS414" s="175">
        <v>588</v>
      </c>
      <c r="AT414" s="175">
        <v>0</v>
      </c>
      <c r="AU414" s="175">
        <v>0</v>
      </c>
      <c r="AV414" s="175">
        <v>0</v>
      </c>
      <c r="AW414" s="175">
        <v>0</v>
      </c>
      <c r="AX414" s="83">
        <v>0</v>
      </c>
      <c r="AY414" s="49">
        <v>0</v>
      </c>
      <c r="AZ414" s="49">
        <v>0</v>
      </c>
      <c r="BA414" s="49">
        <v>0</v>
      </c>
      <c r="BB414" s="58">
        <v>0</v>
      </c>
      <c r="BC414" s="42">
        <v>140</v>
      </c>
      <c r="BD414" s="49">
        <v>77.959999999999994</v>
      </c>
      <c r="BE414" s="49"/>
      <c r="BS414" s="58"/>
      <c r="BT414" s="83">
        <v>79.19</v>
      </c>
      <c r="BU414" s="49">
        <v>80.06</v>
      </c>
      <c r="CE414" s="83"/>
      <c r="CK414" s="58"/>
      <c r="CL414" s="83">
        <v>70.63</v>
      </c>
      <c r="CO414" s="58"/>
      <c r="CP414" s="83"/>
      <c r="CR414" s="58"/>
      <c r="CS414" s="83"/>
      <c r="CY414" s="83"/>
      <c r="DG414" s="58"/>
      <c r="DH414" s="83"/>
      <c r="DQ414" s="83"/>
      <c r="EE414" s="58"/>
      <c r="EF414" s="83"/>
      <c r="EI414" s="83"/>
      <c r="EK414" s="58"/>
      <c r="EL414" s="83"/>
      <c r="EO414" s="58"/>
      <c r="EP414" s="83"/>
      <c r="EQ414" s="58"/>
      <c r="ER414" s="83"/>
      <c r="ES414" s="58"/>
      <c r="ET414" s="83"/>
      <c r="EU414" s="58"/>
    </row>
    <row r="415" spans="1:151">
      <c r="A415" s="42" t="s">
        <v>325</v>
      </c>
      <c r="B415" s="173" t="s">
        <v>511</v>
      </c>
      <c r="C415" s="173" t="s">
        <v>510</v>
      </c>
      <c r="D415" s="83" t="s">
        <v>67</v>
      </c>
      <c r="F415" s="49" t="s">
        <v>286</v>
      </c>
      <c r="G415" s="49">
        <v>31.957999999999998</v>
      </c>
      <c r="I415" s="49">
        <v>2562</v>
      </c>
      <c r="J415" s="159">
        <v>1.0897490429604424</v>
      </c>
      <c r="K415" s="49">
        <v>1</v>
      </c>
      <c r="L415" s="49">
        <v>2</v>
      </c>
      <c r="M415" s="83">
        <v>0</v>
      </c>
      <c r="N415" s="49">
        <v>0</v>
      </c>
      <c r="O415" s="49">
        <v>0</v>
      </c>
      <c r="P415" s="49">
        <v>1</v>
      </c>
      <c r="Q415" s="58">
        <v>0</v>
      </c>
      <c r="R415" s="42">
        <v>1</v>
      </c>
      <c r="S415" s="83">
        <v>1</v>
      </c>
      <c r="U415" s="83">
        <v>1</v>
      </c>
      <c r="V415" s="49">
        <v>1</v>
      </c>
      <c r="W415" s="49">
        <v>2</v>
      </c>
      <c r="X415" s="58"/>
      <c r="Y415" s="83">
        <v>1</v>
      </c>
      <c r="AA415" s="49">
        <v>9</v>
      </c>
      <c r="AD415" s="49">
        <v>10</v>
      </c>
      <c r="AE415" s="49">
        <v>53</v>
      </c>
      <c r="AF415" s="49">
        <v>18</v>
      </c>
      <c r="AG415" s="49">
        <v>22</v>
      </c>
      <c r="AH415" s="49">
        <v>17</v>
      </c>
      <c r="AI415" s="49">
        <v>40</v>
      </c>
      <c r="AJ415" s="49">
        <v>0</v>
      </c>
      <c r="AK415" s="83">
        <v>0</v>
      </c>
      <c r="AL415" s="49">
        <v>0</v>
      </c>
      <c r="AM415" s="49">
        <v>1</v>
      </c>
      <c r="AN415" s="49">
        <v>0</v>
      </c>
      <c r="AO415" s="58">
        <v>0</v>
      </c>
      <c r="AP415" s="174">
        <v>0</v>
      </c>
      <c r="AQ415" s="175">
        <v>0</v>
      </c>
      <c r="AR415" s="175">
        <v>30</v>
      </c>
      <c r="AS415" s="175">
        <v>92</v>
      </c>
      <c r="AT415" s="175">
        <v>0</v>
      </c>
      <c r="AU415" s="175">
        <v>0</v>
      </c>
      <c r="AV415" s="175">
        <v>0</v>
      </c>
      <c r="AW415" s="175">
        <v>0</v>
      </c>
      <c r="AX415" s="83">
        <v>0</v>
      </c>
      <c r="AY415" s="49">
        <v>0</v>
      </c>
      <c r="AZ415" s="49">
        <v>0</v>
      </c>
      <c r="BA415" s="49">
        <v>0</v>
      </c>
      <c r="BB415" s="58">
        <v>0</v>
      </c>
      <c r="BC415" s="42">
        <v>124</v>
      </c>
      <c r="BE415" s="49"/>
      <c r="BS415" s="58"/>
      <c r="BT415" s="83"/>
      <c r="CE415" s="83"/>
      <c r="CK415" s="58"/>
      <c r="CL415" s="83"/>
      <c r="CO415" s="58"/>
      <c r="CP415" s="83"/>
      <c r="CR415" s="58"/>
      <c r="CS415" s="83"/>
      <c r="CY415" s="83"/>
      <c r="DG415" s="58"/>
      <c r="DH415" s="83"/>
      <c r="DQ415" s="83"/>
      <c r="EE415" s="58"/>
      <c r="EF415" s="83"/>
      <c r="EI415" s="83"/>
      <c r="EK415" s="58"/>
      <c r="EL415" s="83"/>
      <c r="EO415" s="58"/>
      <c r="EP415" s="83"/>
      <c r="EQ415" s="58"/>
      <c r="ER415" s="83"/>
      <c r="ES415" s="58"/>
      <c r="ET415" s="83"/>
      <c r="EU415" s="58"/>
    </row>
    <row r="416" spans="1:151">
      <c r="A416" s="42" t="s">
        <v>325</v>
      </c>
      <c r="B416" s="173" t="s">
        <v>511</v>
      </c>
      <c r="C416" s="173" t="s">
        <v>510</v>
      </c>
      <c r="D416" s="83" t="s">
        <v>68</v>
      </c>
      <c r="F416" s="49" t="s">
        <v>286</v>
      </c>
      <c r="G416" s="49">
        <v>31.957999999999998</v>
      </c>
      <c r="I416" s="49">
        <v>1555</v>
      </c>
      <c r="J416" s="159">
        <v>1.6455026455026456</v>
      </c>
      <c r="K416" s="49">
        <v>1</v>
      </c>
      <c r="L416" s="49">
        <v>3</v>
      </c>
      <c r="M416" s="83">
        <v>0</v>
      </c>
      <c r="N416" s="49">
        <v>2</v>
      </c>
      <c r="O416" s="49">
        <v>1</v>
      </c>
      <c r="P416" s="49">
        <v>1</v>
      </c>
      <c r="Q416" s="58">
        <v>0</v>
      </c>
      <c r="R416" s="42">
        <v>4</v>
      </c>
      <c r="S416" s="83">
        <v>1</v>
      </c>
      <c r="U416" s="83">
        <v>1</v>
      </c>
      <c r="V416" s="49">
        <v>3</v>
      </c>
      <c r="W416" s="49">
        <v>1</v>
      </c>
      <c r="X416" s="58"/>
      <c r="Y416" s="83">
        <v>2</v>
      </c>
      <c r="AA416" s="49">
        <v>4</v>
      </c>
      <c r="AD416" s="49">
        <v>4</v>
      </c>
      <c r="AE416" s="49">
        <v>115</v>
      </c>
      <c r="AF416" s="49">
        <v>5</v>
      </c>
      <c r="AG416" s="49">
        <v>343</v>
      </c>
      <c r="AH416" s="49">
        <v>22</v>
      </c>
      <c r="AI416" s="49">
        <v>231</v>
      </c>
      <c r="AJ416" s="49">
        <v>0</v>
      </c>
      <c r="AK416" s="83">
        <v>0</v>
      </c>
      <c r="AL416" s="49">
        <v>0</v>
      </c>
      <c r="AM416" s="49">
        <v>0</v>
      </c>
      <c r="AN416" s="49">
        <v>0</v>
      </c>
      <c r="AO416" s="58">
        <v>0</v>
      </c>
      <c r="AP416" s="174">
        <v>0</v>
      </c>
      <c r="AQ416" s="175">
        <v>0</v>
      </c>
      <c r="AR416" s="175">
        <v>0</v>
      </c>
      <c r="AS416" s="175">
        <v>0</v>
      </c>
      <c r="AT416" s="175">
        <v>0</v>
      </c>
      <c r="AU416" s="175">
        <v>0</v>
      </c>
      <c r="AV416" s="175">
        <v>0</v>
      </c>
      <c r="AW416" s="175">
        <v>0</v>
      </c>
      <c r="AX416" s="83">
        <v>0</v>
      </c>
      <c r="AY416" s="49">
        <v>0</v>
      </c>
      <c r="AZ416" s="49">
        <v>0</v>
      </c>
      <c r="BA416" s="49">
        <v>0</v>
      </c>
      <c r="BB416" s="58">
        <v>0</v>
      </c>
      <c r="BC416" s="42">
        <v>100</v>
      </c>
      <c r="BD416" s="49">
        <v>79.17</v>
      </c>
      <c r="BE416" s="49"/>
      <c r="BS416" s="58"/>
      <c r="BT416" s="83"/>
      <c r="CE416" s="83">
        <v>72.319999999999993</v>
      </c>
      <c r="CF416" s="49">
        <v>71.13</v>
      </c>
      <c r="CG416" s="49">
        <v>71.73</v>
      </c>
      <c r="CK416" s="58"/>
      <c r="CL416" s="83">
        <v>63.59</v>
      </c>
      <c r="CO416" s="58"/>
      <c r="CP416" s="83"/>
      <c r="CR416" s="58"/>
      <c r="CS416" s="83"/>
      <c r="CY416" s="83"/>
      <c r="DG416" s="58"/>
      <c r="DH416" s="83"/>
      <c r="DQ416" s="83"/>
      <c r="EE416" s="58"/>
      <c r="EF416" s="83"/>
      <c r="EI416" s="83"/>
      <c r="EK416" s="58"/>
      <c r="EL416" s="83"/>
      <c r="EO416" s="58"/>
      <c r="EP416" s="83"/>
      <c r="EQ416" s="58"/>
      <c r="ER416" s="83"/>
      <c r="ES416" s="58"/>
      <c r="ET416" s="83"/>
      <c r="EU416" s="58"/>
    </row>
    <row r="417" spans="1:151">
      <c r="A417" s="42" t="s">
        <v>325</v>
      </c>
      <c r="B417" s="173" t="s">
        <v>511</v>
      </c>
      <c r="C417" s="173" t="s">
        <v>510</v>
      </c>
      <c r="D417" s="83" t="s">
        <v>69</v>
      </c>
      <c r="F417" s="49" t="s">
        <v>286</v>
      </c>
      <c r="G417" s="49">
        <v>31.957999999999998</v>
      </c>
      <c r="I417" s="49">
        <v>1371</v>
      </c>
      <c r="J417" s="159">
        <v>1.414860681114551</v>
      </c>
      <c r="K417" s="49">
        <v>4</v>
      </c>
      <c r="L417" s="49">
        <v>3</v>
      </c>
      <c r="M417" s="83">
        <v>0</v>
      </c>
      <c r="N417" s="49">
        <v>2</v>
      </c>
      <c r="O417" s="49">
        <v>0</v>
      </c>
      <c r="P417" s="49">
        <v>1</v>
      </c>
      <c r="Q417" s="58">
        <v>0</v>
      </c>
      <c r="R417" s="42">
        <v>3</v>
      </c>
      <c r="S417" s="83">
        <v>1</v>
      </c>
      <c r="U417" s="83">
        <v>1</v>
      </c>
      <c r="V417" s="49">
        <v>3</v>
      </c>
      <c r="W417" s="49">
        <v>1</v>
      </c>
      <c r="X417" s="58">
        <v>2</v>
      </c>
      <c r="Y417" s="83">
        <v>0</v>
      </c>
      <c r="AJ417" s="49">
        <v>0</v>
      </c>
      <c r="AK417" s="83">
        <v>0</v>
      </c>
      <c r="AL417" s="49">
        <v>1</v>
      </c>
      <c r="AM417" s="49">
        <v>0</v>
      </c>
      <c r="AN417" s="49">
        <v>0</v>
      </c>
      <c r="AO417" s="58">
        <v>0</v>
      </c>
      <c r="AP417" s="174">
        <v>0</v>
      </c>
      <c r="AQ417" s="175">
        <v>887</v>
      </c>
      <c r="AR417" s="175">
        <v>0</v>
      </c>
      <c r="AS417" s="175">
        <v>0</v>
      </c>
      <c r="AT417" s="175">
        <v>0</v>
      </c>
      <c r="AU417" s="175">
        <v>0</v>
      </c>
      <c r="AV417" s="175">
        <v>0</v>
      </c>
      <c r="AW417" s="175">
        <v>0</v>
      </c>
      <c r="AX417" s="83">
        <v>0</v>
      </c>
      <c r="AY417" s="49">
        <v>0</v>
      </c>
      <c r="AZ417" s="49">
        <v>0</v>
      </c>
      <c r="BA417" s="49">
        <v>0</v>
      </c>
      <c r="BB417" s="58">
        <v>0</v>
      </c>
      <c r="BC417" s="42">
        <v>121</v>
      </c>
      <c r="BE417" s="49"/>
      <c r="BS417" s="58"/>
      <c r="BT417" s="83"/>
      <c r="CE417" s="83"/>
      <c r="CK417" s="58"/>
      <c r="CL417" s="83"/>
      <c r="CO417" s="58"/>
      <c r="CP417" s="83"/>
      <c r="CR417" s="58"/>
      <c r="CS417" s="83"/>
      <c r="CY417" s="83"/>
      <c r="DG417" s="58"/>
      <c r="DH417" s="83"/>
      <c r="DQ417" s="83"/>
      <c r="EE417" s="58"/>
      <c r="EF417" s="83"/>
      <c r="EI417" s="83"/>
      <c r="EK417" s="58"/>
      <c r="EL417" s="83"/>
      <c r="EO417" s="58"/>
      <c r="EP417" s="83"/>
      <c r="EQ417" s="58"/>
      <c r="ER417" s="83"/>
      <c r="ES417" s="58"/>
      <c r="ET417" s="83"/>
      <c r="EU417" s="58"/>
    </row>
    <row r="418" spans="1:151">
      <c r="A418" s="42" t="s">
        <v>325</v>
      </c>
      <c r="B418" s="173" t="s">
        <v>511</v>
      </c>
      <c r="C418" s="173" t="s">
        <v>510</v>
      </c>
      <c r="D418" s="83" t="s">
        <v>74</v>
      </c>
      <c r="F418" s="49" t="s">
        <v>286</v>
      </c>
      <c r="G418" s="49">
        <v>31.957999999999998</v>
      </c>
      <c r="I418" s="49">
        <v>1370</v>
      </c>
      <c r="J418" s="159">
        <v>1.415289256198347</v>
      </c>
      <c r="K418" s="49">
        <v>4</v>
      </c>
      <c r="L418" s="49">
        <v>5</v>
      </c>
      <c r="M418" s="83">
        <v>0</v>
      </c>
      <c r="N418" s="49">
        <v>1</v>
      </c>
      <c r="O418" s="49">
        <v>0</v>
      </c>
      <c r="P418" s="49">
        <v>0</v>
      </c>
      <c r="Q418" s="58">
        <v>0</v>
      </c>
      <c r="R418" s="42">
        <v>1</v>
      </c>
      <c r="S418" s="83" t="s">
        <v>284</v>
      </c>
      <c r="U418" s="83">
        <v>1</v>
      </c>
      <c r="V418" s="49">
        <v>5</v>
      </c>
      <c r="W418" s="49">
        <v>2</v>
      </c>
      <c r="X418" s="58"/>
      <c r="Y418" s="83">
        <v>0</v>
      </c>
      <c r="AJ418" s="49">
        <v>0</v>
      </c>
      <c r="AK418" s="83">
        <v>0</v>
      </c>
      <c r="AL418" s="49">
        <v>0</v>
      </c>
      <c r="AM418" s="49">
        <v>0</v>
      </c>
      <c r="AN418" s="49">
        <v>0</v>
      </c>
      <c r="AO418" s="58">
        <v>0</v>
      </c>
      <c r="AP418" s="174">
        <v>0</v>
      </c>
      <c r="AQ418" s="175">
        <v>0</v>
      </c>
      <c r="AR418" s="175">
        <v>0</v>
      </c>
      <c r="AS418" s="175">
        <v>0</v>
      </c>
      <c r="AT418" s="175">
        <v>0</v>
      </c>
      <c r="AU418" s="175">
        <v>0</v>
      </c>
      <c r="AV418" s="175">
        <v>0</v>
      </c>
      <c r="AW418" s="175">
        <v>0</v>
      </c>
      <c r="AX418" s="83">
        <v>0</v>
      </c>
      <c r="AY418" s="49">
        <v>0</v>
      </c>
      <c r="AZ418" s="49">
        <v>0</v>
      </c>
      <c r="BA418" s="49">
        <v>0</v>
      </c>
      <c r="BB418" s="58">
        <v>0</v>
      </c>
      <c r="BC418" s="42">
        <v>111</v>
      </c>
      <c r="BD418" s="49">
        <v>79.41</v>
      </c>
      <c r="BE418" s="49">
        <v>78.89</v>
      </c>
      <c r="BS418" s="58"/>
      <c r="BT418" s="83"/>
      <c r="CE418" s="83">
        <v>70.67</v>
      </c>
      <c r="CK418" s="58"/>
      <c r="CL418" s="83"/>
      <c r="CO418" s="58"/>
      <c r="CP418" s="83"/>
      <c r="CR418" s="58"/>
      <c r="CS418" s="83"/>
      <c r="CY418" s="83"/>
      <c r="DG418" s="58"/>
      <c r="DH418" s="83"/>
      <c r="DQ418" s="83"/>
      <c r="EE418" s="58"/>
      <c r="EF418" s="83"/>
      <c r="EI418" s="83"/>
      <c r="EK418" s="58"/>
      <c r="EL418" s="83"/>
      <c r="EO418" s="58"/>
      <c r="EP418" s="83"/>
      <c r="EQ418" s="58"/>
      <c r="ER418" s="83"/>
      <c r="ES418" s="58"/>
      <c r="ET418" s="83"/>
      <c r="EU418" s="58"/>
    </row>
    <row r="419" spans="1:151">
      <c r="A419" s="42" t="s">
        <v>325</v>
      </c>
      <c r="B419" s="173" t="s">
        <v>511</v>
      </c>
      <c r="C419" s="173" t="s">
        <v>510</v>
      </c>
      <c r="D419" s="83" t="s">
        <v>75</v>
      </c>
      <c r="F419" s="49" t="s">
        <v>286</v>
      </c>
      <c r="G419" s="49">
        <v>31.957999999999998</v>
      </c>
      <c r="I419" s="49">
        <v>2352</v>
      </c>
      <c r="J419" s="159">
        <v>2.1499085923217551</v>
      </c>
      <c r="K419" s="49">
        <v>4</v>
      </c>
      <c r="L419" s="49">
        <v>2</v>
      </c>
      <c r="M419" s="83">
        <v>0</v>
      </c>
      <c r="N419" s="49">
        <v>1</v>
      </c>
      <c r="O419" s="49">
        <v>0</v>
      </c>
      <c r="P419" s="49">
        <v>0</v>
      </c>
      <c r="Q419" s="58">
        <v>0</v>
      </c>
      <c r="R419" s="42">
        <v>1</v>
      </c>
      <c r="S419" s="83" t="s">
        <v>284</v>
      </c>
      <c r="U419" s="83">
        <v>1</v>
      </c>
      <c r="V419" s="49">
        <v>3</v>
      </c>
      <c r="W419" s="49">
        <v>2</v>
      </c>
      <c r="X419" s="58"/>
      <c r="Y419" s="83">
        <v>5</v>
      </c>
      <c r="AD419" s="49">
        <v>11</v>
      </c>
      <c r="AE419" s="49">
        <v>26</v>
      </c>
      <c r="AF419" s="49">
        <v>4</v>
      </c>
      <c r="AG419" s="49">
        <v>34</v>
      </c>
      <c r="AH419" s="49">
        <v>16</v>
      </c>
      <c r="AI419" s="49">
        <v>638</v>
      </c>
      <c r="AJ419" s="49">
        <v>0</v>
      </c>
      <c r="AK419" s="83">
        <v>0</v>
      </c>
      <c r="AL419" s="49">
        <v>0</v>
      </c>
      <c r="AM419" s="49">
        <v>1</v>
      </c>
      <c r="AN419" s="49">
        <v>0</v>
      </c>
      <c r="AO419" s="58">
        <v>0</v>
      </c>
      <c r="AP419" s="174">
        <v>0</v>
      </c>
      <c r="AQ419" s="175">
        <v>0</v>
      </c>
      <c r="AR419" s="175">
        <v>24</v>
      </c>
      <c r="AS419" s="175">
        <v>83</v>
      </c>
      <c r="AT419" s="175">
        <v>0</v>
      </c>
      <c r="AU419" s="175">
        <v>0</v>
      </c>
      <c r="AV419" s="175">
        <v>0</v>
      </c>
      <c r="AW419" s="175">
        <v>0</v>
      </c>
      <c r="AX419" s="83">
        <v>0</v>
      </c>
      <c r="AY419" s="49">
        <v>0</v>
      </c>
      <c r="AZ419" s="49">
        <v>0</v>
      </c>
      <c r="BA419" s="49">
        <v>0</v>
      </c>
      <c r="BB419" s="58">
        <v>0</v>
      </c>
      <c r="BC419" s="42">
        <v>101</v>
      </c>
      <c r="BD419" s="49">
        <v>77.56</v>
      </c>
      <c r="BE419" s="49">
        <v>77.02</v>
      </c>
      <c r="BS419" s="58"/>
      <c r="BT419" s="83"/>
      <c r="CE419" s="83">
        <v>64.7</v>
      </c>
      <c r="CK419" s="58"/>
      <c r="CL419" s="83">
        <v>69.099999999999994</v>
      </c>
      <c r="CO419" s="58"/>
      <c r="CP419" s="83"/>
      <c r="CR419" s="58"/>
      <c r="CS419" s="83"/>
      <c r="CY419" s="83"/>
      <c r="DG419" s="58"/>
      <c r="DH419" s="83"/>
      <c r="DQ419" s="83"/>
      <c r="EE419" s="58"/>
      <c r="EF419" s="83"/>
      <c r="EI419" s="83"/>
      <c r="EK419" s="58"/>
      <c r="EL419" s="83"/>
      <c r="EO419" s="58"/>
      <c r="EP419" s="83"/>
      <c r="EQ419" s="58"/>
      <c r="ER419" s="83"/>
      <c r="ES419" s="58"/>
      <c r="ET419" s="83"/>
      <c r="EU419" s="58"/>
    </row>
    <row r="420" spans="1:151">
      <c r="A420" s="42" t="s">
        <v>325</v>
      </c>
      <c r="B420" s="173" t="s">
        <v>511</v>
      </c>
      <c r="C420" s="173" t="s">
        <v>510</v>
      </c>
      <c r="D420" s="83" t="s">
        <v>76</v>
      </c>
      <c r="F420" s="49" t="s">
        <v>286</v>
      </c>
      <c r="G420" s="49">
        <v>31.957999999999998</v>
      </c>
      <c r="I420" s="49">
        <v>3260</v>
      </c>
      <c r="J420" s="159">
        <v>2.058080808080808</v>
      </c>
      <c r="K420" s="49">
        <v>1</v>
      </c>
      <c r="L420" s="49">
        <v>2</v>
      </c>
      <c r="M420" s="83">
        <v>1</v>
      </c>
      <c r="N420" s="49">
        <v>0</v>
      </c>
      <c r="O420" s="49">
        <v>0</v>
      </c>
      <c r="P420" s="49">
        <v>1</v>
      </c>
      <c r="Q420" s="58">
        <v>0</v>
      </c>
      <c r="R420" s="42">
        <v>2</v>
      </c>
      <c r="S420" s="83">
        <v>1</v>
      </c>
      <c r="U420" s="83">
        <v>0</v>
      </c>
      <c r="V420" s="49">
        <v>0</v>
      </c>
      <c r="W420" s="49">
        <v>0</v>
      </c>
      <c r="X420" s="58"/>
      <c r="Y420" s="83">
        <v>1</v>
      </c>
      <c r="Z420" s="49">
        <v>7</v>
      </c>
      <c r="AA420" s="49">
        <v>15</v>
      </c>
      <c r="AF420" s="49">
        <v>10</v>
      </c>
      <c r="AG420" s="49">
        <v>29</v>
      </c>
      <c r="AH420" s="49">
        <v>18</v>
      </c>
      <c r="AI420" s="49">
        <v>103</v>
      </c>
      <c r="AJ420" s="49">
        <v>0</v>
      </c>
      <c r="AK420" s="83">
        <v>0</v>
      </c>
      <c r="AL420" s="49">
        <v>1</v>
      </c>
      <c r="AM420" s="49">
        <v>1</v>
      </c>
      <c r="AN420" s="49">
        <v>0</v>
      </c>
      <c r="AO420" s="58">
        <v>0</v>
      </c>
      <c r="AP420" s="174">
        <v>389</v>
      </c>
      <c r="AQ420" s="175">
        <v>1061</v>
      </c>
      <c r="AR420" s="175">
        <v>63</v>
      </c>
      <c r="AS420" s="175">
        <v>96</v>
      </c>
      <c r="AT420" s="175">
        <v>0</v>
      </c>
      <c r="AU420" s="175">
        <v>0</v>
      </c>
      <c r="AV420" s="175">
        <v>0</v>
      </c>
      <c r="AW420" s="175">
        <v>0</v>
      </c>
      <c r="AX420" s="83">
        <v>0</v>
      </c>
      <c r="AY420" s="49">
        <v>0</v>
      </c>
      <c r="AZ420" s="49">
        <v>0</v>
      </c>
      <c r="BA420" s="49">
        <v>0</v>
      </c>
      <c r="BB420" s="58">
        <v>0</v>
      </c>
      <c r="BC420" s="42">
        <v>132</v>
      </c>
      <c r="BE420" s="49"/>
      <c r="BS420" s="58"/>
      <c r="BT420" s="83"/>
      <c r="CE420" s="83"/>
      <c r="CK420" s="58"/>
      <c r="CL420" s="83"/>
      <c r="CO420" s="58"/>
      <c r="CP420" s="83"/>
      <c r="CR420" s="58"/>
      <c r="CS420" s="83"/>
      <c r="CY420" s="83"/>
      <c r="DG420" s="58"/>
      <c r="DH420" s="83"/>
      <c r="DQ420" s="83"/>
      <c r="EE420" s="58"/>
      <c r="EF420" s="83"/>
      <c r="EI420" s="83"/>
      <c r="EK420" s="58"/>
      <c r="EL420" s="83"/>
      <c r="EO420" s="58"/>
      <c r="EP420" s="83"/>
      <c r="EQ420" s="58"/>
      <c r="ER420" s="83"/>
      <c r="ES420" s="58"/>
      <c r="ET420" s="83"/>
      <c r="EU420" s="58"/>
    </row>
    <row r="421" spans="1:151">
      <c r="A421" s="42" t="s">
        <v>325</v>
      </c>
      <c r="B421" s="173" t="s">
        <v>511</v>
      </c>
      <c r="C421" s="173" t="s">
        <v>510</v>
      </c>
      <c r="D421" s="83" t="s">
        <v>73</v>
      </c>
      <c r="F421" s="49" t="s">
        <v>286</v>
      </c>
      <c r="G421" s="49">
        <v>31.957999999999998</v>
      </c>
      <c r="I421" s="49">
        <v>1599</v>
      </c>
      <c r="J421" s="159">
        <v>1.9962546816479401</v>
      </c>
      <c r="K421" s="49">
        <v>1</v>
      </c>
      <c r="L421" s="49">
        <v>2</v>
      </c>
      <c r="M421" s="83">
        <v>1</v>
      </c>
      <c r="N421" s="49">
        <v>1</v>
      </c>
      <c r="O421" s="49">
        <v>1</v>
      </c>
      <c r="P421" s="49">
        <v>1</v>
      </c>
      <c r="Q421" s="58">
        <v>0</v>
      </c>
      <c r="R421" s="42">
        <v>4</v>
      </c>
      <c r="S421" s="83" t="s">
        <v>284</v>
      </c>
      <c r="U421" s="83">
        <v>2</v>
      </c>
      <c r="V421" s="49">
        <v>2</v>
      </c>
      <c r="W421" s="49">
        <v>1</v>
      </c>
      <c r="X421" s="58">
        <v>3</v>
      </c>
      <c r="Y421" s="83">
        <v>1</v>
      </c>
      <c r="Z421" s="49">
        <v>4</v>
      </c>
      <c r="AA421" s="49">
        <v>5</v>
      </c>
      <c r="AD421" s="49">
        <v>4</v>
      </c>
      <c r="AE421" s="49">
        <v>14</v>
      </c>
      <c r="AH421" s="49">
        <v>22</v>
      </c>
      <c r="AI421" s="49">
        <v>140</v>
      </c>
      <c r="AJ421" s="49">
        <v>0</v>
      </c>
      <c r="AK421" s="83">
        <v>0</v>
      </c>
      <c r="AL421" s="49">
        <v>1</v>
      </c>
      <c r="AM421" s="49">
        <v>1</v>
      </c>
      <c r="AN421" s="49">
        <v>0</v>
      </c>
      <c r="AO421" s="58">
        <v>0</v>
      </c>
      <c r="AP421" s="174">
        <v>0</v>
      </c>
      <c r="AQ421" s="175">
        <v>251</v>
      </c>
      <c r="AR421" s="175">
        <v>40</v>
      </c>
      <c r="AS421" s="175">
        <v>86</v>
      </c>
      <c r="AT421" s="175">
        <v>0</v>
      </c>
      <c r="AU421" s="175">
        <v>0</v>
      </c>
      <c r="AV421" s="175">
        <v>0</v>
      </c>
      <c r="AW421" s="175">
        <v>0</v>
      </c>
      <c r="AX421" s="83">
        <v>0</v>
      </c>
      <c r="AY421" s="49">
        <v>0</v>
      </c>
      <c r="AZ421" s="49">
        <v>0</v>
      </c>
      <c r="BA421" s="49">
        <v>0</v>
      </c>
      <c r="BB421" s="58">
        <v>0</v>
      </c>
      <c r="BC421" s="42">
        <v>111</v>
      </c>
      <c r="BE421" s="49"/>
      <c r="BS421" s="58"/>
      <c r="BT421" s="83"/>
      <c r="CE421" s="83"/>
      <c r="CK421" s="58"/>
      <c r="CL421" s="83"/>
      <c r="CO421" s="58"/>
      <c r="CP421" s="83"/>
      <c r="CR421" s="58"/>
      <c r="CS421" s="83"/>
      <c r="CY421" s="83"/>
      <c r="DG421" s="58"/>
      <c r="DH421" s="83"/>
      <c r="DQ421" s="83"/>
      <c r="EE421" s="58"/>
      <c r="EF421" s="83"/>
      <c r="EI421" s="83"/>
      <c r="EK421" s="58"/>
      <c r="EL421" s="83"/>
      <c r="EO421" s="58"/>
      <c r="EP421" s="83"/>
      <c r="EQ421" s="58"/>
      <c r="ER421" s="83"/>
      <c r="ES421" s="58"/>
      <c r="ET421" s="83"/>
      <c r="EU421" s="58"/>
    </row>
    <row r="422" spans="1:151">
      <c r="A422" s="42" t="s">
        <v>325</v>
      </c>
      <c r="B422" s="173" t="s">
        <v>511</v>
      </c>
      <c r="C422" s="173" t="s">
        <v>510</v>
      </c>
      <c r="D422" s="83" t="s">
        <v>81</v>
      </c>
      <c r="F422" s="49" t="s">
        <v>286</v>
      </c>
      <c r="G422" s="49">
        <v>31.957999999999998</v>
      </c>
      <c r="I422" s="49">
        <v>1091</v>
      </c>
      <c r="J422" s="159">
        <v>2.122568093385214</v>
      </c>
      <c r="K422" s="49">
        <v>1</v>
      </c>
      <c r="L422" s="49">
        <v>2</v>
      </c>
      <c r="M422" s="83">
        <v>1</v>
      </c>
      <c r="N422" s="49">
        <v>0</v>
      </c>
      <c r="O422" s="49">
        <v>1</v>
      </c>
      <c r="P422" s="49">
        <v>1</v>
      </c>
      <c r="Q422" s="58">
        <v>0</v>
      </c>
      <c r="R422" s="42">
        <v>3</v>
      </c>
      <c r="S422" s="83">
        <v>1</v>
      </c>
      <c r="U422" s="83">
        <v>1</v>
      </c>
      <c r="V422" s="49">
        <v>3</v>
      </c>
      <c r="W422" s="49">
        <v>1</v>
      </c>
      <c r="X422" s="58">
        <v>3</v>
      </c>
      <c r="Y422" s="83">
        <v>0</v>
      </c>
      <c r="AJ422" s="49">
        <v>0</v>
      </c>
      <c r="AK422" s="83">
        <v>0</v>
      </c>
      <c r="AL422" s="49">
        <v>1</v>
      </c>
      <c r="AM422" s="49">
        <v>0</v>
      </c>
      <c r="AN422" s="49">
        <v>0</v>
      </c>
      <c r="AO422" s="58">
        <v>0</v>
      </c>
      <c r="AP422" s="174">
        <v>541</v>
      </c>
      <c r="AQ422" s="175">
        <v>557</v>
      </c>
      <c r="AR422" s="175">
        <v>0</v>
      </c>
      <c r="AS422" s="175">
        <v>0</v>
      </c>
      <c r="AT422" s="175">
        <v>0</v>
      </c>
      <c r="AU422" s="175">
        <v>0</v>
      </c>
      <c r="AV422" s="175">
        <v>0</v>
      </c>
      <c r="AW422" s="175">
        <v>0</v>
      </c>
      <c r="AX422" s="83">
        <v>0</v>
      </c>
      <c r="AY422" s="49">
        <v>0</v>
      </c>
      <c r="AZ422" s="49">
        <v>0</v>
      </c>
      <c r="BA422" s="49">
        <v>0</v>
      </c>
      <c r="BB422" s="58">
        <v>0</v>
      </c>
      <c r="BC422" s="42">
        <v>113</v>
      </c>
      <c r="BE422" s="49"/>
      <c r="BS422" s="58"/>
      <c r="BT422" s="83"/>
      <c r="CE422" s="83"/>
      <c r="CK422" s="58"/>
      <c r="CL422" s="83"/>
      <c r="CO422" s="58"/>
      <c r="CP422" s="83"/>
      <c r="CR422" s="58"/>
      <c r="CS422" s="83"/>
      <c r="CY422" s="83"/>
      <c r="DG422" s="58"/>
      <c r="DH422" s="83"/>
      <c r="DQ422" s="83"/>
      <c r="EE422" s="58"/>
      <c r="EF422" s="83"/>
      <c r="EI422" s="83"/>
      <c r="EK422" s="58"/>
      <c r="EL422" s="83"/>
      <c r="EO422" s="58"/>
      <c r="EP422" s="83"/>
      <c r="EQ422" s="58"/>
      <c r="ER422" s="83"/>
      <c r="ES422" s="58"/>
      <c r="ET422" s="83"/>
      <c r="EU422" s="58"/>
    </row>
    <row r="423" spans="1:151">
      <c r="A423" s="42" t="s">
        <v>325</v>
      </c>
      <c r="B423" s="173" t="s">
        <v>511</v>
      </c>
      <c r="C423" s="173" t="s">
        <v>510</v>
      </c>
      <c r="D423" s="83" t="s">
        <v>87</v>
      </c>
      <c r="F423" s="49" t="s">
        <v>286</v>
      </c>
      <c r="G423" s="49">
        <v>31.957999999999998</v>
      </c>
      <c r="I423" s="49">
        <v>1288</v>
      </c>
      <c r="J423" s="159">
        <v>1.248062015503876</v>
      </c>
      <c r="K423" s="49">
        <v>4</v>
      </c>
      <c r="L423" s="49">
        <v>3</v>
      </c>
      <c r="M423" s="83">
        <v>0</v>
      </c>
      <c r="N423" s="49">
        <v>0</v>
      </c>
      <c r="O423" s="49">
        <v>0</v>
      </c>
      <c r="P423" s="49">
        <v>1</v>
      </c>
      <c r="Q423" s="58">
        <v>0</v>
      </c>
      <c r="R423" s="42">
        <v>1</v>
      </c>
      <c r="S423" s="83" t="s">
        <v>284</v>
      </c>
      <c r="U423" s="83">
        <v>1</v>
      </c>
      <c r="V423" s="49">
        <v>3</v>
      </c>
      <c r="W423" s="49">
        <v>1</v>
      </c>
      <c r="X423" s="58"/>
      <c r="Y423" s="83">
        <v>1</v>
      </c>
      <c r="AA423" s="49">
        <v>4</v>
      </c>
      <c r="AD423" s="49">
        <v>18</v>
      </c>
      <c r="AE423" s="49">
        <v>34</v>
      </c>
      <c r="AH423" s="49">
        <v>10</v>
      </c>
      <c r="AI423" s="49">
        <v>31</v>
      </c>
      <c r="AJ423" s="49">
        <v>0</v>
      </c>
      <c r="AK423" s="83">
        <v>0</v>
      </c>
      <c r="AL423" s="49">
        <v>1</v>
      </c>
      <c r="AM423" s="49">
        <v>0</v>
      </c>
      <c r="AN423" s="49">
        <v>0</v>
      </c>
      <c r="AO423" s="58">
        <v>0</v>
      </c>
      <c r="AP423" s="174">
        <v>0</v>
      </c>
      <c r="AQ423" s="175">
        <v>491</v>
      </c>
      <c r="AR423" s="175">
        <v>0</v>
      </c>
      <c r="AS423" s="175">
        <v>0</v>
      </c>
      <c r="AT423" s="175">
        <v>0</v>
      </c>
      <c r="AU423" s="175">
        <v>0</v>
      </c>
      <c r="AV423" s="175">
        <v>0</v>
      </c>
      <c r="AW423" s="175">
        <v>0</v>
      </c>
      <c r="AX423" s="83">
        <v>0</v>
      </c>
      <c r="AY423" s="49">
        <v>0</v>
      </c>
      <c r="AZ423" s="49">
        <v>0</v>
      </c>
      <c r="BA423" s="49">
        <v>0</v>
      </c>
      <c r="BB423" s="58">
        <v>0</v>
      </c>
      <c r="BC423" s="42">
        <v>120</v>
      </c>
      <c r="BE423" s="49"/>
      <c r="BS423" s="58"/>
      <c r="BT423" s="83"/>
      <c r="CE423" s="83"/>
      <c r="CK423" s="58"/>
      <c r="CL423" s="83"/>
      <c r="CO423" s="58"/>
      <c r="CP423" s="83"/>
      <c r="CR423" s="58"/>
      <c r="CS423" s="83"/>
      <c r="CY423" s="83"/>
      <c r="DG423" s="58"/>
      <c r="DH423" s="83"/>
      <c r="DQ423" s="83"/>
      <c r="EE423" s="58"/>
      <c r="EF423" s="83"/>
      <c r="EI423" s="83"/>
      <c r="EK423" s="58"/>
      <c r="EL423" s="83"/>
      <c r="EO423" s="58"/>
      <c r="EP423" s="83"/>
      <c r="EQ423" s="58"/>
      <c r="ER423" s="83"/>
      <c r="ES423" s="58"/>
      <c r="ET423" s="83"/>
      <c r="EU423" s="58"/>
    </row>
    <row r="424" spans="1:151">
      <c r="A424" s="42" t="s">
        <v>325</v>
      </c>
      <c r="B424" s="173" t="s">
        <v>511</v>
      </c>
      <c r="C424" s="173" t="s">
        <v>510</v>
      </c>
      <c r="D424" s="83" t="s">
        <v>88</v>
      </c>
      <c r="F424" s="49" t="s">
        <v>286</v>
      </c>
      <c r="G424" s="49">
        <v>31.957999999999998</v>
      </c>
      <c r="I424" s="49">
        <v>1808</v>
      </c>
      <c r="J424" s="159">
        <v>1.0290267501422881</v>
      </c>
      <c r="K424" s="49">
        <v>1</v>
      </c>
      <c r="L424" s="49">
        <v>2</v>
      </c>
      <c r="M424" s="83">
        <v>0</v>
      </c>
      <c r="N424" s="49">
        <v>0</v>
      </c>
      <c r="O424" s="49">
        <v>0</v>
      </c>
      <c r="P424" s="49">
        <v>1</v>
      </c>
      <c r="Q424" s="58">
        <v>0</v>
      </c>
      <c r="R424" s="42">
        <v>1</v>
      </c>
      <c r="S424" s="83" t="s">
        <v>284</v>
      </c>
      <c r="U424" s="83">
        <v>1</v>
      </c>
      <c r="V424" s="49">
        <v>1</v>
      </c>
      <c r="W424" s="49">
        <v>2</v>
      </c>
      <c r="X424" s="58"/>
      <c r="Y424" s="83">
        <v>1</v>
      </c>
      <c r="AA424" s="49">
        <v>5</v>
      </c>
      <c r="AD424" s="49">
        <v>13</v>
      </c>
      <c r="AE424" s="49">
        <v>14</v>
      </c>
      <c r="AF424" s="49">
        <v>16</v>
      </c>
      <c r="AG424" s="49">
        <v>2</v>
      </c>
      <c r="AJ424" s="49">
        <v>0</v>
      </c>
      <c r="AK424" s="83">
        <v>0</v>
      </c>
      <c r="AL424" s="49">
        <v>1</v>
      </c>
      <c r="AM424" s="49">
        <v>0</v>
      </c>
      <c r="AN424" s="49">
        <v>0</v>
      </c>
      <c r="AO424" s="58">
        <v>0</v>
      </c>
      <c r="AP424" s="174">
        <v>0</v>
      </c>
      <c r="AQ424" s="175">
        <v>786</v>
      </c>
      <c r="AR424" s="175">
        <v>0</v>
      </c>
      <c r="AS424" s="175">
        <v>0</v>
      </c>
      <c r="AT424" s="175">
        <v>0</v>
      </c>
      <c r="AU424" s="175">
        <v>0</v>
      </c>
      <c r="AV424" s="175">
        <v>0</v>
      </c>
      <c r="AW424" s="175">
        <v>0</v>
      </c>
      <c r="AX424" s="83">
        <v>0</v>
      </c>
      <c r="AY424" s="49">
        <v>0</v>
      </c>
      <c r="AZ424" s="49">
        <v>0</v>
      </c>
      <c r="BA424" s="49">
        <v>0</v>
      </c>
      <c r="BB424" s="58">
        <v>0</v>
      </c>
      <c r="BC424" s="42">
        <v>118</v>
      </c>
      <c r="BE424" s="49"/>
      <c r="BS424" s="58"/>
      <c r="BT424" s="83"/>
      <c r="CE424" s="83"/>
      <c r="CK424" s="58"/>
      <c r="CL424" s="83"/>
      <c r="CO424" s="58"/>
      <c r="CP424" s="83"/>
      <c r="CR424" s="58"/>
      <c r="CS424" s="83"/>
      <c r="CY424" s="83"/>
      <c r="DG424" s="58"/>
      <c r="DH424" s="83"/>
      <c r="DQ424" s="83"/>
      <c r="EE424" s="58"/>
      <c r="EF424" s="83"/>
      <c r="EI424" s="83"/>
      <c r="EK424" s="58"/>
      <c r="EL424" s="83"/>
      <c r="EO424" s="58"/>
      <c r="EP424" s="83"/>
      <c r="EQ424" s="58"/>
      <c r="ER424" s="83"/>
      <c r="ES424" s="58"/>
      <c r="ET424" s="83"/>
      <c r="EU424" s="58"/>
    </row>
    <row r="425" spans="1:151">
      <c r="A425" s="42" t="s">
        <v>325</v>
      </c>
      <c r="B425" s="173" t="s">
        <v>511</v>
      </c>
      <c r="C425" s="173" t="s">
        <v>510</v>
      </c>
      <c r="D425" s="83" t="s">
        <v>111</v>
      </c>
      <c r="E425" s="49" t="s">
        <v>0</v>
      </c>
      <c r="F425" s="49" t="s">
        <v>286</v>
      </c>
      <c r="G425" s="49">
        <v>31.957999999999998</v>
      </c>
      <c r="I425" s="49">
        <v>1454</v>
      </c>
      <c r="J425" s="159">
        <v>1.4867075664621676</v>
      </c>
      <c r="K425" s="49">
        <v>1</v>
      </c>
      <c r="L425" s="49">
        <v>3</v>
      </c>
      <c r="M425" s="83">
        <v>0</v>
      </c>
      <c r="N425" s="49">
        <v>0</v>
      </c>
      <c r="O425" s="49">
        <v>0</v>
      </c>
      <c r="P425" s="49">
        <v>1</v>
      </c>
      <c r="Q425" s="58">
        <v>0</v>
      </c>
      <c r="R425" s="42">
        <v>1</v>
      </c>
      <c r="S425" s="83" t="s">
        <v>284</v>
      </c>
      <c r="U425" s="83">
        <v>1</v>
      </c>
      <c r="V425" s="49">
        <v>3</v>
      </c>
      <c r="W425" s="49">
        <v>2</v>
      </c>
      <c r="X425" s="58"/>
      <c r="Y425" s="83">
        <v>1</v>
      </c>
      <c r="AD425" s="49">
        <v>7</v>
      </c>
      <c r="AE425" s="49">
        <v>15</v>
      </c>
      <c r="AF425" s="49">
        <v>13</v>
      </c>
      <c r="AG425" s="49">
        <v>14</v>
      </c>
      <c r="AH425" s="49">
        <v>17</v>
      </c>
      <c r="AI425" s="49">
        <v>72</v>
      </c>
      <c r="AJ425" s="49">
        <v>0</v>
      </c>
      <c r="AK425" s="83">
        <v>0</v>
      </c>
      <c r="AL425" s="49">
        <v>0</v>
      </c>
      <c r="AM425" s="49">
        <v>0</v>
      </c>
      <c r="AN425" s="49">
        <v>0</v>
      </c>
      <c r="AO425" s="58">
        <v>0</v>
      </c>
      <c r="AP425" s="174">
        <v>0</v>
      </c>
      <c r="AQ425" s="175">
        <v>0</v>
      </c>
      <c r="AR425" s="175">
        <v>0</v>
      </c>
      <c r="AS425" s="175">
        <v>0</v>
      </c>
      <c r="AT425" s="175">
        <v>0</v>
      </c>
      <c r="AU425" s="175">
        <v>0</v>
      </c>
      <c r="AV425" s="175">
        <v>0</v>
      </c>
      <c r="AW425" s="175">
        <v>0</v>
      </c>
      <c r="AX425" s="83">
        <v>0</v>
      </c>
      <c r="AY425" s="49">
        <v>0</v>
      </c>
      <c r="AZ425" s="49">
        <v>0</v>
      </c>
      <c r="BA425" s="49">
        <v>0</v>
      </c>
      <c r="BB425" s="58">
        <v>0</v>
      </c>
      <c r="BC425" s="42">
        <v>130</v>
      </c>
      <c r="BE425" s="49"/>
      <c r="BS425" s="58"/>
      <c r="BT425" s="83"/>
      <c r="CE425" s="83"/>
      <c r="CK425" s="58"/>
      <c r="CL425" s="83"/>
      <c r="CO425" s="58"/>
      <c r="CP425" s="83"/>
      <c r="CR425" s="58"/>
      <c r="CS425" s="83"/>
      <c r="CY425" s="83"/>
      <c r="DG425" s="58"/>
      <c r="DH425" s="83"/>
      <c r="DQ425" s="83"/>
      <c r="EE425" s="58"/>
      <c r="EF425" s="83"/>
      <c r="EI425" s="83"/>
      <c r="EK425" s="58"/>
      <c r="EL425" s="83"/>
      <c r="EO425" s="58"/>
      <c r="EP425" s="83"/>
      <c r="EQ425" s="58"/>
      <c r="ER425" s="83"/>
      <c r="ES425" s="58"/>
      <c r="ET425" s="83"/>
      <c r="EU425" s="58"/>
    </row>
    <row r="426" spans="1:151">
      <c r="A426" s="42" t="s">
        <v>325</v>
      </c>
      <c r="B426" s="173" t="s">
        <v>511</v>
      </c>
      <c r="C426" s="173" t="s">
        <v>510</v>
      </c>
      <c r="D426" s="83" t="s">
        <v>111</v>
      </c>
      <c r="E426" s="49" t="s">
        <v>1</v>
      </c>
      <c r="F426" s="49" t="s">
        <v>286</v>
      </c>
      <c r="G426" s="49">
        <v>31.957999999999998</v>
      </c>
      <c r="I426" s="49">
        <v>1367</v>
      </c>
      <c r="J426" s="159">
        <v>1.7369758576874206</v>
      </c>
      <c r="K426" s="49">
        <v>1</v>
      </c>
      <c r="L426" s="49">
        <v>2</v>
      </c>
      <c r="M426" s="83">
        <v>0</v>
      </c>
      <c r="N426" s="49">
        <v>0</v>
      </c>
      <c r="O426" s="49">
        <v>1</v>
      </c>
      <c r="P426" s="49">
        <v>1</v>
      </c>
      <c r="Q426" s="58">
        <v>0</v>
      </c>
      <c r="R426" s="42">
        <v>2</v>
      </c>
      <c r="S426" s="83" t="s">
        <v>284</v>
      </c>
      <c r="U426" s="83">
        <v>1</v>
      </c>
      <c r="V426" s="49">
        <v>2</v>
      </c>
      <c r="W426" s="49">
        <v>2</v>
      </c>
      <c r="X426" s="58"/>
      <c r="Y426" s="83">
        <v>0</v>
      </c>
      <c r="AJ426" s="49">
        <v>0</v>
      </c>
      <c r="AK426" s="83">
        <v>0</v>
      </c>
      <c r="AL426" s="49">
        <v>0</v>
      </c>
      <c r="AM426" s="49">
        <v>0</v>
      </c>
      <c r="AN426" s="49">
        <v>0</v>
      </c>
      <c r="AO426" s="58">
        <v>0</v>
      </c>
      <c r="AP426" s="174">
        <v>0</v>
      </c>
      <c r="AQ426" s="175">
        <v>0</v>
      </c>
      <c r="AR426" s="175">
        <v>0</v>
      </c>
      <c r="AS426" s="175">
        <v>0</v>
      </c>
      <c r="AT426" s="175">
        <v>0</v>
      </c>
      <c r="AU426" s="175">
        <v>0</v>
      </c>
      <c r="AV426" s="175">
        <v>0</v>
      </c>
      <c r="AW426" s="175">
        <v>0</v>
      </c>
      <c r="AX426" s="83">
        <v>0</v>
      </c>
      <c r="AY426" s="49">
        <v>0</v>
      </c>
      <c r="AZ426" s="49">
        <v>0</v>
      </c>
      <c r="BA426" s="49">
        <v>0</v>
      </c>
      <c r="BB426" s="58">
        <v>0</v>
      </c>
      <c r="BC426" s="42">
        <v>130</v>
      </c>
      <c r="BE426" s="49"/>
      <c r="BS426" s="58"/>
      <c r="BT426" s="83"/>
      <c r="CE426" s="83"/>
      <c r="CK426" s="58"/>
      <c r="CL426" s="83"/>
      <c r="CO426" s="58"/>
      <c r="CP426" s="83"/>
      <c r="CR426" s="58"/>
      <c r="CS426" s="83"/>
      <c r="CY426" s="83"/>
      <c r="DG426" s="58"/>
      <c r="DH426" s="83"/>
      <c r="DQ426" s="83"/>
      <c r="EE426" s="58"/>
      <c r="EF426" s="83"/>
      <c r="EI426" s="83"/>
      <c r="EK426" s="58"/>
      <c r="EL426" s="83"/>
      <c r="EO426" s="58"/>
      <c r="EP426" s="83"/>
      <c r="EQ426" s="58"/>
      <c r="ER426" s="83"/>
      <c r="ES426" s="58"/>
      <c r="ET426" s="83"/>
      <c r="EU426" s="58"/>
    </row>
    <row r="427" spans="1:151">
      <c r="A427" s="42" t="s">
        <v>325</v>
      </c>
      <c r="B427" s="173" t="s">
        <v>511</v>
      </c>
      <c r="C427" s="173" t="s">
        <v>510</v>
      </c>
      <c r="D427" s="83" t="s">
        <v>92</v>
      </c>
      <c r="F427" s="49" t="s">
        <v>286</v>
      </c>
      <c r="G427" s="49">
        <v>31.957999999999998</v>
      </c>
      <c r="I427" s="49">
        <v>2726</v>
      </c>
      <c r="J427" s="159">
        <v>2.3828671328671329</v>
      </c>
      <c r="K427" s="49">
        <v>4</v>
      </c>
      <c r="L427" s="49">
        <v>3</v>
      </c>
      <c r="M427" s="83">
        <v>0</v>
      </c>
      <c r="N427" s="49">
        <v>1</v>
      </c>
      <c r="O427" s="49">
        <v>0</v>
      </c>
      <c r="P427" s="49">
        <v>0</v>
      </c>
      <c r="Q427" s="58">
        <v>0</v>
      </c>
      <c r="R427" s="42">
        <v>1</v>
      </c>
      <c r="S427" s="83" t="s">
        <v>284</v>
      </c>
      <c r="U427" s="83">
        <v>1</v>
      </c>
      <c r="V427" s="49">
        <v>2</v>
      </c>
      <c r="W427" s="49">
        <v>2</v>
      </c>
      <c r="X427" s="58"/>
      <c r="Y427" s="83">
        <v>1</v>
      </c>
      <c r="AD427" s="49">
        <v>14</v>
      </c>
      <c r="AE427" s="49">
        <v>74</v>
      </c>
      <c r="AF427" s="49">
        <v>9</v>
      </c>
      <c r="AG427" s="49">
        <v>267</v>
      </c>
      <c r="AJ427" s="49">
        <v>0</v>
      </c>
      <c r="AK427" s="83">
        <v>0</v>
      </c>
      <c r="AL427" s="49">
        <v>1</v>
      </c>
      <c r="AM427" s="49">
        <v>0</v>
      </c>
      <c r="AN427" s="49">
        <v>0</v>
      </c>
      <c r="AO427" s="58">
        <v>0</v>
      </c>
      <c r="AP427" s="174">
        <v>307</v>
      </c>
      <c r="AQ427" s="175">
        <v>773</v>
      </c>
      <c r="AR427" s="175">
        <v>0</v>
      </c>
      <c r="AS427" s="175">
        <v>0</v>
      </c>
      <c r="AT427" s="175">
        <v>0</v>
      </c>
      <c r="AU427" s="175">
        <v>0</v>
      </c>
      <c r="AV427" s="175">
        <v>0</v>
      </c>
      <c r="AW427" s="175">
        <v>0</v>
      </c>
      <c r="AX427" s="83">
        <v>0</v>
      </c>
      <c r="AY427" s="49">
        <v>0</v>
      </c>
      <c r="AZ427" s="49">
        <v>0</v>
      </c>
      <c r="BA427" s="49">
        <v>0</v>
      </c>
      <c r="BB427" s="58">
        <v>0</v>
      </c>
      <c r="BC427" s="42">
        <v>134</v>
      </c>
      <c r="BE427" s="49"/>
      <c r="BS427" s="58"/>
      <c r="BT427" s="83"/>
      <c r="CE427" s="83"/>
      <c r="CK427" s="58"/>
      <c r="CL427" s="83"/>
      <c r="CO427" s="58"/>
      <c r="CP427" s="83"/>
      <c r="CR427" s="58"/>
      <c r="CS427" s="83"/>
      <c r="CY427" s="83"/>
      <c r="DG427" s="58"/>
      <c r="DH427" s="83"/>
      <c r="DQ427" s="83"/>
      <c r="EE427" s="58"/>
      <c r="EF427" s="83"/>
      <c r="EI427" s="83"/>
      <c r="EK427" s="58"/>
      <c r="EL427" s="83"/>
      <c r="EO427" s="58"/>
      <c r="EP427" s="83"/>
      <c r="EQ427" s="58"/>
      <c r="ER427" s="83"/>
      <c r="ES427" s="58"/>
      <c r="ET427" s="83"/>
      <c r="EU427" s="58"/>
    </row>
    <row r="428" spans="1:151">
      <c r="A428" s="42" t="s">
        <v>325</v>
      </c>
      <c r="B428" s="173" t="s">
        <v>511</v>
      </c>
      <c r="C428" s="173" t="s">
        <v>510</v>
      </c>
      <c r="D428" s="83" t="s">
        <v>93</v>
      </c>
      <c r="F428" s="49" t="s">
        <v>286</v>
      </c>
      <c r="G428" s="49">
        <v>31.957999999999998</v>
      </c>
      <c r="I428" s="49">
        <v>1308</v>
      </c>
      <c r="J428" s="159">
        <v>2.6969072164948455</v>
      </c>
      <c r="K428" s="49">
        <v>1</v>
      </c>
      <c r="L428" s="49">
        <v>2</v>
      </c>
      <c r="M428" s="83">
        <v>0</v>
      </c>
      <c r="N428" s="49">
        <v>2</v>
      </c>
      <c r="O428" s="49">
        <v>0</v>
      </c>
      <c r="P428" s="49">
        <v>0</v>
      </c>
      <c r="Q428" s="58">
        <v>0</v>
      </c>
      <c r="R428" s="42">
        <v>2</v>
      </c>
      <c r="S428" s="83" t="s">
        <v>284</v>
      </c>
      <c r="U428" s="83">
        <v>1</v>
      </c>
      <c r="V428" s="49">
        <v>3</v>
      </c>
      <c r="W428" s="49">
        <v>2</v>
      </c>
      <c r="X428" s="58"/>
      <c r="Y428" s="83">
        <v>1</v>
      </c>
      <c r="AE428" s="49">
        <v>4</v>
      </c>
      <c r="AF428" s="49">
        <v>51</v>
      </c>
      <c r="AG428" s="49">
        <v>88</v>
      </c>
      <c r="AH428" s="49">
        <v>14</v>
      </c>
      <c r="AI428" s="49">
        <v>43</v>
      </c>
      <c r="AJ428" s="49">
        <v>0</v>
      </c>
      <c r="AK428" s="83">
        <v>0</v>
      </c>
      <c r="AL428" s="49">
        <v>0</v>
      </c>
      <c r="AM428" s="49">
        <v>1</v>
      </c>
      <c r="AN428" s="49">
        <v>0</v>
      </c>
      <c r="AO428" s="58">
        <v>1</v>
      </c>
      <c r="AP428" s="174">
        <v>0</v>
      </c>
      <c r="AQ428" s="175">
        <v>0</v>
      </c>
      <c r="AR428" s="175">
        <v>74</v>
      </c>
      <c r="AS428" s="175">
        <v>95</v>
      </c>
      <c r="AT428" s="175">
        <v>0</v>
      </c>
      <c r="AU428" s="175">
        <v>0</v>
      </c>
      <c r="AV428" s="175">
        <v>0</v>
      </c>
      <c r="AW428" s="175">
        <v>42</v>
      </c>
      <c r="AX428" s="83">
        <v>0</v>
      </c>
      <c r="AY428" s="49">
        <v>0</v>
      </c>
      <c r="AZ428" s="49">
        <v>0</v>
      </c>
      <c r="BA428" s="49">
        <v>0</v>
      </c>
      <c r="BB428" s="58">
        <v>0</v>
      </c>
      <c r="BC428" s="42">
        <v>115</v>
      </c>
      <c r="BD428" s="49">
        <v>78.680000000000007</v>
      </c>
      <c r="BE428" s="49">
        <v>79.239999999999995</v>
      </c>
      <c r="BS428" s="58"/>
      <c r="BT428" s="83">
        <v>70.97</v>
      </c>
      <c r="CE428" s="83"/>
      <c r="CK428" s="58"/>
      <c r="CL428" s="83">
        <v>57.72</v>
      </c>
      <c r="CO428" s="58"/>
      <c r="CP428" s="83"/>
      <c r="CR428" s="58"/>
      <c r="CS428" s="83"/>
      <c r="CY428" s="83"/>
      <c r="DG428" s="58"/>
      <c r="DH428" s="83"/>
      <c r="DQ428" s="83"/>
      <c r="EE428" s="58"/>
      <c r="EF428" s="83"/>
      <c r="EI428" s="83"/>
      <c r="EK428" s="58"/>
      <c r="EL428" s="83"/>
      <c r="EO428" s="58"/>
      <c r="EP428" s="83"/>
      <c r="EQ428" s="58"/>
      <c r="ER428" s="83"/>
      <c r="ES428" s="58"/>
      <c r="ET428" s="83"/>
      <c r="EU428" s="58"/>
    </row>
    <row r="429" spans="1:151">
      <c r="A429" s="42" t="s">
        <v>325</v>
      </c>
      <c r="B429" s="173" t="s">
        <v>511</v>
      </c>
      <c r="C429" s="173" t="s">
        <v>510</v>
      </c>
      <c r="D429" s="83" t="s">
        <v>112</v>
      </c>
      <c r="F429" s="49" t="s">
        <v>286</v>
      </c>
      <c r="G429" s="49">
        <v>31.957999999999998</v>
      </c>
      <c r="I429" s="49">
        <v>2227</v>
      </c>
      <c r="J429" s="159">
        <v>1.858931552587646</v>
      </c>
      <c r="K429" s="49">
        <v>1</v>
      </c>
      <c r="L429" s="49">
        <v>2</v>
      </c>
      <c r="M429" s="83">
        <v>0</v>
      </c>
      <c r="N429" s="49">
        <v>1</v>
      </c>
      <c r="O429" s="49">
        <v>0</v>
      </c>
      <c r="P429" s="49">
        <v>0</v>
      </c>
      <c r="Q429" s="58">
        <v>0</v>
      </c>
      <c r="R429" s="42">
        <v>1</v>
      </c>
      <c r="S429" s="83" t="s">
        <v>284</v>
      </c>
      <c r="U429" s="83">
        <v>1</v>
      </c>
      <c r="V429" s="49">
        <v>1</v>
      </c>
      <c r="W429" s="49">
        <v>2</v>
      </c>
      <c r="X429" s="58"/>
      <c r="Y429" s="83">
        <v>10</v>
      </c>
      <c r="AD429" s="49">
        <v>7</v>
      </c>
      <c r="AE429" s="49">
        <v>201</v>
      </c>
      <c r="AF429" s="49">
        <v>110</v>
      </c>
      <c r="AG429" s="49">
        <v>503</v>
      </c>
      <c r="AH429" s="49">
        <v>5</v>
      </c>
      <c r="AI429" s="49">
        <v>712</v>
      </c>
      <c r="AJ429" s="49">
        <v>0</v>
      </c>
      <c r="AK429" s="83">
        <v>0</v>
      </c>
      <c r="AL429" s="49">
        <v>1</v>
      </c>
      <c r="AM429" s="49">
        <v>0</v>
      </c>
      <c r="AN429" s="49">
        <v>0</v>
      </c>
      <c r="AO429" s="58">
        <v>0</v>
      </c>
      <c r="AP429" s="174">
        <v>768</v>
      </c>
      <c r="AQ429" s="175">
        <v>0</v>
      </c>
      <c r="AR429" s="175">
        <v>0</v>
      </c>
      <c r="AS429" s="175">
        <v>0</v>
      </c>
      <c r="AT429" s="175">
        <v>0</v>
      </c>
      <c r="AU429" s="175">
        <v>0</v>
      </c>
      <c r="AV429" s="175">
        <v>0</v>
      </c>
      <c r="AW429" s="175">
        <v>0</v>
      </c>
      <c r="AX429" s="83">
        <v>0</v>
      </c>
      <c r="AY429" s="49">
        <v>0</v>
      </c>
      <c r="AZ429" s="49">
        <v>0</v>
      </c>
      <c r="BA429" s="49">
        <v>0</v>
      </c>
      <c r="BB429" s="58">
        <v>0</v>
      </c>
      <c r="BC429" s="42">
        <v>116</v>
      </c>
      <c r="BD429" s="49">
        <v>77.98</v>
      </c>
      <c r="BE429" s="49"/>
      <c r="BS429" s="58"/>
      <c r="BT429" s="83">
        <v>78.94</v>
      </c>
      <c r="CE429" s="83">
        <v>71.38</v>
      </c>
      <c r="CK429" s="58"/>
      <c r="CL429" s="83"/>
      <c r="CO429" s="58"/>
      <c r="CP429" s="83"/>
      <c r="CR429" s="58"/>
      <c r="CS429" s="83"/>
      <c r="CY429" s="83"/>
      <c r="DG429" s="58"/>
      <c r="DH429" s="83"/>
      <c r="DQ429" s="83"/>
      <c r="EE429" s="58"/>
      <c r="EF429" s="83"/>
      <c r="EI429" s="83"/>
      <c r="EK429" s="58"/>
      <c r="EL429" s="83"/>
      <c r="EO429" s="58"/>
      <c r="EP429" s="83"/>
      <c r="EQ429" s="58"/>
      <c r="ER429" s="83"/>
      <c r="ES429" s="58"/>
      <c r="ET429" s="83"/>
      <c r="EU429" s="58"/>
    </row>
    <row r="430" spans="1:151">
      <c r="A430" s="42" t="s">
        <v>325</v>
      </c>
      <c r="B430" s="173" t="s">
        <v>511</v>
      </c>
      <c r="C430" s="173" t="s">
        <v>510</v>
      </c>
      <c r="D430" s="83" t="s">
        <v>94</v>
      </c>
      <c r="F430" s="49" t="s">
        <v>286</v>
      </c>
      <c r="G430" s="49">
        <v>31.957999999999998</v>
      </c>
      <c r="I430" s="49">
        <v>1583</v>
      </c>
      <c r="J430" s="159">
        <v>3.1659999999999999</v>
      </c>
      <c r="K430" s="49">
        <v>1</v>
      </c>
      <c r="L430" s="49">
        <v>2</v>
      </c>
      <c r="M430" s="83">
        <v>0</v>
      </c>
      <c r="N430" s="49">
        <v>1</v>
      </c>
      <c r="O430" s="49">
        <v>0</v>
      </c>
      <c r="P430" s="49">
        <v>0</v>
      </c>
      <c r="Q430" s="58">
        <v>0</v>
      </c>
      <c r="R430" s="42">
        <v>1</v>
      </c>
      <c r="S430" s="83" t="s">
        <v>284</v>
      </c>
      <c r="U430" s="83">
        <v>1</v>
      </c>
      <c r="V430" s="49">
        <v>3</v>
      </c>
      <c r="W430" s="49">
        <v>2</v>
      </c>
      <c r="X430" s="58"/>
      <c r="Y430" s="83">
        <v>2</v>
      </c>
      <c r="AD430" s="49">
        <v>7</v>
      </c>
      <c r="AE430" s="49">
        <v>29</v>
      </c>
      <c r="AF430" s="49">
        <v>2</v>
      </c>
      <c r="AG430" s="49">
        <v>204</v>
      </c>
      <c r="AH430" s="49">
        <v>9</v>
      </c>
      <c r="AI430" s="49">
        <v>23</v>
      </c>
      <c r="AJ430" s="49">
        <v>0</v>
      </c>
      <c r="AK430" s="83">
        <v>0</v>
      </c>
      <c r="AL430" s="49">
        <v>1</v>
      </c>
      <c r="AM430" s="49">
        <v>1</v>
      </c>
      <c r="AN430" s="49">
        <v>0</v>
      </c>
      <c r="AO430" s="58">
        <v>0</v>
      </c>
      <c r="AP430" s="174">
        <v>0</v>
      </c>
      <c r="AQ430" s="175">
        <v>374</v>
      </c>
      <c r="AR430" s="175">
        <v>24</v>
      </c>
      <c r="AS430" s="175">
        <v>90</v>
      </c>
      <c r="AT430" s="175">
        <v>0</v>
      </c>
      <c r="AU430" s="175">
        <v>0</v>
      </c>
      <c r="AV430" s="175">
        <v>0</v>
      </c>
      <c r="AW430" s="175">
        <v>0</v>
      </c>
      <c r="AX430" s="83">
        <v>0</v>
      </c>
      <c r="AY430" s="49">
        <v>0</v>
      </c>
      <c r="AZ430" s="49">
        <v>0</v>
      </c>
      <c r="BA430" s="49">
        <v>0</v>
      </c>
      <c r="BB430" s="58">
        <v>0</v>
      </c>
      <c r="BC430" s="42">
        <v>103</v>
      </c>
      <c r="BE430" s="49"/>
      <c r="BS430" s="58"/>
      <c r="BT430" s="83"/>
      <c r="CE430" s="83"/>
      <c r="CK430" s="58"/>
      <c r="CL430" s="83"/>
      <c r="CO430" s="58"/>
      <c r="CP430" s="83"/>
      <c r="CR430" s="58"/>
      <c r="CS430" s="83"/>
      <c r="CY430" s="83"/>
      <c r="DG430" s="58"/>
      <c r="DH430" s="83"/>
      <c r="DQ430" s="83"/>
      <c r="EE430" s="58"/>
      <c r="EF430" s="83"/>
      <c r="EI430" s="83"/>
      <c r="EK430" s="58"/>
      <c r="EL430" s="83"/>
      <c r="EO430" s="58"/>
      <c r="EP430" s="83"/>
      <c r="EQ430" s="58"/>
      <c r="ER430" s="83"/>
      <c r="ES430" s="58"/>
      <c r="ET430" s="83"/>
      <c r="EU430" s="58"/>
    </row>
    <row r="431" spans="1:151">
      <c r="A431" s="42" t="s">
        <v>325</v>
      </c>
      <c r="B431" s="173" t="s">
        <v>511</v>
      </c>
      <c r="C431" s="173" t="s">
        <v>510</v>
      </c>
      <c r="D431" s="83" t="s">
        <v>95</v>
      </c>
      <c r="F431" s="49" t="s">
        <v>286</v>
      </c>
      <c r="G431" s="49">
        <v>31.957999999999998</v>
      </c>
      <c r="I431" s="49">
        <v>9469</v>
      </c>
      <c r="J431" s="159">
        <v>4.0431255337318532</v>
      </c>
      <c r="K431" s="49">
        <v>1</v>
      </c>
      <c r="L431" s="49">
        <v>3</v>
      </c>
      <c r="M431" s="83">
        <v>1</v>
      </c>
      <c r="N431" s="49">
        <v>0</v>
      </c>
      <c r="O431" s="49">
        <v>0</v>
      </c>
      <c r="P431" s="49">
        <v>1</v>
      </c>
      <c r="Q431" s="58">
        <v>0</v>
      </c>
      <c r="R431" s="42">
        <v>2</v>
      </c>
      <c r="S431" s="83">
        <v>1</v>
      </c>
      <c r="U431" s="83">
        <v>2</v>
      </c>
      <c r="V431" s="49">
        <v>2</v>
      </c>
      <c r="W431" s="49">
        <v>3</v>
      </c>
      <c r="X431" s="58">
        <v>2</v>
      </c>
      <c r="Y431" s="83">
        <v>7</v>
      </c>
      <c r="Z431" s="49">
        <v>8</v>
      </c>
      <c r="AA431" s="49">
        <v>29</v>
      </c>
      <c r="AD431" s="49">
        <v>9</v>
      </c>
      <c r="AE431" s="49">
        <v>521</v>
      </c>
      <c r="AF431" s="49">
        <v>10</v>
      </c>
      <c r="AG431" s="49">
        <v>137</v>
      </c>
      <c r="AH431" s="49">
        <v>41</v>
      </c>
      <c r="AI431" s="49">
        <v>1031</v>
      </c>
      <c r="AJ431" s="49">
        <v>0</v>
      </c>
      <c r="AK431" s="83">
        <v>0</v>
      </c>
      <c r="AL431" s="49">
        <v>1</v>
      </c>
      <c r="AM431" s="49">
        <v>1</v>
      </c>
      <c r="AN431" s="49">
        <v>0</v>
      </c>
      <c r="AO431" s="58">
        <v>0</v>
      </c>
      <c r="AP431" s="174">
        <v>601</v>
      </c>
      <c r="AQ431" s="175">
        <v>4213</v>
      </c>
      <c r="AR431" s="175">
        <v>853</v>
      </c>
      <c r="AS431" s="175">
        <v>3727</v>
      </c>
      <c r="AT431" s="175">
        <v>0</v>
      </c>
      <c r="AU431" s="175">
        <v>0</v>
      </c>
      <c r="AV431" s="175">
        <v>0</v>
      </c>
      <c r="AW431" s="175">
        <v>0</v>
      </c>
      <c r="AX431" s="83">
        <v>0</v>
      </c>
      <c r="AY431" s="49">
        <v>0</v>
      </c>
      <c r="AZ431" s="49">
        <v>0</v>
      </c>
      <c r="BA431" s="49">
        <v>0</v>
      </c>
      <c r="BB431" s="58">
        <v>0</v>
      </c>
      <c r="BC431" s="42">
        <v>149</v>
      </c>
      <c r="BD431" s="49">
        <v>79.91</v>
      </c>
      <c r="BE431" s="49">
        <v>79.3</v>
      </c>
      <c r="BF431" s="49">
        <v>79.569999999999993</v>
      </c>
      <c r="BG431" s="49">
        <v>79.61</v>
      </c>
      <c r="BS431" s="58"/>
      <c r="BT431" s="83">
        <v>80.22</v>
      </c>
      <c r="BU431" s="49">
        <v>80.28</v>
      </c>
      <c r="BV431" s="49">
        <v>80.02</v>
      </c>
      <c r="CE431" s="83"/>
      <c r="CK431" s="58"/>
      <c r="CL431" s="83">
        <v>65.97</v>
      </c>
      <c r="CO431" s="58"/>
      <c r="CP431" s="83">
        <v>69.739999999999995</v>
      </c>
      <c r="CR431" s="58"/>
      <c r="CS431" s="83"/>
      <c r="CY431" s="83"/>
      <c r="DG431" s="58"/>
      <c r="DH431" s="83"/>
      <c r="DQ431" s="83"/>
      <c r="EE431" s="58"/>
      <c r="EF431" s="83"/>
      <c r="EI431" s="83"/>
      <c r="EK431" s="58"/>
      <c r="EL431" s="83"/>
      <c r="EO431" s="58"/>
      <c r="EP431" s="83"/>
      <c r="EQ431" s="58"/>
      <c r="ER431" s="83"/>
      <c r="ES431" s="58"/>
      <c r="ET431" s="83"/>
      <c r="EU431" s="58"/>
    </row>
    <row r="432" spans="1:151">
      <c r="A432" s="42" t="s">
        <v>325</v>
      </c>
      <c r="B432" s="173" t="s">
        <v>511</v>
      </c>
      <c r="C432" s="173" t="s">
        <v>510</v>
      </c>
      <c r="D432" s="83" t="s">
        <v>96</v>
      </c>
      <c r="F432" s="49" t="s">
        <v>286</v>
      </c>
      <c r="G432" s="49">
        <v>31.957999999999998</v>
      </c>
      <c r="I432" s="49">
        <v>3036</v>
      </c>
      <c r="J432" s="159">
        <v>1.1731066460587327</v>
      </c>
      <c r="K432" s="49">
        <v>1</v>
      </c>
      <c r="L432" s="49">
        <v>3</v>
      </c>
      <c r="M432" s="83">
        <v>1</v>
      </c>
      <c r="N432" s="49">
        <v>0</v>
      </c>
      <c r="O432" s="49">
        <v>0</v>
      </c>
      <c r="P432" s="49">
        <v>0</v>
      </c>
      <c r="Q432" s="58">
        <v>0</v>
      </c>
      <c r="R432" s="42">
        <v>1</v>
      </c>
      <c r="S432" s="83">
        <v>1</v>
      </c>
      <c r="U432" s="83">
        <v>2</v>
      </c>
      <c r="V432" s="49">
        <v>2</v>
      </c>
      <c r="W432" s="49">
        <v>3</v>
      </c>
      <c r="X432" s="58">
        <v>1</v>
      </c>
      <c r="Y432" s="83">
        <v>1</v>
      </c>
      <c r="AA432" s="49">
        <v>21</v>
      </c>
      <c r="AD432" s="49">
        <v>13</v>
      </c>
      <c r="AE432" s="49">
        <v>72</v>
      </c>
      <c r="AF432" s="49">
        <v>2</v>
      </c>
      <c r="AG432" s="49">
        <v>129</v>
      </c>
      <c r="AJ432" s="49">
        <v>0</v>
      </c>
      <c r="AK432" s="83">
        <v>0</v>
      </c>
      <c r="AL432" s="49">
        <v>1</v>
      </c>
      <c r="AM432" s="49">
        <v>1</v>
      </c>
      <c r="AN432" s="49">
        <v>0</v>
      </c>
      <c r="AO432" s="58">
        <v>0</v>
      </c>
      <c r="AP432" s="174">
        <v>1968</v>
      </c>
      <c r="AQ432" s="175">
        <v>2065</v>
      </c>
      <c r="AR432" s="175">
        <v>42</v>
      </c>
      <c r="AS432" s="175">
        <v>50</v>
      </c>
      <c r="AT432" s="175">
        <v>0</v>
      </c>
      <c r="AU432" s="175">
        <v>0</v>
      </c>
      <c r="AV432" s="175">
        <v>0</v>
      </c>
      <c r="AW432" s="175">
        <v>0</v>
      </c>
      <c r="AX432" s="83">
        <v>1</v>
      </c>
      <c r="AY432" s="49">
        <v>0</v>
      </c>
      <c r="AZ432" s="49">
        <v>0</v>
      </c>
      <c r="BA432" s="49">
        <v>0</v>
      </c>
      <c r="BB432" s="58">
        <v>1</v>
      </c>
      <c r="BC432" s="42">
        <v>124</v>
      </c>
      <c r="BD432" s="49">
        <v>78.819999999999993</v>
      </c>
      <c r="BE432" s="49">
        <v>79.64</v>
      </c>
      <c r="BF432" s="49">
        <v>78.400000000000006</v>
      </c>
      <c r="BS432" s="58"/>
      <c r="BT432" s="83">
        <v>78.819999999999993</v>
      </c>
      <c r="BU432" s="49">
        <v>78.87</v>
      </c>
      <c r="BV432" s="49">
        <v>79.02</v>
      </c>
      <c r="CE432" s="83"/>
      <c r="CK432" s="58"/>
      <c r="CL432" s="83">
        <v>60.2</v>
      </c>
      <c r="CO432" s="58"/>
      <c r="CP432" s="83">
        <v>65.61</v>
      </c>
      <c r="CR432" s="58"/>
      <c r="CS432" s="83"/>
      <c r="CY432" s="83"/>
      <c r="DG432" s="58"/>
      <c r="DH432" s="83"/>
      <c r="DQ432" s="83"/>
      <c r="EE432" s="58"/>
      <c r="EF432" s="83"/>
      <c r="EI432" s="83"/>
      <c r="EK432" s="58"/>
      <c r="EL432" s="83"/>
      <c r="EO432" s="58"/>
      <c r="EP432" s="83"/>
      <c r="EQ432" s="58"/>
      <c r="ER432" s="83"/>
      <c r="ES432" s="58"/>
      <c r="ET432" s="83"/>
      <c r="EU432" s="58"/>
    </row>
    <row r="433" spans="1:151">
      <c r="A433" s="42" t="s">
        <v>325</v>
      </c>
      <c r="B433" s="173" t="s">
        <v>511</v>
      </c>
      <c r="C433" s="173" t="s">
        <v>510</v>
      </c>
      <c r="D433" s="83" t="s">
        <v>97</v>
      </c>
      <c r="F433" s="49" t="s">
        <v>286</v>
      </c>
      <c r="G433" s="49">
        <v>31.957999999999998</v>
      </c>
      <c r="I433" s="49">
        <v>9917</v>
      </c>
      <c r="J433" s="159">
        <v>2.0634623387432378</v>
      </c>
      <c r="K433" s="49">
        <v>1</v>
      </c>
      <c r="L433" s="49">
        <v>3</v>
      </c>
      <c r="M433" s="83">
        <v>1</v>
      </c>
      <c r="N433" s="49">
        <v>0</v>
      </c>
      <c r="O433" s="49">
        <v>1</v>
      </c>
      <c r="P433" s="49">
        <v>1</v>
      </c>
      <c r="Q433" s="58">
        <v>0</v>
      </c>
      <c r="R433" s="42">
        <v>3</v>
      </c>
      <c r="S433" s="83" t="s">
        <v>284</v>
      </c>
      <c r="U433" s="83">
        <v>2</v>
      </c>
      <c r="V433" s="49">
        <v>2</v>
      </c>
      <c r="W433" s="49">
        <v>1</v>
      </c>
      <c r="X433" s="58">
        <v>3</v>
      </c>
      <c r="Y433" s="83">
        <v>1</v>
      </c>
      <c r="AA433" s="49">
        <v>19</v>
      </c>
      <c r="AD433" s="49">
        <v>26</v>
      </c>
      <c r="AE433" s="49">
        <v>307</v>
      </c>
      <c r="AF433" s="49">
        <v>28</v>
      </c>
      <c r="AG433" s="49">
        <v>145</v>
      </c>
      <c r="AH433" s="49">
        <v>20</v>
      </c>
      <c r="AI433" s="49">
        <v>271</v>
      </c>
      <c r="AJ433" s="49">
        <v>0</v>
      </c>
      <c r="AK433" s="83">
        <v>0</v>
      </c>
      <c r="AL433" s="49">
        <v>1</v>
      </c>
      <c r="AM433" s="49">
        <v>0</v>
      </c>
      <c r="AN433" s="49">
        <v>0</v>
      </c>
      <c r="AO433" s="58">
        <v>0</v>
      </c>
      <c r="AP433" s="174">
        <v>2032</v>
      </c>
      <c r="AQ433" s="175">
        <v>3366</v>
      </c>
      <c r="AR433" s="175">
        <v>0</v>
      </c>
      <c r="AS433" s="175">
        <v>0</v>
      </c>
      <c r="AT433" s="175">
        <v>0</v>
      </c>
      <c r="AU433" s="175">
        <v>0</v>
      </c>
      <c r="AV433" s="175">
        <v>0</v>
      </c>
      <c r="AW433" s="175">
        <v>0</v>
      </c>
      <c r="AX433" s="83">
        <v>1</v>
      </c>
      <c r="AY433" s="49">
        <v>0</v>
      </c>
      <c r="AZ433" s="49">
        <v>0</v>
      </c>
      <c r="BA433" s="49">
        <v>0</v>
      </c>
      <c r="BB433" s="58">
        <v>1</v>
      </c>
      <c r="BC433" s="42">
        <v>144</v>
      </c>
      <c r="BE433" s="49"/>
      <c r="BS433" s="58"/>
      <c r="BT433" s="83">
        <v>81.66</v>
      </c>
      <c r="BU433" s="49">
        <v>76.849999999999994</v>
      </c>
      <c r="BV433" s="49">
        <v>77.599999999999994</v>
      </c>
      <c r="CE433" s="83"/>
      <c r="CK433" s="58"/>
      <c r="CL433" s="83">
        <v>69.94</v>
      </c>
      <c r="CO433" s="58"/>
      <c r="CP433" s="83"/>
      <c r="CR433" s="58"/>
      <c r="CS433" s="83"/>
      <c r="CY433" s="83">
        <v>74.39</v>
      </c>
      <c r="CZ433" s="49">
        <v>79.849999999999994</v>
      </c>
      <c r="DG433" s="58"/>
      <c r="DH433" s="83"/>
      <c r="DQ433" s="83"/>
      <c r="EE433" s="58"/>
      <c r="EF433" s="83"/>
      <c r="EI433" s="83"/>
      <c r="EK433" s="58"/>
      <c r="EL433" s="83"/>
      <c r="EO433" s="58"/>
      <c r="EP433" s="83"/>
      <c r="EQ433" s="58"/>
      <c r="ER433" s="83"/>
      <c r="ES433" s="58"/>
      <c r="ET433" s="83"/>
      <c r="EU433" s="58"/>
    </row>
    <row r="434" spans="1:151">
      <c r="A434" s="42" t="s">
        <v>325</v>
      </c>
      <c r="B434" s="173" t="s">
        <v>511</v>
      </c>
      <c r="C434" s="173" t="s">
        <v>510</v>
      </c>
      <c r="D434" s="83" t="s">
        <v>98</v>
      </c>
      <c r="F434" s="49" t="s">
        <v>286</v>
      </c>
      <c r="G434" s="49">
        <v>31.957999999999998</v>
      </c>
      <c r="I434" s="49">
        <v>3134</v>
      </c>
      <c r="J434" s="159">
        <v>1.1902772502848462</v>
      </c>
      <c r="K434" s="49">
        <v>4</v>
      </c>
      <c r="L434" s="49">
        <v>4</v>
      </c>
      <c r="M434" s="83">
        <v>0</v>
      </c>
      <c r="N434" s="49">
        <v>0</v>
      </c>
      <c r="O434" s="49">
        <v>0</v>
      </c>
      <c r="P434" s="49">
        <v>0</v>
      </c>
      <c r="Q434" s="58">
        <v>0</v>
      </c>
      <c r="R434" s="42">
        <v>0</v>
      </c>
      <c r="S434" s="83" t="s">
        <v>284</v>
      </c>
      <c r="U434" s="83">
        <v>1</v>
      </c>
      <c r="V434" s="49">
        <v>4</v>
      </c>
      <c r="W434" s="49">
        <v>2</v>
      </c>
      <c r="X434" s="58"/>
      <c r="Y434" s="83">
        <v>2</v>
      </c>
      <c r="AD434" s="49">
        <v>11</v>
      </c>
      <c r="AE434" s="49">
        <v>30</v>
      </c>
      <c r="AF434" s="49">
        <v>5</v>
      </c>
      <c r="AG434" s="49">
        <v>250</v>
      </c>
      <c r="AH434" s="49">
        <v>8</v>
      </c>
      <c r="AI434" s="49">
        <v>101</v>
      </c>
      <c r="AJ434" s="49">
        <v>0</v>
      </c>
      <c r="AK434" s="83">
        <v>0</v>
      </c>
      <c r="AL434" s="49">
        <v>0</v>
      </c>
      <c r="AM434" s="49">
        <v>1</v>
      </c>
      <c r="AN434" s="49">
        <v>0</v>
      </c>
      <c r="AO434" s="58">
        <v>0</v>
      </c>
      <c r="AP434" s="174">
        <v>0</v>
      </c>
      <c r="AQ434" s="175">
        <v>0</v>
      </c>
      <c r="AR434" s="175">
        <v>45</v>
      </c>
      <c r="AS434" s="175">
        <v>139</v>
      </c>
      <c r="AT434" s="175">
        <v>0</v>
      </c>
      <c r="AU434" s="175">
        <v>0</v>
      </c>
      <c r="AV434" s="175">
        <v>0</v>
      </c>
      <c r="AW434" s="175">
        <v>0</v>
      </c>
      <c r="AX434" s="83">
        <v>0</v>
      </c>
      <c r="AY434" s="49">
        <v>0</v>
      </c>
      <c r="AZ434" s="49">
        <v>0</v>
      </c>
      <c r="BA434" s="49">
        <v>0</v>
      </c>
      <c r="BB434" s="58">
        <v>0</v>
      </c>
      <c r="BC434" s="42">
        <v>123</v>
      </c>
      <c r="BD434" s="49">
        <v>72.900000000000006</v>
      </c>
      <c r="BE434" s="49"/>
      <c r="BS434" s="58"/>
      <c r="BT434" s="83">
        <v>76.180000000000007</v>
      </c>
      <c r="CE434" s="83">
        <v>70.959999999999994</v>
      </c>
      <c r="CK434" s="58"/>
      <c r="CL434" s="83"/>
      <c r="CO434" s="58"/>
      <c r="CP434" s="83"/>
      <c r="CR434" s="58"/>
      <c r="CS434" s="83"/>
      <c r="CY434" s="83"/>
      <c r="DG434" s="58"/>
      <c r="DH434" s="83"/>
      <c r="DQ434" s="83"/>
      <c r="EE434" s="58"/>
      <c r="EF434" s="83"/>
      <c r="EI434" s="83"/>
      <c r="EK434" s="58"/>
      <c r="EL434" s="83"/>
      <c r="EO434" s="58"/>
      <c r="EP434" s="83"/>
      <c r="EQ434" s="58"/>
      <c r="ER434" s="83"/>
      <c r="ES434" s="58"/>
      <c r="ET434" s="83"/>
      <c r="EU434" s="58"/>
    </row>
    <row r="435" spans="1:151">
      <c r="A435" s="42" t="s">
        <v>325</v>
      </c>
      <c r="B435" s="173" t="s">
        <v>511</v>
      </c>
      <c r="C435" s="173" t="s">
        <v>510</v>
      </c>
      <c r="D435" s="83" t="s">
        <v>100</v>
      </c>
      <c r="F435" s="49" t="s">
        <v>286</v>
      </c>
      <c r="G435" s="49">
        <v>31.957999999999998</v>
      </c>
      <c r="I435" s="49">
        <v>3884</v>
      </c>
      <c r="J435" s="159">
        <v>1.9285004965243298</v>
      </c>
      <c r="K435" s="49">
        <v>4</v>
      </c>
      <c r="L435" s="49">
        <v>3</v>
      </c>
      <c r="M435" s="83">
        <v>0</v>
      </c>
      <c r="N435" s="49">
        <v>2</v>
      </c>
      <c r="O435" s="49">
        <v>0</v>
      </c>
      <c r="P435" s="49">
        <v>0</v>
      </c>
      <c r="Q435" s="58">
        <v>0</v>
      </c>
      <c r="R435" s="42">
        <v>2</v>
      </c>
      <c r="S435" s="83" t="s">
        <v>283</v>
      </c>
      <c r="T435" s="49">
        <v>35</v>
      </c>
      <c r="U435" s="83">
        <v>1</v>
      </c>
      <c r="V435" s="49">
        <v>4</v>
      </c>
      <c r="W435" s="49">
        <v>2</v>
      </c>
      <c r="X435" s="58"/>
      <c r="Y435" s="83">
        <v>20</v>
      </c>
      <c r="Z435" s="49">
        <v>14</v>
      </c>
      <c r="AA435" s="49">
        <v>27</v>
      </c>
      <c r="AD435" s="49">
        <v>8</v>
      </c>
      <c r="AE435" s="49">
        <v>197</v>
      </c>
      <c r="AF435" s="49">
        <v>13</v>
      </c>
      <c r="AG435" s="49">
        <v>59</v>
      </c>
      <c r="AH435" s="49">
        <v>13</v>
      </c>
      <c r="AI435" s="49">
        <v>984</v>
      </c>
      <c r="AJ435" s="49">
        <v>0</v>
      </c>
      <c r="AK435" s="83">
        <v>0</v>
      </c>
      <c r="AL435" s="49">
        <v>0</v>
      </c>
      <c r="AM435" s="49">
        <v>0</v>
      </c>
      <c r="AN435" s="49">
        <v>0</v>
      </c>
      <c r="AO435" s="58">
        <v>0</v>
      </c>
      <c r="AP435" s="174">
        <v>0</v>
      </c>
      <c r="AQ435" s="175">
        <v>0</v>
      </c>
      <c r="AR435" s="175">
        <v>0</v>
      </c>
      <c r="AS435" s="175">
        <v>0</v>
      </c>
      <c r="AT435" s="175">
        <v>0</v>
      </c>
      <c r="AU435" s="175">
        <v>0</v>
      </c>
      <c r="AV435" s="175">
        <v>0</v>
      </c>
      <c r="AW435" s="175">
        <v>0</v>
      </c>
      <c r="AX435" s="83">
        <v>0</v>
      </c>
      <c r="AY435" s="49">
        <v>0</v>
      </c>
      <c r="AZ435" s="49">
        <v>0</v>
      </c>
      <c r="BA435" s="49">
        <v>0</v>
      </c>
      <c r="BB435" s="58">
        <v>0</v>
      </c>
      <c r="BC435" s="42">
        <v>131</v>
      </c>
      <c r="BD435" s="49">
        <v>80.55</v>
      </c>
      <c r="BE435" s="49"/>
      <c r="BS435" s="58"/>
      <c r="BT435" s="83">
        <v>77.91</v>
      </c>
      <c r="CE435" s="83">
        <v>72.3</v>
      </c>
      <c r="CK435" s="58"/>
      <c r="CL435" s="83"/>
      <c r="CO435" s="58"/>
      <c r="CP435" s="83"/>
      <c r="CR435" s="58"/>
      <c r="CS435" s="83"/>
      <c r="CY435" s="83"/>
      <c r="DG435" s="58"/>
      <c r="DH435" s="83"/>
      <c r="DQ435" s="83">
        <v>74.150000000000006</v>
      </c>
      <c r="EE435" s="58"/>
      <c r="EF435" s="83"/>
      <c r="EI435" s="83"/>
      <c r="EK435" s="58"/>
      <c r="EL435" s="83"/>
      <c r="EO435" s="58"/>
      <c r="EP435" s="83"/>
      <c r="EQ435" s="58"/>
      <c r="ER435" s="83"/>
      <c r="ES435" s="58"/>
      <c r="ET435" s="83"/>
      <c r="EU435" s="58"/>
    </row>
    <row r="436" spans="1:151">
      <c r="A436" s="42" t="s">
        <v>325</v>
      </c>
      <c r="B436" s="173" t="s">
        <v>511</v>
      </c>
      <c r="C436" s="173" t="s">
        <v>510</v>
      </c>
      <c r="D436" s="83" t="s">
        <v>114</v>
      </c>
      <c r="F436" s="49" t="s">
        <v>286</v>
      </c>
      <c r="G436" s="49">
        <v>31.957999999999998</v>
      </c>
      <c r="I436" s="49">
        <v>4598</v>
      </c>
      <c r="J436" s="159">
        <v>1.0745501285347043</v>
      </c>
      <c r="K436" s="49">
        <v>1</v>
      </c>
      <c r="L436" s="49">
        <v>3</v>
      </c>
      <c r="M436" s="83">
        <v>1</v>
      </c>
      <c r="N436" s="49">
        <v>0</v>
      </c>
      <c r="O436" s="49">
        <v>1</v>
      </c>
      <c r="P436" s="49">
        <v>1</v>
      </c>
      <c r="Q436" s="58">
        <v>0</v>
      </c>
      <c r="R436" s="42">
        <v>3</v>
      </c>
      <c r="S436" s="83" t="s">
        <v>284</v>
      </c>
      <c r="U436" s="83">
        <v>1</v>
      </c>
      <c r="V436" s="49">
        <v>3</v>
      </c>
      <c r="W436" s="49">
        <v>1</v>
      </c>
      <c r="X436" s="58">
        <v>2</v>
      </c>
      <c r="Y436" s="83">
        <v>2</v>
      </c>
      <c r="Z436" s="49">
        <v>7</v>
      </c>
      <c r="AA436" s="49">
        <v>24</v>
      </c>
      <c r="AD436" s="49">
        <v>9</v>
      </c>
      <c r="AE436" s="49">
        <v>40</v>
      </c>
      <c r="AF436" s="49">
        <v>7</v>
      </c>
      <c r="AG436" s="49">
        <v>365</v>
      </c>
      <c r="AH436" s="49">
        <v>42</v>
      </c>
      <c r="AI436" s="49">
        <v>591</v>
      </c>
      <c r="AJ436" s="49">
        <v>0</v>
      </c>
      <c r="AK436" s="83">
        <v>0</v>
      </c>
      <c r="AL436" s="49">
        <v>1</v>
      </c>
      <c r="AM436" s="49">
        <v>1</v>
      </c>
      <c r="AN436" s="49">
        <v>0</v>
      </c>
      <c r="AO436" s="58">
        <v>0</v>
      </c>
      <c r="AP436" s="174">
        <v>777</v>
      </c>
      <c r="AQ436" s="175">
        <v>1056</v>
      </c>
      <c r="AR436" s="175">
        <v>0</v>
      </c>
      <c r="AS436" s="175">
        <v>1391</v>
      </c>
      <c r="AT436" s="175">
        <v>0</v>
      </c>
      <c r="AU436" s="175">
        <v>0</v>
      </c>
      <c r="AV436" s="175">
        <v>0</v>
      </c>
      <c r="AW436" s="175">
        <v>0</v>
      </c>
      <c r="AX436" s="83">
        <v>0</v>
      </c>
      <c r="AY436" s="49">
        <v>0</v>
      </c>
      <c r="AZ436" s="49">
        <v>0</v>
      </c>
      <c r="BA436" s="49">
        <v>0</v>
      </c>
      <c r="BB436" s="58">
        <v>0</v>
      </c>
      <c r="BC436" s="42">
        <v>148</v>
      </c>
      <c r="BD436" s="49">
        <v>78.64</v>
      </c>
      <c r="BE436" s="49">
        <v>78.75</v>
      </c>
      <c r="BF436" s="49">
        <v>78.7</v>
      </c>
      <c r="BS436" s="58"/>
      <c r="BT436" s="83">
        <v>76.709999999999994</v>
      </c>
      <c r="BU436" s="49">
        <v>77.13</v>
      </c>
      <c r="CE436" s="83"/>
      <c r="CK436" s="58"/>
      <c r="CL436" s="83">
        <v>55.01</v>
      </c>
      <c r="CO436" s="58"/>
      <c r="CP436" s="83"/>
      <c r="CR436" s="58"/>
      <c r="CS436" s="83"/>
      <c r="CY436" s="83"/>
      <c r="DG436" s="58"/>
      <c r="DH436" s="83"/>
      <c r="DQ436" s="83"/>
      <c r="EE436" s="58"/>
      <c r="EF436" s="83"/>
      <c r="EI436" s="83"/>
      <c r="EK436" s="58"/>
      <c r="EL436" s="83"/>
      <c r="EO436" s="58"/>
      <c r="EP436" s="83"/>
      <c r="EQ436" s="58"/>
      <c r="ER436" s="83"/>
      <c r="ES436" s="58"/>
      <c r="ET436" s="83"/>
      <c r="EU436" s="58"/>
    </row>
    <row r="437" spans="1:151">
      <c r="A437" s="42" t="s">
        <v>325</v>
      </c>
      <c r="B437" s="173" t="s">
        <v>511</v>
      </c>
      <c r="C437" s="173" t="s">
        <v>510</v>
      </c>
      <c r="D437" s="83" t="s">
        <v>119</v>
      </c>
      <c r="F437" s="49" t="s">
        <v>286</v>
      </c>
      <c r="G437" s="49">
        <v>31.957999999999998</v>
      </c>
      <c r="I437" s="49">
        <v>4503</v>
      </c>
      <c r="J437" s="159">
        <v>2.0302073940486927</v>
      </c>
      <c r="K437" s="49">
        <v>1</v>
      </c>
      <c r="L437" s="49">
        <v>2</v>
      </c>
      <c r="M437" s="83">
        <v>0</v>
      </c>
      <c r="N437" s="49">
        <v>0</v>
      </c>
      <c r="O437" s="49">
        <v>1</v>
      </c>
      <c r="P437" s="49">
        <v>1</v>
      </c>
      <c r="Q437" s="58">
        <v>0</v>
      </c>
      <c r="R437" s="42">
        <v>2</v>
      </c>
      <c r="S437" s="83">
        <v>1</v>
      </c>
      <c r="U437" s="83">
        <v>2</v>
      </c>
      <c r="V437" s="49">
        <v>3</v>
      </c>
      <c r="W437" s="49">
        <v>3</v>
      </c>
      <c r="X437" s="58">
        <v>1</v>
      </c>
      <c r="Y437" s="83">
        <v>3</v>
      </c>
      <c r="Z437" s="49">
        <v>11</v>
      </c>
      <c r="AA437" s="49">
        <v>19</v>
      </c>
      <c r="AD437" s="49">
        <v>17</v>
      </c>
      <c r="AE437" s="49">
        <v>376</v>
      </c>
      <c r="AF437" s="49">
        <v>13</v>
      </c>
      <c r="AG437" s="49">
        <v>727</v>
      </c>
      <c r="AH437" s="49">
        <v>24</v>
      </c>
      <c r="AI437" s="49">
        <v>1201</v>
      </c>
      <c r="AJ437" s="49">
        <v>0</v>
      </c>
      <c r="AK437" s="83">
        <v>0</v>
      </c>
      <c r="AL437" s="49">
        <v>1</v>
      </c>
      <c r="AM437" s="49">
        <v>0</v>
      </c>
      <c r="AN437" s="49">
        <v>0</v>
      </c>
      <c r="AO437" s="58">
        <v>0</v>
      </c>
      <c r="AP437" s="174">
        <v>758</v>
      </c>
      <c r="AQ437" s="175">
        <v>2610</v>
      </c>
      <c r="AR437" s="175">
        <v>0</v>
      </c>
      <c r="AS437" s="175">
        <v>0</v>
      </c>
      <c r="AT437" s="175">
        <v>0</v>
      </c>
      <c r="AU437" s="175">
        <v>0</v>
      </c>
      <c r="AV437" s="175">
        <v>0</v>
      </c>
      <c r="AW437" s="175">
        <v>0</v>
      </c>
      <c r="AX437" s="83">
        <v>0</v>
      </c>
      <c r="AY437" s="49">
        <v>0</v>
      </c>
      <c r="AZ437" s="49">
        <v>0</v>
      </c>
      <c r="BA437" s="49">
        <v>0</v>
      </c>
      <c r="BB437" s="58">
        <v>0</v>
      </c>
      <c r="BC437" s="42">
        <v>144</v>
      </c>
      <c r="BE437" s="49"/>
      <c r="BS437" s="58"/>
      <c r="BT437" s="83"/>
      <c r="CE437" s="83"/>
      <c r="CK437" s="58"/>
      <c r="CL437" s="83"/>
      <c r="CO437" s="58"/>
      <c r="CP437" s="83"/>
      <c r="CR437" s="58"/>
      <c r="CS437" s="83"/>
      <c r="CY437" s="83"/>
      <c r="DG437" s="58"/>
      <c r="DH437" s="83"/>
      <c r="DQ437" s="83"/>
      <c r="EE437" s="58"/>
      <c r="EF437" s="83"/>
      <c r="EI437" s="83"/>
      <c r="EK437" s="58"/>
      <c r="EL437" s="83">
        <v>79.59</v>
      </c>
      <c r="EM437" s="49">
        <v>79.12</v>
      </c>
      <c r="EN437" s="49">
        <v>78.75</v>
      </c>
      <c r="EO437" s="58"/>
      <c r="EP437" s="83">
        <v>70.81</v>
      </c>
      <c r="EQ437" s="58"/>
      <c r="ER437" s="83">
        <v>68.64</v>
      </c>
      <c r="ES437" s="58">
        <v>69.959999999999994</v>
      </c>
      <c r="ET437" s="83"/>
      <c r="EU437" s="58"/>
    </row>
    <row r="438" spans="1:151">
      <c r="A438" s="42" t="s">
        <v>325</v>
      </c>
      <c r="B438" s="173" t="s">
        <v>511</v>
      </c>
      <c r="C438" s="173" t="s">
        <v>510</v>
      </c>
      <c r="D438" s="83" t="s">
        <v>120</v>
      </c>
      <c r="F438" s="49" t="s">
        <v>286</v>
      </c>
      <c r="G438" s="49">
        <v>31.957999999999998</v>
      </c>
      <c r="I438" s="49">
        <v>7059</v>
      </c>
      <c r="J438" s="159">
        <v>6.3196060877350044</v>
      </c>
      <c r="K438" s="49">
        <v>1</v>
      </c>
      <c r="L438" s="49">
        <v>3</v>
      </c>
      <c r="M438" s="83">
        <v>1</v>
      </c>
      <c r="N438" s="49">
        <v>0</v>
      </c>
      <c r="O438" s="49">
        <v>0</v>
      </c>
      <c r="P438" s="49">
        <v>1</v>
      </c>
      <c r="Q438" s="58">
        <v>0</v>
      </c>
      <c r="R438" s="42">
        <v>2</v>
      </c>
      <c r="S438" s="83" t="s">
        <v>284</v>
      </c>
      <c r="U438" s="83">
        <v>1</v>
      </c>
      <c r="V438" s="49">
        <v>3</v>
      </c>
      <c r="W438" s="49">
        <v>2</v>
      </c>
      <c r="X438" s="58"/>
      <c r="Y438" s="83">
        <v>2</v>
      </c>
      <c r="AD438" s="49">
        <v>38</v>
      </c>
      <c r="AE438" s="49">
        <v>270</v>
      </c>
      <c r="AF438" s="49">
        <v>148</v>
      </c>
      <c r="AG438" s="49">
        <v>889</v>
      </c>
      <c r="AH438" s="49">
        <v>45</v>
      </c>
      <c r="AI438" s="49">
        <v>232</v>
      </c>
      <c r="AJ438" s="49">
        <v>0</v>
      </c>
      <c r="AK438" s="83">
        <v>0</v>
      </c>
      <c r="AL438" s="49">
        <v>1</v>
      </c>
      <c r="AM438" s="49">
        <v>0</v>
      </c>
      <c r="AN438" s="49">
        <v>0</v>
      </c>
      <c r="AO438" s="58">
        <v>0</v>
      </c>
      <c r="AP438" s="174">
        <v>0</v>
      </c>
      <c r="AQ438" s="175">
        <v>370</v>
      </c>
      <c r="AR438" s="175">
        <v>0</v>
      </c>
      <c r="AS438" s="175">
        <v>0</v>
      </c>
      <c r="AT438" s="175">
        <v>0</v>
      </c>
      <c r="AU438" s="175">
        <v>0</v>
      </c>
      <c r="AV438" s="175">
        <v>0</v>
      </c>
      <c r="AW438" s="175">
        <v>0</v>
      </c>
      <c r="AX438" s="83">
        <v>0</v>
      </c>
      <c r="AY438" s="49">
        <v>0</v>
      </c>
      <c r="AZ438" s="49">
        <v>0</v>
      </c>
      <c r="BA438" s="49">
        <v>0</v>
      </c>
      <c r="BB438" s="58">
        <v>0</v>
      </c>
      <c r="BC438" s="42">
        <v>144</v>
      </c>
      <c r="BE438" s="49"/>
      <c r="BS438" s="58"/>
      <c r="BT438" s="83">
        <v>74.97</v>
      </c>
      <c r="CE438" s="83"/>
      <c r="CK438" s="58"/>
      <c r="CL438" s="83"/>
      <c r="CO438" s="58"/>
      <c r="CP438" s="83"/>
      <c r="CR438" s="58"/>
      <c r="CS438" s="83"/>
      <c r="CY438" s="83"/>
      <c r="DG438" s="58"/>
      <c r="DH438" s="83">
        <v>72.239999999999995</v>
      </c>
      <c r="DI438" s="49">
        <v>69.59</v>
      </c>
      <c r="DQ438" s="83"/>
      <c r="EE438" s="58"/>
      <c r="EF438" s="83"/>
      <c r="EI438" s="83"/>
      <c r="EK438" s="58"/>
      <c r="EL438" s="83"/>
      <c r="EO438" s="58"/>
      <c r="EP438" s="83"/>
      <c r="EQ438" s="58"/>
      <c r="ER438" s="83"/>
      <c r="ES438" s="58"/>
      <c r="ET438" s="83"/>
      <c r="EU438" s="58"/>
    </row>
    <row r="439" spans="1:151">
      <c r="A439" s="42" t="s">
        <v>325</v>
      </c>
      <c r="B439" s="173" t="s">
        <v>511</v>
      </c>
      <c r="C439" s="173" t="s">
        <v>510</v>
      </c>
      <c r="D439" s="83" t="s">
        <v>102</v>
      </c>
      <c r="F439" s="49" t="s">
        <v>286</v>
      </c>
      <c r="G439" s="49">
        <v>31.957999999999998</v>
      </c>
      <c r="I439" s="49">
        <v>8283</v>
      </c>
      <c r="J439" s="159">
        <v>1.5519955030916246</v>
      </c>
      <c r="K439" s="49">
        <v>4</v>
      </c>
      <c r="L439" s="49">
        <v>3</v>
      </c>
      <c r="M439" s="83">
        <v>0</v>
      </c>
      <c r="N439" s="49">
        <v>3</v>
      </c>
      <c r="O439" s="49">
        <v>1</v>
      </c>
      <c r="P439" s="49">
        <v>0</v>
      </c>
      <c r="Q439" s="58">
        <v>0</v>
      </c>
      <c r="R439" s="42">
        <v>4</v>
      </c>
      <c r="S439" s="83" t="s">
        <v>284</v>
      </c>
      <c r="U439" s="83">
        <v>2</v>
      </c>
      <c r="V439" s="49">
        <v>3</v>
      </c>
      <c r="W439" s="49">
        <v>3</v>
      </c>
      <c r="X439" s="58">
        <v>1</v>
      </c>
      <c r="Y439" s="83">
        <v>6</v>
      </c>
      <c r="Z439" s="49">
        <v>7</v>
      </c>
      <c r="AA439" s="49">
        <v>24</v>
      </c>
      <c r="AD439" s="49">
        <v>9</v>
      </c>
      <c r="AE439" s="49">
        <v>551</v>
      </c>
      <c r="AF439" s="49">
        <v>11</v>
      </c>
      <c r="AG439" s="49">
        <v>994</v>
      </c>
      <c r="AH439" s="49">
        <v>66</v>
      </c>
      <c r="AI439" s="49">
        <v>1340</v>
      </c>
      <c r="AJ439" s="49">
        <v>0</v>
      </c>
      <c r="AK439" s="83">
        <v>0</v>
      </c>
      <c r="AL439" s="49">
        <v>0</v>
      </c>
      <c r="AM439" s="49">
        <v>1</v>
      </c>
      <c r="AN439" s="49">
        <v>0</v>
      </c>
      <c r="AO439" s="58">
        <v>0</v>
      </c>
      <c r="AP439" s="174">
        <v>0</v>
      </c>
      <c r="AQ439" s="175">
        <v>0</v>
      </c>
      <c r="AR439" s="175">
        <v>62</v>
      </c>
      <c r="AS439" s="175">
        <v>179</v>
      </c>
      <c r="AT439" s="175">
        <v>0</v>
      </c>
      <c r="AU439" s="175">
        <v>0</v>
      </c>
      <c r="AV439" s="175">
        <v>0</v>
      </c>
      <c r="AW439" s="175">
        <v>0</v>
      </c>
      <c r="AX439" s="83">
        <v>0</v>
      </c>
      <c r="AY439" s="49">
        <v>0</v>
      </c>
      <c r="AZ439" s="49">
        <v>0</v>
      </c>
      <c r="BA439" s="49">
        <v>0</v>
      </c>
      <c r="BB439" s="58">
        <v>0</v>
      </c>
      <c r="BC439" s="42">
        <v>140</v>
      </c>
      <c r="BE439" s="49"/>
      <c r="BS439" s="58"/>
      <c r="BT439" s="83">
        <v>80.63</v>
      </c>
      <c r="CE439" s="83"/>
      <c r="CK439" s="58">
        <v>70.12</v>
      </c>
      <c r="CL439" s="83"/>
      <c r="CO439" s="58"/>
      <c r="CP439" s="83"/>
      <c r="CR439" s="58"/>
      <c r="CS439" s="83"/>
      <c r="CY439" s="83">
        <v>78.78</v>
      </c>
      <c r="CZ439" s="49">
        <v>79.23</v>
      </c>
      <c r="DA439" s="49">
        <v>75.13</v>
      </c>
      <c r="DB439" s="49">
        <v>74.680000000000007</v>
      </c>
      <c r="DG439" s="58"/>
      <c r="DH439" s="83"/>
      <c r="DQ439" s="83"/>
      <c r="EE439" s="58"/>
      <c r="EF439" s="83"/>
      <c r="EI439" s="83"/>
      <c r="EK439" s="58"/>
      <c r="EL439" s="83"/>
      <c r="EO439" s="58"/>
      <c r="EP439" s="83"/>
      <c r="EQ439" s="58"/>
      <c r="ER439" s="83"/>
      <c r="ES439" s="58"/>
      <c r="ET439" s="83"/>
      <c r="EU439" s="58"/>
    </row>
    <row r="440" spans="1:151">
      <c r="A440" s="42" t="s">
        <v>325</v>
      </c>
      <c r="B440" s="173" t="s">
        <v>511</v>
      </c>
      <c r="C440" s="173" t="s">
        <v>510</v>
      </c>
      <c r="D440" s="83" t="s">
        <v>103</v>
      </c>
      <c r="F440" s="49" t="s">
        <v>286</v>
      </c>
      <c r="G440" s="49">
        <v>31.957999999999998</v>
      </c>
      <c r="I440" s="49">
        <v>4477</v>
      </c>
      <c r="J440" s="159">
        <v>3.7030603804797355</v>
      </c>
      <c r="K440" s="49">
        <v>2</v>
      </c>
      <c r="L440" s="49">
        <v>3</v>
      </c>
      <c r="M440" s="83">
        <v>0</v>
      </c>
      <c r="N440" s="49">
        <v>2</v>
      </c>
      <c r="O440" s="49">
        <v>0</v>
      </c>
      <c r="P440" s="49">
        <v>1</v>
      </c>
      <c r="Q440" s="58">
        <v>0</v>
      </c>
      <c r="R440" s="42">
        <v>3</v>
      </c>
      <c r="S440" s="83" t="s">
        <v>284</v>
      </c>
      <c r="U440" s="83">
        <v>1</v>
      </c>
      <c r="V440" s="49">
        <v>1</v>
      </c>
      <c r="W440" s="49">
        <v>2</v>
      </c>
      <c r="X440" s="58"/>
      <c r="Y440" s="83">
        <v>25</v>
      </c>
      <c r="AA440" s="49">
        <v>24</v>
      </c>
      <c r="AD440" s="49">
        <v>10</v>
      </c>
      <c r="AE440" s="49">
        <v>340</v>
      </c>
      <c r="AF440" s="49">
        <v>28</v>
      </c>
      <c r="AG440" s="49">
        <v>1466</v>
      </c>
      <c r="AH440" s="49">
        <v>12</v>
      </c>
      <c r="AI440" s="49">
        <v>287</v>
      </c>
      <c r="AJ440" s="49">
        <v>0</v>
      </c>
      <c r="AK440" s="83">
        <v>0</v>
      </c>
      <c r="AL440" s="49">
        <v>0</v>
      </c>
      <c r="AM440" s="49">
        <v>1</v>
      </c>
      <c r="AN440" s="49">
        <v>0</v>
      </c>
      <c r="AO440" s="58">
        <v>0</v>
      </c>
      <c r="AP440" s="174">
        <v>0</v>
      </c>
      <c r="AQ440" s="175">
        <v>0</v>
      </c>
      <c r="AR440" s="175">
        <v>48</v>
      </c>
      <c r="AS440" s="175">
        <v>85</v>
      </c>
      <c r="AT440" s="175">
        <v>0</v>
      </c>
      <c r="AU440" s="175">
        <v>0</v>
      </c>
      <c r="AV440" s="175">
        <v>0</v>
      </c>
      <c r="AW440" s="175">
        <v>0</v>
      </c>
      <c r="AX440" s="83">
        <v>0</v>
      </c>
      <c r="AY440" s="49">
        <v>1</v>
      </c>
      <c r="AZ440" s="49">
        <v>0</v>
      </c>
      <c r="BA440" s="49">
        <v>0</v>
      </c>
      <c r="BB440" s="58">
        <v>10</v>
      </c>
      <c r="BC440" s="42">
        <v>145</v>
      </c>
      <c r="BE440" s="49"/>
      <c r="BS440" s="58"/>
      <c r="BT440" s="83">
        <v>77.55</v>
      </c>
      <c r="BU440" s="49">
        <v>78</v>
      </c>
      <c r="BV440" s="49">
        <v>78.239999999999995</v>
      </c>
      <c r="BW440" s="49">
        <v>79.540000000000006</v>
      </c>
      <c r="BX440" s="49">
        <v>81.8</v>
      </c>
      <c r="CE440" s="83"/>
      <c r="CK440" s="58"/>
      <c r="CL440" s="83">
        <v>68.98</v>
      </c>
      <c r="CM440" s="49">
        <v>69.47</v>
      </c>
      <c r="CN440" s="49">
        <v>71.13</v>
      </c>
      <c r="CO440" s="58"/>
      <c r="CP440" s="83">
        <v>62.17</v>
      </c>
      <c r="CR440" s="58"/>
      <c r="CS440" s="83">
        <v>82.31</v>
      </c>
      <c r="CT440" s="49">
        <v>82.73</v>
      </c>
      <c r="CU440" s="49">
        <v>82.28</v>
      </c>
      <c r="CY440" s="83"/>
      <c r="DG440" s="58"/>
      <c r="DH440" s="83">
        <v>78.05</v>
      </c>
      <c r="DI440" s="49">
        <v>76.22</v>
      </c>
      <c r="DJ440" s="49">
        <v>77.040000000000006</v>
      </c>
      <c r="DQ440" s="83">
        <v>73.37</v>
      </c>
      <c r="EE440" s="58"/>
      <c r="EF440" s="83"/>
      <c r="EI440" s="83"/>
      <c r="EK440" s="58"/>
      <c r="EL440" s="83"/>
      <c r="EO440" s="58"/>
      <c r="EP440" s="83"/>
      <c r="EQ440" s="58"/>
      <c r="ER440" s="83"/>
      <c r="ES440" s="58"/>
      <c r="ET440" s="83"/>
      <c r="EU440" s="58"/>
    </row>
    <row r="441" spans="1:151">
      <c r="A441" s="42" t="s">
        <v>325</v>
      </c>
      <c r="B441" s="173" t="s">
        <v>511</v>
      </c>
      <c r="C441" s="173" t="s">
        <v>510</v>
      </c>
      <c r="D441" s="83" t="s">
        <v>148</v>
      </c>
      <c r="F441" s="49" t="s">
        <v>286</v>
      </c>
      <c r="G441" s="49">
        <v>31.957999999999998</v>
      </c>
      <c r="I441" s="49">
        <v>7701</v>
      </c>
      <c r="J441" s="159">
        <v>1.0886344359626803</v>
      </c>
      <c r="K441" s="49">
        <v>1</v>
      </c>
      <c r="L441" s="49">
        <v>3</v>
      </c>
      <c r="M441" s="83">
        <v>0</v>
      </c>
      <c r="N441" s="49">
        <v>0</v>
      </c>
      <c r="O441" s="49">
        <v>1</v>
      </c>
      <c r="P441" s="49">
        <v>1</v>
      </c>
      <c r="Q441" s="58">
        <v>0</v>
      </c>
      <c r="R441" s="42">
        <v>2</v>
      </c>
      <c r="S441" s="83">
        <v>1</v>
      </c>
      <c r="U441" s="83">
        <v>2</v>
      </c>
      <c r="V441" s="49">
        <v>2</v>
      </c>
      <c r="W441" s="49">
        <v>1</v>
      </c>
      <c r="X441" s="58">
        <v>1</v>
      </c>
      <c r="Y441" s="83">
        <v>5</v>
      </c>
      <c r="Z441" s="49">
        <v>12</v>
      </c>
      <c r="AA441" s="49">
        <v>34</v>
      </c>
      <c r="AD441" s="49">
        <v>21</v>
      </c>
      <c r="AE441" s="49">
        <v>454</v>
      </c>
      <c r="AF441" s="49">
        <v>13</v>
      </c>
      <c r="AG441" s="49">
        <v>582</v>
      </c>
      <c r="AH441" s="49">
        <v>50</v>
      </c>
      <c r="AI441" s="49">
        <v>1019</v>
      </c>
      <c r="AJ441" s="49">
        <v>0</v>
      </c>
      <c r="AK441" s="83">
        <v>0</v>
      </c>
      <c r="AL441" s="49">
        <v>1</v>
      </c>
      <c r="AM441" s="49">
        <v>1</v>
      </c>
      <c r="AN441" s="49">
        <v>0</v>
      </c>
      <c r="AO441" s="58">
        <v>0</v>
      </c>
      <c r="AP441" s="174">
        <v>379</v>
      </c>
      <c r="AQ441" s="175">
        <v>5100</v>
      </c>
      <c r="AR441" s="175">
        <v>1919</v>
      </c>
      <c r="AS441" s="175">
        <v>2558</v>
      </c>
      <c r="AT441" s="175">
        <v>0</v>
      </c>
      <c r="AU441" s="175">
        <v>0</v>
      </c>
      <c r="AV441" s="175">
        <v>0</v>
      </c>
      <c r="AW441" s="175">
        <v>0</v>
      </c>
      <c r="AX441" s="83">
        <v>0</v>
      </c>
      <c r="AY441" s="49">
        <v>0</v>
      </c>
      <c r="AZ441" s="49">
        <v>0</v>
      </c>
      <c r="BA441" s="49">
        <v>0</v>
      </c>
      <c r="BB441" s="58">
        <v>0</v>
      </c>
      <c r="BC441" s="42">
        <v>132</v>
      </c>
      <c r="BD441" s="49">
        <v>80.11</v>
      </c>
      <c r="BE441" s="49"/>
      <c r="BS441" s="58"/>
      <c r="BT441" s="83">
        <v>73.56</v>
      </c>
      <c r="BU441" s="49">
        <v>79.23</v>
      </c>
      <c r="CE441" s="83"/>
      <c r="CK441" s="58"/>
      <c r="CL441" s="83"/>
      <c r="CO441" s="58"/>
      <c r="CP441" s="83"/>
      <c r="CR441" s="58"/>
      <c r="CS441" s="83"/>
      <c r="CY441" s="83"/>
      <c r="DG441" s="58"/>
      <c r="DH441" s="83"/>
      <c r="DQ441" s="83"/>
      <c r="EE441" s="58"/>
      <c r="EF441" s="83"/>
      <c r="EI441" s="83"/>
      <c r="EK441" s="58"/>
      <c r="EL441" s="83">
        <v>76.89</v>
      </c>
      <c r="EM441" s="49">
        <v>79.28</v>
      </c>
      <c r="EN441" s="49">
        <v>75.900000000000006</v>
      </c>
      <c r="EO441" s="58">
        <v>77.64</v>
      </c>
      <c r="EP441" s="83"/>
      <c r="EQ441" s="58"/>
      <c r="ER441" s="83">
        <v>56.99</v>
      </c>
      <c r="ES441" s="58"/>
      <c r="ET441" s="83">
        <v>70</v>
      </c>
      <c r="EU441" s="58">
        <v>73.5</v>
      </c>
    </row>
    <row r="442" spans="1:151">
      <c r="A442" s="42" t="s">
        <v>325</v>
      </c>
      <c r="B442" s="173" t="s">
        <v>511</v>
      </c>
      <c r="C442" s="173" t="s">
        <v>510</v>
      </c>
      <c r="D442" s="83" t="s">
        <v>105</v>
      </c>
      <c r="F442" s="49" t="s">
        <v>286</v>
      </c>
      <c r="G442" s="49">
        <v>31.957999999999998</v>
      </c>
      <c r="I442" s="49">
        <v>5994</v>
      </c>
      <c r="J442" s="159">
        <v>1.5971223021582734</v>
      </c>
      <c r="K442" s="49">
        <v>1</v>
      </c>
      <c r="L442" s="49">
        <v>2</v>
      </c>
      <c r="M442" s="83">
        <v>0</v>
      </c>
      <c r="N442" s="49">
        <v>0</v>
      </c>
      <c r="O442" s="49">
        <v>1</v>
      </c>
      <c r="P442" s="49">
        <v>1</v>
      </c>
      <c r="Q442" s="58">
        <v>0</v>
      </c>
      <c r="R442" s="42">
        <v>2</v>
      </c>
      <c r="S442" s="83">
        <v>1</v>
      </c>
      <c r="U442" s="83">
        <v>2</v>
      </c>
      <c r="V442" s="49">
        <v>3</v>
      </c>
      <c r="W442" s="49">
        <v>3</v>
      </c>
      <c r="X442" s="58">
        <v>1</v>
      </c>
      <c r="Y442" s="83">
        <v>2</v>
      </c>
      <c r="Z442" s="49">
        <v>6</v>
      </c>
      <c r="AA442" s="49">
        <v>41</v>
      </c>
      <c r="AD442" s="49">
        <v>8</v>
      </c>
      <c r="AE442" s="49">
        <v>313</v>
      </c>
      <c r="AF442" s="49">
        <v>15</v>
      </c>
      <c r="AG442" s="49">
        <v>345</v>
      </c>
      <c r="AH442" s="49">
        <v>33</v>
      </c>
      <c r="AI442" s="49">
        <v>1223</v>
      </c>
      <c r="AJ442" s="49">
        <v>0</v>
      </c>
      <c r="AK442" s="83">
        <v>0</v>
      </c>
      <c r="AL442" s="49">
        <v>1</v>
      </c>
      <c r="AM442" s="49">
        <v>0</v>
      </c>
      <c r="AN442" s="49">
        <v>0</v>
      </c>
      <c r="AO442" s="58">
        <v>1</v>
      </c>
      <c r="AP442" s="174">
        <v>260</v>
      </c>
      <c r="AQ442" s="175">
        <v>1624</v>
      </c>
      <c r="AR442" s="175">
        <v>0</v>
      </c>
      <c r="AS442" s="175">
        <v>0</v>
      </c>
      <c r="AT442" s="175">
        <v>0</v>
      </c>
      <c r="AU442" s="175">
        <v>0</v>
      </c>
      <c r="AV442" s="175">
        <v>0</v>
      </c>
      <c r="AW442" s="175">
        <v>111</v>
      </c>
      <c r="AX442" s="83">
        <v>0</v>
      </c>
      <c r="AY442" s="49">
        <v>0</v>
      </c>
      <c r="AZ442" s="49">
        <v>0</v>
      </c>
      <c r="BA442" s="49">
        <v>1</v>
      </c>
      <c r="BB442" s="58">
        <v>2</v>
      </c>
      <c r="BC442" s="42">
        <v>121</v>
      </c>
      <c r="BE442" s="49"/>
      <c r="BS442" s="58"/>
      <c r="BT442" s="83"/>
      <c r="CE442" s="83"/>
      <c r="CK442" s="58"/>
      <c r="CL442" s="83"/>
      <c r="CO442" s="58"/>
      <c r="CP442" s="83"/>
      <c r="CR442" s="58"/>
      <c r="CS442" s="83"/>
      <c r="CY442" s="83"/>
      <c r="DG442" s="58"/>
      <c r="DH442" s="83"/>
      <c r="DQ442" s="83"/>
      <c r="EE442" s="58"/>
      <c r="EF442" s="83"/>
      <c r="EI442" s="83"/>
      <c r="EK442" s="58"/>
      <c r="EL442" s="83"/>
      <c r="EO442" s="58"/>
      <c r="EP442" s="83"/>
      <c r="EQ442" s="58"/>
      <c r="ER442" s="83"/>
      <c r="ES442" s="58"/>
      <c r="ET442" s="83"/>
      <c r="EU442" s="58"/>
    </row>
    <row r="443" spans="1:151">
      <c r="A443" s="42" t="s">
        <v>325</v>
      </c>
      <c r="B443" s="173" t="s">
        <v>511</v>
      </c>
      <c r="C443" s="173" t="s">
        <v>510</v>
      </c>
      <c r="D443" s="83" t="s">
        <v>106</v>
      </c>
      <c r="F443" s="49" t="s">
        <v>286</v>
      </c>
      <c r="G443" s="49">
        <v>31.957999999999998</v>
      </c>
      <c r="I443" s="49">
        <v>1503</v>
      </c>
      <c r="J443" s="159">
        <v>0.93065015479876156</v>
      </c>
      <c r="K443" s="49">
        <v>4</v>
      </c>
      <c r="L443" s="49">
        <v>3</v>
      </c>
      <c r="M443" s="83">
        <v>0</v>
      </c>
      <c r="N443" s="49">
        <v>2</v>
      </c>
      <c r="O443" s="49">
        <v>0</v>
      </c>
      <c r="P443" s="49">
        <v>0</v>
      </c>
      <c r="Q443" s="58">
        <v>0</v>
      </c>
      <c r="R443" s="42">
        <v>2</v>
      </c>
      <c r="S443" s="83" t="s">
        <v>284</v>
      </c>
      <c r="U443" s="83">
        <v>1</v>
      </c>
      <c r="V443" s="49">
        <v>4</v>
      </c>
      <c r="W443" s="49">
        <v>2</v>
      </c>
      <c r="X443" s="58"/>
      <c r="Y443" s="83">
        <v>30</v>
      </c>
      <c r="AA443" s="49">
        <v>12</v>
      </c>
      <c r="AD443" s="49">
        <v>16</v>
      </c>
      <c r="AE443" s="49">
        <v>490</v>
      </c>
      <c r="AF443" s="49">
        <v>20</v>
      </c>
      <c r="AG443" s="49">
        <v>124</v>
      </c>
      <c r="AH443" s="49">
        <v>9</v>
      </c>
      <c r="AI443" s="49">
        <v>3450</v>
      </c>
      <c r="AJ443" s="49">
        <v>0</v>
      </c>
      <c r="AK443" s="83">
        <v>0</v>
      </c>
      <c r="AL443" s="49">
        <v>1</v>
      </c>
      <c r="AM443" s="49">
        <v>0</v>
      </c>
      <c r="AN443" s="49">
        <v>0</v>
      </c>
      <c r="AO443" s="58">
        <v>0</v>
      </c>
      <c r="AP443" s="174">
        <v>0</v>
      </c>
      <c r="AQ443" s="175">
        <v>1581</v>
      </c>
      <c r="AR443" s="175">
        <v>0</v>
      </c>
      <c r="AS443" s="175">
        <v>0</v>
      </c>
      <c r="AT443" s="175">
        <v>0</v>
      </c>
      <c r="AU443" s="175">
        <v>0</v>
      </c>
      <c r="AV443" s="175">
        <v>0</v>
      </c>
      <c r="AW443" s="175">
        <v>0</v>
      </c>
      <c r="AX443" s="83">
        <v>0</v>
      </c>
      <c r="AY443" s="49">
        <v>0</v>
      </c>
      <c r="AZ443" s="49">
        <v>0</v>
      </c>
      <c r="BA443" s="49">
        <v>0</v>
      </c>
      <c r="BB443" s="58">
        <v>0</v>
      </c>
      <c r="BC443" s="42">
        <v>140</v>
      </c>
      <c r="BD443" s="49">
        <v>78.8</v>
      </c>
      <c r="BE443" s="49">
        <v>77.22</v>
      </c>
      <c r="BS443" s="58"/>
      <c r="BT443" s="83">
        <v>74.59</v>
      </c>
      <c r="BU443" s="49">
        <v>79.97</v>
      </c>
      <c r="CE443" s="83"/>
      <c r="CK443" s="58"/>
      <c r="CL443" s="83">
        <v>63.86</v>
      </c>
      <c r="CO443" s="58"/>
      <c r="CP443" s="83"/>
      <c r="CR443" s="58"/>
      <c r="CS443" s="83"/>
      <c r="CY443" s="83"/>
      <c r="DG443" s="58"/>
      <c r="DH443" s="83"/>
      <c r="DQ443" s="83">
        <v>70.91</v>
      </c>
      <c r="DR443" s="49">
        <v>71.86</v>
      </c>
      <c r="EE443" s="58"/>
      <c r="EF443" s="83"/>
      <c r="EI443" s="83"/>
      <c r="EK443" s="58"/>
      <c r="EL443" s="83"/>
      <c r="EO443" s="58"/>
      <c r="EP443" s="83"/>
      <c r="EQ443" s="58"/>
      <c r="ER443" s="83"/>
      <c r="ES443" s="58"/>
      <c r="ET443" s="83"/>
      <c r="EU443" s="58"/>
    </row>
    <row r="444" spans="1:151">
      <c r="A444" s="42" t="s">
        <v>325</v>
      </c>
      <c r="B444" s="173" t="s">
        <v>511</v>
      </c>
      <c r="C444" s="173" t="s">
        <v>510</v>
      </c>
      <c r="D444" s="83" t="s">
        <v>150</v>
      </c>
      <c r="F444" s="49" t="s">
        <v>286</v>
      </c>
      <c r="G444" s="49">
        <v>31.957999999999998</v>
      </c>
      <c r="I444" s="49">
        <v>3981</v>
      </c>
      <c r="J444" s="159">
        <v>2.3091647331786542</v>
      </c>
      <c r="K444" s="49">
        <v>1</v>
      </c>
      <c r="L444" s="49">
        <v>2</v>
      </c>
      <c r="M444" s="83">
        <v>1</v>
      </c>
      <c r="N444" s="49">
        <v>0</v>
      </c>
      <c r="O444" s="49">
        <v>0</v>
      </c>
      <c r="P444" s="49">
        <v>0</v>
      </c>
      <c r="Q444" s="58">
        <v>0</v>
      </c>
      <c r="R444" s="42">
        <v>1</v>
      </c>
      <c r="S444" s="83" t="s">
        <v>283</v>
      </c>
      <c r="T444" s="49">
        <v>21</v>
      </c>
      <c r="U444" s="83">
        <v>2</v>
      </c>
      <c r="V444" s="49">
        <v>2</v>
      </c>
      <c r="W444" s="49">
        <v>3</v>
      </c>
      <c r="X444" s="58">
        <v>1</v>
      </c>
      <c r="Y444" s="83">
        <v>7</v>
      </c>
      <c r="Z444" s="49">
        <v>7</v>
      </c>
      <c r="AA444" s="49">
        <v>49</v>
      </c>
      <c r="AD444" s="49">
        <v>8</v>
      </c>
      <c r="AE444" s="49">
        <v>89</v>
      </c>
      <c r="AF444" s="49">
        <v>10</v>
      </c>
      <c r="AG444" s="49">
        <v>245</v>
      </c>
      <c r="AH444" s="49">
        <v>11</v>
      </c>
      <c r="AI444" s="49">
        <v>801</v>
      </c>
      <c r="AJ444" s="49">
        <v>0</v>
      </c>
      <c r="AK444" s="83">
        <v>0</v>
      </c>
      <c r="AL444" s="49">
        <v>1</v>
      </c>
      <c r="AM444" s="49">
        <v>0</v>
      </c>
      <c r="AN444" s="49">
        <v>0</v>
      </c>
      <c r="AO444" s="58">
        <v>0</v>
      </c>
      <c r="AP444" s="174">
        <v>405</v>
      </c>
      <c r="AQ444" s="175">
        <v>992</v>
      </c>
      <c r="AR444" s="175">
        <v>0</v>
      </c>
      <c r="AS444" s="175">
        <v>0</v>
      </c>
      <c r="AT444" s="175">
        <v>0</v>
      </c>
      <c r="AU444" s="175">
        <v>0</v>
      </c>
      <c r="AV444" s="175">
        <v>0</v>
      </c>
      <c r="AW444" s="175">
        <v>0</v>
      </c>
      <c r="AX444" s="83">
        <v>0</v>
      </c>
      <c r="AY444" s="49">
        <v>0</v>
      </c>
      <c r="AZ444" s="49">
        <v>0</v>
      </c>
      <c r="BA444" s="49">
        <v>0</v>
      </c>
      <c r="BB444" s="58">
        <v>0</v>
      </c>
      <c r="BC444" s="42">
        <v>146</v>
      </c>
      <c r="BE444" s="49"/>
      <c r="BS444" s="58"/>
      <c r="BT444" s="83"/>
      <c r="CE444" s="83"/>
      <c r="CK444" s="58"/>
      <c r="CL444" s="83"/>
      <c r="CO444" s="58"/>
      <c r="CP444" s="83"/>
      <c r="CR444" s="58"/>
      <c r="CS444" s="83"/>
      <c r="CY444" s="83"/>
      <c r="DG444" s="58"/>
      <c r="DH444" s="83"/>
      <c r="DQ444" s="83"/>
      <c r="EE444" s="58"/>
      <c r="EF444" s="83"/>
      <c r="EI444" s="83"/>
      <c r="EK444" s="58"/>
      <c r="EL444" s="83"/>
      <c r="EO444" s="58"/>
      <c r="EP444" s="83"/>
      <c r="EQ444" s="58"/>
      <c r="ER444" s="83"/>
      <c r="ES444" s="58"/>
      <c r="ET444" s="83"/>
      <c r="EU444" s="58"/>
    </row>
    <row r="445" spans="1:151">
      <c r="A445" s="42" t="s">
        <v>325</v>
      </c>
      <c r="B445" s="173" t="s">
        <v>511</v>
      </c>
      <c r="C445" s="173" t="s">
        <v>510</v>
      </c>
      <c r="D445" s="83" t="s">
        <v>108</v>
      </c>
      <c r="F445" s="49" t="s">
        <v>286</v>
      </c>
      <c r="G445" s="49">
        <v>31.957999999999998</v>
      </c>
      <c r="I445" s="49">
        <v>4188</v>
      </c>
      <c r="J445" s="159">
        <v>1.7086903304773562</v>
      </c>
      <c r="K445" s="49">
        <v>1</v>
      </c>
      <c r="L445" s="49">
        <v>3</v>
      </c>
      <c r="M445" s="83">
        <v>0</v>
      </c>
      <c r="N445" s="49">
        <v>1</v>
      </c>
      <c r="O445" s="49">
        <v>0</v>
      </c>
      <c r="P445" s="49">
        <v>1</v>
      </c>
      <c r="Q445" s="58">
        <v>0</v>
      </c>
      <c r="R445" s="42">
        <v>2</v>
      </c>
      <c r="S445" s="83" t="s">
        <v>283</v>
      </c>
      <c r="T445" s="49">
        <v>0</v>
      </c>
      <c r="U445" s="83">
        <v>2</v>
      </c>
      <c r="V445" s="49">
        <v>3</v>
      </c>
      <c r="W445" s="49">
        <v>3</v>
      </c>
      <c r="X445" s="58">
        <v>2</v>
      </c>
      <c r="Y445" s="83">
        <v>1</v>
      </c>
      <c r="Z445" s="49">
        <v>9</v>
      </c>
      <c r="AA445" s="49">
        <v>15</v>
      </c>
      <c r="AD445" s="49">
        <v>4</v>
      </c>
      <c r="AE445" s="49">
        <v>33</v>
      </c>
      <c r="AG445" s="49">
        <v>17</v>
      </c>
      <c r="AH445" s="49">
        <v>38</v>
      </c>
      <c r="AI445" s="49">
        <v>51</v>
      </c>
      <c r="AJ445" s="49">
        <v>0</v>
      </c>
      <c r="AK445" s="83">
        <v>0</v>
      </c>
      <c r="AL445" s="49">
        <v>1</v>
      </c>
      <c r="AM445" s="49">
        <v>1</v>
      </c>
      <c r="AN445" s="49">
        <v>0</v>
      </c>
      <c r="AO445" s="58">
        <v>0</v>
      </c>
      <c r="AP445" s="174">
        <v>255</v>
      </c>
      <c r="AQ445" s="175">
        <v>1279</v>
      </c>
      <c r="AR445" s="175">
        <v>69</v>
      </c>
      <c r="AS445" s="175">
        <v>170</v>
      </c>
      <c r="AT445" s="175">
        <v>0</v>
      </c>
      <c r="AU445" s="175">
        <v>0</v>
      </c>
      <c r="AV445" s="175">
        <v>0</v>
      </c>
      <c r="AW445" s="175">
        <v>0</v>
      </c>
      <c r="AX445" s="83">
        <v>0</v>
      </c>
      <c r="AY445" s="49">
        <v>0</v>
      </c>
      <c r="AZ445" s="49">
        <v>0</v>
      </c>
      <c r="BA445" s="49">
        <v>0</v>
      </c>
      <c r="BB445" s="58">
        <v>0</v>
      </c>
      <c r="BC445" s="42">
        <v>126</v>
      </c>
      <c r="BE445" s="49"/>
      <c r="BS445" s="58"/>
      <c r="BT445" s="83"/>
      <c r="CE445" s="83"/>
      <c r="CK445" s="58"/>
      <c r="CL445" s="83"/>
      <c r="CO445" s="58"/>
      <c r="CP445" s="83"/>
      <c r="CR445" s="58"/>
      <c r="CS445" s="83"/>
      <c r="CY445" s="83"/>
      <c r="DG445" s="58"/>
      <c r="DH445" s="83"/>
      <c r="DQ445" s="83"/>
      <c r="EE445" s="58"/>
      <c r="EF445" s="83"/>
      <c r="EI445" s="83"/>
      <c r="EK445" s="58"/>
      <c r="EL445" s="83"/>
      <c r="EO445" s="58"/>
      <c r="EP445" s="83"/>
      <c r="EQ445" s="58"/>
      <c r="ER445" s="83"/>
      <c r="ES445" s="58"/>
      <c r="ET445" s="83"/>
      <c r="EU445" s="58"/>
    </row>
    <row r="446" spans="1:151">
      <c r="A446" s="42" t="s">
        <v>325</v>
      </c>
      <c r="B446" s="173" t="s">
        <v>511</v>
      </c>
      <c r="C446" s="173" t="s">
        <v>510</v>
      </c>
      <c r="D446" s="83" t="s">
        <v>181</v>
      </c>
      <c r="F446" s="49" t="s">
        <v>286</v>
      </c>
      <c r="G446" s="49">
        <v>31.957999999999998</v>
      </c>
      <c r="I446" s="49">
        <v>13056</v>
      </c>
      <c r="J446" s="159">
        <v>3.096774193548387</v>
      </c>
      <c r="K446" s="49">
        <v>1</v>
      </c>
      <c r="L446" s="49">
        <v>3</v>
      </c>
      <c r="M446" s="83">
        <v>1</v>
      </c>
      <c r="N446" s="49">
        <v>5</v>
      </c>
      <c r="O446" s="49">
        <v>0</v>
      </c>
      <c r="P446" s="49">
        <v>1</v>
      </c>
      <c r="Q446" s="58">
        <v>0</v>
      </c>
      <c r="R446" s="42">
        <v>7</v>
      </c>
      <c r="S446" s="83" t="s">
        <v>283</v>
      </c>
      <c r="T446" s="49">
        <v>39</v>
      </c>
      <c r="U446" s="83">
        <v>2</v>
      </c>
      <c r="V446" s="49">
        <v>4</v>
      </c>
      <c r="W446" s="49">
        <v>3</v>
      </c>
      <c r="X446" s="58">
        <v>2</v>
      </c>
      <c r="Y446" s="83">
        <v>15</v>
      </c>
      <c r="Z446" s="49">
        <v>10</v>
      </c>
      <c r="AA446" s="49">
        <v>157</v>
      </c>
      <c r="AD446" s="49">
        <v>15</v>
      </c>
      <c r="AE446" s="49">
        <v>557</v>
      </c>
      <c r="AF446" s="49">
        <v>19</v>
      </c>
      <c r="AG446" s="49">
        <v>552</v>
      </c>
      <c r="AH446" s="49">
        <v>23</v>
      </c>
      <c r="AI446" s="49">
        <v>1573</v>
      </c>
      <c r="AJ446" s="49">
        <v>0</v>
      </c>
      <c r="AK446" s="83">
        <v>0</v>
      </c>
      <c r="AL446" s="49">
        <v>1</v>
      </c>
      <c r="AM446" s="49">
        <v>1</v>
      </c>
      <c r="AN446" s="49">
        <v>0</v>
      </c>
      <c r="AO446" s="58">
        <v>0</v>
      </c>
      <c r="AP446" s="174">
        <v>660</v>
      </c>
      <c r="AQ446" s="175">
        <v>797</v>
      </c>
      <c r="AR446" s="175">
        <v>50</v>
      </c>
      <c r="AS446" s="175">
        <v>172</v>
      </c>
      <c r="AT446" s="175">
        <v>0</v>
      </c>
      <c r="AU446" s="175">
        <v>0</v>
      </c>
      <c r="AV446" s="175">
        <v>0</v>
      </c>
      <c r="AW446" s="175">
        <v>0</v>
      </c>
      <c r="AX446" s="83">
        <v>0</v>
      </c>
      <c r="AY446" s="49">
        <v>0</v>
      </c>
      <c r="AZ446" s="49">
        <v>0</v>
      </c>
      <c r="BA446" s="49">
        <v>1</v>
      </c>
      <c r="BB446" s="58">
        <v>1</v>
      </c>
      <c r="BC446" s="42">
        <v>133</v>
      </c>
      <c r="BE446" s="49"/>
      <c r="BS446" s="58"/>
      <c r="BT446" s="83">
        <v>82.1</v>
      </c>
      <c r="BU446" s="49">
        <v>81.58</v>
      </c>
      <c r="BV446" s="49">
        <v>79.739999999999995</v>
      </c>
      <c r="CE446" s="83"/>
      <c r="CK446" s="58"/>
      <c r="CL446" s="83">
        <v>64.37</v>
      </c>
      <c r="CM446" s="49">
        <v>72.02</v>
      </c>
      <c r="CN446" s="49">
        <v>72.5</v>
      </c>
      <c r="CO446" s="58"/>
      <c r="CP446" s="83">
        <v>62.89</v>
      </c>
      <c r="CR446" s="58"/>
      <c r="CS446" s="83"/>
      <c r="CY446" s="83">
        <v>76.39</v>
      </c>
      <c r="CZ446" s="49">
        <v>82.22</v>
      </c>
      <c r="DA446" s="49">
        <v>79.11</v>
      </c>
      <c r="DB446" s="49">
        <v>81.849999999999994</v>
      </c>
      <c r="DC446" s="49">
        <v>76.069999999999993</v>
      </c>
      <c r="DD446" s="49">
        <v>76.069999999999993</v>
      </c>
      <c r="DE446" s="49">
        <v>78.930000000000007</v>
      </c>
      <c r="DF446" s="49">
        <v>79.069999999999993</v>
      </c>
      <c r="DG446" s="58"/>
      <c r="DH446" s="83"/>
      <c r="DQ446" s="83"/>
      <c r="EE446" s="58"/>
      <c r="EF446" s="83"/>
      <c r="EI446" s="83"/>
      <c r="EK446" s="58"/>
      <c r="EL446" s="83"/>
      <c r="EO446" s="58"/>
      <c r="EP446" s="83"/>
      <c r="EQ446" s="58"/>
      <c r="ER446" s="83"/>
      <c r="ES446" s="58"/>
      <c r="ET446" s="83"/>
      <c r="EU446" s="58"/>
    </row>
    <row r="447" spans="1:151">
      <c r="A447" s="42" t="s">
        <v>325</v>
      </c>
      <c r="B447" s="173" t="s">
        <v>511</v>
      </c>
      <c r="C447" s="173" t="s">
        <v>510</v>
      </c>
      <c r="D447" s="83" t="s">
        <v>155</v>
      </c>
      <c r="F447" s="49" t="s">
        <v>286</v>
      </c>
      <c r="G447" s="49">
        <v>31.957999999999998</v>
      </c>
      <c r="I447" s="49">
        <v>5451</v>
      </c>
      <c r="J447" s="159">
        <v>10.646484375</v>
      </c>
      <c r="K447" s="49">
        <v>2</v>
      </c>
      <c r="L447" s="49">
        <v>3</v>
      </c>
      <c r="M447" s="83">
        <v>0</v>
      </c>
      <c r="N447" s="49">
        <v>2</v>
      </c>
      <c r="O447" s="49">
        <v>0</v>
      </c>
      <c r="P447" s="49">
        <v>0</v>
      </c>
      <c r="Q447" s="58">
        <v>0</v>
      </c>
      <c r="R447" s="42">
        <v>2</v>
      </c>
      <c r="S447" s="83">
        <v>1</v>
      </c>
      <c r="U447" s="83">
        <v>1</v>
      </c>
      <c r="V447" s="49">
        <v>2</v>
      </c>
      <c r="W447" s="49">
        <v>2</v>
      </c>
      <c r="X447" s="58"/>
      <c r="Y447" s="83">
        <v>5</v>
      </c>
      <c r="AD447" s="49">
        <v>28</v>
      </c>
      <c r="AE447" s="49">
        <v>468</v>
      </c>
      <c r="AF447" s="49">
        <v>50</v>
      </c>
      <c r="AG447" s="49">
        <v>853</v>
      </c>
      <c r="AH447" s="49">
        <v>24</v>
      </c>
      <c r="AI447" s="49">
        <v>307</v>
      </c>
      <c r="AJ447" s="49">
        <v>0</v>
      </c>
      <c r="AK447" s="83">
        <v>0</v>
      </c>
      <c r="AL447" s="49">
        <v>1</v>
      </c>
      <c r="AM447" s="49">
        <v>1</v>
      </c>
      <c r="AN447" s="49">
        <v>0</v>
      </c>
      <c r="AO447" s="58">
        <v>0</v>
      </c>
      <c r="AP447" s="174">
        <v>78</v>
      </c>
      <c r="AQ447" s="175">
        <v>1860</v>
      </c>
      <c r="AR447" s="175">
        <v>0</v>
      </c>
      <c r="AS447" s="175">
        <v>48</v>
      </c>
      <c r="AT447" s="175">
        <v>0</v>
      </c>
      <c r="AU447" s="175">
        <v>0</v>
      </c>
      <c r="AV447" s="175">
        <v>0</v>
      </c>
      <c r="AW447" s="175">
        <v>0</v>
      </c>
      <c r="AX447" s="83">
        <v>0</v>
      </c>
      <c r="AY447" s="49">
        <v>0</v>
      </c>
      <c r="AZ447" s="49">
        <v>0</v>
      </c>
      <c r="BA447" s="49">
        <v>0</v>
      </c>
      <c r="BB447" s="58">
        <v>0</v>
      </c>
      <c r="BC447" s="42">
        <v>119</v>
      </c>
      <c r="BE447" s="49"/>
      <c r="BS447" s="58"/>
      <c r="BT447" s="83"/>
      <c r="CE447" s="83"/>
      <c r="CK447" s="58"/>
      <c r="CL447" s="83"/>
      <c r="CO447" s="58"/>
      <c r="CP447" s="83"/>
      <c r="CR447" s="58"/>
      <c r="CS447" s="83"/>
      <c r="CY447" s="83"/>
      <c r="DG447" s="58"/>
      <c r="DH447" s="83"/>
      <c r="DQ447" s="83"/>
      <c r="EE447" s="58"/>
      <c r="EF447" s="83"/>
      <c r="EI447" s="83"/>
      <c r="EK447" s="58"/>
      <c r="EL447" s="83"/>
      <c r="EO447" s="58"/>
      <c r="EP447" s="83"/>
      <c r="EQ447" s="58"/>
      <c r="ER447" s="83"/>
      <c r="ES447" s="58"/>
      <c r="ET447" s="83"/>
      <c r="EU447" s="58"/>
    </row>
    <row r="448" spans="1:151">
      <c r="A448" s="42" t="s">
        <v>325</v>
      </c>
      <c r="B448" s="173" t="s">
        <v>511</v>
      </c>
      <c r="C448" s="173" t="s">
        <v>510</v>
      </c>
      <c r="D448" s="83" t="s">
        <v>156</v>
      </c>
      <c r="F448" s="49" t="s">
        <v>286</v>
      </c>
      <c r="G448" s="49">
        <v>31.957999999999998</v>
      </c>
      <c r="I448" s="49">
        <v>1543</v>
      </c>
      <c r="J448" s="159">
        <v>1.376449598572703</v>
      </c>
      <c r="K448" s="49">
        <v>1</v>
      </c>
      <c r="L448" s="49">
        <v>1</v>
      </c>
      <c r="M448" s="83">
        <v>0</v>
      </c>
      <c r="N448" s="49">
        <v>1</v>
      </c>
      <c r="O448" s="49">
        <v>0</v>
      </c>
      <c r="P448" s="49">
        <v>0</v>
      </c>
      <c r="Q448" s="58">
        <v>0</v>
      </c>
      <c r="R448" s="42">
        <v>1</v>
      </c>
      <c r="S448" s="83" t="s">
        <v>284</v>
      </c>
      <c r="U448" s="83">
        <v>1</v>
      </c>
      <c r="V448" s="49">
        <v>2</v>
      </c>
      <c r="W448" s="49">
        <v>2</v>
      </c>
      <c r="X448" s="58"/>
      <c r="Y448" s="83">
        <v>1</v>
      </c>
      <c r="AD448" s="49">
        <v>8</v>
      </c>
      <c r="AE448" s="49">
        <v>41</v>
      </c>
      <c r="AG448" s="49">
        <v>17</v>
      </c>
      <c r="AH448" s="49">
        <v>9</v>
      </c>
      <c r="AI448" s="49">
        <v>96</v>
      </c>
      <c r="AJ448" s="49">
        <v>0</v>
      </c>
      <c r="AK448" s="83">
        <v>0</v>
      </c>
      <c r="AL448" s="49">
        <v>0</v>
      </c>
      <c r="AM448" s="49">
        <v>1</v>
      </c>
      <c r="AN448" s="49">
        <v>0</v>
      </c>
      <c r="AO448" s="58">
        <v>0</v>
      </c>
      <c r="AP448" s="174">
        <v>0</v>
      </c>
      <c r="AQ448" s="175">
        <v>0</v>
      </c>
      <c r="AR448" s="175">
        <v>16</v>
      </c>
      <c r="AS448" s="175">
        <v>63</v>
      </c>
      <c r="AT448" s="175">
        <v>0</v>
      </c>
      <c r="AU448" s="175">
        <v>0</v>
      </c>
      <c r="AV448" s="175">
        <v>0</v>
      </c>
      <c r="AW448" s="175">
        <v>0</v>
      </c>
      <c r="AX448" s="83">
        <v>0</v>
      </c>
      <c r="AY448" s="49">
        <v>1</v>
      </c>
      <c r="AZ448" s="49">
        <v>0</v>
      </c>
      <c r="BB448" s="58">
        <v>1</v>
      </c>
      <c r="BC448" s="42">
        <v>113</v>
      </c>
      <c r="BD448" s="49">
        <v>78.53</v>
      </c>
      <c r="BE448" s="49">
        <v>80.540000000000006</v>
      </c>
      <c r="BF448" s="49">
        <v>79.5</v>
      </c>
      <c r="BS448" s="58"/>
      <c r="BT448" s="83"/>
      <c r="CE448" s="83"/>
      <c r="CK448" s="58"/>
      <c r="CL448" s="83">
        <v>64.16</v>
      </c>
      <c r="CO448" s="58"/>
      <c r="CP448" s="83"/>
      <c r="CR448" s="58"/>
      <c r="CS448" s="83"/>
      <c r="CY448" s="83"/>
      <c r="DG448" s="58"/>
      <c r="DH448" s="83"/>
      <c r="DQ448" s="83"/>
      <c r="EE448" s="58"/>
      <c r="EF448" s="83"/>
      <c r="EI448" s="83"/>
      <c r="EK448" s="58"/>
      <c r="EL448" s="83"/>
      <c r="EO448" s="58"/>
      <c r="EP448" s="83"/>
      <c r="EQ448" s="58"/>
      <c r="ER448" s="83"/>
      <c r="ES448" s="58"/>
      <c r="ET448" s="83"/>
      <c r="EU448" s="58"/>
    </row>
    <row r="449" spans="1:151">
      <c r="A449" s="42" t="s">
        <v>325</v>
      </c>
      <c r="B449" s="173" t="s">
        <v>511</v>
      </c>
      <c r="C449" s="173" t="s">
        <v>510</v>
      </c>
      <c r="D449" s="83" t="s">
        <v>182</v>
      </c>
      <c r="F449" s="49" t="s">
        <v>286</v>
      </c>
      <c r="G449" s="49">
        <v>31.957999999999998</v>
      </c>
      <c r="I449" s="49">
        <v>5195</v>
      </c>
      <c r="J449" s="159">
        <v>2.938348416289593</v>
      </c>
      <c r="K449" s="49">
        <v>1</v>
      </c>
      <c r="L449" s="49">
        <v>2</v>
      </c>
      <c r="M449" s="83">
        <v>0</v>
      </c>
      <c r="N449" s="49">
        <v>3</v>
      </c>
      <c r="O449" s="49">
        <v>1</v>
      </c>
      <c r="P449" s="49">
        <v>1</v>
      </c>
      <c r="Q449" s="58">
        <v>0</v>
      </c>
      <c r="R449" s="42">
        <v>5</v>
      </c>
      <c r="S449" s="83" t="s">
        <v>283</v>
      </c>
      <c r="T449" s="49">
        <v>66</v>
      </c>
      <c r="U449" s="83">
        <v>1</v>
      </c>
      <c r="V449" s="49">
        <v>3</v>
      </c>
      <c r="W449" s="49">
        <v>2</v>
      </c>
      <c r="X449" s="58"/>
      <c r="Y449" s="83">
        <v>15</v>
      </c>
      <c r="AD449" s="49">
        <v>17</v>
      </c>
      <c r="AE449" s="49">
        <v>979</v>
      </c>
      <c r="AF449" s="49">
        <v>37</v>
      </c>
      <c r="AG449" s="49">
        <v>1040</v>
      </c>
      <c r="AH449" s="49">
        <v>116</v>
      </c>
      <c r="AI449" s="49">
        <v>1377</v>
      </c>
      <c r="AJ449" s="49">
        <v>0</v>
      </c>
      <c r="AK449" s="83">
        <v>0</v>
      </c>
      <c r="AL449" s="49">
        <v>0</v>
      </c>
      <c r="AM449" s="49">
        <v>1</v>
      </c>
      <c r="AN449" s="49">
        <v>0</v>
      </c>
      <c r="AO449" s="58">
        <v>0</v>
      </c>
      <c r="AP449" s="174">
        <v>0</v>
      </c>
      <c r="AQ449" s="175">
        <v>0</v>
      </c>
      <c r="AR449" s="175">
        <v>64</v>
      </c>
      <c r="AS449" s="175">
        <v>126</v>
      </c>
      <c r="AT449" s="175">
        <v>0</v>
      </c>
      <c r="AU449" s="175">
        <v>0</v>
      </c>
      <c r="AV449" s="175">
        <v>0</v>
      </c>
      <c r="AW449" s="175">
        <v>0</v>
      </c>
      <c r="AX449" s="83">
        <v>0</v>
      </c>
      <c r="AY449" s="49">
        <v>0</v>
      </c>
      <c r="AZ449" s="49">
        <v>0</v>
      </c>
      <c r="BA449" s="49">
        <v>1</v>
      </c>
      <c r="BB449" s="58">
        <v>2</v>
      </c>
      <c r="BC449" s="42">
        <v>128</v>
      </c>
      <c r="BE449" s="49"/>
      <c r="BS449" s="58"/>
      <c r="BT449" s="83"/>
      <c r="CE449" s="83"/>
      <c r="CK449" s="58"/>
      <c r="CL449" s="83"/>
      <c r="CO449" s="58"/>
      <c r="CP449" s="83"/>
      <c r="CR449" s="58"/>
      <c r="CS449" s="83"/>
      <c r="CY449" s="83"/>
      <c r="DG449" s="58"/>
      <c r="DH449" s="83"/>
      <c r="DQ449" s="83"/>
      <c r="EE449" s="58"/>
      <c r="EF449" s="83"/>
      <c r="EI449" s="83"/>
      <c r="EK449" s="58"/>
      <c r="EL449" s="83"/>
      <c r="EO449" s="58"/>
      <c r="EP449" s="83"/>
      <c r="EQ449" s="58"/>
      <c r="ER449" s="83"/>
      <c r="ES449" s="58"/>
      <c r="ET449" s="83"/>
      <c r="EU449" s="58"/>
    </row>
    <row r="450" spans="1:151" ht="17" thickBot="1">
      <c r="A450" s="55" t="s">
        <v>325</v>
      </c>
      <c r="B450" s="173" t="s">
        <v>511</v>
      </c>
      <c r="C450" s="173" t="s">
        <v>510</v>
      </c>
      <c r="D450" s="83" t="s">
        <v>158</v>
      </c>
      <c r="F450" s="49" t="s">
        <v>286</v>
      </c>
      <c r="G450" s="49">
        <v>31.957999999999998</v>
      </c>
      <c r="I450" s="49">
        <v>1662</v>
      </c>
      <c r="J450" s="159">
        <v>1.5873925501432664</v>
      </c>
      <c r="K450" s="49">
        <v>1</v>
      </c>
      <c r="L450" s="49">
        <v>1</v>
      </c>
      <c r="M450" s="83">
        <v>0</v>
      </c>
      <c r="N450" s="49">
        <v>0</v>
      </c>
      <c r="O450" s="49">
        <v>1</v>
      </c>
      <c r="P450" s="49">
        <v>1</v>
      </c>
      <c r="Q450" s="58">
        <v>0</v>
      </c>
      <c r="R450" s="42">
        <v>2</v>
      </c>
      <c r="S450" s="83" t="s">
        <v>284</v>
      </c>
      <c r="U450" s="83">
        <v>1</v>
      </c>
      <c r="V450" s="49">
        <v>1</v>
      </c>
      <c r="W450" s="49">
        <v>1</v>
      </c>
      <c r="X450" s="58">
        <v>1</v>
      </c>
      <c r="Y450" s="83">
        <v>1</v>
      </c>
      <c r="Z450" s="49">
        <v>3</v>
      </c>
      <c r="AA450" s="49">
        <v>9</v>
      </c>
      <c r="AD450" s="49">
        <v>8</v>
      </c>
      <c r="AE450" s="49">
        <v>19</v>
      </c>
      <c r="AF450" s="49">
        <v>3</v>
      </c>
      <c r="AG450" s="49">
        <v>9</v>
      </c>
      <c r="AJ450" s="49">
        <v>1</v>
      </c>
      <c r="AK450" s="83">
        <v>0</v>
      </c>
      <c r="AL450" s="49">
        <v>1</v>
      </c>
      <c r="AM450" s="49">
        <v>1</v>
      </c>
      <c r="AN450" s="49">
        <v>0</v>
      </c>
      <c r="AO450" s="58">
        <v>0</v>
      </c>
      <c r="AP450" s="174">
        <v>247</v>
      </c>
      <c r="AQ450" s="175">
        <v>675</v>
      </c>
      <c r="AR450" s="175">
        <v>55</v>
      </c>
      <c r="AS450" s="175">
        <v>94</v>
      </c>
      <c r="AT450" s="175">
        <v>0</v>
      </c>
      <c r="AU450" s="175">
        <v>0</v>
      </c>
      <c r="AV450" s="175">
        <v>0</v>
      </c>
      <c r="AW450" s="175">
        <v>0</v>
      </c>
      <c r="AX450" s="83">
        <v>0</v>
      </c>
      <c r="AY450" s="49">
        <v>0</v>
      </c>
      <c r="AZ450" s="49">
        <v>0</v>
      </c>
      <c r="BA450" s="49">
        <v>0</v>
      </c>
      <c r="BB450" s="58">
        <v>0</v>
      </c>
      <c r="BC450" s="42">
        <v>108</v>
      </c>
      <c r="BE450" s="49"/>
      <c r="BS450" s="58"/>
      <c r="BT450" s="83"/>
      <c r="CE450" s="83"/>
      <c r="CK450" s="58"/>
      <c r="CL450" s="83"/>
      <c r="CO450" s="58"/>
      <c r="CP450" s="83"/>
      <c r="CR450" s="58"/>
      <c r="CS450" s="83"/>
      <c r="CY450" s="83"/>
      <c r="DG450" s="58"/>
      <c r="DH450" s="83"/>
      <c r="DQ450" s="83"/>
      <c r="EE450" s="58"/>
      <c r="EF450" s="83"/>
      <c r="EI450" s="83"/>
      <c r="EK450" s="58"/>
      <c r="EL450" s="83"/>
      <c r="EO450" s="58"/>
      <c r="EP450" s="83"/>
      <c r="EQ450" s="58"/>
      <c r="ER450" s="83"/>
      <c r="ES450" s="58"/>
      <c r="ET450" s="83"/>
      <c r="EU450" s="58"/>
    </row>
    <row r="451" spans="1:151">
      <c r="A451" s="83" t="s">
        <v>325</v>
      </c>
      <c r="B451" s="7" t="s">
        <v>183</v>
      </c>
      <c r="C451" s="7" t="s">
        <v>510</v>
      </c>
      <c r="D451" s="147" t="s">
        <v>64</v>
      </c>
      <c r="E451" s="148"/>
      <c r="F451" s="148" t="s">
        <v>286</v>
      </c>
      <c r="G451" s="148">
        <v>31.957999999999998</v>
      </c>
      <c r="H451" s="148">
        <v>4533</v>
      </c>
      <c r="I451" s="148">
        <v>1317</v>
      </c>
      <c r="J451" s="158">
        <v>1.811554332874828</v>
      </c>
      <c r="K451" s="148">
        <v>4</v>
      </c>
      <c r="L451" s="148">
        <v>3</v>
      </c>
      <c r="M451" s="147">
        <v>0</v>
      </c>
      <c r="N451" s="148">
        <v>1</v>
      </c>
      <c r="O451" s="148">
        <v>1</v>
      </c>
      <c r="P451" s="148">
        <v>1</v>
      </c>
      <c r="Q451" s="149">
        <v>0</v>
      </c>
      <c r="R451" s="87">
        <v>3</v>
      </c>
      <c r="S451" s="147" t="s">
        <v>284</v>
      </c>
      <c r="T451" s="148"/>
      <c r="U451" s="147">
        <v>2</v>
      </c>
      <c r="V451" s="148">
        <v>3</v>
      </c>
      <c r="W451" s="148">
        <v>3</v>
      </c>
      <c r="X451" s="149">
        <v>1</v>
      </c>
      <c r="Y451" s="147">
        <v>1</v>
      </c>
      <c r="Z451" s="148"/>
      <c r="AA451" s="148">
        <v>8</v>
      </c>
      <c r="AB451" s="148"/>
      <c r="AC451" s="148"/>
      <c r="AD451" s="148"/>
      <c r="AE451" s="148"/>
      <c r="AF451" s="148"/>
      <c r="AG451" s="148"/>
      <c r="AH451" s="148"/>
      <c r="AI451" s="148"/>
      <c r="AJ451" s="148">
        <v>0</v>
      </c>
      <c r="AK451" s="147">
        <v>0</v>
      </c>
      <c r="AL451" s="148">
        <v>0</v>
      </c>
      <c r="AM451" s="148">
        <v>0</v>
      </c>
      <c r="AN451" s="148">
        <v>0</v>
      </c>
      <c r="AO451" s="149">
        <v>0</v>
      </c>
      <c r="AP451" s="169" t="s">
        <v>284</v>
      </c>
      <c r="AQ451" s="170" t="s">
        <v>284</v>
      </c>
      <c r="AR451" s="170" t="s">
        <v>284</v>
      </c>
      <c r="AS451" s="170" t="s">
        <v>284</v>
      </c>
      <c r="AT451" s="170" t="s">
        <v>284</v>
      </c>
      <c r="AU451" s="170" t="s">
        <v>284</v>
      </c>
      <c r="AV451" s="170" t="s">
        <v>284</v>
      </c>
      <c r="AW451" s="170" t="s">
        <v>284</v>
      </c>
      <c r="AX451" s="147">
        <v>0</v>
      </c>
      <c r="AY451" s="148">
        <v>0</v>
      </c>
      <c r="AZ451" s="148">
        <v>0</v>
      </c>
      <c r="BA451" s="148">
        <v>0</v>
      </c>
      <c r="BB451" s="149">
        <v>0</v>
      </c>
      <c r="BC451" s="87">
        <v>56</v>
      </c>
      <c r="BD451" s="148">
        <v>79.64</v>
      </c>
      <c r="BE451" s="148"/>
      <c r="BF451" s="148"/>
      <c r="BG451" s="148"/>
      <c r="BH451" s="148"/>
      <c r="BI451" s="148"/>
      <c r="BJ451" s="148"/>
      <c r="BK451" s="148"/>
      <c r="BL451" s="148"/>
      <c r="BM451" s="148"/>
      <c r="BN451" s="148"/>
      <c r="BO451" s="148"/>
      <c r="BP451" s="148"/>
      <c r="BQ451" s="148"/>
      <c r="BR451" s="148"/>
      <c r="BS451" s="149"/>
      <c r="BT451" s="147"/>
      <c r="BU451" s="148"/>
      <c r="BV451" s="148"/>
      <c r="BW451" s="148"/>
      <c r="BX451" s="148"/>
      <c r="BY451" s="148"/>
      <c r="BZ451" s="148"/>
      <c r="CA451" s="148"/>
      <c r="CB451" s="148"/>
      <c r="CC451" s="148"/>
      <c r="CD451" s="148"/>
      <c r="CE451" s="147">
        <v>72.47</v>
      </c>
      <c r="CF451" s="148"/>
      <c r="CG451" s="148"/>
      <c r="CH451" s="148"/>
      <c r="CI451" s="148"/>
      <c r="CJ451" s="148"/>
      <c r="CK451" s="149"/>
      <c r="CL451" s="147"/>
      <c r="CM451" s="148"/>
      <c r="CN451" s="148"/>
      <c r="CO451" s="149"/>
      <c r="CP451" s="147"/>
      <c r="CQ451" s="148"/>
      <c r="CR451" s="149"/>
      <c r="CS451" s="147"/>
      <c r="CT451" s="148"/>
      <c r="CU451" s="148"/>
      <c r="CV451" s="148"/>
      <c r="CW451" s="148"/>
      <c r="CX451" s="148"/>
      <c r="CY451" s="147"/>
      <c r="CZ451" s="148"/>
      <c r="DA451" s="148"/>
      <c r="DB451" s="148"/>
      <c r="DC451" s="148"/>
      <c r="DD451" s="148"/>
      <c r="DE451" s="148"/>
      <c r="DF451" s="148"/>
      <c r="DG451" s="149"/>
      <c r="DH451" s="147"/>
      <c r="DI451" s="148"/>
      <c r="DJ451" s="148"/>
      <c r="DK451" s="148"/>
      <c r="DL451" s="148"/>
      <c r="DM451" s="148"/>
      <c r="DN451" s="148"/>
      <c r="DO451" s="148"/>
      <c r="DP451" s="148"/>
      <c r="DQ451" s="147">
        <v>80.150000000000006</v>
      </c>
      <c r="DR451" s="148"/>
      <c r="DS451" s="148"/>
      <c r="DT451" s="148"/>
      <c r="DU451" s="148"/>
      <c r="DV451" s="148"/>
      <c r="DW451" s="148"/>
      <c r="DX451" s="148"/>
      <c r="DY451" s="148"/>
      <c r="DZ451" s="148"/>
      <c r="EA451" s="148"/>
      <c r="EB451" s="148"/>
      <c r="EC451" s="148"/>
      <c r="ED451" s="148"/>
      <c r="EE451" s="149"/>
      <c r="EF451" s="147"/>
      <c r="EG451" s="148"/>
      <c r="EH451" s="148"/>
      <c r="EI451" s="147"/>
      <c r="EJ451" s="148"/>
      <c r="EK451" s="149"/>
      <c r="EL451" s="147"/>
      <c r="EM451" s="148"/>
      <c r="EN451" s="148"/>
      <c r="EO451" s="149"/>
      <c r="EP451" s="147"/>
      <c r="EQ451" s="149"/>
      <c r="ER451" s="147"/>
      <c r="ES451" s="149"/>
      <c r="ET451" s="147"/>
      <c r="EU451" s="149"/>
    </row>
    <row r="452" spans="1:151">
      <c r="A452" s="83" t="s">
        <v>325</v>
      </c>
      <c r="B452" s="173" t="s">
        <v>183</v>
      </c>
      <c r="C452" s="173" t="s">
        <v>510</v>
      </c>
      <c r="D452" s="83" t="s">
        <v>73</v>
      </c>
      <c r="F452" s="49" t="s">
        <v>286</v>
      </c>
      <c r="G452" s="49">
        <v>31.957999999999998</v>
      </c>
      <c r="H452" s="49">
        <v>4533</v>
      </c>
      <c r="I452" s="49">
        <v>2692</v>
      </c>
      <c r="J452" s="159">
        <v>1.7514638906961613</v>
      </c>
      <c r="K452" s="49">
        <v>1</v>
      </c>
      <c r="L452" s="49">
        <v>2</v>
      </c>
      <c r="M452" s="83">
        <v>1</v>
      </c>
      <c r="N452" s="49">
        <v>0</v>
      </c>
      <c r="O452" s="49">
        <v>0</v>
      </c>
      <c r="P452" s="49">
        <v>1</v>
      </c>
      <c r="Q452" s="58">
        <v>0</v>
      </c>
      <c r="R452" s="42">
        <v>2</v>
      </c>
      <c r="S452" s="83" t="s">
        <v>283</v>
      </c>
      <c r="T452" s="49">
        <v>14</v>
      </c>
      <c r="U452" s="83">
        <v>1</v>
      </c>
      <c r="V452" s="49">
        <v>2</v>
      </c>
      <c r="W452" s="49">
        <v>1</v>
      </c>
      <c r="X452" s="58">
        <v>2</v>
      </c>
      <c r="Y452" s="83">
        <v>2</v>
      </c>
      <c r="Z452" s="49">
        <v>15</v>
      </c>
      <c r="AA452" s="49">
        <v>41</v>
      </c>
      <c r="AD452" s="49">
        <v>14</v>
      </c>
      <c r="AE452" s="49">
        <v>37</v>
      </c>
      <c r="AF452" s="49">
        <v>10</v>
      </c>
      <c r="AG452" s="49">
        <v>29</v>
      </c>
      <c r="AJ452" s="49">
        <v>0</v>
      </c>
      <c r="AK452" s="83">
        <v>0</v>
      </c>
      <c r="AL452" s="49">
        <v>1</v>
      </c>
      <c r="AM452" s="49">
        <v>0</v>
      </c>
      <c r="AN452" s="49">
        <v>0</v>
      </c>
      <c r="AO452" s="58">
        <v>0</v>
      </c>
      <c r="AP452" s="174">
        <v>0</v>
      </c>
      <c r="AQ452" s="175">
        <v>438</v>
      </c>
      <c r="AR452" s="175" t="s">
        <v>284</v>
      </c>
      <c r="AS452" s="175" t="s">
        <v>284</v>
      </c>
      <c r="AT452" s="175" t="s">
        <v>284</v>
      </c>
      <c r="AU452" s="175" t="s">
        <v>284</v>
      </c>
      <c r="AV452" s="175" t="s">
        <v>284</v>
      </c>
      <c r="AW452" s="175" t="s">
        <v>284</v>
      </c>
      <c r="AX452" s="83">
        <v>0</v>
      </c>
      <c r="AY452" s="49">
        <v>0</v>
      </c>
      <c r="AZ452" s="49">
        <v>0</v>
      </c>
      <c r="BA452" s="49">
        <v>0</v>
      </c>
      <c r="BB452" s="58">
        <v>0</v>
      </c>
      <c r="BC452" s="42">
        <v>162</v>
      </c>
      <c r="BE452" s="49"/>
      <c r="BS452" s="58"/>
      <c r="BT452" s="83"/>
      <c r="CE452" s="83"/>
      <c r="CK452" s="58"/>
      <c r="CL452" s="83"/>
      <c r="CO452" s="58"/>
      <c r="CP452" s="83"/>
      <c r="CR452" s="58"/>
      <c r="CS452" s="83"/>
      <c r="CY452" s="83"/>
      <c r="DG452" s="58"/>
      <c r="DH452" s="83"/>
      <c r="DQ452" s="83"/>
      <c r="EE452" s="58"/>
      <c r="EF452" s="83"/>
      <c r="EI452" s="83"/>
      <c r="EK452" s="58"/>
      <c r="EL452" s="83"/>
      <c r="EO452" s="58"/>
      <c r="EP452" s="83"/>
      <c r="EQ452" s="58"/>
      <c r="ER452" s="83"/>
      <c r="ES452" s="58"/>
      <c r="ET452" s="83"/>
      <c r="EU452" s="58"/>
    </row>
    <row r="453" spans="1:151">
      <c r="A453" s="83" t="s">
        <v>325</v>
      </c>
      <c r="B453" s="173" t="s">
        <v>183</v>
      </c>
      <c r="C453" s="173" t="s">
        <v>510</v>
      </c>
      <c r="D453" s="83" t="s">
        <v>81</v>
      </c>
      <c r="F453" s="49" t="s">
        <v>286</v>
      </c>
      <c r="G453" s="49">
        <v>31.957999999999998</v>
      </c>
      <c r="H453" s="49">
        <v>4533</v>
      </c>
      <c r="I453" s="49">
        <v>2488</v>
      </c>
      <c r="J453" s="159">
        <v>1.7508796622097114</v>
      </c>
      <c r="K453" s="49">
        <v>1</v>
      </c>
      <c r="L453" s="49">
        <v>2</v>
      </c>
      <c r="M453" s="83">
        <v>0</v>
      </c>
      <c r="N453" s="49">
        <v>2</v>
      </c>
      <c r="O453" s="49">
        <v>0</v>
      </c>
      <c r="P453" s="49">
        <v>0</v>
      </c>
      <c r="Q453" s="58">
        <v>0</v>
      </c>
      <c r="R453" s="42">
        <v>2</v>
      </c>
      <c r="S453" s="83" t="s">
        <v>283</v>
      </c>
      <c r="T453" s="49">
        <v>18</v>
      </c>
      <c r="U453" s="83">
        <v>1</v>
      </c>
      <c r="V453" s="49">
        <v>1</v>
      </c>
      <c r="W453" s="49">
        <v>2</v>
      </c>
      <c r="X453" s="58"/>
      <c r="Y453" s="83">
        <v>5</v>
      </c>
      <c r="Z453" s="49">
        <v>8</v>
      </c>
      <c r="AA453" s="49">
        <v>14</v>
      </c>
      <c r="AD453" s="49">
        <v>18</v>
      </c>
      <c r="AE453" s="49">
        <v>562</v>
      </c>
      <c r="AI453" s="49">
        <v>510</v>
      </c>
      <c r="AJ453" s="49">
        <v>0</v>
      </c>
      <c r="AK453" s="83">
        <v>0</v>
      </c>
      <c r="AL453" s="49">
        <v>1</v>
      </c>
      <c r="AM453" s="49">
        <v>0</v>
      </c>
      <c r="AN453" s="49">
        <v>0</v>
      </c>
      <c r="AO453" s="58">
        <v>0</v>
      </c>
      <c r="AP453" s="174">
        <v>408</v>
      </c>
      <c r="AQ453" s="175">
        <v>913</v>
      </c>
      <c r="AR453" s="175" t="s">
        <v>284</v>
      </c>
      <c r="AS453" s="175" t="s">
        <v>284</v>
      </c>
      <c r="AT453" s="175" t="s">
        <v>284</v>
      </c>
      <c r="AU453" s="175" t="s">
        <v>284</v>
      </c>
      <c r="AV453" s="175" t="s">
        <v>284</v>
      </c>
      <c r="AW453" s="175" t="s">
        <v>284</v>
      </c>
      <c r="AX453" s="83">
        <v>0</v>
      </c>
      <c r="AY453" s="49">
        <v>0</v>
      </c>
      <c r="AZ453" s="49">
        <v>0</v>
      </c>
      <c r="BA453" s="49">
        <v>0</v>
      </c>
      <c r="BB453" s="58">
        <v>0</v>
      </c>
      <c r="BC453" s="42">
        <v>159</v>
      </c>
      <c r="BE453" s="49"/>
      <c r="BS453" s="58"/>
      <c r="BT453" s="83"/>
      <c r="CE453" s="83"/>
      <c r="CK453" s="58"/>
      <c r="CL453" s="83"/>
      <c r="CO453" s="58"/>
      <c r="CP453" s="83"/>
      <c r="CR453" s="58"/>
      <c r="CS453" s="83"/>
      <c r="CY453" s="83"/>
      <c r="DG453" s="58"/>
      <c r="DH453" s="83"/>
      <c r="DQ453" s="83"/>
      <c r="EE453" s="58"/>
      <c r="EF453" s="83"/>
      <c r="EI453" s="83"/>
      <c r="EK453" s="58"/>
      <c r="EL453" s="83"/>
      <c r="EO453" s="58"/>
      <c r="EP453" s="83"/>
      <c r="EQ453" s="58"/>
      <c r="ER453" s="83"/>
      <c r="ES453" s="58"/>
      <c r="ET453" s="83"/>
      <c r="EU453" s="58"/>
    </row>
    <row r="454" spans="1:151">
      <c r="A454" s="83" t="s">
        <v>325</v>
      </c>
      <c r="B454" s="173" t="s">
        <v>183</v>
      </c>
      <c r="C454" s="173" t="s">
        <v>510</v>
      </c>
      <c r="D454" s="83" t="s">
        <v>87</v>
      </c>
      <c r="F454" s="49" t="s">
        <v>286</v>
      </c>
      <c r="G454" s="49">
        <v>31.957999999999998</v>
      </c>
      <c r="H454" s="49">
        <v>4533</v>
      </c>
      <c r="I454" s="49">
        <v>2534</v>
      </c>
      <c r="J454" s="159">
        <v>1.9226100151745069</v>
      </c>
      <c r="K454" s="49">
        <v>4</v>
      </c>
      <c r="L454" s="49">
        <v>3</v>
      </c>
      <c r="M454" s="83">
        <v>0</v>
      </c>
      <c r="N454" s="49">
        <v>0</v>
      </c>
      <c r="O454" s="49">
        <v>0</v>
      </c>
      <c r="P454" s="49">
        <v>0</v>
      </c>
      <c r="Q454" s="58">
        <v>0</v>
      </c>
      <c r="R454" s="42">
        <v>0</v>
      </c>
      <c r="S454" s="83">
        <v>1</v>
      </c>
      <c r="U454" s="83">
        <v>1</v>
      </c>
      <c r="V454" s="49">
        <v>3</v>
      </c>
      <c r="W454" s="49">
        <v>2</v>
      </c>
      <c r="X454" s="58"/>
      <c r="Y454" s="83">
        <v>0</v>
      </c>
      <c r="AJ454" s="49">
        <v>0</v>
      </c>
      <c r="AK454" s="83">
        <v>0</v>
      </c>
      <c r="AL454" s="49">
        <v>0</v>
      </c>
      <c r="AM454" s="49">
        <v>1</v>
      </c>
      <c r="AN454" s="49">
        <v>0</v>
      </c>
      <c r="AO454" s="58">
        <v>0</v>
      </c>
      <c r="AP454" s="174" t="s">
        <v>284</v>
      </c>
      <c r="AQ454" s="175" t="s">
        <v>284</v>
      </c>
      <c r="AR454" s="175" t="s">
        <v>501</v>
      </c>
      <c r="AS454" s="175" t="s">
        <v>501</v>
      </c>
      <c r="AT454" s="175" t="s">
        <v>284</v>
      </c>
      <c r="AU454" s="175" t="s">
        <v>284</v>
      </c>
      <c r="AV454" s="175" t="s">
        <v>284</v>
      </c>
      <c r="AW454" s="175" t="s">
        <v>284</v>
      </c>
      <c r="AX454" s="83">
        <v>0</v>
      </c>
      <c r="AY454" s="49">
        <v>0</v>
      </c>
      <c r="AZ454" s="49">
        <v>0</v>
      </c>
      <c r="BA454" s="49">
        <v>0</v>
      </c>
      <c r="BB454" s="58">
        <v>0</v>
      </c>
      <c r="BC454" s="42">
        <v>116</v>
      </c>
      <c r="BD454" s="49">
        <v>76</v>
      </c>
      <c r="BE454" s="49"/>
      <c r="BS454" s="58"/>
      <c r="BT454" s="83">
        <v>76.45</v>
      </c>
      <c r="CE454" s="83">
        <v>70.31</v>
      </c>
      <c r="CK454" s="58"/>
      <c r="CL454" s="83"/>
      <c r="CO454" s="58"/>
      <c r="CP454" s="83"/>
      <c r="CR454" s="58"/>
      <c r="CS454" s="83"/>
      <c r="CY454" s="83"/>
      <c r="DG454" s="58"/>
      <c r="DH454" s="83"/>
      <c r="DQ454" s="83"/>
      <c r="EE454" s="58"/>
      <c r="EF454" s="83"/>
      <c r="EI454" s="83"/>
      <c r="EK454" s="58"/>
      <c r="EL454" s="83"/>
      <c r="EO454" s="58"/>
      <c r="EP454" s="83"/>
      <c r="EQ454" s="58"/>
      <c r="ER454" s="83"/>
      <c r="ES454" s="58"/>
      <c r="ET454" s="83"/>
      <c r="EU454" s="58"/>
    </row>
    <row r="455" spans="1:151">
      <c r="A455" s="83" t="s">
        <v>325</v>
      </c>
      <c r="B455" s="173" t="s">
        <v>183</v>
      </c>
      <c r="C455" s="173" t="s">
        <v>510</v>
      </c>
      <c r="D455" s="83" t="s">
        <v>88</v>
      </c>
      <c r="F455" s="49" t="s">
        <v>286</v>
      </c>
      <c r="G455" s="49">
        <v>31.957999999999998</v>
      </c>
      <c r="H455" s="49">
        <v>4533</v>
      </c>
      <c r="I455" s="49">
        <v>1824</v>
      </c>
      <c r="J455" s="159">
        <v>1.1101643335362141</v>
      </c>
      <c r="K455" s="49">
        <v>1</v>
      </c>
      <c r="L455" s="49">
        <v>2</v>
      </c>
      <c r="M455" s="83">
        <v>1</v>
      </c>
      <c r="N455" s="49">
        <v>0</v>
      </c>
      <c r="O455" s="49">
        <v>1</v>
      </c>
      <c r="P455" s="49">
        <v>1</v>
      </c>
      <c r="Q455" s="58">
        <v>0</v>
      </c>
      <c r="R455" s="42">
        <v>3</v>
      </c>
      <c r="S455" s="83">
        <v>1</v>
      </c>
      <c r="U455" s="83">
        <v>1</v>
      </c>
      <c r="V455" s="49">
        <v>3</v>
      </c>
      <c r="W455" s="49">
        <v>1</v>
      </c>
      <c r="X455" s="58">
        <v>1</v>
      </c>
      <c r="Y455" s="83">
        <v>1</v>
      </c>
      <c r="Z455" s="49">
        <v>7</v>
      </c>
      <c r="AA455" s="49">
        <v>26</v>
      </c>
      <c r="AD455" s="49">
        <v>16</v>
      </c>
      <c r="AE455" s="49">
        <v>25</v>
      </c>
      <c r="AI455" s="49">
        <v>34</v>
      </c>
      <c r="AJ455" s="49">
        <v>0</v>
      </c>
      <c r="AK455" s="83">
        <v>0</v>
      </c>
      <c r="AL455" s="49">
        <v>0</v>
      </c>
      <c r="AM455" s="49">
        <v>0</v>
      </c>
      <c r="AN455" s="49">
        <v>0</v>
      </c>
      <c r="AO455" s="58">
        <v>0</v>
      </c>
      <c r="AP455" s="174" t="s">
        <v>284</v>
      </c>
      <c r="AQ455" s="175" t="s">
        <v>284</v>
      </c>
      <c r="AR455" s="175" t="s">
        <v>284</v>
      </c>
      <c r="AS455" s="175" t="s">
        <v>284</v>
      </c>
      <c r="AT455" s="175" t="s">
        <v>284</v>
      </c>
      <c r="AU455" s="175" t="s">
        <v>284</v>
      </c>
      <c r="AV455" s="175" t="s">
        <v>284</v>
      </c>
      <c r="AW455" s="175" t="s">
        <v>284</v>
      </c>
      <c r="AX455" s="83">
        <v>0</v>
      </c>
      <c r="AY455" s="49">
        <v>1</v>
      </c>
      <c r="AZ455" s="49">
        <v>0</v>
      </c>
      <c r="BA455" s="49">
        <v>0</v>
      </c>
      <c r="BB455" s="58">
        <v>14</v>
      </c>
      <c r="BC455" s="42">
        <v>110</v>
      </c>
      <c r="BD455" s="49">
        <v>77.319999999999993</v>
      </c>
      <c r="BE455" s="49"/>
      <c r="BS455" s="58"/>
      <c r="BT455" s="83">
        <v>76.959999999999994</v>
      </c>
      <c r="CE455" s="83">
        <v>71.900000000000006</v>
      </c>
      <c r="CF455" s="49">
        <v>70.95</v>
      </c>
      <c r="CK455" s="58"/>
      <c r="CL455" s="83"/>
      <c r="CO455" s="58"/>
      <c r="CP455" s="83"/>
      <c r="CR455" s="58"/>
      <c r="CS455" s="83"/>
      <c r="CY455" s="83"/>
      <c r="DG455" s="58"/>
      <c r="DH455" s="83"/>
      <c r="DQ455" s="83"/>
      <c r="EE455" s="58"/>
      <c r="EF455" s="83"/>
      <c r="EI455" s="83"/>
      <c r="EK455" s="58"/>
      <c r="EL455" s="83"/>
      <c r="EO455" s="58"/>
      <c r="EP455" s="83"/>
      <c r="EQ455" s="58"/>
      <c r="ER455" s="83"/>
      <c r="ES455" s="58"/>
      <c r="ET455" s="83"/>
      <c r="EU455" s="58"/>
    </row>
    <row r="456" spans="1:151">
      <c r="A456" s="83" t="s">
        <v>325</v>
      </c>
      <c r="B456" s="173" t="s">
        <v>183</v>
      </c>
      <c r="C456" s="173" t="s">
        <v>510</v>
      </c>
      <c r="D456" s="83" t="s">
        <v>111</v>
      </c>
      <c r="F456" s="49" t="s">
        <v>286</v>
      </c>
      <c r="G456" s="49">
        <v>31.957999999999998</v>
      </c>
      <c r="H456" s="49">
        <v>4533</v>
      </c>
      <c r="I456" s="49">
        <v>2138</v>
      </c>
      <c r="J456" s="159">
        <v>3.5049180327868852</v>
      </c>
      <c r="K456" s="49">
        <v>1</v>
      </c>
      <c r="L456" s="49">
        <v>2</v>
      </c>
      <c r="M456" s="83">
        <v>0</v>
      </c>
      <c r="N456" s="49">
        <v>1</v>
      </c>
      <c r="O456" s="49">
        <v>1</v>
      </c>
      <c r="P456" s="49">
        <v>0</v>
      </c>
      <c r="Q456" s="58">
        <v>0</v>
      </c>
      <c r="R456" s="42">
        <v>2</v>
      </c>
      <c r="S456" s="83">
        <v>1</v>
      </c>
      <c r="U456" s="83">
        <v>1</v>
      </c>
      <c r="V456" s="49">
        <v>3</v>
      </c>
      <c r="W456" s="49">
        <v>1</v>
      </c>
      <c r="X456" s="58">
        <v>1</v>
      </c>
      <c r="Y456" s="83">
        <v>5</v>
      </c>
      <c r="Z456" s="49">
        <v>9</v>
      </c>
      <c r="AA456" s="49">
        <v>14</v>
      </c>
      <c r="AD456" s="49">
        <v>14</v>
      </c>
      <c r="AE456" s="49">
        <v>176</v>
      </c>
      <c r="AF456" s="49">
        <v>12</v>
      </c>
      <c r="AG456" s="49">
        <v>271</v>
      </c>
      <c r="AJ456" s="49">
        <v>0</v>
      </c>
      <c r="AK456" s="83">
        <v>0</v>
      </c>
      <c r="AL456" s="49">
        <v>0</v>
      </c>
      <c r="AM456" s="49">
        <v>0</v>
      </c>
      <c r="AN456" s="49">
        <v>0</v>
      </c>
      <c r="AO456" s="58">
        <v>0</v>
      </c>
      <c r="AP456" s="174" t="s">
        <v>284</v>
      </c>
      <c r="AQ456" s="175" t="s">
        <v>284</v>
      </c>
      <c r="AR456" s="175" t="s">
        <v>284</v>
      </c>
      <c r="AS456" s="175" t="s">
        <v>284</v>
      </c>
      <c r="AT456" s="175" t="s">
        <v>284</v>
      </c>
      <c r="AU456" s="175" t="s">
        <v>284</v>
      </c>
      <c r="AV456" s="175" t="s">
        <v>284</v>
      </c>
      <c r="AW456" s="175" t="s">
        <v>284</v>
      </c>
      <c r="AX456" s="83">
        <v>0</v>
      </c>
      <c r="AY456" s="49">
        <v>0</v>
      </c>
      <c r="AZ456" s="49">
        <v>0</v>
      </c>
      <c r="BA456" s="49">
        <v>0</v>
      </c>
      <c r="BB456" s="58">
        <v>0</v>
      </c>
      <c r="BC456" s="42">
        <v>162</v>
      </c>
      <c r="BE456" s="49"/>
      <c r="BS456" s="58"/>
      <c r="BT456" s="83"/>
      <c r="CE456" s="83"/>
      <c r="CK456" s="58"/>
      <c r="CL456" s="83"/>
      <c r="CO456" s="58"/>
      <c r="CP456" s="83"/>
      <c r="CR456" s="58"/>
      <c r="CS456" s="83"/>
      <c r="CY456" s="83"/>
      <c r="DG456" s="58"/>
      <c r="DH456" s="83"/>
      <c r="DQ456" s="83"/>
      <c r="EE456" s="58"/>
      <c r="EF456" s="83"/>
      <c r="EI456" s="83"/>
      <c r="EK456" s="58"/>
      <c r="EL456" s="83"/>
      <c r="EO456" s="58"/>
      <c r="EP456" s="83"/>
      <c r="EQ456" s="58"/>
      <c r="ER456" s="83"/>
      <c r="ES456" s="58"/>
      <c r="ET456" s="83"/>
      <c r="EU456" s="58"/>
    </row>
    <row r="457" spans="1:151">
      <c r="A457" s="83" t="s">
        <v>325</v>
      </c>
      <c r="B457" s="173" t="s">
        <v>183</v>
      </c>
      <c r="C457" s="173" t="s">
        <v>510</v>
      </c>
      <c r="D457" s="83" t="s">
        <v>93</v>
      </c>
      <c r="F457" s="49" t="s">
        <v>286</v>
      </c>
      <c r="G457" s="49">
        <v>31.957999999999998</v>
      </c>
      <c r="H457" s="49">
        <v>4533</v>
      </c>
      <c r="I457" s="49">
        <v>2997</v>
      </c>
      <c r="J457" s="159">
        <v>2.1225212464589234</v>
      </c>
      <c r="K457" s="49">
        <v>4</v>
      </c>
      <c r="L457" s="49">
        <v>3</v>
      </c>
      <c r="M457" s="83">
        <v>0</v>
      </c>
      <c r="N457" s="49">
        <v>0</v>
      </c>
      <c r="O457" s="49">
        <v>1</v>
      </c>
      <c r="P457" s="49">
        <v>1</v>
      </c>
      <c r="Q457" s="58">
        <v>0</v>
      </c>
      <c r="R457" s="42">
        <v>2</v>
      </c>
      <c r="S457" s="83" t="s">
        <v>283</v>
      </c>
      <c r="U457" s="83">
        <v>2</v>
      </c>
      <c r="V457" s="49">
        <v>2</v>
      </c>
      <c r="W457" s="49">
        <v>3</v>
      </c>
      <c r="X457" s="58">
        <v>1</v>
      </c>
      <c r="Y457" s="83">
        <v>1</v>
      </c>
      <c r="AE457" s="49">
        <v>176</v>
      </c>
      <c r="AJ457" s="49">
        <v>0</v>
      </c>
      <c r="AK457" s="83">
        <v>0</v>
      </c>
      <c r="AL457" s="49">
        <v>1</v>
      </c>
      <c r="AM457" s="49">
        <v>0</v>
      </c>
      <c r="AO457" s="58">
        <v>0</v>
      </c>
      <c r="AP457" s="174">
        <v>0</v>
      </c>
      <c r="AQ457" s="175">
        <v>1755</v>
      </c>
      <c r="AR457" s="175" t="s">
        <v>284</v>
      </c>
      <c r="AS457" s="175" t="s">
        <v>284</v>
      </c>
      <c r="AT457" s="175" t="s">
        <v>284</v>
      </c>
      <c r="AU457" s="175" t="s">
        <v>284</v>
      </c>
      <c r="AV457" s="175" t="s">
        <v>284</v>
      </c>
      <c r="AW457" s="175" t="s">
        <v>284</v>
      </c>
      <c r="AX457" s="83">
        <v>0</v>
      </c>
      <c r="AY457" s="49">
        <v>0</v>
      </c>
      <c r="AZ457" s="49">
        <v>0</v>
      </c>
      <c r="BA457" s="49">
        <v>0</v>
      </c>
      <c r="BB457" s="58">
        <v>0</v>
      </c>
      <c r="BC457" s="42">
        <v>89</v>
      </c>
      <c r="BE457" s="49"/>
      <c r="BS457" s="58"/>
      <c r="BT457" s="83"/>
      <c r="CE457" s="83"/>
      <c r="CK457" s="58"/>
      <c r="CL457" s="83"/>
      <c r="CO457" s="58"/>
      <c r="CP457" s="83"/>
      <c r="CR457" s="58"/>
      <c r="CS457" s="83"/>
      <c r="CY457" s="83"/>
      <c r="DG457" s="58"/>
      <c r="DH457" s="83"/>
      <c r="DQ457" s="83"/>
      <c r="EE457" s="58"/>
      <c r="EF457" s="83"/>
      <c r="EI457" s="83"/>
      <c r="EK457" s="58"/>
      <c r="EL457" s="83"/>
      <c r="EO457" s="58"/>
      <c r="EP457" s="83"/>
      <c r="EQ457" s="58"/>
      <c r="ER457" s="83"/>
      <c r="ES457" s="58"/>
      <c r="ET457" s="83"/>
      <c r="EU457" s="58"/>
    </row>
    <row r="458" spans="1:151">
      <c r="A458" s="83" t="s">
        <v>325</v>
      </c>
      <c r="B458" s="173" t="s">
        <v>183</v>
      </c>
      <c r="C458" s="173" t="s">
        <v>510</v>
      </c>
      <c r="D458" s="83" t="s">
        <v>94</v>
      </c>
      <c r="F458" s="49" t="s">
        <v>286</v>
      </c>
      <c r="G458" s="49">
        <v>31.957999999999998</v>
      </c>
      <c r="H458" s="49">
        <v>4533</v>
      </c>
      <c r="I458" s="49">
        <v>1960</v>
      </c>
      <c r="J458" s="159">
        <v>1.2980132450331126</v>
      </c>
      <c r="K458" s="49">
        <v>1</v>
      </c>
      <c r="L458" s="49">
        <v>3</v>
      </c>
      <c r="M458" s="83">
        <v>1</v>
      </c>
      <c r="N458" s="49">
        <v>0</v>
      </c>
      <c r="O458" s="49">
        <v>1</v>
      </c>
      <c r="P458" s="49">
        <v>1</v>
      </c>
      <c r="Q458" s="58">
        <v>0</v>
      </c>
      <c r="R458" s="42">
        <v>3</v>
      </c>
      <c r="S458" s="83">
        <v>1</v>
      </c>
      <c r="U458" s="83">
        <v>2</v>
      </c>
      <c r="V458" s="49">
        <v>3</v>
      </c>
      <c r="W458" s="49">
        <v>1</v>
      </c>
      <c r="X458" s="58">
        <v>1</v>
      </c>
      <c r="Y458" s="83">
        <v>3</v>
      </c>
      <c r="Z458" s="49">
        <v>6</v>
      </c>
      <c r="AA458" s="49">
        <v>23</v>
      </c>
      <c r="AD458" s="49">
        <v>14</v>
      </c>
      <c r="AE458" s="49">
        <v>28</v>
      </c>
      <c r="AF458" s="49">
        <v>32</v>
      </c>
      <c r="AG458" s="49">
        <v>99</v>
      </c>
      <c r="AJ458" s="49">
        <v>0</v>
      </c>
      <c r="AK458" s="83">
        <v>0</v>
      </c>
      <c r="AL458" s="49">
        <v>1</v>
      </c>
      <c r="AM458" s="49">
        <v>0</v>
      </c>
      <c r="AN458" s="49">
        <v>0</v>
      </c>
      <c r="AO458" s="58">
        <v>0</v>
      </c>
      <c r="AP458" s="174">
        <v>560</v>
      </c>
      <c r="AQ458" s="175">
        <v>582</v>
      </c>
      <c r="AR458" s="175" t="s">
        <v>284</v>
      </c>
      <c r="AS458" s="175" t="s">
        <v>284</v>
      </c>
      <c r="AT458" s="175" t="s">
        <v>284</v>
      </c>
      <c r="AU458" s="175" t="s">
        <v>284</v>
      </c>
      <c r="AV458" s="175" t="s">
        <v>284</v>
      </c>
      <c r="AW458" s="175" t="s">
        <v>284</v>
      </c>
      <c r="AX458" s="83">
        <v>0</v>
      </c>
      <c r="AY458" s="49">
        <v>0</v>
      </c>
      <c r="AZ458" s="49">
        <v>0</v>
      </c>
      <c r="BA458" s="49">
        <v>0</v>
      </c>
      <c r="BB458" s="58">
        <v>0</v>
      </c>
      <c r="BC458" s="42">
        <v>127</v>
      </c>
      <c r="BE458" s="49"/>
      <c r="BS458" s="58"/>
      <c r="BT458" s="83"/>
      <c r="CE458" s="83"/>
      <c r="CK458" s="58"/>
      <c r="CL458" s="83"/>
      <c r="CO458" s="58"/>
      <c r="CP458" s="83"/>
      <c r="CR458" s="58"/>
      <c r="CS458" s="83"/>
      <c r="CY458" s="83"/>
      <c r="DG458" s="58"/>
      <c r="DH458" s="83"/>
      <c r="DQ458" s="83"/>
      <c r="EE458" s="58"/>
      <c r="EF458" s="83"/>
      <c r="EI458" s="83"/>
      <c r="EK458" s="58"/>
      <c r="EL458" s="83"/>
      <c r="EO458" s="58"/>
      <c r="EP458" s="83"/>
      <c r="EQ458" s="58"/>
      <c r="ER458" s="83"/>
      <c r="ES458" s="58"/>
      <c r="ET458" s="83"/>
      <c r="EU458" s="58"/>
    </row>
    <row r="459" spans="1:151">
      <c r="A459" s="83" t="s">
        <v>325</v>
      </c>
      <c r="B459" s="173" t="s">
        <v>183</v>
      </c>
      <c r="C459" s="173" t="s">
        <v>510</v>
      </c>
      <c r="D459" s="83" t="s">
        <v>95</v>
      </c>
      <c r="F459" s="49" t="s">
        <v>286</v>
      </c>
      <c r="G459" s="49">
        <v>31.957999999999998</v>
      </c>
      <c r="H459" s="49">
        <v>4533</v>
      </c>
      <c r="I459" s="49">
        <v>2059</v>
      </c>
      <c r="J459" s="159">
        <v>1.0946305156831473</v>
      </c>
      <c r="K459" s="49">
        <v>1</v>
      </c>
      <c r="L459" s="49">
        <v>2</v>
      </c>
      <c r="M459" s="83">
        <v>0</v>
      </c>
      <c r="N459" s="49">
        <v>1</v>
      </c>
      <c r="O459" s="49">
        <v>0</v>
      </c>
      <c r="P459" s="49">
        <v>1</v>
      </c>
      <c r="Q459" s="58">
        <v>0</v>
      </c>
      <c r="R459" s="42">
        <v>2</v>
      </c>
      <c r="S459" s="83">
        <v>1</v>
      </c>
      <c r="U459" s="83">
        <v>1</v>
      </c>
      <c r="V459" s="49">
        <v>2</v>
      </c>
      <c r="W459" s="49">
        <v>1</v>
      </c>
      <c r="X459" s="58">
        <v>2</v>
      </c>
      <c r="Y459" s="83">
        <v>0</v>
      </c>
      <c r="AJ459" s="49">
        <v>0</v>
      </c>
      <c r="AK459" s="83">
        <v>0</v>
      </c>
      <c r="AL459" s="49">
        <v>1</v>
      </c>
      <c r="AM459" s="49">
        <v>0</v>
      </c>
      <c r="AN459" s="49">
        <v>0</v>
      </c>
      <c r="AO459" s="58">
        <v>0</v>
      </c>
      <c r="AP459" s="174">
        <v>373</v>
      </c>
      <c r="AQ459" s="175">
        <v>1286</v>
      </c>
      <c r="AR459" s="175" t="s">
        <v>284</v>
      </c>
      <c r="AS459" s="175" t="s">
        <v>284</v>
      </c>
      <c r="AT459" s="175" t="s">
        <v>284</v>
      </c>
      <c r="AU459" s="175" t="s">
        <v>284</v>
      </c>
      <c r="AV459" s="175" t="s">
        <v>284</v>
      </c>
      <c r="AW459" s="175" t="s">
        <v>284</v>
      </c>
      <c r="AX459" s="83">
        <v>0</v>
      </c>
      <c r="AY459" s="49">
        <v>0</v>
      </c>
      <c r="AZ459" s="49">
        <v>0</v>
      </c>
      <c r="BA459" s="49">
        <v>0</v>
      </c>
      <c r="BB459" s="58">
        <v>0</v>
      </c>
      <c r="BC459" s="42"/>
      <c r="BD459" s="49">
        <v>79.36</v>
      </c>
      <c r="BE459" s="49"/>
      <c r="BS459" s="58"/>
      <c r="BT459" s="83">
        <v>81.23</v>
      </c>
      <c r="BU459" s="49">
        <v>77.73</v>
      </c>
      <c r="CE459" s="83">
        <v>73.36</v>
      </c>
      <c r="CK459" s="58"/>
      <c r="CL459" s="83">
        <v>72.06</v>
      </c>
      <c r="CO459" s="58"/>
      <c r="CP459" s="83"/>
      <c r="CR459" s="58"/>
      <c r="CS459" s="83"/>
      <c r="CY459" s="83"/>
      <c r="DG459" s="58"/>
      <c r="DH459" s="83"/>
      <c r="DQ459" s="83"/>
      <c r="EE459" s="58"/>
      <c r="EF459" s="83"/>
      <c r="EI459" s="83"/>
      <c r="EK459" s="58"/>
      <c r="EL459" s="83"/>
      <c r="EO459" s="58"/>
      <c r="EP459" s="83"/>
      <c r="EQ459" s="58"/>
      <c r="ER459" s="83"/>
      <c r="ES459" s="58"/>
      <c r="ET459" s="83"/>
      <c r="EU459" s="58"/>
    </row>
    <row r="460" spans="1:151">
      <c r="A460" s="83" t="s">
        <v>325</v>
      </c>
      <c r="B460" s="173" t="s">
        <v>183</v>
      </c>
      <c r="C460" s="173" t="s">
        <v>510</v>
      </c>
      <c r="D460" s="83" t="s">
        <v>65</v>
      </c>
      <c r="F460" s="49" t="s">
        <v>286</v>
      </c>
      <c r="G460" s="49">
        <v>31.957999999999998</v>
      </c>
      <c r="H460" s="49">
        <v>4533</v>
      </c>
      <c r="I460" s="49">
        <v>2553</v>
      </c>
      <c r="J460" s="159">
        <v>4.6587591240875916</v>
      </c>
      <c r="K460" s="49">
        <v>1</v>
      </c>
      <c r="L460" s="49">
        <v>3</v>
      </c>
      <c r="M460" s="83">
        <v>0</v>
      </c>
      <c r="N460" s="49">
        <v>3</v>
      </c>
      <c r="O460" s="49">
        <v>0</v>
      </c>
      <c r="P460" s="49">
        <v>0</v>
      </c>
      <c r="Q460" s="58">
        <v>0</v>
      </c>
      <c r="R460" s="42">
        <v>3</v>
      </c>
      <c r="S460" s="83">
        <v>1</v>
      </c>
      <c r="U460" s="83">
        <v>1</v>
      </c>
      <c r="V460" s="49">
        <v>3</v>
      </c>
      <c r="W460" s="49">
        <v>2</v>
      </c>
      <c r="X460" s="58"/>
      <c r="Y460" s="83">
        <v>5</v>
      </c>
      <c r="AD460" s="49">
        <v>11</v>
      </c>
      <c r="AE460" s="49">
        <v>497</v>
      </c>
      <c r="AF460" s="49">
        <v>17</v>
      </c>
      <c r="AG460" s="49">
        <v>217</v>
      </c>
      <c r="AH460" s="49">
        <v>32</v>
      </c>
      <c r="AI460" s="49">
        <v>190</v>
      </c>
      <c r="AJ460" s="49">
        <v>0</v>
      </c>
      <c r="AK460" s="83">
        <v>0</v>
      </c>
      <c r="AL460" s="49">
        <v>0</v>
      </c>
      <c r="AM460" s="49">
        <v>0</v>
      </c>
      <c r="AN460" s="49">
        <v>0</v>
      </c>
      <c r="AO460" s="58">
        <v>0</v>
      </c>
      <c r="AP460" s="174" t="s">
        <v>284</v>
      </c>
      <c r="AQ460" s="175" t="s">
        <v>284</v>
      </c>
      <c r="AR460" s="175" t="s">
        <v>284</v>
      </c>
      <c r="AS460" s="175" t="s">
        <v>284</v>
      </c>
      <c r="AT460" s="175" t="s">
        <v>284</v>
      </c>
      <c r="AU460" s="175" t="s">
        <v>284</v>
      </c>
      <c r="AV460" s="175" t="s">
        <v>284</v>
      </c>
      <c r="AW460" s="175" t="s">
        <v>284</v>
      </c>
      <c r="AX460" s="83">
        <v>0</v>
      </c>
      <c r="AY460" s="49">
        <v>0</v>
      </c>
      <c r="AZ460" s="49">
        <v>0</v>
      </c>
      <c r="BA460" s="49">
        <v>0</v>
      </c>
      <c r="BB460" s="58">
        <v>0</v>
      </c>
      <c r="BC460" s="42">
        <v>120</v>
      </c>
      <c r="BE460" s="49"/>
      <c r="BS460" s="58"/>
      <c r="BT460" s="83"/>
      <c r="CE460" s="83"/>
      <c r="CK460" s="58"/>
      <c r="CL460" s="83"/>
      <c r="CO460" s="58"/>
      <c r="CP460" s="83"/>
      <c r="CR460" s="58"/>
      <c r="CS460" s="83"/>
      <c r="CY460" s="83"/>
      <c r="DG460" s="58"/>
      <c r="DH460" s="83"/>
      <c r="DQ460" s="83"/>
      <c r="EE460" s="58"/>
      <c r="EF460" s="83"/>
      <c r="EI460" s="83"/>
      <c r="EK460" s="58"/>
      <c r="EL460" s="83"/>
      <c r="EO460" s="58"/>
      <c r="EP460" s="83"/>
      <c r="EQ460" s="58"/>
      <c r="ER460" s="83"/>
      <c r="ES460" s="58"/>
      <c r="ET460" s="83"/>
      <c r="EU460" s="58"/>
    </row>
    <row r="461" spans="1:151">
      <c r="A461" s="83" t="s">
        <v>325</v>
      </c>
      <c r="B461" s="173" t="s">
        <v>183</v>
      </c>
      <c r="C461" s="173" t="s">
        <v>510</v>
      </c>
      <c r="D461" s="83" t="s">
        <v>96</v>
      </c>
      <c r="F461" s="49" t="s">
        <v>286</v>
      </c>
      <c r="G461" s="49">
        <v>31.957999999999998</v>
      </c>
      <c r="H461" s="49">
        <v>4533</v>
      </c>
      <c r="I461" s="49">
        <v>1013</v>
      </c>
      <c r="J461" s="159">
        <v>1.8724584103512014</v>
      </c>
      <c r="K461" s="49">
        <v>4</v>
      </c>
      <c r="L461" s="49">
        <v>3</v>
      </c>
      <c r="M461" s="83">
        <v>0</v>
      </c>
      <c r="N461" s="49">
        <v>1</v>
      </c>
      <c r="O461" s="49">
        <v>1</v>
      </c>
      <c r="P461" s="49">
        <v>0</v>
      </c>
      <c r="Q461" s="58">
        <v>0</v>
      </c>
      <c r="R461" s="42">
        <v>2</v>
      </c>
      <c r="S461" s="83">
        <v>1</v>
      </c>
      <c r="U461" s="83">
        <v>1</v>
      </c>
      <c r="V461" s="49">
        <v>3</v>
      </c>
      <c r="W461" s="49">
        <v>1</v>
      </c>
      <c r="X461" s="58">
        <v>1</v>
      </c>
      <c r="Y461" s="83">
        <v>1</v>
      </c>
      <c r="AF461" s="49">
        <v>21</v>
      </c>
      <c r="AG461" s="49">
        <v>116</v>
      </c>
      <c r="AJ461" s="49">
        <v>0</v>
      </c>
      <c r="AK461" s="83">
        <v>0</v>
      </c>
      <c r="AL461" s="49">
        <v>0</v>
      </c>
      <c r="AM461" s="49">
        <v>0</v>
      </c>
      <c r="AN461" s="49">
        <v>0</v>
      </c>
      <c r="AO461" s="58">
        <v>0</v>
      </c>
      <c r="AP461" s="174" t="s">
        <v>284</v>
      </c>
      <c r="AQ461" s="175" t="s">
        <v>284</v>
      </c>
      <c r="AR461" s="175" t="s">
        <v>284</v>
      </c>
      <c r="AS461" s="175" t="s">
        <v>284</v>
      </c>
      <c r="AT461" s="175" t="s">
        <v>284</v>
      </c>
      <c r="AU461" s="175" t="s">
        <v>284</v>
      </c>
      <c r="AV461" s="175" t="s">
        <v>284</v>
      </c>
      <c r="AW461" s="175" t="s">
        <v>284</v>
      </c>
      <c r="AX461" s="83">
        <v>0</v>
      </c>
      <c r="AY461" s="49">
        <v>0</v>
      </c>
      <c r="AZ461" s="49">
        <v>0</v>
      </c>
      <c r="BA461" s="49">
        <v>0</v>
      </c>
      <c r="BB461" s="58">
        <v>0</v>
      </c>
      <c r="BC461" s="42">
        <v>156</v>
      </c>
      <c r="BE461" s="49"/>
      <c r="BS461" s="58"/>
      <c r="BT461" s="83"/>
      <c r="CE461" s="83"/>
      <c r="CK461" s="58"/>
      <c r="CL461" s="83"/>
      <c r="CO461" s="58"/>
      <c r="CP461" s="83"/>
      <c r="CR461" s="58"/>
      <c r="CS461" s="83"/>
      <c r="CY461" s="83"/>
      <c r="DG461" s="58"/>
      <c r="DH461" s="83"/>
      <c r="DQ461" s="83"/>
      <c r="EE461" s="58"/>
      <c r="EF461" s="83"/>
      <c r="EI461" s="83"/>
      <c r="EK461" s="58"/>
      <c r="EL461" s="83"/>
      <c r="EO461" s="58"/>
      <c r="EP461" s="83"/>
      <c r="EQ461" s="58"/>
      <c r="ER461" s="83"/>
      <c r="ES461" s="58"/>
      <c r="ET461" s="83"/>
      <c r="EU461" s="58"/>
    </row>
    <row r="462" spans="1:151">
      <c r="A462" s="83" t="s">
        <v>325</v>
      </c>
      <c r="B462" s="173" t="s">
        <v>183</v>
      </c>
      <c r="C462" s="173" t="s">
        <v>510</v>
      </c>
      <c r="D462" s="83" t="s">
        <v>97</v>
      </c>
      <c r="E462" s="49" t="s">
        <v>0</v>
      </c>
      <c r="F462" s="49" t="s">
        <v>286</v>
      </c>
      <c r="G462" s="49">
        <v>31.957999999999998</v>
      </c>
      <c r="H462" s="49">
        <v>4533</v>
      </c>
      <c r="I462" s="49">
        <v>2666</v>
      </c>
      <c r="J462" s="159">
        <v>2.8946796959826275</v>
      </c>
      <c r="K462" s="49">
        <v>1</v>
      </c>
      <c r="L462" s="49">
        <v>2</v>
      </c>
      <c r="M462" s="83">
        <v>0</v>
      </c>
      <c r="N462" s="49">
        <v>1</v>
      </c>
      <c r="O462" s="49">
        <v>0</v>
      </c>
      <c r="P462" s="49">
        <v>0</v>
      </c>
      <c r="Q462" s="58">
        <v>0</v>
      </c>
      <c r="R462" s="42">
        <v>1</v>
      </c>
      <c r="S462" s="83" t="s">
        <v>283</v>
      </c>
      <c r="T462" s="49">
        <v>11</v>
      </c>
      <c r="U462" s="83">
        <v>1</v>
      </c>
      <c r="V462" s="49">
        <v>1</v>
      </c>
      <c r="W462" s="49">
        <v>2</v>
      </c>
      <c r="X462" s="58"/>
      <c r="Y462" s="83">
        <v>15</v>
      </c>
      <c r="Z462" s="49">
        <v>5</v>
      </c>
      <c r="AA462" s="49">
        <v>123</v>
      </c>
      <c r="AD462" s="49">
        <v>19</v>
      </c>
      <c r="AE462" s="49">
        <v>209</v>
      </c>
      <c r="AF462" s="49">
        <v>15</v>
      </c>
      <c r="AG462" s="49">
        <v>264</v>
      </c>
      <c r="AI462" s="49">
        <v>770</v>
      </c>
      <c r="AJ462" s="49">
        <v>0</v>
      </c>
      <c r="AK462" s="83">
        <v>0</v>
      </c>
      <c r="AL462" s="49">
        <v>0</v>
      </c>
      <c r="AM462" s="49">
        <v>0</v>
      </c>
      <c r="AN462" s="49">
        <v>0</v>
      </c>
      <c r="AO462" s="58">
        <v>0</v>
      </c>
      <c r="AP462" s="174" t="s">
        <v>284</v>
      </c>
      <c r="AQ462" s="175" t="s">
        <v>284</v>
      </c>
      <c r="AR462" s="175" t="s">
        <v>284</v>
      </c>
      <c r="AS462" s="175" t="s">
        <v>284</v>
      </c>
      <c r="AT462" s="175" t="s">
        <v>284</v>
      </c>
      <c r="AU462" s="175" t="s">
        <v>284</v>
      </c>
      <c r="AV462" s="175" t="s">
        <v>284</v>
      </c>
      <c r="AW462" s="175" t="s">
        <v>284</v>
      </c>
      <c r="AX462" s="83">
        <v>0</v>
      </c>
      <c r="AY462" s="49">
        <v>0</v>
      </c>
      <c r="AZ462" s="49">
        <v>0</v>
      </c>
      <c r="BA462" s="49">
        <v>0</v>
      </c>
      <c r="BB462" s="58">
        <v>0</v>
      </c>
      <c r="BC462" s="42">
        <v>124</v>
      </c>
      <c r="BE462" s="49"/>
      <c r="BS462" s="58"/>
      <c r="BT462" s="83"/>
      <c r="CE462" s="83"/>
      <c r="CK462" s="58"/>
      <c r="CL462" s="83"/>
      <c r="CO462" s="58"/>
      <c r="CP462" s="83"/>
      <c r="CR462" s="58"/>
      <c r="CS462" s="83"/>
      <c r="CY462" s="83">
        <v>79.61</v>
      </c>
      <c r="CZ462" s="49">
        <v>78.209999999999994</v>
      </c>
      <c r="DG462" s="58"/>
      <c r="DH462" s="83"/>
      <c r="DQ462" s="83">
        <v>76.760000000000005</v>
      </c>
      <c r="EE462" s="58"/>
      <c r="EF462" s="83"/>
      <c r="EI462" s="83"/>
      <c r="EK462" s="58"/>
      <c r="EL462" s="83"/>
      <c r="EO462" s="58"/>
      <c r="EP462" s="83"/>
      <c r="EQ462" s="58"/>
      <c r="ER462" s="83"/>
      <c r="ES462" s="58"/>
      <c r="ET462" s="83"/>
      <c r="EU462" s="58"/>
    </row>
    <row r="463" spans="1:151">
      <c r="A463" s="83" t="s">
        <v>325</v>
      </c>
      <c r="B463" s="173" t="s">
        <v>183</v>
      </c>
      <c r="C463" s="173" t="s">
        <v>510</v>
      </c>
      <c r="D463" s="83" t="s">
        <v>98</v>
      </c>
      <c r="F463" s="49" t="s">
        <v>287</v>
      </c>
      <c r="G463" s="49">
        <v>31.957999999999998</v>
      </c>
      <c r="H463" s="49">
        <v>4533</v>
      </c>
      <c r="I463" s="49">
        <v>945</v>
      </c>
      <c r="J463" s="159">
        <v>1.327247191011236</v>
      </c>
      <c r="K463" s="49">
        <v>1</v>
      </c>
      <c r="L463" s="49">
        <v>3</v>
      </c>
      <c r="M463" s="83">
        <v>0</v>
      </c>
      <c r="N463" s="49">
        <v>0</v>
      </c>
      <c r="O463" s="49">
        <v>1</v>
      </c>
      <c r="P463" s="49">
        <v>1</v>
      </c>
      <c r="Q463" s="58">
        <v>0</v>
      </c>
      <c r="R463" s="42">
        <v>2</v>
      </c>
      <c r="S463" s="83">
        <v>1</v>
      </c>
      <c r="U463" s="83">
        <v>3</v>
      </c>
      <c r="V463" s="49">
        <v>3</v>
      </c>
      <c r="W463" s="49">
        <v>3</v>
      </c>
      <c r="X463" s="58">
        <v>3</v>
      </c>
      <c r="Y463" s="83">
        <v>2</v>
      </c>
      <c r="Z463" s="49">
        <v>8</v>
      </c>
      <c r="AA463" s="49">
        <v>13</v>
      </c>
      <c r="AJ463" s="49">
        <v>0</v>
      </c>
      <c r="AK463" s="83">
        <v>0</v>
      </c>
      <c r="AL463" s="49">
        <v>0</v>
      </c>
      <c r="AM463" s="49">
        <v>0</v>
      </c>
      <c r="AN463" s="49">
        <v>0</v>
      </c>
      <c r="AO463" s="58">
        <v>0</v>
      </c>
      <c r="AP463" s="174" t="s">
        <v>284</v>
      </c>
      <c r="AQ463" s="175" t="s">
        <v>284</v>
      </c>
      <c r="AR463" s="175" t="s">
        <v>284</v>
      </c>
      <c r="AS463" s="175" t="s">
        <v>284</v>
      </c>
      <c r="AT463" s="175" t="s">
        <v>284</v>
      </c>
      <c r="AU463" s="175" t="s">
        <v>284</v>
      </c>
      <c r="AV463" s="175" t="s">
        <v>284</v>
      </c>
      <c r="AW463" s="175" t="s">
        <v>284</v>
      </c>
      <c r="AX463" s="83">
        <v>0</v>
      </c>
      <c r="AY463" s="49">
        <v>0</v>
      </c>
      <c r="AZ463" s="49">
        <v>0</v>
      </c>
      <c r="BA463" s="49">
        <v>0</v>
      </c>
      <c r="BB463" s="58">
        <v>0</v>
      </c>
      <c r="BC463" s="42">
        <v>68</v>
      </c>
      <c r="BD463" s="49">
        <v>77.81</v>
      </c>
      <c r="BE463" s="49"/>
      <c r="BS463" s="58"/>
      <c r="BT463" s="83">
        <v>72.069999999999993</v>
      </c>
      <c r="BU463" s="49">
        <v>71.44</v>
      </c>
      <c r="BV463" s="49">
        <v>75.7</v>
      </c>
      <c r="BW463" s="49">
        <v>71.569999999999993</v>
      </c>
      <c r="CE463" s="83"/>
      <c r="CK463" s="58"/>
      <c r="CL463" s="83">
        <v>65.040000000000006</v>
      </c>
      <c r="CO463" s="58"/>
      <c r="CP463" s="83"/>
      <c r="CR463" s="58"/>
      <c r="CS463" s="83"/>
      <c r="CY463" s="83"/>
      <c r="DG463" s="58"/>
      <c r="DH463" s="83"/>
      <c r="DQ463" s="83"/>
      <c r="EE463" s="58"/>
      <c r="EF463" s="83"/>
      <c r="EI463" s="83"/>
      <c r="EK463" s="58"/>
      <c r="EL463" s="83"/>
      <c r="EO463" s="58"/>
      <c r="EP463" s="83"/>
      <c r="EQ463" s="58"/>
      <c r="ER463" s="83"/>
      <c r="ES463" s="58"/>
      <c r="ET463" s="83"/>
      <c r="EU463" s="58"/>
    </row>
    <row r="464" spans="1:151">
      <c r="A464" s="83" t="s">
        <v>325</v>
      </c>
      <c r="B464" s="173" t="s">
        <v>183</v>
      </c>
      <c r="C464" s="173" t="s">
        <v>510</v>
      </c>
      <c r="D464" s="83" t="s">
        <v>99</v>
      </c>
      <c r="F464" s="49" t="s">
        <v>287</v>
      </c>
      <c r="G464" s="49">
        <v>31.957999999999998</v>
      </c>
      <c r="H464" s="49">
        <v>4533</v>
      </c>
      <c r="I464" s="49">
        <v>652</v>
      </c>
      <c r="J464" s="159">
        <v>9.7313432835820901</v>
      </c>
      <c r="K464" s="49">
        <v>3</v>
      </c>
      <c r="L464" s="49">
        <v>2</v>
      </c>
      <c r="M464" s="83">
        <v>0</v>
      </c>
      <c r="N464" s="49">
        <v>0</v>
      </c>
      <c r="O464" s="49">
        <v>0</v>
      </c>
      <c r="P464" s="49">
        <v>1</v>
      </c>
      <c r="Q464" s="58">
        <v>0</v>
      </c>
      <c r="R464" s="42">
        <v>1</v>
      </c>
      <c r="S464" s="83" t="s">
        <v>283</v>
      </c>
      <c r="T464" s="49">
        <v>2</v>
      </c>
      <c r="U464" s="83">
        <v>0</v>
      </c>
      <c r="V464" s="49">
        <v>0</v>
      </c>
      <c r="W464" s="49">
        <v>0</v>
      </c>
      <c r="X464" s="58"/>
      <c r="Y464" s="83">
        <v>1</v>
      </c>
      <c r="Z464" s="49">
        <v>9</v>
      </c>
      <c r="AA464" s="49">
        <v>9</v>
      </c>
      <c r="AB464" s="49">
        <v>9</v>
      </c>
      <c r="AC464" s="49">
        <v>9</v>
      </c>
      <c r="AD464" s="49">
        <v>3</v>
      </c>
      <c r="AE464" s="49">
        <v>11</v>
      </c>
      <c r="AH464" s="49">
        <v>4</v>
      </c>
      <c r="AI464" s="49">
        <v>49</v>
      </c>
      <c r="AJ464" s="49">
        <v>0</v>
      </c>
      <c r="AK464" s="83">
        <v>0</v>
      </c>
      <c r="AL464" s="49">
        <v>0</v>
      </c>
      <c r="AM464" s="49">
        <v>0</v>
      </c>
      <c r="AN464" s="49">
        <v>0</v>
      </c>
      <c r="AO464" s="58">
        <v>0</v>
      </c>
      <c r="AP464" s="174" t="s">
        <v>284</v>
      </c>
      <c r="AQ464" s="175" t="s">
        <v>284</v>
      </c>
      <c r="AR464" s="175" t="s">
        <v>284</v>
      </c>
      <c r="AS464" s="175" t="s">
        <v>284</v>
      </c>
      <c r="AT464" s="175" t="s">
        <v>284</v>
      </c>
      <c r="AU464" s="175" t="s">
        <v>284</v>
      </c>
      <c r="AV464" s="175" t="s">
        <v>284</v>
      </c>
      <c r="AW464" s="175" t="s">
        <v>284</v>
      </c>
      <c r="AX464" s="83">
        <v>0</v>
      </c>
      <c r="AY464" s="49">
        <v>0</v>
      </c>
      <c r="AZ464" s="49">
        <v>0</v>
      </c>
      <c r="BA464" s="49">
        <v>0</v>
      </c>
      <c r="BB464" s="58">
        <v>0</v>
      </c>
      <c r="BC464" s="42">
        <v>76</v>
      </c>
      <c r="BE464" s="49"/>
      <c r="BS464" s="58"/>
      <c r="BT464" s="83"/>
      <c r="CE464" s="83"/>
      <c r="CK464" s="58"/>
      <c r="CL464" s="83"/>
      <c r="CO464" s="58"/>
      <c r="CP464" s="83"/>
      <c r="CR464" s="58"/>
      <c r="CS464" s="83"/>
      <c r="CY464" s="83"/>
      <c r="DG464" s="58"/>
      <c r="DH464" s="83"/>
      <c r="DQ464" s="83"/>
      <c r="EE464" s="58"/>
      <c r="EF464" s="83"/>
      <c r="EI464" s="83"/>
      <c r="EK464" s="58"/>
      <c r="EL464" s="83"/>
      <c r="EO464" s="58"/>
      <c r="EP464" s="83"/>
      <c r="EQ464" s="58"/>
      <c r="ER464" s="83"/>
      <c r="ES464" s="58"/>
      <c r="ET464" s="83"/>
      <c r="EU464" s="58"/>
    </row>
    <row r="465" spans="1:151">
      <c r="A465" s="83" t="s">
        <v>325</v>
      </c>
      <c r="B465" s="173" t="s">
        <v>183</v>
      </c>
      <c r="C465" s="173" t="s">
        <v>510</v>
      </c>
      <c r="D465" s="83" t="s">
        <v>100</v>
      </c>
      <c r="E465" s="49" t="s">
        <v>1</v>
      </c>
      <c r="F465" s="49" t="s">
        <v>287</v>
      </c>
      <c r="G465" s="49">
        <v>31.957999999999998</v>
      </c>
      <c r="H465" s="49">
        <v>4533</v>
      </c>
      <c r="I465" s="49">
        <v>817</v>
      </c>
      <c r="J465" s="159">
        <v>1.2785602503912363</v>
      </c>
      <c r="K465" s="49">
        <v>1</v>
      </c>
      <c r="L465" s="49">
        <v>3</v>
      </c>
      <c r="M465" s="83">
        <v>0</v>
      </c>
      <c r="N465" s="49">
        <v>1</v>
      </c>
      <c r="O465" s="49">
        <v>0</v>
      </c>
      <c r="P465" s="49">
        <v>1</v>
      </c>
      <c r="Q465" s="58">
        <v>0</v>
      </c>
      <c r="R465" s="42">
        <v>2</v>
      </c>
      <c r="S465" s="83" t="s">
        <v>283</v>
      </c>
      <c r="T465" s="49">
        <v>6</v>
      </c>
      <c r="U465" s="83">
        <v>1</v>
      </c>
      <c r="V465" s="49">
        <v>3</v>
      </c>
      <c r="W465" s="49">
        <v>2</v>
      </c>
      <c r="X465" s="58"/>
      <c r="Y465" s="83">
        <v>1</v>
      </c>
      <c r="AF465" s="49">
        <v>18</v>
      </c>
      <c r="AG465" s="49">
        <v>61</v>
      </c>
      <c r="AI465" s="49">
        <v>149</v>
      </c>
      <c r="AJ465" s="49">
        <v>0</v>
      </c>
      <c r="AK465" s="83">
        <v>0</v>
      </c>
      <c r="AL465" s="49">
        <v>0</v>
      </c>
      <c r="AM465" s="49">
        <v>0</v>
      </c>
      <c r="AN465" s="49">
        <v>0</v>
      </c>
      <c r="AO465" s="58">
        <v>0</v>
      </c>
      <c r="AP465" s="174" t="s">
        <v>284</v>
      </c>
      <c r="AQ465" s="175" t="s">
        <v>284</v>
      </c>
      <c r="AR465" s="175" t="s">
        <v>284</v>
      </c>
      <c r="AS465" s="175" t="s">
        <v>284</v>
      </c>
      <c r="AT465" s="175" t="s">
        <v>284</v>
      </c>
      <c r="AU465" s="175" t="s">
        <v>284</v>
      </c>
      <c r="AV465" s="175" t="s">
        <v>284</v>
      </c>
      <c r="AW465" s="175" t="s">
        <v>284</v>
      </c>
      <c r="AX465" s="83">
        <v>0</v>
      </c>
      <c r="AY465" s="49">
        <v>0</v>
      </c>
      <c r="AZ465" s="49">
        <v>0</v>
      </c>
      <c r="BA465" s="49">
        <v>0</v>
      </c>
      <c r="BB465" s="58">
        <v>0</v>
      </c>
      <c r="BC465" s="42">
        <v>122</v>
      </c>
      <c r="BD465" s="49">
        <v>72.36</v>
      </c>
      <c r="BE465" s="49">
        <v>78.510000000000005</v>
      </c>
      <c r="BS465" s="58"/>
      <c r="BT465" s="83">
        <v>75.2</v>
      </c>
      <c r="CE465" s="83"/>
      <c r="CK465" s="58"/>
      <c r="CL465" s="83"/>
      <c r="CO465" s="58"/>
      <c r="CP465" s="83"/>
      <c r="CR465" s="58"/>
      <c r="CS465" s="83"/>
      <c r="CY465" s="83"/>
      <c r="DG465" s="58"/>
      <c r="DH465" s="83"/>
      <c r="DQ465" s="83">
        <v>73.12</v>
      </c>
      <c r="EE465" s="58"/>
      <c r="EF465" s="83"/>
      <c r="EI465" s="83"/>
      <c r="EK465" s="58"/>
      <c r="EL465" s="83"/>
      <c r="EO465" s="58"/>
      <c r="EP465" s="83"/>
      <c r="EQ465" s="58"/>
      <c r="ER465" s="83"/>
      <c r="ES465" s="58"/>
      <c r="ET465" s="83"/>
      <c r="EU465" s="58"/>
    </row>
    <row r="466" spans="1:151">
      <c r="A466" s="83" t="s">
        <v>325</v>
      </c>
      <c r="B466" s="173" t="s">
        <v>183</v>
      </c>
      <c r="C466" s="173" t="s">
        <v>510</v>
      </c>
      <c r="D466" s="83" t="s">
        <v>114</v>
      </c>
      <c r="F466" s="49" t="s">
        <v>286</v>
      </c>
      <c r="G466" s="49">
        <v>31.957999999999998</v>
      </c>
      <c r="H466" s="49">
        <v>4533</v>
      </c>
      <c r="I466" s="49">
        <v>5064</v>
      </c>
      <c r="J466" s="159">
        <v>1.6846307385229542</v>
      </c>
      <c r="K466" s="49">
        <v>1</v>
      </c>
      <c r="L466" s="49">
        <v>3</v>
      </c>
      <c r="M466" s="83">
        <v>0</v>
      </c>
      <c r="N466" s="49">
        <v>0</v>
      </c>
      <c r="O466" s="49">
        <v>0</v>
      </c>
      <c r="P466" s="49">
        <v>0</v>
      </c>
      <c r="Q466" s="58">
        <v>0</v>
      </c>
      <c r="R466" s="42">
        <v>0</v>
      </c>
      <c r="S466" s="83" t="s">
        <v>283</v>
      </c>
      <c r="T466" s="49">
        <v>18</v>
      </c>
      <c r="U466" s="83">
        <v>1</v>
      </c>
      <c r="V466" s="49">
        <v>2</v>
      </c>
      <c r="W466" s="49">
        <v>2</v>
      </c>
      <c r="X466" s="58"/>
      <c r="Y466" s="83">
        <v>5</v>
      </c>
      <c r="Z466" s="49">
        <v>8</v>
      </c>
      <c r="AA466" s="49">
        <v>38</v>
      </c>
      <c r="AD466" s="49">
        <v>26</v>
      </c>
      <c r="AE466" s="49">
        <v>71</v>
      </c>
      <c r="AF466" s="49">
        <v>23</v>
      </c>
      <c r="AG466" s="49">
        <v>158</v>
      </c>
      <c r="AH466" s="49">
        <v>36</v>
      </c>
      <c r="AI466" s="49">
        <v>257</v>
      </c>
      <c r="AJ466" s="49">
        <v>0</v>
      </c>
      <c r="AK466" s="83">
        <v>0</v>
      </c>
      <c r="AL466" s="49">
        <v>1</v>
      </c>
      <c r="AM466" s="49">
        <v>0</v>
      </c>
      <c r="AN466" s="49">
        <v>0</v>
      </c>
      <c r="AO466" s="58">
        <v>0</v>
      </c>
      <c r="AP466" s="174">
        <v>404</v>
      </c>
      <c r="AQ466" s="175">
        <v>411</v>
      </c>
      <c r="AR466" s="175">
        <v>0</v>
      </c>
      <c r="AS466" s="175">
        <v>0</v>
      </c>
      <c r="AT466" s="175">
        <v>0</v>
      </c>
      <c r="AU466" s="175">
        <v>0</v>
      </c>
      <c r="AV466" s="175">
        <v>0</v>
      </c>
      <c r="AW466" s="175">
        <v>0</v>
      </c>
      <c r="AX466" s="83">
        <v>0</v>
      </c>
      <c r="AY466" s="49">
        <v>0</v>
      </c>
      <c r="AZ466" s="49">
        <v>0</v>
      </c>
      <c r="BA466" s="49">
        <v>0</v>
      </c>
      <c r="BB466" s="58">
        <v>0</v>
      </c>
      <c r="BC466" s="42">
        <v>171</v>
      </c>
      <c r="BD466" s="49">
        <v>77.95</v>
      </c>
      <c r="BE466" s="49">
        <v>78.540000000000006</v>
      </c>
      <c r="BF466" s="49">
        <v>77.81</v>
      </c>
      <c r="BG466" s="49">
        <v>78.47</v>
      </c>
      <c r="BS466" s="58"/>
      <c r="BT466" s="83">
        <v>79.400000000000006</v>
      </c>
      <c r="CE466" s="83">
        <v>71.64</v>
      </c>
      <c r="CK466" s="58"/>
      <c r="CL466" s="83"/>
      <c r="CO466" s="58"/>
      <c r="CP466" s="83"/>
      <c r="CR466" s="58"/>
      <c r="CS466" s="83"/>
      <c r="CY466" s="83"/>
      <c r="DG466" s="58"/>
      <c r="DH466" s="83"/>
      <c r="DQ466" s="83"/>
      <c r="EE466" s="58"/>
      <c r="EF466" s="83"/>
      <c r="EI466" s="83"/>
      <c r="EK466" s="58"/>
      <c r="EL466" s="83"/>
      <c r="EO466" s="58"/>
      <c r="EP466" s="83"/>
      <c r="EQ466" s="58"/>
      <c r="ER466" s="83"/>
      <c r="ES466" s="58"/>
      <c r="ET466" s="83"/>
      <c r="EU466" s="58"/>
    </row>
    <row r="467" spans="1:151">
      <c r="A467" s="83" t="s">
        <v>325</v>
      </c>
      <c r="B467" s="173" t="s">
        <v>183</v>
      </c>
      <c r="C467" s="173" t="s">
        <v>510</v>
      </c>
      <c r="D467" s="83" t="s">
        <v>119</v>
      </c>
      <c r="F467" s="49" t="s">
        <v>286</v>
      </c>
      <c r="G467" s="49">
        <v>31.957999999999998</v>
      </c>
      <c r="H467" s="49">
        <v>4533</v>
      </c>
      <c r="I467" s="49">
        <v>3483</v>
      </c>
      <c r="J467" s="159">
        <v>1.4512499999999999</v>
      </c>
      <c r="K467" s="49">
        <v>1</v>
      </c>
      <c r="L467" s="49">
        <v>3</v>
      </c>
      <c r="M467" s="83">
        <v>0</v>
      </c>
      <c r="N467" s="49">
        <v>0</v>
      </c>
      <c r="O467" s="49">
        <v>0</v>
      </c>
      <c r="P467" s="49">
        <v>1</v>
      </c>
      <c r="Q467" s="58">
        <v>0</v>
      </c>
      <c r="R467" s="42">
        <v>1</v>
      </c>
      <c r="S467" s="83" t="s">
        <v>284</v>
      </c>
      <c r="U467" s="83">
        <v>1</v>
      </c>
      <c r="V467" s="49">
        <v>2</v>
      </c>
      <c r="W467" s="49">
        <v>1</v>
      </c>
      <c r="X467" s="58">
        <v>2</v>
      </c>
      <c r="Y467" s="83">
        <v>10</v>
      </c>
      <c r="Z467" s="49">
        <v>6</v>
      </c>
      <c r="AA467" s="49">
        <v>60</v>
      </c>
      <c r="AB467" s="49">
        <v>110</v>
      </c>
      <c r="AC467" s="49">
        <v>158</v>
      </c>
      <c r="AD467" s="49">
        <v>13</v>
      </c>
      <c r="AE467" s="49">
        <v>84</v>
      </c>
      <c r="AF467" s="49">
        <v>19</v>
      </c>
      <c r="AG467" s="49">
        <v>207</v>
      </c>
      <c r="AH467" s="49">
        <v>67</v>
      </c>
      <c r="AI467" s="49">
        <v>760</v>
      </c>
      <c r="AJ467" s="49">
        <v>1</v>
      </c>
      <c r="AK467" s="83">
        <v>0</v>
      </c>
      <c r="AL467" s="49">
        <v>0</v>
      </c>
      <c r="AM467" s="49">
        <v>0</v>
      </c>
      <c r="AN467" s="49">
        <v>0</v>
      </c>
      <c r="AO467" s="58">
        <v>0</v>
      </c>
      <c r="AP467" s="174" t="s">
        <v>284</v>
      </c>
      <c r="AQ467" s="175" t="s">
        <v>284</v>
      </c>
      <c r="AR467" s="175" t="s">
        <v>284</v>
      </c>
      <c r="AS467" s="175" t="s">
        <v>284</v>
      </c>
      <c r="AT467" s="175" t="s">
        <v>284</v>
      </c>
      <c r="AU467" s="175" t="s">
        <v>284</v>
      </c>
      <c r="AV467" s="175" t="s">
        <v>284</v>
      </c>
      <c r="AW467" s="175" t="s">
        <v>284</v>
      </c>
      <c r="AX467" s="83">
        <v>0</v>
      </c>
      <c r="AY467" s="49">
        <v>0</v>
      </c>
      <c r="AZ467" s="49">
        <v>0</v>
      </c>
      <c r="BA467" s="49">
        <v>0</v>
      </c>
      <c r="BB467" s="58">
        <v>0</v>
      </c>
      <c r="BC467" s="42">
        <v>114</v>
      </c>
      <c r="BE467" s="49"/>
      <c r="BS467" s="58"/>
      <c r="BT467" s="83"/>
      <c r="CE467" s="83"/>
      <c r="CK467" s="58"/>
      <c r="CL467" s="83"/>
      <c r="CO467" s="58"/>
      <c r="CP467" s="83"/>
      <c r="CR467" s="58"/>
      <c r="CS467" s="83"/>
      <c r="CY467" s="83"/>
      <c r="DG467" s="58"/>
      <c r="DH467" s="83"/>
      <c r="DQ467" s="83"/>
      <c r="EE467" s="58"/>
      <c r="EF467" s="83"/>
      <c r="EI467" s="83"/>
      <c r="EK467" s="58"/>
      <c r="EL467" s="83"/>
      <c r="EO467" s="58"/>
      <c r="EP467" s="83"/>
      <c r="EQ467" s="58"/>
      <c r="ER467" s="83"/>
      <c r="ES467" s="58"/>
      <c r="ET467" s="83"/>
      <c r="EU467" s="58"/>
    </row>
    <row r="468" spans="1:151">
      <c r="A468" s="83" t="s">
        <v>325</v>
      </c>
      <c r="B468" s="173" t="s">
        <v>183</v>
      </c>
      <c r="C468" s="173" t="s">
        <v>510</v>
      </c>
      <c r="D468" s="83" t="s">
        <v>120</v>
      </c>
      <c r="F468" s="49" t="s">
        <v>286</v>
      </c>
      <c r="G468" s="49">
        <v>31.957999999999998</v>
      </c>
      <c r="H468" s="49">
        <v>4533</v>
      </c>
      <c r="I468" s="49">
        <v>6105</v>
      </c>
      <c r="J468" s="159">
        <v>1.6855328547763666</v>
      </c>
      <c r="K468" s="49">
        <v>1</v>
      </c>
      <c r="L468" s="49">
        <v>2</v>
      </c>
      <c r="M468" s="83">
        <v>0</v>
      </c>
      <c r="N468" s="49">
        <v>2</v>
      </c>
      <c r="O468" s="49">
        <v>1</v>
      </c>
      <c r="P468" s="49">
        <v>1</v>
      </c>
      <c r="Q468" s="58">
        <v>0</v>
      </c>
      <c r="R468" s="42">
        <v>4</v>
      </c>
      <c r="S468" s="83" t="s">
        <v>283</v>
      </c>
      <c r="U468" s="83">
        <v>2</v>
      </c>
      <c r="V468" s="49">
        <v>3</v>
      </c>
      <c r="W468" s="49">
        <v>1</v>
      </c>
      <c r="X468" s="58">
        <v>2</v>
      </c>
      <c r="Y468" s="83">
        <v>5</v>
      </c>
      <c r="Z468" s="49">
        <v>16</v>
      </c>
      <c r="AA468" s="49">
        <v>74</v>
      </c>
      <c r="AD468" s="49">
        <v>10</v>
      </c>
      <c r="AE468" s="49">
        <v>433</v>
      </c>
      <c r="AF468" s="49">
        <v>34</v>
      </c>
      <c r="AG468" s="49">
        <v>147</v>
      </c>
      <c r="AH468" s="49">
        <v>75</v>
      </c>
      <c r="AI468" s="49">
        <v>1022</v>
      </c>
      <c r="AJ468" s="49">
        <v>0</v>
      </c>
      <c r="AK468" s="83">
        <v>0</v>
      </c>
      <c r="AL468" s="49">
        <v>1</v>
      </c>
      <c r="AM468" s="49">
        <v>0</v>
      </c>
      <c r="AN468" s="49">
        <v>0</v>
      </c>
      <c r="AO468" s="58">
        <v>0</v>
      </c>
      <c r="AP468" s="174">
        <v>0</v>
      </c>
      <c r="AQ468" s="175">
        <v>1662</v>
      </c>
      <c r="AR468" s="175" t="s">
        <v>284</v>
      </c>
      <c r="AS468" s="175" t="s">
        <v>284</v>
      </c>
      <c r="AT468" s="175" t="s">
        <v>284</v>
      </c>
      <c r="AU468" s="175" t="s">
        <v>284</v>
      </c>
      <c r="AV468" s="175" t="s">
        <v>284</v>
      </c>
      <c r="AW468" s="175" t="s">
        <v>284</v>
      </c>
      <c r="AX468" s="83">
        <v>0</v>
      </c>
      <c r="AY468" s="49">
        <v>0</v>
      </c>
      <c r="AZ468" s="49">
        <v>0</v>
      </c>
      <c r="BA468" s="49">
        <v>0</v>
      </c>
      <c r="BB468" s="58">
        <v>0</v>
      </c>
      <c r="BC468" s="42">
        <v>216</v>
      </c>
      <c r="BD468" s="49">
        <v>74.040000000000006</v>
      </c>
      <c r="BE468" s="49"/>
      <c r="BS468" s="58"/>
      <c r="BT468" s="83">
        <v>78.98</v>
      </c>
      <c r="BU468" s="49">
        <v>78.59</v>
      </c>
      <c r="CE468" s="83"/>
      <c r="CK468" s="58"/>
      <c r="CL468" s="83">
        <v>71.400000000000006</v>
      </c>
      <c r="CO468" s="58"/>
      <c r="CP468" s="83"/>
      <c r="CR468" s="58"/>
      <c r="CS468" s="83"/>
      <c r="CY468" s="83"/>
      <c r="DG468" s="58"/>
      <c r="DH468" s="83"/>
      <c r="DQ468" s="83">
        <v>70.52</v>
      </c>
      <c r="EE468" s="58"/>
      <c r="EF468" s="83"/>
      <c r="EI468" s="83"/>
      <c r="EK468" s="58"/>
      <c r="EL468" s="83"/>
      <c r="EO468" s="58"/>
      <c r="EP468" s="83"/>
      <c r="EQ468" s="58"/>
      <c r="ER468" s="83"/>
      <c r="ES468" s="58"/>
      <c r="ET468" s="83"/>
      <c r="EU468" s="58"/>
    </row>
    <row r="469" spans="1:151">
      <c r="A469" s="83" t="s">
        <v>325</v>
      </c>
      <c r="B469" s="173" t="s">
        <v>183</v>
      </c>
      <c r="C469" s="173" t="s">
        <v>510</v>
      </c>
      <c r="D469" s="83" t="s">
        <v>101</v>
      </c>
      <c r="F469" s="49" t="s">
        <v>286</v>
      </c>
      <c r="G469" s="49">
        <v>31.957999999999998</v>
      </c>
      <c r="H469" s="49">
        <v>4533</v>
      </c>
      <c r="I469" s="49">
        <v>6755</v>
      </c>
      <c r="J469" s="159">
        <v>1.8603690443404022</v>
      </c>
      <c r="K469" s="49">
        <v>1</v>
      </c>
      <c r="L469" s="49">
        <v>2</v>
      </c>
      <c r="M469" s="83">
        <v>0</v>
      </c>
      <c r="N469" s="49">
        <v>0</v>
      </c>
      <c r="O469" s="49">
        <v>1</v>
      </c>
      <c r="P469" s="49">
        <v>1</v>
      </c>
      <c r="Q469" s="58">
        <v>0</v>
      </c>
      <c r="R469" s="42">
        <v>2</v>
      </c>
      <c r="S469" s="83" t="s">
        <v>283</v>
      </c>
      <c r="T469" s="49">
        <v>17</v>
      </c>
      <c r="U469" s="83">
        <v>4</v>
      </c>
      <c r="V469" s="49">
        <v>2</v>
      </c>
      <c r="W469" s="49">
        <v>3</v>
      </c>
      <c r="X469" s="58">
        <v>1</v>
      </c>
      <c r="Y469" s="83">
        <v>5</v>
      </c>
      <c r="Z469" s="49">
        <v>10</v>
      </c>
      <c r="AA469" s="49">
        <v>103</v>
      </c>
      <c r="AD469" s="49">
        <v>11</v>
      </c>
      <c r="AE469" s="49">
        <v>312</v>
      </c>
      <c r="AF469" s="49">
        <v>15</v>
      </c>
      <c r="AG469" s="49">
        <v>336</v>
      </c>
      <c r="AH469" s="49">
        <v>54</v>
      </c>
      <c r="AI469" s="49">
        <v>2578</v>
      </c>
      <c r="AJ469" s="49">
        <v>1</v>
      </c>
      <c r="AK469" s="83">
        <v>0</v>
      </c>
      <c r="AL469" s="49">
        <v>1</v>
      </c>
      <c r="AM469" s="49">
        <v>0</v>
      </c>
      <c r="AN469" s="49">
        <v>0</v>
      </c>
      <c r="AO469" s="58">
        <v>0</v>
      </c>
      <c r="AP469" s="174">
        <v>0</v>
      </c>
      <c r="AQ469" s="175">
        <v>1644</v>
      </c>
      <c r="AR469" s="175" t="s">
        <v>284</v>
      </c>
      <c r="AS469" s="175" t="s">
        <v>284</v>
      </c>
      <c r="AT469" s="175" t="s">
        <v>284</v>
      </c>
      <c r="AU469" s="175" t="s">
        <v>284</v>
      </c>
      <c r="AV469" s="175" t="s">
        <v>284</v>
      </c>
      <c r="AW469" s="175" t="s">
        <v>284</v>
      </c>
      <c r="AX469" s="83">
        <v>0</v>
      </c>
      <c r="AY469" s="49">
        <v>0</v>
      </c>
      <c r="AZ469" s="49">
        <v>0</v>
      </c>
      <c r="BA469" s="49">
        <v>0</v>
      </c>
      <c r="BB469" s="58">
        <v>0</v>
      </c>
      <c r="BC469" s="42">
        <v>164</v>
      </c>
      <c r="BE469" s="49"/>
      <c r="BS469" s="58"/>
      <c r="BT469" s="83"/>
      <c r="CE469" s="83"/>
      <c r="CK469" s="58"/>
      <c r="CL469" s="83"/>
      <c r="CO469" s="58"/>
      <c r="CP469" s="83"/>
      <c r="CR469" s="58"/>
      <c r="CS469" s="83"/>
      <c r="CY469" s="83"/>
      <c r="DG469" s="58"/>
      <c r="DH469" s="83"/>
      <c r="DQ469" s="83"/>
      <c r="EE469" s="58"/>
      <c r="EF469" s="83"/>
      <c r="EI469" s="83"/>
      <c r="EK469" s="58"/>
      <c r="EL469" s="83"/>
      <c r="EO469" s="58"/>
      <c r="EP469" s="83"/>
      <c r="EQ469" s="58"/>
      <c r="ER469" s="83"/>
      <c r="ES469" s="58"/>
      <c r="ET469" s="83"/>
      <c r="EU469" s="58"/>
    </row>
    <row r="470" spans="1:151">
      <c r="A470" s="83" t="s">
        <v>325</v>
      </c>
      <c r="B470" s="173" t="s">
        <v>183</v>
      </c>
      <c r="C470" s="173" t="s">
        <v>510</v>
      </c>
      <c r="D470" s="83" t="s">
        <v>102</v>
      </c>
      <c r="E470" s="49" t="s">
        <v>0</v>
      </c>
      <c r="F470" s="49" t="s">
        <v>286</v>
      </c>
      <c r="G470" s="49">
        <v>31.957999999999998</v>
      </c>
      <c r="H470" s="49">
        <v>4533</v>
      </c>
      <c r="I470" s="49">
        <v>2172</v>
      </c>
      <c r="J470" s="159">
        <v>1.2454128440366972</v>
      </c>
      <c r="K470" s="49">
        <v>1</v>
      </c>
      <c r="L470" s="49">
        <v>2</v>
      </c>
      <c r="M470" s="83">
        <v>0</v>
      </c>
      <c r="N470" s="49">
        <v>0</v>
      </c>
      <c r="O470" s="49">
        <v>0</v>
      </c>
      <c r="P470" s="49">
        <v>0</v>
      </c>
      <c r="Q470" s="58">
        <v>0</v>
      </c>
      <c r="R470" s="42">
        <v>0</v>
      </c>
      <c r="S470" s="83" t="s">
        <v>283</v>
      </c>
      <c r="T470" s="49">
        <v>17</v>
      </c>
      <c r="U470" s="83">
        <v>1</v>
      </c>
      <c r="V470" s="49">
        <v>2</v>
      </c>
      <c r="W470" s="49">
        <v>2</v>
      </c>
      <c r="X470" s="58"/>
      <c r="Y470" s="83">
        <v>2</v>
      </c>
      <c r="Z470" s="49">
        <v>8</v>
      </c>
      <c r="AA470" s="49">
        <v>85</v>
      </c>
      <c r="AF470" s="49">
        <v>14</v>
      </c>
      <c r="AG470" s="49">
        <v>71</v>
      </c>
      <c r="AI470" s="49">
        <v>53</v>
      </c>
      <c r="AJ470" s="49">
        <v>0</v>
      </c>
      <c r="AK470" s="83">
        <v>0</v>
      </c>
      <c r="AL470" s="49">
        <v>1</v>
      </c>
      <c r="AM470" s="49">
        <v>0</v>
      </c>
      <c r="AN470" s="49">
        <v>0</v>
      </c>
      <c r="AO470" s="58">
        <v>0</v>
      </c>
      <c r="AP470" s="174">
        <v>0</v>
      </c>
      <c r="AQ470" s="175">
        <v>1696</v>
      </c>
      <c r="AR470" s="175" t="s">
        <v>284</v>
      </c>
      <c r="AS470" s="175" t="s">
        <v>284</v>
      </c>
      <c r="AT470" s="175" t="s">
        <v>284</v>
      </c>
      <c r="AU470" s="175" t="s">
        <v>284</v>
      </c>
      <c r="AV470" s="175" t="s">
        <v>284</v>
      </c>
      <c r="AW470" s="175" t="s">
        <v>284</v>
      </c>
      <c r="AX470" s="83">
        <v>0</v>
      </c>
      <c r="AY470" s="49">
        <v>0</v>
      </c>
      <c r="AZ470" s="49">
        <v>0</v>
      </c>
      <c r="BA470" s="49">
        <v>0</v>
      </c>
      <c r="BB470" s="58">
        <v>0</v>
      </c>
      <c r="BC470" s="42">
        <v>161</v>
      </c>
      <c r="BE470" s="49"/>
      <c r="BS470" s="58"/>
      <c r="BT470" s="83"/>
      <c r="CE470" s="83"/>
      <c r="CK470" s="58"/>
      <c r="CL470" s="83"/>
      <c r="CO470" s="58"/>
      <c r="CP470" s="83"/>
      <c r="CR470" s="58"/>
      <c r="CS470" s="83"/>
      <c r="CY470" s="83"/>
      <c r="DG470" s="58"/>
      <c r="DH470" s="83"/>
      <c r="DQ470" s="83"/>
      <c r="EE470" s="58"/>
      <c r="EF470" s="83"/>
      <c r="EI470" s="83"/>
      <c r="EK470" s="58"/>
      <c r="EL470" s="83"/>
      <c r="EO470" s="58"/>
      <c r="EP470" s="83"/>
      <c r="EQ470" s="58"/>
      <c r="ER470" s="83"/>
      <c r="ES470" s="58"/>
      <c r="ET470" s="83"/>
      <c r="EU470" s="58"/>
    </row>
    <row r="471" spans="1:151">
      <c r="A471" s="83" t="s">
        <v>325</v>
      </c>
      <c r="B471" s="173" t="s">
        <v>183</v>
      </c>
      <c r="C471" s="173" t="s">
        <v>510</v>
      </c>
      <c r="D471" s="83" t="s">
        <v>66</v>
      </c>
      <c r="F471" s="49" t="s">
        <v>286</v>
      </c>
      <c r="G471" s="49">
        <v>31.957999999999998</v>
      </c>
      <c r="H471" s="49">
        <v>4533</v>
      </c>
      <c r="I471" s="49">
        <v>2011</v>
      </c>
      <c r="J471" s="159">
        <v>1.1651216685979142</v>
      </c>
      <c r="K471" s="49">
        <v>4</v>
      </c>
      <c r="L471" s="49">
        <v>4</v>
      </c>
      <c r="M471" s="83">
        <v>0</v>
      </c>
      <c r="N471" s="49">
        <v>1</v>
      </c>
      <c r="O471" s="49">
        <v>1</v>
      </c>
      <c r="P471" s="49">
        <v>1</v>
      </c>
      <c r="Q471" s="58">
        <v>0</v>
      </c>
      <c r="R471" s="42">
        <v>3</v>
      </c>
      <c r="S471" s="83" t="s">
        <v>283</v>
      </c>
      <c r="T471" s="49">
        <v>2</v>
      </c>
      <c r="U471" s="83">
        <v>1</v>
      </c>
      <c r="V471" s="49">
        <v>3</v>
      </c>
      <c r="W471" s="49">
        <v>1</v>
      </c>
      <c r="X471" s="58">
        <v>2</v>
      </c>
      <c r="Y471" s="83">
        <v>2</v>
      </c>
      <c r="Z471" s="49">
        <v>6</v>
      </c>
      <c r="AA471" s="49">
        <v>76</v>
      </c>
      <c r="AD471" s="49">
        <v>5</v>
      </c>
      <c r="AE471" s="49">
        <v>128</v>
      </c>
      <c r="AF471" s="49">
        <v>6</v>
      </c>
      <c r="AG471" s="49">
        <v>211</v>
      </c>
      <c r="AJ471" s="49">
        <v>0</v>
      </c>
      <c r="AK471" s="83">
        <v>0</v>
      </c>
      <c r="AL471" s="49">
        <v>0</v>
      </c>
      <c r="AM471" s="49">
        <v>0</v>
      </c>
      <c r="AN471" s="49">
        <v>0</v>
      </c>
      <c r="AO471" s="58">
        <v>0</v>
      </c>
      <c r="AP471" s="174" t="s">
        <v>284</v>
      </c>
      <c r="AQ471" s="175" t="s">
        <v>284</v>
      </c>
      <c r="AR471" s="175" t="s">
        <v>284</v>
      </c>
      <c r="AS471" s="175" t="s">
        <v>284</v>
      </c>
      <c r="AT471" s="175" t="s">
        <v>284</v>
      </c>
      <c r="AU471" s="175" t="s">
        <v>284</v>
      </c>
      <c r="AV471" s="175" t="s">
        <v>284</v>
      </c>
      <c r="AW471" s="175" t="s">
        <v>284</v>
      </c>
      <c r="AX471" s="83">
        <v>0</v>
      </c>
      <c r="AY471" s="49">
        <v>0</v>
      </c>
      <c r="AZ471" s="49">
        <v>0</v>
      </c>
      <c r="BA471" s="49">
        <v>0</v>
      </c>
      <c r="BB471" s="58">
        <v>0</v>
      </c>
      <c r="BC471" s="42">
        <v>140</v>
      </c>
      <c r="BE471" s="49"/>
      <c r="BS471" s="58"/>
      <c r="BT471" s="83"/>
      <c r="CE471" s="83"/>
      <c r="CK471" s="58"/>
      <c r="CL471" s="83"/>
      <c r="CO471" s="58"/>
      <c r="CP471" s="83"/>
      <c r="CR471" s="58"/>
      <c r="CS471" s="83"/>
      <c r="CY471" s="83"/>
      <c r="DG471" s="58"/>
      <c r="DH471" s="83"/>
      <c r="DQ471" s="83"/>
      <c r="EE471" s="58"/>
      <c r="EF471" s="83"/>
      <c r="EI471" s="83"/>
      <c r="EK471" s="58"/>
      <c r="EL471" s="83"/>
      <c r="EO471" s="58"/>
      <c r="EP471" s="83"/>
      <c r="EQ471" s="58"/>
      <c r="ER471" s="83"/>
      <c r="ES471" s="58"/>
      <c r="ET471" s="83"/>
      <c r="EU471" s="58"/>
    </row>
    <row r="472" spans="1:151">
      <c r="A472" s="83" t="s">
        <v>325</v>
      </c>
      <c r="B472" s="173" t="s">
        <v>183</v>
      </c>
      <c r="C472" s="173" t="s">
        <v>510</v>
      </c>
      <c r="D472" s="83" t="s">
        <v>103</v>
      </c>
      <c r="F472" s="49" t="s">
        <v>286</v>
      </c>
      <c r="G472" s="49">
        <v>31.957999999999998</v>
      </c>
      <c r="H472" s="49">
        <v>4533</v>
      </c>
      <c r="I472" s="49">
        <v>4980</v>
      </c>
      <c r="J472" s="159">
        <v>1.2113840914619314</v>
      </c>
      <c r="K472" s="49">
        <v>4</v>
      </c>
      <c r="L472" s="49">
        <v>3</v>
      </c>
      <c r="M472" s="83">
        <v>0</v>
      </c>
      <c r="N472" s="49">
        <v>0</v>
      </c>
      <c r="O472" s="49">
        <v>1</v>
      </c>
      <c r="P472" s="49">
        <v>1</v>
      </c>
      <c r="Q472" s="58">
        <v>0</v>
      </c>
      <c r="R472" s="42">
        <v>2</v>
      </c>
      <c r="S472" s="83" t="s">
        <v>283</v>
      </c>
      <c r="T472" s="49">
        <v>11</v>
      </c>
      <c r="U472" s="83">
        <v>1</v>
      </c>
      <c r="V472" s="49">
        <v>3</v>
      </c>
      <c r="W472" s="49">
        <v>2</v>
      </c>
      <c r="X472" s="58"/>
      <c r="Y472" s="83">
        <v>20</v>
      </c>
      <c r="Z472" s="49">
        <v>11</v>
      </c>
      <c r="AA472" s="49">
        <v>19</v>
      </c>
      <c r="AD472" s="49">
        <v>28</v>
      </c>
      <c r="AE472" s="49">
        <v>345</v>
      </c>
      <c r="AF472" s="49">
        <v>19</v>
      </c>
      <c r="AG472" s="49">
        <v>744</v>
      </c>
      <c r="AH472" s="49">
        <v>72</v>
      </c>
      <c r="AI472" s="49">
        <v>2361</v>
      </c>
      <c r="AJ472" s="49">
        <v>0</v>
      </c>
      <c r="AK472" s="83">
        <v>0</v>
      </c>
      <c r="AL472" s="49">
        <v>1</v>
      </c>
      <c r="AM472" s="49">
        <v>0</v>
      </c>
      <c r="AN472" s="49">
        <v>0</v>
      </c>
      <c r="AO472" s="58">
        <v>0</v>
      </c>
      <c r="AP472" s="174">
        <v>0</v>
      </c>
      <c r="AQ472" s="175">
        <v>3367</v>
      </c>
      <c r="AR472" s="175" t="s">
        <v>284</v>
      </c>
      <c r="AS472" s="175" t="s">
        <v>284</v>
      </c>
      <c r="AT472" s="175" t="s">
        <v>284</v>
      </c>
      <c r="AU472" s="175" t="s">
        <v>284</v>
      </c>
      <c r="AV472" s="175" t="s">
        <v>284</v>
      </c>
      <c r="AW472" s="175" t="s">
        <v>284</v>
      </c>
      <c r="AX472" s="83">
        <v>0</v>
      </c>
      <c r="AY472" s="49">
        <v>0</v>
      </c>
      <c r="AZ472" s="49">
        <v>0</v>
      </c>
      <c r="BA472" s="49">
        <v>0</v>
      </c>
      <c r="BB472" s="58">
        <v>0</v>
      </c>
      <c r="BC472" s="42">
        <v>182</v>
      </c>
      <c r="BE472" s="49"/>
      <c r="BS472" s="58"/>
      <c r="BT472" s="83">
        <v>78.209999999999994</v>
      </c>
      <c r="BU472" s="49">
        <v>81.56</v>
      </c>
      <c r="CE472" s="83"/>
      <c r="CK472" s="58"/>
      <c r="CL472" s="83">
        <v>71.44</v>
      </c>
      <c r="CO472" s="58"/>
      <c r="CP472" s="83">
        <v>72.319999999999993</v>
      </c>
      <c r="CR472" s="58"/>
      <c r="CS472" s="83">
        <v>79.180000000000007</v>
      </c>
      <c r="CT472" s="49">
        <v>73.930000000000007</v>
      </c>
      <c r="CY472" s="83"/>
      <c r="DG472" s="58"/>
      <c r="DH472" s="83"/>
      <c r="DQ472" s="83"/>
      <c r="EE472" s="58"/>
      <c r="EF472" s="83"/>
      <c r="EI472" s="83"/>
      <c r="EK472" s="58"/>
      <c r="EL472" s="83"/>
      <c r="EO472" s="58"/>
      <c r="EP472" s="83"/>
      <c r="EQ472" s="58"/>
      <c r="ER472" s="83"/>
      <c r="ES472" s="58"/>
      <c r="ET472" s="83"/>
      <c r="EU472" s="58"/>
    </row>
    <row r="473" spans="1:151">
      <c r="A473" s="83" t="s">
        <v>325</v>
      </c>
      <c r="B473" s="173" t="s">
        <v>183</v>
      </c>
      <c r="C473" s="173" t="s">
        <v>510</v>
      </c>
      <c r="D473" s="83" t="s">
        <v>147</v>
      </c>
      <c r="E473" s="49" t="s">
        <v>0</v>
      </c>
      <c r="F473" s="49" t="s">
        <v>286</v>
      </c>
      <c r="G473" s="49">
        <v>31.957999999999998</v>
      </c>
      <c r="H473" s="49">
        <v>4533</v>
      </c>
      <c r="I473" s="49">
        <v>5485</v>
      </c>
      <c r="J473" s="159">
        <v>2.7744056651492159</v>
      </c>
      <c r="K473" s="49">
        <v>1</v>
      </c>
      <c r="L473" s="49">
        <v>2</v>
      </c>
      <c r="M473" s="83">
        <v>0</v>
      </c>
      <c r="N473" s="49">
        <v>0</v>
      </c>
      <c r="O473" s="49">
        <v>1</v>
      </c>
      <c r="P473" s="49">
        <v>1</v>
      </c>
      <c r="Q473" s="58">
        <v>0</v>
      </c>
      <c r="R473" s="42">
        <v>2</v>
      </c>
      <c r="S473" s="83" t="s">
        <v>283</v>
      </c>
      <c r="T473" s="49">
        <v>8</v>
      </c>
      <c r="U473" s="83">
        <v>1</v>
      </c>
      <c r="V473" s="49">
        <v>2</v>
      </c>
      <c r="W473" s="49">
        <v>2</v>
      </c>
      <c r="X473" s="58"/>
      <c r="Y473" s="83">
        <v>2</v>
      </c>
      <c r="Z473" s="49">
        <v>15</v>
      </c>
      <c r="AA473" s="49">
        <v>44</v>
      </c>
      <c r="AF473" s="49">
        <v>25</v>
      </c>
      <c r="AG473" s="49">
        <v>570</v>
      </c>
      <c r="AJ473" s="49">
        <v>0</v>
      </c>
      <c r="AK473" s="83">
        <v>0</v>
      </c>
      <c r="AL473" s="49">
        <v>1</v>
      </c>
      <c r="AM473" s="49">
        <v>0</v>
      </c>
      <c r="AN473" s="49">
        <v>0</v>
      </c>
      <c r="AO473" s="58">
        <v>0</v>
      </c>
      <c r="AP473" s="174">
        <v>541</v>
      </c>
      <c r="AQ473" s="175">
        <v>1218</v>
      </c>
      <c r="AR473" s="175" t="s">
        <v>284</v>
      </c>
      <c r="AS473" s="175" t="s">
        <v>284</v>
      </c>
      <c r="AT473" s="175" t="s">
        <v>284</v>
      </c>
      <c r="AU473" s="175" t="s">
        <v>284</v>
      </c>
      <c r="AV473" s="175" t="s">
        <v>284</v>
      </c>
      <c r="AW473" s="175" t="s">
        <v>284</v>
      </c>
      <c r="AX473" s="83">
        <v>0</v>
      </c>
      <c r="AY473" s="49">
        <v>0</v>
      </c>
      <c r="AZ473" s="49">
        <v>0</v>
      </c>
      <c r="BA473" s="49">
        <v>0</v>
      </c>
      <c r="BB473" s="58">
        <v>0</v>
      </c>
      <c r="BC473" s="42">
        <v>196</v>
      </c>
      <c r="BE473" s="49"/>
      <c r="BS473" s="58"/>
      <c r="BT473" s="83"/>
      <c r="CE473" s="83"/>
      <c r="CK473" s="58"/>
      <c r="CL473" s="83"/>
      <c r="CO473" s="58"/>
      <c r="CP473" s="83"/>
      <c r="CR473" s="58"/>
      <c r="CS473" s="83"/>
      <c r="CY473" s="83"/>
      <c r="DG473" s="58"/>
      <c r="DH473" s="83"/>
      <c r="DQ473" s="83"/>
      <c r="EE473" s="58"/>
      <c r="EF473" s="83"/>
      <c r="EI473" s="83"/>
      <c r="EK473" s="58"/>
      <c r="EL473" s="83"/>
      <c r="EO473" s="58"/>
      <c r="EP473" s="83"/>
      <c r="EQ473" s="58"/>
      <c r="ER473" s="83"/>
      <c r="ES473" s="58"/>
      <c r="ET473" s="83"/>
      <c r="EU473" s="58"/>
    </row>
    <row r="474" spans="1:151">
      <c r="A474" s="83" t="s">
        <v>325</v>
      </c>
      <c r="B474" s="173" t="s">
        <v>183</v>
      </c>
      <c r="C474" s="173" t="s">
        <v>510</v>
      </c>
      <c r="D474" s="83" t="s">
        <v>104</v>
      </c>
      <c r="F474" s="49" t="s">
        <v>286</v>
      </c>
      <c r="G474" s="49">
        <v>31.957999999999998</v>
      </c>
      <c r="H474" s="49">
        <v>4533</v>
      </c>
      <c r="I474" s="49">
        <v>2063</v>
      </c>
      <c r="J474" s="159">
        <v>1.9031365313653137</v>
      </c>
      <c r="K474" s="49">
        <v>1</v>
      </c>
      <c r="L474" s="49">
        <v>2</v>
      </c>
      <c r="M474" s="83">
        <v>0</v>
      </c>
      <c r="N474" s="49">
        <v>0</v>
      </c>
      <c r="O474" s="49">
        <v>0</v>
      </c>
      <c r="P474" s="49">
        <v>0</v>
      </c>
      <c r="Q474" s="58">
        <v>0</v>
      </c>
      <c r="R474" s="42">
        <v>0</v>
      </c>
      <c r="S474" s="83">
        <v>1</v>
      </c>
      <c r="U474" s="83">
        <v>1</v>
      </c>
      <c r="V474" s="49">
        <v>2</v>
      </c>
      <c r="W474" s="49">
        <v>2</v>
      </c>
      <c r="X474" s="58"/>
      <c r="Y474" s="83">
        <v>1</v>
      </c>
      <c r="Z474" s="49">
        <v>5</v>
      </c>
      <c r="AA474" s="49">
        <v>16</v>
      </c>
      <c r="AD474" s="49">
        <v>14</v>
      </c>
      <c r="AE474" s="49">
        <v>27</v>
      </c>
      <c r="AJ474" s="49">
        <v>0</v>
      </c>
      <c r="AK474" s="83">
        <v>0</v>
      </c>
      <c r="AL474" s="49">
        <v>0</v>
      </c>
      <c r="AM474" s="49">
        <v>0</v>
      </c>
      <c r="AN474" s="49">
        <v>0</v>
      </c>
      <c r="AO474" s="58">
        <v>0</v>
      </c>
      <c r="AP474" s="174" t="s">
        <v>284</v>
      </c>
      <c r="AQ474" s="175" t="s">
        <v>284</v>
      </c>
      <c r="AR474" s="175" t="s">
        <v>284</v>
      </c>
      <c r="AS474" s="175" t="s">
        <v>284</v>
      </c>
      <c r="AT474" s="175" t="s">
        <v>284</v>
      </c>
      <c r="AU474" s="175" t="s">
        <v>284</v>
      </c>
      <c r="AV474" s="175" t="s">
        <v>284</v>
      </c>
      <c r="AW474" s="175" t="s">
        <v>284</v>
      </c>
      <c r="AX474" s="83">
        <v>0</v>
      </c>
      <c r="AY474" s="49">
        <v>1</v>
      </c>
      <c r="AZ474" s="49">
        <v>0</v>
      </c>
      <c r="BA474" s="49">
        <v>0</v>
      </c>
      <c r="BB474" s="58">
        <v>1</v>
      </c>
      <c r="BC474" s="42" t="s">
        <v>140</v>
      </c>
      <c r="BE474" s="49"/>
      <c r="BS474" s="58"/>
      <c r="BT474" s="83"/>
      <c r="CE474" s="83"/>
      <c r="CK474" s="58"/>
      <c r="CL474" s="83"/>
      <c r="CO474" s="58"/>
      <c r="CP474" s="83"/>
      <c r="CR474" s="58"/>
      <c r="CS474" s="83"/>
      <c r="CY474" s="83"/>
      <c r="DG474" s="58"/>
      <c r="DH474" s="83"/>
      <c r="DQ474" s="83"/>
      <c r="EE474" s="58"/>
      <c r="EF474" s="83"/>
      <c r="EI474" s="83"/>
      <c r="EK474" s="58"/>
      <c r="EL474" s="83"/>
      <c r="EO474" s="58"/>
      <c r="EP474" s="83"/>
      <c r="EQ474" s="58"/>
      <c r="ER474" s="83"/>
      <c r="ES474" s="58"/>
      <c r="ET474" s="83"/>
      <c r="EU474" s="58"/>
    </row>
    <row r="475" spans="1:151">
      <c r="A475" s="83" t="s">
        <v>325</v>
      </c>
      <c r="B475" s="173" t="s">
        <v>183</v>
      </c>
      <c r="C475" s="173" t="s">
        <v>510</v>
      </c>
      <c r="D475" s="83" t="s">
        <v>105</v>
      </c>
      <c r="F475" s="49" t="s">
        <v>286</v>
      </c>
      <c r="G475" s="49">
        <v>31.957999999999998</v>
      </c>
      <c r="H475" s="49">
        <v>4533</v>
      </c>
      <c r="I475" s="49">
        <v>7105</v>
      </c>
      <c r="J475" s="159">
        <v>2.4773361227336124</v>
      </c>
      <c r="K475" s="49">
        <v>1</v>
      </c>
      <c r="L475" s="49">
        <v>2</v>
      </c>
      <c r="M475" s="83">
        <v>1</v>
      </c>
      <c r="N475" s="49">
        <v>4</v>
      </c>
      <c r="O475" s="49">
        <v>1</v>
      </c>
      <c r="P475" s="49">
        <v>1</v>
      </c>
      <c r="Q475" s="58">
        <v>0</v>
      </c>
      <c r="R475" s="42">
        <v>7</v>
      </c>
      <c r="S475" s="83" t="s">
        <v>283</v>
      </c>
      <c r="T475" s="49">
        <v>9</v>
      </c>
      <c r="U475" s="83">
        <v>4</v>
      </c>
      <c r="V475" s="49">
        <v>3</v>
      </c>
      <c r="W475" s="49">
        <v>3</v>
      </c>
      <c r="X475" s="58">
        <v>2</v>
      </c>
      <c r="Y475" s="83">
        <v>15</v>
      </c>
      <c r="Z475" s="49">
        <v>9</v>
      </c>
      <c r="AA475" s="49">
        <v>46</v>
      </c>
      <c r="AD475" s="49">
        <v>26</v>
      </c>
      <c r="AE475" s="49">
        <v>756</v>
      </c>
      <c r="AF475" s="49">
        <v>22</v>
      </c>
      <c r="AG475" s="49">
        <v>131</v>
      </c>
      <c r="AH475" s="49">
        <v>80</v>
      </c>
      <c r="AI475" s="49">
        <v>1055</v>
      </c>
      <c r="AJ475" s="49">
        <v>1</v>
      </c>
      <c r="AK475" s="83">
        <v>0</v>
      </c>
      <c r="AL475" s="49">
        <v>1</v>
      </c>
      <c r="AM475" s="49">
        <v>0</v>
      </c>
      <c r="AN475" s="49">
        <v>0</v>
      </c>
      <c r="AO475" s="58">
        <v>0</v>
      </c>
      <c r="AP475" s="174" t="s">
        <v>501</v>
      </c>
      <c r="AQ475" s="175" t="s">
        <v>501</v>
      </c>
      <c r="AR475" s="175" t="s">
        <v>284</v>
      </c>
      <c r="AS475" s="175" t="s">
        <v>284</v>
      </c>
      <c r="AT475" s="175" t="s">
        <v>284</v>
      </c>
      <c r="AU475" s="175" t="s">
        <v>284</v>
      </c>
      <c r="AV475" s="175" t="s">
        <v>284</v>
      </c>
      <c r="AW475" s="175" t="s">
        <v>284</v>
      </c>
      <c r="AX475" s="83">
        <v>0</v>
      </c>
      <c r="AY475" s="49">
        <v>0</v>
      </c>
      <c r="AZ475" s="49">
        <v>0</v>
      </c>
      <c r="BA475" s="49">
        <v>0</v>
      </c>
      <c r="BB475" s="58">
        <v>0</v>
      </c>
      <c r="BC475" s="42">
        <v>213</v>
      </c>
      <c r="BE475" s="49"/>
      <c r="BS475" s="58"/>
      <c r="BT475" s="83">
        <v>76.97</v>
      </c>
      <c r="BU475" s="49">
        <v>78.540000000000006</v>
      </c>
      <c r="BV475" s="49">
        <v>79.27</v>
      </c>
      <c r="BW475" s="49">
        <v>80.61</v>
      </c>
      <c r="BX475" s="49">
        <v>81.8</v>
      </c>
      <c r="CE475" s="83"/>
      <c r="CK475" s="58"/>
      <c r="CL475" s="83"/>
      <c r="CO475" s="58"/>
      <c r="CP475" s="83"/>
      <c r="CR475" s="58"/>
      <c r="CS475" s="83"/>
      <c r="CY475" s="83">
        <v>72.97</v>
      </c>
      <c r="CZ475" s="49">
        <v>77.599999999999994</v>
      </c>
      <c r="DA475" s="49">
        <v>79.05</v>
      </c>
      <c r="DB475" s="49">
        <v>75.48</v>
      </c>
      <c r="DC475" s="49">
        <v>75.5</v>
      </c>
      <c r="DD475" s="49">
        <v>75.55</v>
      </c>
      <c r="DE475" s="49">
        <v>77.87</v>
      </c>
      <c r="DG475" s="58"/>
      <c r="DH475" s="83"/>
      <c r="DQ475" s="83"/>
      <c r="EE475" s="58"/>
      <c r="EF475" s="83"/>
      <c r="EI475" s="83"/>
      <c r="EK475" s="58"/>
      <c r="EL475" s="83"/>
      <c r="EO475" s="58"/>
      <c r="EP475" s="83"/>
      <c r="EQ475" s="58"/>
      <c r="ER475" s="83"/>
      <c r="ES475" s="58"/>
      <c r="ET475" s="83"/>
      <c r="EU475" s="58"/>
    </row>
    <row r="476" spans="1:151">
      <c r="A476" s="83" t="s">
        <v>325</v>
      </c>
      <c r="B476" s="173" t="s">
        <v>183</v>
      </c>
      <c r="C476" s="173" t="s">
        <v>510</v>
      </c>
      <c r="D476" s="83" t="s">
        <v>67</v>
      </c>
      <c r="F476" s="49" t="s">
        <v>286</v>
      </c>
      <c r="G476" s="49">
        <v>31.957999999999998</v>
      </c>
      <c r="H476" s="49">
        <v>4533</v>
      </c>
      <c r="I476" s="49">
        <v>2044</v>
      </c>
      <c r="J476" s="159">
        <v>6.4888888888888889</v>
      </c>
      <c r="K476" s="49">
        <v>1</v>
      </c>
      <c r="L476" s="49">
        <v>2</v>
      </c>
      <c r="M476" s="83">
        <v>0</v>
      </c>
      <c r="N476" s="49">
        <v>1</v>
      </c>
      <c r="O476" s="49">
        <v>1</v>
      </c>
      <c r="P476" s="49">
        <v>1</v>
      </c>
      <c r="Q476" s="58">
        <v>0</v>
      </c>
      <c r="R476" s="42">
        <v>3</v>
      </c>
      <c r="S476" s="83">
        <v>1</v>
      </c>
      <c r="U476" s="83">
        <v>1</v>
      </c>
      <c r="V476" s="49">
        <v>2</v>
      </c>
      <c r="W476" s="49">
        <v>2</v>
      </c>
      <c r="X476" s="58"/>
      <c r="Y476" s="83">
        <v>1</v>
      </c>
      <c r="AD476" s="49">
        <v>31</v>
      </c>
      <c r="AE476" s="49">
        <v>348</v>
      </c>
      <c r="AJ476" s="49">
        <v>0</v>
      </c>
      <c r="AK476" s="83">
        <v>0</v>
      </c>
      <c r="AL476" s="49">
        <v>1</v>
      </c>
      <c r="AM476" s="49">
        <v>0</v>
      </c>
      <c r="AN476" s="49">
        <v>0</v>
      </c>
      <c r="AO476" s="58">
        <v>0</v>
      </c>
      <c r="AP476" s="174">
        <v>0</v>
      </c>
      <c r="AQ476" s="175">
        <v>267</v>
      </c>
      <c r="AR476" s="175" t="s">
        <v>284</v>
      </c>
      <c r="AS476" s="175" t="s">
        <v>284</v>
      </c>
      <c r="AT476" s="175" t="s">
        <v>284</v>
      </c>
      <c r="AU476" s="175" t="s">
        <v>284</v>
      </c>
      <c r="AV476" s="175" t="s">
        <v>284</v>
      </c>
      <c r="AW476" s="175" t="s">
        <v>284</v>
      </c>
      <c r="AX476" s="83">
        <v>0</v>
      </c>
      <c r="AY476" s="49">
        <v>0</v>
      </c>
      <c r="AZ476" s="49">
        <v>0</v>
      </c>
      <c r="BA476" s="49">
        <v>0</v>
      </c>
      <c r="BB476" s="58">
        <v>0</v>
      </c>
      <c r="BC476" s="42">
        <v>108</v>
      </c>
      <c r="BD476" s="49">
        <v>73.599999999999994</v>
      </c>
      <c r="BE476" s="49"/>
      <c r="BS476" s="58"/>
      <c r="BT476" s="83">
        <v>76.959999999999994</v>
      </c>
      <c r="CE476" s="83"/>
      <c r="CK476" s="58"/>
      <c r="CL476" s="83">
        <v>69.37</v>
      </c>
      <c r="CO476" s="58"/>
      <c r="CP476" s="83"/>
      <c r="CR476" s="58"/>
      <c r="CS476" s="83"/>
      <c r="CY476" s="83"/>
      <c r="DG476" s="58"/>
      <c r="DH476" s="83"/>
      <c r="DQ476" s="83">
        <v>68.790000000000006</v>
      </c>
      <c r="EE476" s="58"/>
      <c r="EF476" s="83"/>
      <c r="EI476" s="83"/>
      <c r="EK476" s="58"/>
      <c r="EL476" s="83"/>
      <c r="EO476" s="58"/>
      <c r="EP476" s="83"/>
      <c r="EQ476" s="58"/>
      <c r="ER476" s="83"/>
      <c r="ES476" s="58"/>
      <c r="ET476" s="83"/>
      <c r="EU476" s="58"/>
    </row>
    <row r="477" spans="1:151">
      <c r="A477" s="83" t="s">
        <v>325</v>
      </c>
      <c r="B477" s="173" t="s">
        <v>183</v>
      </c>
      <c r="C477" s="173" t="s">
        <v>510</v>
      </c>
      <c r="D477" s="83" t="s">
        <v>68</v>
      </c>
      <c r="F477" s="49" t="s">
        <v>286</v>
      </c>
      <c r="G477" s="49">
        <v>31.957999999999998</v>
      </c>
      <c r="H477" s="49">
        <v>4533</v>
      </c>
      <c r="I477" s="49">
        <v>2367</v>
      </c>
      <c r="J477" s="159">
        <v>2.1115075825156109</v>
      </c>
      <c r="K477" s="49">
        <v>4</v>
      </c>
      <c r="L477" s="49">
        <v>4</v>
      </c>
      <c r="M477" s="83">
        <v>0</v>
      </c>
      <c r="N477" s="49">
        <v>3</v>
      </c>
      <c r="O477" s="49">
        <v>0</v>
      </c>
      <c r="P477" s="49">
        <v>0</v>
      </c>
      <c r="Q477" s="58">
        <v>0</v>
      </c>
      <c r="R477" s="42">
        <v>3</v>
      </c>
      <c r="S477" s="83" t="s">
        <v>283</v>
      </c>
      <c r="T477" s="49">
        <v>6</v>
      </c>
      <c r="U477" s="83">
        <v>1</v>
      </c>
      <c r="V477" s="49">
        <v>4</v>
      </c>
      <c r="W477" s="49">
        <v>2</v>
      </c>
      <c r="X477" s="58"/>
      <c r="Y477" s="83">
        <v>25</v>
      </c>
      <c r="AF477" s="49">
        <v>33</v>
      </c>
      <c r="AG477" s="49">
        <v>542</v>
      </c>
      <c r="AH477" s="49">
        <v>33</v>
      </c>
      <c r="AI477" s="49">
        <v>733</v>
      </c>
      <c r="AJ477" s="49">
        <v>0</v>
      </c>
      <c r="AK477" s="83">
        <v>0</v>
      </c>
      <c r="AL477" s="49">
        <v>0</v>
      </c>
      <c r="AM477" s="49">
        <v>0</v>
      </c>
      <c r="AN477" s="49">
        <v>0</v>
      </c>
      <c r="AO477" s="58">
        <v>0</v>
      </c>
      <c r="AP477" s="174" t="s">
        <v>284</v>
      </c>
      <c r="AQ477" s="175" t="s">
        <v>284</v>
      </c>
      <c r="AR477" s="175" t="s">
        <v>284</v>
      </c>
      <c r="AS477" s="175" t="s">
        <v>284</v>
      </c>
      <c r="AT477" s="175" t="s">
        <v>284</v>
      </c>
      <c r="AU477" s="175" t="s">
        <v>284</v>
      </c>
      <c r="AV477" s="175" t="s">
        <v>284</v>
      </c>
      <c r="AW477" s="175" t="s">
        <v>284</v>
      </c>
      <c r="AX477" s="83">
        <v>0</v>
      </c>
      <c r="AY477" s="49">
        <v>0</v>
      </c>
      <c r="AZ477" s="49">
        <v>0</v>
      </c>
      <c r="BA477" s="49">
        <v>0</v>
      </c>
      <c r="BB477" s="58">
        <v>0</v>
      </c>
      <c r="BC477" s="42">
        <v>135</v>
      </c>
      <c r="BD477" s="49">
        <v>65.94</v>
      </c>
      <c r="BE477" s="49"/>
      <c r="BS477" s="58"/>
      <c r="BT477" s="83">
        <v>74.69</v>
      </c>
      <c r="BU477" s="49">
        <v>77.52</v>
      </c>
      <c r="BV477" s="49">
        <v>77.36</v>
      </c>
      <c r="CE477" s="83">
        <v>74.069999999999993</v>
      </c>
      <c r="CK477" s="58"/>
      <c r="CL477" s="83"/>
      <c r="CO477" s="58"/>
      <c r="CP477" s="83"/>
      <c r="CR477" s="58"/>
      <c r="CS477" s="83"/>
      <c r="CY477" s="83"/>
      <c r="DG477" s="58"/>
      <c r="DH477" s="83"/>
      <c r="DQ477" s="83"/>
      <c r="EE477" s="58"/>
      <c r="EF477" s="83"/>
      <c r="EI477" s="83"/>
      <c r="EK477" s="58"/>
      <c r="EL477" s="83"/>
      <c r="EO477" s="58"/>
      <c r="EP477" s="83"/>
      <c r="EQ477" s="58"/>
      <c r="ER477" s="83"/>
      <c r="ES477" s="58"/>
      <c r="ET477" s="83"/>
      <c r="EU477" s="58"/>
    </row>
    <row r="478" spans="1:151">
      <c r="A478" s="83" t="s">
        <v>325</v>
      </c>
      <c r="B478" s="173" t="s">
        <v>183</v>
      </c>
      <c r="C478" s="173" t="s">
        <v>510</v>
      </c>
      <c r="D478" s="83" t="s">
        <v>69</v>
      </c>
      <c r="F478" s="49" t="s">
        <v>286</v>
      </c>
      <c r="G478" s="49">
        <v>31.957999999999998</v>
      </c>
      <c r="H478" s="49">
        <v>4533</v>
      </c>
      <c r="I478" s="49">
        <v>1120</v>
      </c>
      <c r="J478" s="159">
        <v>1.8918918918918919</v>
      </c>
      <c r="K478" s="49">
        <v>1</v>
      </c>
      <c r="L478" s="49">
        <v>2</v>
      </c>
      <c r="M478" s="83">
        <v>1</v>
      </c>
      <c r="N478" s="49">
        <v>0</v>
      </c>
      <c r="O478" s="49">
        <v>1</v>
      </c>
      <c r="P478" s="49">
        <v>0</v>
      </c>
      <c r="Q478" s="58">
        <v>0</v>
      </c>
      <c r="R478" s="42">
        <v>2</v>
      </c>
      <c r="S478" s="83" t="s">
        <v>283</v>
      </c>
      <c r="T478" s="49">
        <v>6</v>
      </c>
      <c r="U478" s="83">
        <v>1</v>
      </c>
      <c r="V478" s="49">
        <v>1</v>
      </c>
      <c r="W478" s="49">
        <v>1</v>
      </c>
      <c r="X478" s="58">
        <v>1</v>
      </c>
      <c r="Y478" s="83">
        <v>1</v>
      </c>
      <c r="AA478" s="49">
        <v>12</v>
      </c>
      <c r="AH478" s="49">
        <v>22</v>
      </c>
      <c r="AI478" s="49">
        <v>81</v>
      </c>
      <c r="AJ478" s="49">
        <v>0</v>
      </c>
      <c r="AK478" s="83">
        <v>0</v>
      </c>
      <c r="AL478" s="49">
        <v>0</v>
      </c>
      <c r="AM478" s="49">
        <v>0</v>
      </c>
      <c r="AN478" s="49">
        <v>0</v>
      </c>
      <c r="AO478" s="58">
        <v>0</v>
      </c>
      <c r="AP478" s="174" t="s">
        <v>284</v>
      </c>
      <c r="AQ478" s="175" t="s">
        <v>284</v>
      </c>
      <c r="AR478" s="175" t="s">
        <v>284</v>
      </c>
      <c r="AS478" s="175" t="s">
        <v>284</v>
      </c>
      <c r="AT478" s="175" t="s">
        <v>284</v>
      </c>
      <c r="AU478" s="175" t="s">
        <v>284</v>
      </c>
      <c r="AV478" s="175" t="s">
        <v>284</v>
      </c>
      <c r="AW478" s="175" t="s">
        <v>284</v>
      </c>
      <c r="AX478" s="83">
        <v>0</v>
      </c>
      <c r="AY478" s="49">
        <v>0</v>
      </c>
      <c r="AZ478" s="49">
        <v>0</v>
      </c>
      <c r="BA478" s="49">
        <v>0</v>
      </c>
      <c r="BB478" s="58">
        <v>0</v>
      </c>
      <c r="BC478" s="42">
        <v>86</v>
      </c>
      <c r="BD478" s="49">
        <v>78.680000000000007</v>
      </c>
      <c r="BE478" s="49"/>
      <c r="BS478" s="58"/>
      <c r="BT478" s="83">
        <v>77.069999999999993</v>
      </c>
      <c r="CE478" s="83"/>
      <c r="CK478" s="58"/>
      <c r="CL478" s="83">
        <v>64.42</v>
      </c>
      <c r="CO478" s="58"/>
      <c r="CP478" s="83"/>
      <c r="CR478" s="58"/>
      <c r="CS478" s="83"/>
      <c r="CY478" s="83"/>
      <c r="DG478" s="58"/>
      <c r="DH478" s="83"/>
      <c r="DQ478" s="83"/>
      <c r="EE478" s="58"/>
      <c r="EF478" s="83"/>
      <c r="EI478" s="83"/>
      <c r="EK478" s="58"/>
      <c r="EL478" s="83"/>
      <c r="EO478" s="58"/>
      <c r="EP478" s="83"/>
      <c r="EQ478" s="58"/>
      <c r="ER478" s="83"/>
      <c r="ES478" s="58"/>
      <c r="ET478" s="83"/>
      <c r="EU478" s="58"/>
    </row>
    <row r="479" spans="1:151">
      <c r="A479" s="83" t="s">
        <v>325</v>
      </c>
      <c r="B479" s="173" t="s">
        <v>183</v>
      </c>
      <c r="C479" s="173" t="s">
        <v>510</v>
      </c>
      <c r="D479" s="83" t="s">
        <v>74</v>
      </c>
      <c r="F479" s="49" t="s">
        <v>286</v>
      </c>
      <c r="G479" s="49">
        <v>31.957999999999998</v>
      </c>
      <c r="H479" s="49">
        <v>4533</v>
      </c>
      <c r="I479" s="49">
        <v>2811</v>
      </c>
      <c r="J479" s="159">
        <v>1.3929633300297324</v>
      </c>
      <c r="K479" s="49">
        <v>4</v>
      </c>
      <c r="L479" s="49">
        <v>4</v>
      </c>
      <c r="M479" s="83">
        <v>0</v>
      </c>
      <c r="N479" s="49">
        <v>0</v>
      </c>
      <c r="O479" s="49">
        <v>1</v>
      </c>
      <c r="P479" s="49">
        <v>1</v>
      </c>
      <c r="Q479" s="58">
        <v>0</v>
      </c>
      <c r="R479" s="42">
        <v>2</v>
      </c>
      <c r="S479" s="83">
        <v>1</v>
      </c>
      <c r="U479" s="83">
        <v>1</v>
      </c>
      <c r="V479" s="49">
        <v>4</v>
      </c>
      <c r="W479" s="49">
        <v>1</v>
      </c>
      <c r="X479" s="58">
        <v>2</v>
      </c>
      <c r="Y479" s="83">
        <v>2</v>
      </c>
      <c r="Z479" s="49">
        <v>15</v>
      </c>
      <c r="AA479" s="49">
        <v>16</v>
      </c>
      <c r="AF479" s="49">
        <v>56</v>
      </c>
      <c r="AG479" s="49">
        <v>180</v>
      </c>
      <c r="AH479" s="49">
        <v>59</v>
      </c>
      <c r="AI479" s="49">
        <v>105</v>
      </c>
      <c r="AJ479" s="49">
        <v>0</v>
      </c>
      <c r="AK479" s="83">
        <v>0</v>
      </c>
      <c r="AL479" s="49">
        <v>0</v>
      </c>
      <c r="AM479" s="49">
        <v>0</v>
      </c>
      <c r="AN479" s="49">
        <v>0</v>
      </c>
      <c r="AO479" s="58">
        <v>0</v>
      </c>
      <c r="AP479" s="174" t="s">
        <v>284</v>
      </c>
      <c r="AQ479" s="175" t="s">
        <v>284</v>
      </c>
      <c r="AR479" s="175" t="s">
        <v>284</v>
      </c>
      <c r="AS479" s="175" t="s">
        <v>284</v>
      </c>
      <c r="AT479" s="175" t="s">
        <v>284</v>
      </c>
      <c r="AU479" s="175" t="s">
        <v>284</v>
      </c>
      <c r="AV479" s="175" t="s">
        <v>284</v>
      </c>
      <c r="AW479" s="175" t="s">
        <v>284</v>
      </c>
      <c r="AX479" s="83">
        <v>0</v>
      </c>
      <c r="AY479" s="49">
        <v>0</v>
      </c>
      <c r="AZ479" s="49">
        <v>0</v>
      </c>
      <c r="BA479" s="49">
        <v>0</v>
      </c>
      <c r="BB479" s="58">
        <v>0</v>
      </c>
      <c r="BC479" s="42">
        <v>151</v>
      </c>
      <c r="BD479" s="49">
        <v>76.22</v>
      </c>
      <c r="BE479" s="49">
        <v>75.06</v>
      </c>
      <c r="BS479" s="58"/>
      <c r="BT479" s="83">
        <v>82.59</v>
      </c>
      <c r="CE479" s="83">
        <v>76</v>
      </c>
      <c r="CK479" s="58"/>
      <c r="CL479" s="83"/>
      <c r="CO479" s="58"/>
      <c r="CP479" s="83"/>
      <c r="CR479" s="58"/>
      <c r="CS479" s="83"/>
      <c r="CY479" s="83"/>
      <c r="DG479" s="58"/>
      <c r="DH479" s="83"/>
      <c r="DQ479" s="83"/>
      <c r="EE479" s="58"/>
      <c r="EF479" s="83"/>
      <c r="EI479" s="83"/>
      <c r="EK479" s="58"/>
      <c r="EL479" s="83"/>
      <c r="EO479" s="58"/>
      <c r="EP479" s="83"/>
      <c r="EQ479" s="58"/>
      <c r="ER479" s="83"/>
      <c r="ES479" s="58"/>
      <c r="ET479" s="83"/>
      <c r="EU479" s="58"/>
    </row>
    <row r="480" spans="1:151">
      <c r="A480" s="83" t="s">
        <v>325</v>
      </c>
      <c r="B480" s="173" t="s">
        <v>183</v>
      </c>
      <c r="C480" s="173" t="s">
        <v>510</v>
      </c>
      <c r="D480" s="83" t="s">
        <v>75</v>
      </c>
      <c r="F480" s="49" t="s">
        <v>287</v>
      </c>
      <c r="G480" s="49">
        <v>31.957999999999998</v>
      </c>
      <c r="H480" s="49">
        <v>4533</v>
      </c>
      <c r="I480" s="49">
        <v>975</v>
      </c>
      <c r="J480" s="159">
        <v>2.161862527716186</v>
      </c>
      <c r="K480" s="49">
        <v>4</v>
      </c>
      <c r="L480" s="49">
        <v>3</v>
      </c>
      <c r="M480" s="83">
        <v>0</v>
      </c>
      <c r="N480" s="49">
        <v>2</v>
      </c>
      <c r="O480" s="49">
        <v>0</v>
      </c>
      <c r="P480" s="49">
        <v>0</v>
      </c>
      <c r="Q480" s="58">
        <v>0</v>
      </c>
      <c r="R480" s="42">
        <v>2</v>
      </c>
      <c r="S480" s="83" t="s">
        <v>283</v>
      </c>
      <c r="T480" s="49">
        <v>7</v>
      </c>
      <c r="U480" s="83">
        <v>1</v>
      </c>
      <c r="V480" s="49">
        <v>3</v>
      </c>
      <c r="W480" s="49">
        <v>2</v>
      </c>
      <c r="X480" s="58"/>
      <c r="Y480" s="83">
        <v>0</v>
      </c>
      <c r="AJ480" s="49">
        <v>0</v>
      </c>
      <c r="AK480" s="83">
        <v>0</v>
      </c>
      <c r="AL480" s="49">
        <v>0</v>
      </c>
      <c r="AM480" s="49">
        <v>0</v>
      </c>
      <c r="AN480" s="49">
        <v>0</v>
      </c>
      <c r="AO480" s="58">
        <v>0</v>
      </c>
      <c r="AP480" s="174" t="s">
        <v>284</v>
      </c>
      <c r="AQ480" s="175" t="s">
        <v>284</v>
      </c>
      <c r="AR480" s="175" t="s">
        <v>284</v>
      </c>
      <c r="AS480" s="175" t="s">
        <v>284</v>
      </c>
      <c r="AT480" s="175" t="s">
        <v>284</v>
      </c>
      <c r="AU480" s="175" t="s">
        <v>284</v>
      </c>
      <c r="AV480" s="175" t="s">
        <v>284</v>
      </c>
      <c r="AW480" s="175" t="s">
        <v>284</v>
      </c>
      <c r="AX480" s="83">
        <v>0</v>
      </c>
      <c r="AY480" s="49">
        <v>0</v>
      </c>
      <c r="AZ480" s="49">
        <v>0</v>
      </c>
      <c r="BA480" s="49">
        <v>0</v>
      </c>
      <c r="BB480" s="58">
        <v>0</v>
      </c>
      <c r="BC480" s="42">
        <v>116</v>
      </c>
      <c r="BE480" s="49"/>
      <c r="BS480" s="58"/>
      <c r="BT480" s="83"/>
      <c r="CE480" s="83"/>
      <c r="CK480" s="58"/>
      <c r="CL480" s="83"/>
      <c r="CO480" s="58"/>
      <c r="CP480" s="83"/>
      <c r="CR480" s="58"/>
      <c r="CS480" s="83"/>
      <c r="CY480" s="83"/>
      <c r="DG480" s="58"/>
      <c r="DH480" s="83"/>
      <c r="DQ480" s="83"/>
      <c r="EE480" s="58"/>
      <c r="EF480" s="83"/>
      <c r="EI480" s="83"/>
      <c r="EK480" s="58"/>
      <c r="EL480" s="83"/>
      <c r="EO480" s="58"/>
      <c r="EP480" s="83"/>
      <c r="EQ480" s="58"/>
      <c r="ER480" s="83"/>
      <c r="ES480" s="58"/>
      <c r="ET480" s="83"/>
      <c r="EU480" s="58"/>
    </row>
    <row r="481" spans="1:151">
      <c r="A481" s="83" t="s">
        <v>325</v>
      </c>
      <c r="B481" s="173" t="s">
        <v>183</v>
      </c>
      <c r="C481" s="173" t="s">
        <v>510</v>
      </c>
      <c r="D481" s="83" t="s">
        <v>76</v>
      </c>
      <c r="F481" s="49" t="s">
        <v>286</v>
      </c>
      <c r="G481" s="49">
        <v>31.957999999999998</v>
      </c>
      <c r="H481" s="49">
        <v>4533</v>
      </c>
      <c r="I481" s="49">
        <v>1609</v>
      </c>
      <c r="J481" s="159">
        <v>1.813979706877114</v>
      </c>
      <c r="K481" s="49">
        <v>4</v>
      </c>
      <c r="L481" s="49">
        <v>3</v>
      </c>
      <c r="M481" s="83">
        <v>0</v>
      </c>
      <c r="N481" s="49">
        <v>3</v>
      </c>
      <c r="O481" s="49">
        <v>1</v>
      </c>
      <c r="P481" s="49">
        <v>1</v>
      </c>
      <c r="Q481" s="58">
        <v>0</v>
      </c>
      <c r="R481" s="42">
        <v>5</v>
      </c>
      <c r="S481" s="83">
        <v>1</v>
      </c>
      <c r="U481" s="83">
        <v>2</v>
      </c>
      <c r="V481" s="49">
        <v>3</v>
      </c>
      <c r="W481" s="49">
        <v>1</v>
      </c>
      <c r="X481" s="58">
        <v>1</v>
      </c>
      <c r="Y481" s="83">
        <v>5</v>
      </c>
      <c r="AD481" s="49">
        <v>8</v>
      </c>
      <c r="AE481" s="49">
        <v>53</v>
      </c>
      <c r="AH481" s="49">
        <v>9</v>
      </c>
      <c r="AI481" s="49">
        <v>331</v>
      </c>
      <c r="AJ481" s="49">
        <v>0</v>
      </c>
      <c r="AK481" s="83">
        <v>0</v>
      </c>
      <c r="AL481" s="49">
        <v>1</v>
      </c>
      <c r="AM481" s="49">
        <v>0</v>
      </c>
      <c r="AN481" s="49">
        <v>0</v>
      </c>
      <c r="AO481" s="58">
        <v>0</v>
      </c>
      <c r="AP481" s="174">
        <v>164</v>
      </c>
      <c r="AQ481" s="175">
        <v>376</v>
      </c>
      <c r="AR481" s="175" t="s">
        <v>284</v>
      </c>
      <c r="AS481" s="175" t="s">
        <v>284</v>
      </c>
      <c r="AT481" s="175" t="s">
        <v>284</v>
      </c>
      <c r="AU481" s="175" t="s">
        <v>284</v>
      </c>
      <c r="AV481" s="175" t="s">
        <v>284</v>
      </c>
      <c r="AW481" s="175" t="s">
        <v>284</v>
      </c>
      <c r="AX481" s="83">
        <v>0</v>
      </c>
      <c r="AY481" s="49">
        <v>0</v>
      </c>
      <c r="AZ481" s="49">
        <v>0</v>
      </c>
      <c r="BA481" s="49">
        <v>0</v>
      </c>
      <c r="BB481" s="58">
        <v>0</v>
      </c>
      <c r="BC481" s="42">
        <v>102</v>
      </c>
      <c r="BD481" s="49">
        <v>80.650000000000006</v>
      </c>
      <c r="BE481" s="49"/>
      <c r="BS481" s="58"/>
      <c r="BT481" s="83"/>
      <c r="CE481" s="83">
        <v>71.62</v>
      </c>
      <c r="CF481" s="49">
        <v>69.650000000000006</v>
      </c>
      <c r="CK481" s="58"/>
      <c r="CL481" s="83">
        <v>66.7</v>
      </c>
      <c r="CO481" s="58"/>
      <c r="CP481" s="83"/>
      <c r="CR481" s="58"/>
      <c r="CS481" s="83"/>
      <c r="CY481" s="83"/>
      <c r="DG481" s="58"/>
      <c r="DH481" s="83"/>
      <c r="DQ481" s="83">
        <v>73.33</v>
      </c>
      <c r="EE481" s="58"/>
      <c r="EF481" s="83"/>
      <c r="EI481" s="83"/>
      <c r="EK481" s="58"/>
      <c r="EL481" s="83"/>
      <c r="EO481" s="58"/>
      <c r="EP481" s="83"/>
      <c r="EQ481" s="58"/>
      <c r="ER481" s="83"/>
      <c r="ES481" s="58"/>
      <c r="ET481" s="83"/>
      <c r="EU481" s="58"/>
    </row>
    <row r="482" spans="1:151">
      <c r="A482" s="83" t="s">
        <v>325</v>
      </c>
      <c r="B482" s="173" t="s">
        <v>183</v>
      </c>
      <c r="C482" s="173" t="s">
        <v>510</v>
      </c>
      <c r="D482" s="83" t="s">
        <v>97</v>
      </c>
      <c r="E482" s="49" t="s">
        <v>1</v>
      </c>
      <c r="F482" s="49" t="s">
        <v>286</v>
      </c>
      <c r="G482" s="49">
        <v>31.957999999999998</v>
      </c>
      <c r="H482" s="49">
        <v>4533</v>
      </c>
      <c r="I482" s="49">
        <v>1396</v>
      </c>
      <c r="J482" s="159">
        <v>1.9123287671232876</v>
      </c>
      <c r="K482" s="49">
        <v>4</v>
      </c>
      <c r="L482" s="49">
        <v>3</v>
      </c>
      <c r="M482" s="83">
        <v>0</v>
      </c>
      <c r="N482" s="49">
        <v>1</v>
      </c>
      <c r="O482" s="49">
        <v>0</v>
      </c>
      <c r="P482" s="49">
        <v>0</v>
      </c>
      <c r="Q482" s="58">
        <v>0</v>
      </c>
      <c r="R482" s="42">
        <v>1</v>
      </c>
      <c r="S482" s="83" t="s">
        <v>283</v>
      </c>
      <c r="T482" s="49">
        <v>12</v>
      </c>
      <c r="U482" s="83">
        <v>1</v>
      </c>
      <c r="V482" s="49">
        <v>2</v>
      </c>
      <c r="W482" s="49">
        <v>2</v>
      </c>
      <c r="X482" s="58"/>
      <c r="Y482" s="83">
        <v>2</v>
      </c>
      <c r="AD482" s="49">
        <v>28</v>
      </c>
      <c r="AE482" s="49">
        <v>281</v>
      </c>
      <c r="AF482" s="49">
        <v>17</v>
      </c>
      <c r="AG482" s="49">
        <v>160</v>
      </c>
      <c r="AJ482" s="49">
        <v>0</v>
      </c>
      <c r="AK482" s="83">
        <v>0</v>
      </c>
      <c r="AL482" s="49">
        <v>1</v>
      </c>
      <c r="AM482" s="49">
        <v>0</v>
      </c>
      <c r="AN482" s="49">
        <v>0</v>
      </c>
      <c r="AO482" s="58">
        <v>0</v>
      </c>
      <c r="AP482" s="174">
        <v>0</v>
      </c>
      <c r="AQ482" s="175">
        <v>417</v>
      </c>
      <c r="AR482" s="175">
        <v>0</v>
      </c>
      <c r="AS482" s="175">
        <v>0</v>
      </c>
      <c r="AT482" s="175">
        <v>0</v>
      </c>
      <c r="AU482" s="175">
        <v>0</v>
      </c>
      <c r="AV482" s="175">
        <v>0</v>
      </c>
      <c r="AW482" s="175">
        <v>0</v>
      </c>
      <c r="AX482" s="83">
        <v>0</v>
      </c>
      <c r="AY482" s="49">
        <v>0</v>
      </c>
      <c r="AZ482" s="49">
        <v>0</v>
      </c>
      <c r="BA482" s="49">
        <v>0</v>
      </c>
      <c r="BB482" s="58">
        <v>0</v>
      </c>
      <c r="BC482" s="42">
        <v>124</v>
      </c>
      <c r="BE482" s="49"/>
      <c r="BS482" s="58"/>
      <c r="BT482" s="83"/>
      <c r="CE482" s="83">
        <v>73.31</v>
      </c>
      <c r="CK482" s="58"/>
      <c r="CL482" s="83"/>
      <c r="CO482" s="58"/>
      <c r="CP482" s="83"/>
      <c r="CR482" s="58"/>
      <c r="CS482" s="83"/>
      <c r="CY482" s="83">
        <v>78.92</v>
      </c>
      <c r="DG482" s="58"/>
      <c r="DH482" s="83"/>
      <c r="DQ482" s="83"/>
      <c r="EE482" s="58"/>
      <c r="EF482" s="83"/>
      <c r="EI482" s="83"/>
      <c r="EK482" s="58"/>
      <c r="EL482" s="83"/>
      <c r="EO482" s="58"/>
      <c r="EP482" s="83"/>
      <c r="EQ482" s="58"/>
      <c r="ER482" s="83"/>
      <c r="ES482" s="58"/>
      <c r="ET482" s="83"/>
      <c r="EU482" s="58"/>
    </row>
    <row r="483" spans="1:151" ht="17" thickBot="1">
      <c r="A483" s="83" t="s">
        <v>325</v>
      </c>
      <c r="B483" s="47" t="s">
        <v>183</v>
      </c>
      <c r="C483" s="47" t="s">
        <v>510</v>
      </c>
      <c r="D483" s="84" t="s">
        <v>102</v>
      </c>
      <c r="E483" s="57" t="s">
        <v>1</v>
      </c>
      <c r="F483" s="57" t="s">
        <v>286</v>
      </c>
      <c r="G483" s="57">
        <v>31.957999999999998</v>
      </c>
      <c r="H483" s="57">
        <v>4533</v>
      </c>
      <c r="I483" s="57">
        <v>1635</v>
      </c>
      <c r="J483" s="75">
        <v>1.4520426287744228</v>
      </c>
      <c r="K483" s="57">
        <v>1</v>
      </c>
      <c r="L483" s="57">
        <v>3</v>
      </c>
      <c r="M483" s="84">
        <v>0</v>
      </c>
      <c r="N483" s="57">
        <v>0</v>
      </c>
      <c r="O483" s="57">
        <v>0</v>
      </c>
      <c r="P483" s="57">
        <v>0</v>
      </c>
      <c r="Q483" s="56">
        <v>0</v>
      </c>
      <c r="R483" s="55">
        <v>0</v>
      </c>
      <c r="S483" s="84" t="s">
        <v>283</v>
      </c>
      <c r="T483" s="57">
        <v>14</v>
      </c>
      <c r="U483" s="84">
        <v>1</v>
      </c>
      <c r="V483" s="57">
        <v>2</v>
      </c>
      <c r="W483" s="57">
        <v>2</v>
      </c>
      <c r="X483" s="56"/>
      <c r="Y483" s="84">
        <v>1</v>
      </c>
      <c r="Z483" s="57">
        <v>2</v>
      </c>
      <c r="AA483" s="57">
        <v>62</v>
      </c>
      <c r="AB483" s="57"/>
      <c r="AC483" s="57"/>
      <c r="AD483" s="57"/>
      <c r="AE483" s="57"/>
      <c r="AF483" s="57">
        <v>17</v>
      </c>
      <c r="AG483" s="57">
        <v>67</v>
      </c>
      <c r="AH483" s="57"/>
      <c r="AI483" s="57"/>
      <c r="AJ483" s="57">
        <v>0</v>
      </c>
      <c r="AK483" s="84">
        <v>0</v>
      </c>
      <c r="AL483" s="57">
        <v>0</v>
      </c>
      <c r="AM483" s="57">
        <v>0</v>
      </c>
      <c r="AN483" s="57">
        <v>0</v>
      </c>
      <c r="AO483" s="56">
        <v>0</v>
      </c>
      <c r="AP483" s="178" t="s">
        <v>284</v>
      </c>
      <c r="AQ483" s="179" t="s">
        <v>284</v>
      </c>
      <c r="AR483" s="179" t="s">
        <v>284</v>
      </c>
      <c r="AS483" s="179" t="s">
        <v>284</v>
      </c>
      <c r="AT483" s="179" t="s">
        <v>284</v>
      </c>
      <c r="AU483" s="179" t="s">
        <v>284</v>
      </c>
      <c r="AV483" s="179" t="s">
        <v>284</v>
      </c>
      <c r="AW483" s="179" t="s">
        <v>284</v>
      </c>
      <c r="AX483" s="84">
        <v>0</v>
      </c>
      <c r="AY483" s="57">
        <v>0</v>
      </c>
      <c r="AZ483" s="57">
        <v>0</v>
      </c>
      <c r="BA483" s="57">
        <v>0</v>
      </c>
      <c r="BB483" s="56">
        <v>0</v>
      </c>
      <c r="BC483" s="55">
        <v>161</v>
      </c>
      <c r="BD483" s="57"/>
      <c r="BE483" s="57"/>
      <c r="BF483" s="57"/>
      <c r="BG483" s="57"/>
      <c r="BH483" s="57"/>
      <c r="BI483" s="57"/>
      <c r="BJ483" s="57"/>
      <c r="BK483" s="57"/>
      <c r="BL483" s="57"/>
      <c r="BM483" s="57"/>
      <c r="BN483" s="57"/>
      <c r="BO483" s="57"/>
      <c r="BP483" s="57"/>
      <c r="BQ483" s="57"/>
      <c r="BR483" s="57"/>
      <c r="BS483" s="56"/>
      <c r="BT483" s="84"/>
      <c r="BU483" s="57"/>
      <c r="BV483" s="57"/>
      <c r="BW483" s="57"/>
      <c r="BX483" s="57"/>
      <c r="BY483" s="57"/>
      <c r="BZ483" s="57"/>
      <c r="CA483" s="57"/>
      <c r="CB483" s="57"/>
      <c r="CC483" s="57"/>
      <c r="CD483" s="57"/>
      <c r="CE483" s="84"/>
      <c r="CF483" s="57"/>
      <c r="CG483" s="57"/>
      <c r="CH483" s="57"/>
      <c r="CI483" s="57"/>
      <c r="CJ483" s="57"/>
      <c r="CK483" s="56"/>
      <c r="CL483" s="84"/>
      <c r="CM483" s="57"/>
      <c r="CN483" s="57"/>
      <c r="CO483" s="56"/>
      <c r="CP483" s="84"/>
      <c r="CQ483" s="57"/>
      <c r="CR483" s="56"/>
      <c r="CS483" s="84"/>
      <c r="CT483" s="57"/>
      <c r="CU483" s="57"/>
      <c r="CV483" s="57"/>
      <c r="CW483" s="57"/>
      <c r="CX483" s="57"/>
      <c r="CY483" s="84"/>
      <c r="CZ483" s="57"/>
      <c r="DA483" s="57"/>
      <c r="DB483" s="57"/>
      <c r="DC483" s="57"/>
      <c r="DD483" s="57"/>
      <c r="DE483" s="57"/>
      <c r="DF483" s="57"/>
      <c r="DG483" s="56"/>
      <c r="DH483" s="84"/>
      <c r="DI483" s="57"/>
      <c r="DJ483" s="57"/>
      <c r="DK483" s="57"/>
      <c r="DL483" s="57"/>
      <c r="DM483" s="57"/>
      <c r="DN483" s="57"/>
      <c r="DO483" s="57"/>
      <c r="DP483" s="57"/>
      <c r="DQ483" s="84"/>
      <c r="DR483" s="57"/>
      <c r="DS483" s="57"/>
      <c r="DT483" s="57"/>
      <c r="DU483" s="57"/>
      <c r="DV483" s="57"/>
      <c r="DW483" s="57"/>
      <c r="DX483" s="57"/>
      <c r="DY483" s="57"/>
      <c r="DZ483" s="57"/>
      <c r="EA483" s="57"/>
      <c r="EB483" s="57"/>
      <c r="EC483" s="57"/>
      <c r="ED483" s="57"/>
      <c r="EE483" s="56"/>
      <c r="EF483" s="84"/>
      <c r="EG483" s="57"/>
      <c r="EH483" s="57"/>
      <c r="EI483" s="84"/>
      <c r="EJ483" s="57"/>
      <c r="EK483" s="56"/>
      <c r="EL483" s="84"/>
      <c r="EM483" s="57"/>
      <c r="EN483" s="57"/>
      <c r="EO483" s="56"/>
      <c r="EP483" s="84"/>
      <c r="EQ483" s="56"/>
      <c r="ER483" s="84"/>
      <c r="ES483" s="56"/>
      <c r="ET483" s="84"/>
      <c r="EU483" s="56"/>
    </row>
    <row r="484" spans="1:151">
      <c r="A484" s="87" t="s">
        <v>433</v>
      </c>
      <c r="B484" s="173" t="s">
        <v>512</v>
      </c>
      <c r="C484" s="173" t="s">
        <v>513</v>
      </c>
      <c r="D484" s="83" t="s">
        <v>64</v>
      </c>
      <c r="F484" s="49" t="s">
        <v>287</v>
      </c>
      <c r="G484" s="49">
        <v>37.078000000000003</v>
      </c>
      <c r="I484" s="49">
        <v>328</v>
      </c>
      <c r="J484" s="159">
        <v>1.3553719008264462</v>
      </c>
      <c r="K484" s="49">
        <v>1</v>
      </c>
      <c r="L484" s="49">
        <v>1</v>
      </c>
      <c r="M484" s="83">
        <v>1</v>
      </c>
      <c r="N484" s="49">
        <v>0</v>
      </c>
      <c r="O484" s="49">
        <v>1</v>
      </c>
      <c r="P484" s="49">
        <v>1</v>
      </c>
      <c r="Q484" s="58">
        <v>0</v>
      </c>
      <c r="R484" s="42">
        <v>3</v>
      </c>
      <c r="S484" s="83" t="s">
        <v>283</v>
      </c>
      <c r="T484" s="49">
        <v>4</v>
      </c>
      <c r="U484" s="83">
        <v>1</v>
      </c>
      <c r="V484" s="49">
        <v>3</v>
      </c>
      <c r="W484" s="49">
        <v>1</v>
      </c>
      <c r="X484" s="58">
        <v>2</v>
      </c>
      <c r="Y484" s="83">
        <v>0</v>
      </c>
      <c r="AJ484" s="49">
        <v>0</v>
      </c>
      <c r="AK484" s="83">
        <v>0</v>
      </c>
      <c r="AL484" s="49">
        <v>0</v>
      </c>
      <c r="AM484" s="49">
        <v>1</v>
      </c>
      <c r="AN484" s="49">
        <v>0</v>
      </c>
      <c r="AO484" s="58">
        <v>0</v>
      </c>
      <c r="AP484" s="174">
        <v>0</v>
      </c>
      <c r="AQ484" s="175">
        <v>0</v>
      </c>
      <c r="AR484" s="175">
        <v>47</v>
      </c>
      <c r="AS484" s="175">
        <v>0</v>
      </c>
      <c r="AT484" s="175">
        <v>0</v>
      </c>
      <c r="AU484" s="175">
        <v>0</v>
      </c>
      <c r="AV484" s="175">
        <v>0</v>
      </c>
      <c r="AW484" s="175">
        <v>0</v>
      </c>
      <c r="AX484" s="83">
        <v>0</v>
      </c>
      <c r="AY484" s="49">
        <v>0</v>
      </c>
      <c r="AZ484" s="49">
        <v>0</v>
      </c>
      <c r="BA484" s="49">
        <v>0</v>
      </c>
      <c r="BB484" s="58">
        <v>0</v>
      </c>
      <c r="BC484" s="42">
        <v>91</v>
      </c>
      <c r="BD484" s="49">
        <v>69.88</v>
      </c>
      <c r="BE484" s="49">
        <v>69.36</v>
      </c>
      <c r="BS484" s="58"/>
      <c r="BT484" s="83">
        <v>67.75</v>
      </c>
      <c r="BU484" s="49">
        <v>70.62</v>
      </c>
      <c r="BV484" s="49">
        <v>66.849999999999994</v>
      </c>
      <c r="CE484" s="83"/>
      <c r="CK484" s="58"/>
      <c r="CL484" s="83"/>
      <c r="CO484" s="58"/>
      <c r="CP484" s="83"/>
      <c r="CR484" s="58"/>
      <c r="CS484" s="83"/>
      <c r="CY484" s="83"/>
      <c r="DG484" s="58"/>
      <c r="DH484" s="83"/>
      <c r="DQ484" s="83"/>
      <c r="EE484" s="58"/>
      <c r="EF484" s="83"/>
      <c r="EI484" s="83"/>
      <c r="EK484" s="58"/>
      <c r="EL484" s="83"/>
      <c r="EO484" s="58"/>
      <c r="EP484" s="83"/>
      <c r="EQ484" s="58"/>
      <c r="ER484" s="83"/>
      <c r="ES484" s="58"/>
      <c r="ET484" s="83"/>
      <c r="EU484" s="58"/>
    </row>
    <row r="485" spans="1:151">
      <c r="A485" s="42" t="s">
        <v>433</v>
      </c>
      <c r="B485" s="173" t="s">
        <v>512</v>
      </c>
      <c r="C485" s="173" t="s">
        <v>513</v>
      </c>
      <c r="D485" s="83" t="s">
        <v>67</v>
      </c>
      <c r="F485" s="49" t="s">
        <v>286</v>
      </c>
      <c r="G485" s="49">
        <v>37.078000000000003</v>
      </c>
      <c r="I485" s="49">
        <v>1237</v>
      </c>
      <c r="J485" s="159">
        <v>4.5985130111524164</v>
      </c>
      <c r="K485" s="49">
        <v>1</v>
      </c>
      <c r="L485" s="49">
        <v>2</v>
      </c>
      <c r="M485" s="83">
        <v>1</v>
      </c>
      <c r="N485" s="49">
        <v>0</v>
      </c>
      <c r="O485" s="49">
        <v>0</v>
      </c>
      <c r="P485" s="49">
        <v>0</v>
      </c>
      <c r="Q485" s="58">
        <v>0</v>
      </c>
      <c r="R485" s="42">
        <v>1</v>
      </c>
      <c r="S485" s="83" t="s">
        <v>283</v>
      </c>
      <c r="T485" s="49">
        <v>1</v>
      </c>
      <c r="U485" s="83">
        <v>0</v>
      </c>
      <c r="V485" s="49">
        <v>0</v>
      </c>
      <c r="W485" s="49">
        <v>0</v>
      </c>
      <c r="X485" s="58"/>
      <c r="Y485" s="83">
        <v>1</v>
      </c>
      <c r="AG485" s="49">
        <v>177</v>
      </c>
      <c r="AJ485" s="49">
        <v>0</v>
      </c>
      <c r="AK485" s="83">
        <v>0</v>
      </c>
      <c r="AL485" s="49">
        <v>0</v>
      </c>
      <c r="AM485" s="49">
        <v>1</v>
      </c>
      <c r="AN485" s="49">
        <v>0</v>
      </c>
      <c r="AO485" s="58">
        <v>0</v>
      </c>
      <c r="AP485" s="174">
        <v>0</v>
      </c>
      <c r="AQ485" s="175">
        <v>0</v>
      </c>
      <c r="AR485" s="175">
        <v>0</v>
      </c>
      <c r="AS485" s="175">
        <v>79</v>
      </c>
      <c r="AT485" s="175">
        <v>0</v>
      </c>
      <c r="AU485" s="175">
        <v>0</v>
      </c>
      <c r="AV485" s="175">
        <v>0</v>
      </c>
      <c r="AW485" s="175">
        <v>0</v>
      </c>
      <c r="AX485" s="83">
        <v>0</v>
      </c>
      <c r="AY485" s="49">
        <v>0</v>
      </c>
      <c r="AZ485" s="49">
        <v>0</v>
      </c>
      <c r="BA485" s="49">
        <v>0</v>
      </c>
      <c r="BB485" s="58">
        <v>0</v>
      </c>
      <c r="BC485" s="42"/>
      <c r="BD485" s="49">
        <v>73.23</v>
      </c>
      <c r="BE485" s="49"/>
      <c r="BS485" s="58"/>
      <c r="BT485" s="83">
        <v>73.11</v>
      </c>
      <c r="CE485" s="83"/>
      <c r="CK485" s="58"/>
      <c r="CL485" s="83">
        <v>68.39</v>
      </c>
      <c r="CO485" s="58"/>
      <c r="CP485" s="83"/>
      <c r="CR485" s="58"/>
      <c r="CS485" s="83"/>
      <c r="CY485" s="83"/>
      <c r="DG485" s="58"/>
      <c r="DH485" s="83"/>
      <c r="DQ485" s="83"/>
      <c r="EE485" s="58"/>
      <c r="EF485" s="83"/>
      <c r="EI485" s="83"/>
      <c r="EK485" s="58"/>
      <c r="EL485" s="83"/>
      <c r="EO485" s="58"/>
      <c r="EP485" s="83"/>
      <c r="EQ485" s="58"/>
      <c r="ER485" s="83"/>
      <c r="ES485" s="58"/>
      <c r="ET485" s="83"/>
      <c r="EU485" s="58"/>
    </row>
    <row r="486" spans="1:151">
      <c r="A486" s="42" t="s">
        <v>433</v>
      </c>
      <c r="B486" s="173" t="s">
        <v>512</v>
      </c>
      <c r="C486" s="173" t="s">
        <v>513</v>
      </c>
      <c r="D486" s="83" t="s">
        <v>69</v>
      </c>
      <c r="F486" s="49" t="s">
        <v>287</v>
      </c>
      <c r="G486" s="49">
        <v>37.078000000000003</v>
      </c>
      <c r="I486" s="49">
        <v>692</v>
      </c>
      <c r="J486" s="159">
        <v>1.7835051546391754</v>
      </c>
      <c r="K486" s="49">
        <v>1</v>
      </c>
      <c r="L486" s="49">
        <v>1</v>
      </c>
      <c r="M486" s="83">
        <v>1</v>
      </c>
      <c r="N486" s="49">
        <v>0</v>
      </c>
      <c r="O486" s="49">
        <v>0</v>
      </c>
      <c r="P486" s="49">
        <v>0</v>
      </c>
      <c r="Q486" s="58">
        <v>0</v>
      </c>
      <c r="R486" s="42">
        <v>1</v>
      </c>
      <c r="S486" s="83">
        <v>1</v>
      </c>
      <c r="U486" s="83">
        <v>0</v>
      </c>
      <c r="V486" s="49">
        <v>0</v>
      </c>
      <c r="W486" s="49">
        <v>0</v>
      </c>
      <c r="X486" s="58"/>
      <c r="Y486" s="83">
        <v>0</v>
      </c>
      <c r="AJ486" s="49">
        <v>0</v>
      </c>
      <c r="AK486" s="83">
        <v>0</v>
      </c>
      <c r="AL486" s="49">
        <v>1</v>
      </c>
      <c r="AM486" s="49">
        <v>0</v>
      </c>
      <c r="AN486" s="49">
        <v>0</v>
      </c>
      <c r="AO486" s="58">
        <v>0</v>
      </c>
      <c r="AP486" s="174">
        <v>0</v>
      </c>
      <c r="AQ486" s="175">
        <v>165</v>
      </c>
      <c r="AR486" s="175">
        <v>0</v>
      </c>
      <c r="AS486" s="175">
        <v>0</v>
      </c>
      <c r="AT486" s="175">
        <v>0</v>
      </c>
      <c r="AU486" s="175">
        <v>0</v>
      </c>
      <c r="AV486" s="175">
        <v>0</v>
      </c>
      <c r="AW486" s="175">
        <v>0</v>
      </c>
      <c r="AX486" s="83">
        <v>0</v>
      </c>
      <c r="AY486" s="49">
        <v>0</v>
      </c>
      <c r="AZ486" s="49">
        <v>0</v>
      </c>
      <c r="BA486" s="49">
        <v>0</v>
      </c>
      <c r="BB486" s="58">
        <v>0</v>
      </c>
      <c r="BC486" s="42">
        <v>107</v>
      </c>
      <c r="BE486" s="49"/>
      <c r="BS486" s="58"/>
      <c r="BT486" s="83"/>
      <c r="CE486" s="83"/>
      <c r="CK486" s="58"/>
      <c r="CL486" s="83"/>
      <c r="CO486" s="58"/>
      <c r="CP486" s="83"/>
      <c r="CR486" s="58"/>
      <c r="CS486" s="83"/>
      <c r="CY486" s="83"/>
      <c r="DG486" s="58"/>
      <c r="DH486" s="83"/>
      <c r="DQ486" s="83"/>
      <c r="EE486" s="58"/>
      <c r="EF486" s="83"/>
      <c r="EI486" s="83"/>
      <c r="EK486" s="58"/>
      <c r="EL486" s="83"/>
      <c r="EO486" s="58"/>
      <c r="EP486" s="83"/>
      <c r="EQ486" s="58"/>
      <c r="ER486" s="83"/>
      <c r="ES486" s="58"/>
      <c r="ET486" s="83"/>
      <c r="EU486" s="58"/>
    </row>
    <row r="487" spans="1:151">
      <c r="A487" s="42" t="s">
        <v>433</v>
      </c>
      <c r="B487" s="173" t="s">
        <v>512</v>
      </c>
      <c r="C487" s="173" t="s">
        <v>513</v>
      </c>
      <c r="D487" s="83" t="s">
        <v>76</v>
      </c>
      <c r="F487" s="49" t="s">
        <v>286</v>
      </c>
      <c r="G487" s="49">
        <v>37.078000000000003</v>
      </c>
      <c r="I487" s="49">
        <v>1164</v>
      </c>
      <c r="J487" s="159">
        <v>5.7058823529411766</v>
      </c>
      <c r="K487" s="49">
        <v>1</v>
      </c>
      <c r="L487" s="49">
        <v>2</v>
      </c>
      <c r="M487" s="83">
        <v>1</v>
      </c>
      <c r="N487" s="49">
        <v>0</v>
      </c>
      <c r="O487" s="49">
        <v>0</v>
      </c>
      <c r="P487" s="49">
        <v>0</v>
      </c>
      <c r="Q487" s="58">
        <v>0</v>
      </c>
      <c r="R487" s="42">
        <v>1</v>
      </c>
      <c r="S487" s="83">
        <v>1</v>
      </c>
      <c r="U487" s="83">
        <v>0</v>
      </c>
      <c r="V487" s="49">
        <v>0</v>
      </c>
      <c r="W487" s="49">
        <v>0</v>
      </c>
      <c r="X487" s="58"/>
      <c r="Y487" s="83">
        <v>0</v>
      </c>
      <c r="AJ487" s="49">
        <v>0</v>
      </c>
      <c r="AK487" s="83">
        <v>0</v>
      </c>
      <c r="AL487" s="49">
        <v>1</v>
      </c>
      <c r="AM487" s="49">
        <v>0</v>
      </c>
      <c r="AN487" s="49">
        <v>0</v>
      </c>
      <c r="AO487" s="58">
        <v>0</v>
      </c>
      <c r="AP487" s="174">
        <v>197</v>
      </c>
      <c r="AQ487" s="175">
        <v>528</v>
      </c>
      <c r="AR487" s="175">
        <v>0</v>
      </c>
      <c r="AS487" s="175">
        <v>0</v>
      </c>
      <c r="AT487" s="175">
        <v>0</v>
      </c>
      <c r="AU487" s="175">
        <v>0</v>
      </c>
      <c r="AV487" s="175">
        <v>0</v>
      </c>
      <c r="AW487" s="175">
        <v>0</v>
      </c>
      <c r="AX487" s="83">
        <v>0</v>
      </c>
      <c r="AY487" s="49">
        <v>0</v>
      </c>
      <c r="AZ487" s="49">
        <v>0</v>
      </c>
      <c r="BA487" s="49">
        <v>0</v>
      </c>
      <c r="BB487" s="58">
        <v>0</v>
      </c>
      <c r="BC487" s="42">
        <v>105</v>
      </c>
      <c r="BE487" s="49"/>
      <c r="BS487" s="58"/>
      <c r="BT487" s="83"/>
      <c r="CE487" s="83"/>
      <c r="CK487" s="58"/>
      <c r="CL487" s="83"/>
      <c r="CO487" s="58"/>
      <c r="CP487" s="83"/>
      <c r="CR487" s="58"/>
      <c r="CS487" s="83"/>
      <c r="CY487" s="83"/>
      <c r="DG487" s="58"/>
      <c r="DH487" s="83"/>
      <c r="DQ487" s="83"/>
      <c r="EE487" s="58"/>
      <c r="EF487" s="83"/>
      <c r="EI487" s="83"/>
      <c r="EK487" s="58"/>
      <c r="EL487" s="83"/>
      <c r="EO487" s="58"/>
      <c r="EP487" s="83"/>
      <c r="EQ487" s="58"/>
      <c r="ER487" s="83"/>
      <c r="ES487" s="58"/>
      <c r="ET487" s="83"/>
      <c r="EU487" s="58"/>
    </row>
    <row r="488" spans="1:151">
      <c r="A488" s="42" t="s">
        <v>433</v>
      </c>
      <c r="B488" s="173" t="s">
        <v>512</v>
      </c>
      <c r="C488" s="173" t="s">
        <v>513</v>
      </c>
      <c r="D488" s="83" t="s">
        <v>81</v>
      </c>
      <c r="F488" s="49" t="s">
        <v>286</v>
      </c>
      <c r="G488" s="49">
        <v>37.078000000000003</v>
      </c>
      <c r="I488" s="49">
        <v>3569</v>
      </c>
      <c r="J488" s="159">
        <v>2.961825726141079</v>
      </c>
      <c r="K488" s="49">
        <v>1</v>
      </c>
      <c r="L488" s="49">
        <v>1</v>
      </c>
      <c r="M488" s="83">
        <v>1</v>
      </c>
      <c r="N488" s="49">
        <v>4</v>
      </c>
      <c r="O488" s="49">
        <v>1</v>
      </c>
      <c r="P488" s="49">
        <v>0</v>
      </c>
      <c r="Q488" s="58">
        <v>0</v>
      </c>
      <c r="R488" s="42">
        <v>6</v>
      </c>
      <c r="S488" s="83" t="s">
        <v>283</v>
      </c>
      <c r="T488" s="49">
        <v>6</v>
      </c>
      <c r="U488" s="83">
        <v>1</v>
      </c>
      <c r="V488" s="49">
        <v>5</v>
      </c>
      <c r="W488" s="49">
        <v>1</v>
      </c>
      <c r="X488" s="58">
        <v>1</v>
      </c>
      <c r="Y488" s="83">
        <v>8</v>
      </c>
      <c r="Z488" s="49">
        <v>7</v>
      </c>
      <c r="AA488" s="49">
        <v>17</v>
      </c>
      <c r="AD488" s="49">
        <v>8</v>
      </c>
      <c r="AE488" s="49">
        <v>123</v>
      </c>
      <c r="AF488" s="49">
        <v>12</v>
      </c>
      <c r="AG488" s="49">
        <v>219</v>
      </c>
      <c r="AH488" s="49">
        <v>7</v>
      </c>
      <c r="AI488" s="49">
        <v>271</v>
      </c>
      <c r="AJ488" s="49">
        <v>0</v>
      </c>
      <c r="AK488" s="83">
        <v>0</v>
      </c>
      <c r="AL488" s="49">
        <v>0</v>
      </c>
      <c r="AM488" s="49">
        <v>1</v>
      </c>
      <c r="AN488" s="49">
        <v>0</v>
      </c>
      <c r="AO488" s="58">
        <v>0</v>
      </c>
      <c r="AP488" s="174">
        <v>0</v>
      </c>
      <c r="AQ488" s="175">
        <v>0</v>
      </c>
      <c r="AR488" s="175">
        <v>504</v>
      </c>
      <c r="AS488" s="175">
        <v>639</v>
      </c>
      <c r="AT488" s="175">
        <v>0</v>
      </c>
      <c r="AU488" s="175">
        <v>0</v>
      </c>
      <c r="AV488" s="175">
        <v>0</v>
      </c>
      <c r="AW488" s="175">
        <v>0</v>
      </c>
      <c r="AX488" s="83">
        <v>0</v>
      </c>
      <c r="AY488" s="49">
        <v>0</v>
      </c>
      <c r="AZ488" s="49">
        <v>0</v>
      </c>
      <c r="BA488" s="49">
        <v>1</v>
      </c>
      <c r="BB488" s="58">
        <v>1</v>
      </c>
      <c r="BC488" s="42">
        <v>135</v>
      </c>
      <c r="BD488" s="49">
        <v>77.739999999999995</v>
      </c>
      <c r="BE488" s="49">
        <v>77.58</v>
      </c>
      <c r="BF488" s="49">
        <v>78.989999999999995</v>
      </c>
      <c r="BG488" s="49">
        <v>79.33</v>
      </c>
      <c r="BS488" s="58"/>
      <c r="BT488" s="83">
        <v>71.45</v>
      </c>
      <c r="BU488" s="49">
        <v>74.67</v>
      </c>
      <c r="CE488" s="83"/>
      <c r="CK488" s="58"/>
      <c r="CL488" s="83"/>
      <c r="CO488" s="58"/>
      <c r="CP488" s="83"/>
      <c r="CR488" s="58"/>
      <c r="CS488" s="83"/>
      <c r="CY488" s="83"/>
      <c r="DG488" s="58"/>
      <c r="DH488" s="83"/>
      <c r="DQ488" s="83">
        <v>67.44</v>
      </c>
      <c r="DR488" s="49">
        <v>50.64</v>
      </c>
      <c r="EE488" s="58"/>
      <c r="EF488" s="83"/>
      <c r="EI488" s="83"/>
      <c r="EK488" s="58"/>
      <c r="EL488" s="83"/>
      <c r="EO488" s="58"/>
      <c r="EP488" s="83"/>
      <c r="EQ488" s="58"/>
      <c r="ER488" s="83"/>
      <c r="ES488" s="58"/>
      <c r="ET488" s="83"/>
      <c r="EU488" s="58"/>
    </row>
    <row r="489" spans="1:151">
      <c r="A489" s="42" t="s">
        <v>433</v>
      </c>
      <c r="B489" s="173" t="s">
        <v>512</v>
      </c>
      <c r="C489" s="173" t="s">
        <v>513</v>
      </c>
      <c r="D489" s="83" t="s">
        <v>87</v>
      </c>
      <c r="F489" s="49" t="s">
        <v>286</v>
      </c>
      <c r="G489" s="49">
        <v>37.078000000000003</v>
      </c>
      <c r="I489" s="49">
        <v>1597</v>
      </c>
      <c r="J489" s="159">
        <v>6.3122529644268779</v>
      </c>
      <c r="K489" s="49">
        <v>1</v>
      </c>
      <c r="L489" s="49">
        <v>2</v>
      </c>
      <c r="M489" s="83">
        <v>1</v>
      </c>
      <c r="N489" s="49">
        <v>0</v>
      </c>
      <c r="O489" s="49">
        <v>0</v>
      </c>
      <c r="P489" s="49">
        <v>0</v>
      </c>
      <c r="Q489" s="58">
        <v>0</v>
      </c>
      <c r="R489" s="42">
        <v>1</v>
      </c>
      <c r="S489" s="83" t="s">
        <v>283</v>
      </c>
      <c r="T489" s="49">
        <v>2</v>
      </c>
      <c r="U489" s="83">
        <v>1</v>
      </c>
      <c r="V489" s="49">
        <v>1</v>
      </c>
      <c r="W489" s="49">
        <v>1</v>
      </c>
      <c r="X489" s="58">
        <v>2</v>
      </c>
      <c r="Y489" s="83">
        <v>0</v>
      </c>
      <c r="AJ489" s="49">
        <v>0</v>
      </c>
      <c r="AK489" s="83">
        <v>0</v>
      </c>
      <c r="AL489" s="49">
        <v>1</v>
      </c>
      <c r="AM489" s="49">
        <v>0</v>
      </c>
      <c r="AN489" s="49">
        <v>0</v>
      </c>
      <c r="AO489" s="58">
        <v>0</v>
      </c>
      <c r="AP489" s="174">
        <v>0</v>
      </c>
      <c r="AQ489" s="175">
        <v>75</v>
      </c>
      <c r="AR489" s="175">
        <v>0</v>
      </c>
      <c r="AS489" s="175">
        <v>0</v>
      </c>
      <c r="AT489" s="175">
        <v>0</v>
      </c>
      <c r="AU489" s="175">
        <v>0</v>
      </c>
      <c r="AV489" s="175">
        <v>0</v>
      </c>
      <c r="AW489" s="175">
        <v>0</v>
      </c>
      <c r="AX489" s="83">
        <v>0</v>
      </c>
      <c r="AY489" s="49">
        <v>0</v>
      </c>
      <c r="AZ489" s="49">
        <v>0</v>
      </c>
      <c r="BA489" s="49">
        <v>0</v>
      </c>
      <c r="BB489" s="58">
        <v>0</v>
      </c>
      <c r="BC489" s="42">
        <v>101</v>
      </c>
      <c r="BE489" s="49"/>
      <c r="BS489" s="58"/>
      <c r="BT489" s="83"/>
      <c r="CE489" s="83"/>
      <c r="CK489" s="58"/>
      <c r="CL489" s="83"/>
      <c r="CO489" s="58"/>
      <c r="CP489" s="83"/>
      <c r="CR489" s="58"/>
      <c r="CS489" s="83"/>
      <c r="CY489" s="83"/>
      <c r="DG489" s="58"/>
      <c r="DH489" s="83"/>
      <c r="DQ489" s="83"/>
      <c r="EE489" s="58"/>
      <c r="EF489" s="83"/>
      <c r="EI489" s="83"/>
      <c r="EK489" s="58"/>
      <c r="EL489" s="83"/>
      <c r="EO489" s="58"/>
      <c r="EP489" s="83"/>
      <c r="EQ489" s="58"/>
      <c r="ER489" s="83"/>
      <c r="ES489" s="58"/>
      <c r="ET489" s="83"/>
      <c r="EU489" s="58"/>
    </row>
    <row r="490" spans="1:151">
      <c r="A490" s="42" t="s">
        <v>433</v>
      </c>
      <c r="B490" s="173" t="s">
        <v>512</v>
      </c>
      <c r="C490" s="173" t="s">
        <v>513</v>
      </c>
      <c r="D490" s="83" t="s">
        <v>111</v>
      </c>
      <c r="F490" s="49" t="s">
        <v>287</v>
      </c>
      <c r="G490" s="49">
        <v>37.078000000000003</v>
      </c>
      <c r="I490" s="49">
        <v>721</v>
      </c>
      <c r="J490" s="159">
        <v>1.6964705882352942</v>
      </c>
      <c r="K490" s="49">
        <v>1</v>
      </c>
      <c r="L490" s="49">
        <v>2</v>
      </c>
      <c r="M490" s="83">
        <v>1</v>
      </c>
      <c r="N490" s="49">
        <v>0</v>
      </c>
      <c r="O490" s="49">
        <v>0</v>
      </c>
      <c r="P490" s="49">
        <v>1</v>
      </c>
      <c r="Q490" s="58">
        <v>0</v>
      </c>
      <c r="R490" s="42">
        <v>2</v>
      </c>
      <c r="S490" s="83" t="s">
        <v>284</v>
      </c>
      <c r="U490" s="83">
        <v>1</v>
      </c>
      <c r="V490" s="49">
        <v>1</v>
      </c>
      <c r="W490" s="49">
        <v>2</v>
      </c>
      <c r="X490" s="58"/>
      <c r="Y490" s="83">
        <v>1</v>
      </c>
      <c r="AD490" s="49">
        <v>10</v>
      </c>
      <c r="AE490" s="49">
        <v>23</v>
      </c>
      <c r="AI490" s="49">
        <v>32</v>
      </c>
      <c r="AJ490" s="49">
        <v>0</v>
      </c>
      <c r="AK490" s="83">
        <v>0</v>
      </c>
      <c r="AL490" s="49">
        <v>0</v>
      </c>
      <c r="AM490" s="49">
        <v>1</v>
      </c>
      <c r="AN490" s="49">
        <v>0</v>
      </c>
      <c r="AO490" s="58">
        <v>0</v>
      </c>
      <c r="AP490" s="174">
        <v>0</v>
      </c>
      <c r="AQ490" s="175">
        <v>0</v>
      </c>
      <c r="AR490" s="175">
        <v>26</v>
      </c>
      <c r="AS490" s="175">
        <v>49</v>
      </c>
      <c r="AT490" s="175">
        <v>0</v>
      </c>
      <c r="AU490" s="175">
        <v>0</v>
      </c>
      <c r="AV490" s="175">
        <v>0</v>
      </c>
      <c r="AW490" s="175">
        <v>0</v>
      </c>
      <c r="AX490" s="83">
        <v>0</v>
      </c>
      <c r="AY490" s="49">
        <v>0</v>
      </c>
      <c r="AZ490" s="49">
        <v>0</v>
      </c>
      <c r="BA490" s="49">
        <v>0</v>
      </c>
      <c r="BB490" s="58">
        <v>0</v>
      </c>
      <c r="BC490" s="42">
        <v>98</v>
      </c>
      <c r="BE490" s="49"/>
      <c r="BS490" s="58"/>
      <c r="BT490" s="83"/>
      <c r="CE490" s="83"/>
      <c r="CK490" s="58"/>
      <c r="CL490" s="83"/>
      <c r="CO490" s="58"/>
      <c r="CP490" s="83"/>
      <c r="CR490" s="58"/>
      <c r="CS490" s="83"/>
      <c r="CY490" s="83"/>
      <c r="DG490" s="58"/>
      <c r="DH490" s="83"/>
      <c r="DQ490" s="83"/>
      <c r="EE490" s="58"/>
      <c r="EF490" s="83"/>
      <c r="EI490" s="83"/>
      <c r="EK490" s="58"/>
      <c r="EL490" s="83"/>
      <c r="EO490" s="58"/>
      <c r="EP490" s="83"/>
      <c r="EQ490" s="58"/>
      <c r="ER490" s="83"/>
      <c r="ES490" s="58"/>
      <c r="ET490" s="83"/>
      <c r="EU490" s="58"/>
    </row>
    <row r="491" spans="1:151">
      <c r="A491" s="42" t="s">
        <v>433</v>
      </c>
      <c r="B491" s="173" t="s">
        <v>512</v>
      </c>
      <c r="C491" s="173" t="s">
        <v>513</v>
      </c>
      <c r="D491" s="83" t="s">
        <v>112</v>
      </c>
      <c r="F491" s="49" t="s">
        <v>286</v>
      </c>
      <c r="G491" s="49">
        <v>37.078000000000003</v>
      </c>
      <c r="I491" s="49">
        <v>1317</v>
      </c>
      <c r="J491" s="159">
        <v>3.1966019417475726</v>
      </c>
      <c r="K491" s="49">
        <v>1</v>
      </c>
      <c r="L491" s="49">
        <v>2</v>
      </c>
      <c r="M491" s="83">
        <v>1</v>
      </c>
      <c r="N491" s="49">
        <v>0</v>
      </c>
      <c r="O491" s="49">
        <v>0</v>
      </c>
      <c r="P491" s="49">
        <v>0</v>
      </c>
      <c r="Q491" s="58">
        <v>0</v>
      </c>
      <c r="R491" s="42">
        <v>1</v>
      </c>
      <c r="S491" s="83" t="s">
        <v>284</v>
      </c>
      <c r="U491" s="83">
        <v>1</v>
      </c>
      <c r="V491" s="49">
        <v>1</v>
      </c>
      <c r="W491" s="49">
        <v>1</v>
      </c>
      <c r="X491" s="58">
        <v>2</v>
      </c>
      <c r="Y491" s="83">
        <v>1</v>
      </c>
      <c r="AF491" s="49">
        <v>21</v>
      </c>
      <c r="AG491" s="49">
        <v>31</v>
      </c>
      <c r="AH491" s="49">
        <v>13</v>
      </c>
      <c r="AI491" s="49">
        <v>36</v>
      </c>
      <c r="AJ491" s="49">
        <v>0</v>
      </c>
      <c r="AK491" s="83">
        <v>0</v>
      </c>
      <c r="AL491" s="49">
        <v>1</v>
      </c>
      <c r="AM491" s="49">
        <v>1</v>
      </c>
      <c r="AN491" s="49">
        <v>0</v>
      </c>
      <c r="AO491" s="58">
        <v>0</v>
      </c>
      <c r="AP491" s="174">
        <v>0</v>
      </c>
      <c r="AQ491" s="175">
        <v>227</v>
      </c>
      <c r="AR491" s="175">
        <v>38</v>
      </c>
      <c r="AS491" s="175">
        <v>93</v>
      </c>
      <c r="AT491" s="175">
        <v>0</v>
      </c>
      <c r="AU491" s="175">
        <v>0</v>
      </c>
      <c r="AV491" s="175">
        <v>0</v>
      </c>
      <c r="AW491" s="175">
        <v>0</v>
      </c>
      <c r="AX491" s="83">
        <v>0</v>
      </c>
      <c r="AY491" s="49">
        <v>0</v>
      </c>
      <c r="AZ491" s="49">
        <v>0</v>
      </c>
      <c r="BA491" s="49">
        <v>0</v>
      </c>
      <c r="BB491" s="58">
        <v>0</v>
      </c>
      <c r="BC491" s="42">
        <v>123</v>
      </c>
      <c r="BD491" s="49">
        <v>71.63</v>
      </c>
      <c r="BE491" s="49">
        <v>70.37</v>
      </c>
      <c r="BS491" s="58"/>
      <c r="BT491" s="83">
        <v>70.08</v>
      </c>
      <c r="CE491" s="83"/>
      <c r="CK491" s="58"/>
      <c r="CL491" s="83"/>
      <c r="CO491" s="58"/>
      <c r="CP491" s="83"/>
      <c r="CR491" s="58"/>
      <c r="CS491" s="83"/>
      <c r="CY491" s="83"/>
      <c r="DG491" s="58"/>
      <c r="DH491" s="83"/>
      <c r="DQ491" s="83"/>
      <c r="EE491" s="58"/>
      <c r="EF491" s="83"/>
      <c r="EI491" s="83"/>
      <c r="EK491" s="58"/>
      <c r="EL491" s="83"/>
      <c r="EO491" s="58"/>
      <c r="EP491" s="83"/>
      <c r="EQ491" s="58"/>
      <c r="ER491" s="83"/>
      <c r="ES491" s="58"/>
      <c r="ET491" s="83"/>
      <c r="EU491" s="58"/>
    </row>
    <row r="492" spans="1:151">
      <c r="A492" s="42" t="s">
        <v>433</v>
      </c>
      <c r="B492" s="173" t="s">
        <v>512</v>
      </c>
      <c r="C492" s="173" t="s">
        <v>513</v>
      </c>
      <c r="D492" s="83" t="s">
        <v>112</v>
      </c>
      <c r="F492" s="49" t="s">
        <v>287</v>
      </c>
      <c r="G492" s="49">
        <v>37.078000000000003</v>
      </c>
      <c r="I492" s="49">
        <v>728</v>
      </c>
      <c r="J492" s="159">
        <v>3.5686274509803924</v>
      </c>
      <c r="K492" s="49">
        <v>1</v>
      </c>
      <c r="L492" s="49">
        <v>1</v>
      </c>
      <c r="M492" s="83">
        <v>1</v>
      </c>
      <c r="N492" s="49">
        <v>0</v>
      </c>
      <c r="O492" s="49">
        <v>1</v>
      </c>
      <c r="P492" s="49">
        <v>1</v>
      </c>
      <c r="Q492" s="58">
        <v>0</v>
      </c>
      <c r="R492" s="42">
        <v>3</v>
      </c>
      <c r="S492" s="83">
        <v>1</v>
      </c>
      <c r="U492" s="83">
        <v>0</v>
      </c>
      <c r="V492" s="49">
        <v>0</v>
      </c>
      <c r="W492" s="49">
        <v>0</v>
      </c>
      <c r="X492" s="58"/>
      <c r="Y492" s="83">
        <v>0</v>
      </c>
      <c r="AJ492" s="49">
        <v>0</v>
      </c>
      <c r="AK492" s="83">
        <v>0</v>
      </c>
      <c r="AL492" s="49">
        <v>1</v>
      </c>
      <c r="AM492" s="49">
        <v>0</v>
      </c>
      <c r="AN492" s="49">
        <v>0</v>
      </c>
      <c r="AO492" s="58">
        <v>0</v>
      </c>
      <c r="AP492" s="174">
        <v>184</v>
      </c>
      <c r="AQ492" s="175">
        <v>364</v>
      </c>
      <c r="AR492" s="175">
        <v>0</v>
      </c>
      <c r="AS492" s="175">
        <v>0</v>
      </c>
      <c r="AT492" s="175">
        <v>0</v>
      </c>
      <c r="AU492" s="175">
        <v>0</v>
      </c>
      <c r="AV492" s="175">
        <v>0</v>
      </c>
      <c r="AW492" s="175">
        <v>0</v>
      </c>
      <c r="AX492" s="83">
        <v>0</v>
      </c>
      <c r="AY492" s="49">
        <v>0</v>
      </c>
      <c r="AZ492" s="49">
        <v>0</v>
      </c>
      <c r="BA492" s="49">
        <v>0</v>
      </c>
      <c r="BB492" s="58">
        <v>0</v>
      </c>
      <c r="BC492" s="42"/>
      <c r="BD492" s="49">
        <v>68.930000000000007</v>
      </c>
      <c r="BE492" s="49"/>
      <c r="BS492" s="58"/>
      <c r="BT492" s="83">
        <v>72.7</v>
      </c>
      <c r="CE492" s="83"/>
      <c r="CK492" s="58"/>
      <c r="CL492" s="83"/>
      <c r="CO492" s="58"/>
      <c r="CP492" s="83"/>
      <c r="CR492" s="58"/>
      <c r="CS492" s="83"/>
      <c r="CY492" s="83"/>
      <c r="DG492" s="58"/>
      <c r="DH492" s="83"/>
      <c r="DQ492" s="83"/>
      <c r="EE492" s="58"/>
      <c r="EF492" s="83"/>
      <c r="EI492" s="83"/>
      <c r="EK492" s="58"/>
      <c r="EL492" s="83"/>
      <c r="EO492" s="58"/>
      <c r="EP492" s="83"/>
      <c r="EQ492" s="58"/>
      <c r="ER492" s="83"/>
      <c r="ES492" s="58"/>
      <c r="ET492" s="83"/>
      <c r="EU492" s="58"/>
    </row>
    <row r="493" spans="1:151">
      <c r="A493" s="42" t="s">
        <v>433</v>
      </c>
      <c r="B493" s="173" t="s">
        <v>512</v>
      </c>
      <c r="C493" s="173" t="s">
        <v>513</v>
      </c>
      <c r="D493" s="83" t="s">
        <v>93</v>
      </c>
      <c r="F493" s="49" t="s">
        <v>286</v>
      </c>
      <c r="G493" s="49">
        <v>37.078000000000003</v>
      </c>
      <c r="I493" s="49">
        <v>1840</v>
      </c>
      <c r="J493" s="159">
        <v>5.2272727272727275</v>
      </c>
      <c r="K493" s="49">
        <v>1</v>
      </c>
      <c r="L493" s="49">
        <v>3</v>
      </c>
      <c r="M493" s="83">
        <v>1</v>
      </c>
      <c r="N493" s="49">
        <v>0</v>
      </c>
      <c r="O493" s="49">
        <v>0</v>
      </c>
      <c r="P493" s="49">
        <v>1</v>
      </c>
      <c r="Q493" s="58">
        <v>0</v>
      </c>
      <c r="R493" s="42">
        <v>2</v>
      </c>
      <c r="S493" s="83">
        <v>1</v>
      </c>
      <c r="U493" s="83">
        <v>1</v>
      </c>
      <c r="V493" s="49">
        <v>3</v>
      </c>
      <c r="W493" s="49">
        <v>2</v>
      </c>
      <c r="X493" s="58"/>
      <c r="Y493" s="83">
        <v>0</v>
      </c>
      <c r="AJ493" s="49">
        <v>0</v>
      </c>
      <c r="AK493" s="83">
        <v>0</v>
      </c>
      <c r="AL493" s="49">
        <v>1</v>
      </c>
      <c r="AM493" s="49">
        <v>0</v>
      </c>
      <c r="AN493" s="49">
        <v>0</v>
      </c>
      <c r="AO493" s="58">
        <v>0</v>
      </c>
      <c r="AP493" s="174">
        <v>103</v>
      </c>
      <c r="AQ493" s="175">
        <v>855</v>
      </c>
      <c r="AR493" s="175">
        <v>0</v>
      </c>
      <c r="AS493" s="175">
        <v>0</v>
      </c>
      <c r="AT493" s="175">
        <v>0</v>
      </c>
      <c r="AU493" s="175">
        <v>0</v>
      </c>
      <c r="AV493" s="175">
        <v>0</v>
      </c>
      <c r="AW493" s="175">
        <v>0</v>
      </c>
      <c r="AX493" s="83">
        <v>0</v>
      </c>
      <c r="AY493" s="49">
        <v>0</v>
      </c>
      <c r="AZ493" s="49">
        <v>0</v>
      </c>
      <c r="BA493" s="49">
        <v>0</v>
      </c>
      <c r="BB493" s="58">
        <v>0</v>
      </c>
      <c r="BC493" s="42">
        <v>109</v>
      </c>
      <c r="BE493" s="49"/>
      <c r="BS493" s="58"/>
      <c r="BT493" s="83"/>
      <c r="CE493" s="83"/>
      <c r="CK493" s="58"/>
      <c r="CL493" s="83"/>
      <c r="CO493" s="58"/>
      <c r="CP493" s="83"/>
      <c r="CR493" s="58"/>
      <c r="CS493" s="83"/>
      <c r="CY493" s="83"/>
      <c r="DG493" s="58"/>
      <c r="DH493" s="83"/>
      <c r="DQ493" s="83"/>
      <c r="EE493" s="58"/>
      <c r="EF493" s="83"/>
      <c r="EI493" s="83"/>
      <c r="EK493" s="58"/>
      <c r="EL493" s="83"/>
      <c r="EO493" s="58"/>
      <c r="EP493" s="83"/>
      <c r="EQ493" s="58"/>
      <c r="ER493" s="83"/>
      <c r="ES493" s="58"/>
      <c r="ET493" s="83"/>
      <c r="EU493" s="58"/>
    </row>
    <row r="494" spans="1:151" ht="17" thickBot="1">
      <c r="A494" s="55" t="s">
        <v>433</v>
      </c>
      <c r="B494" s="173" t="s">
        <v>512</v>
      </c>
      <c r="C494" s="173" t="s">
        <v>513</v>
      </c>
      <c r="D494" s="83" t="s">
        <v>94</v>
      </c>
      <c r="F494" s="49" t="s">
        <v>287</v>
      </c>
      <c r="G494" s="49">
        <v>37.078000000000003</v>
      </c>
      <c r="I494" s="49">
        <v>828</v>
      </c>
      <c r="J494" s="159">
        <v>3.887323943661972</v>
      </c>
      <c r="K494" s="49">
        <v>1</v>
      </c>
      <c r="L494" s="49">
        <v>2</v>
      </c>
      <c r="M494" s="83">
        <v>1</v>
      </c>
      <c r="N494" s="49">
        <v>0</v>
      </c>
      <c r="O494" s="49">
        <v>1</v>
      </c>
      <c r="P494" s="49">
        <v>0</v>
      </c>
      <c r="Q494" s="58">
        <v>0</v>
      </c>
      <c r="R494" s="42">
        <v>2</v>
      </c>
      <c r="S494" s="83" t="s">
        <v>284</v>
      </c>
      <c r="U494" s="83">
        <v>0</v>
      </c>
      <c r="V494" s="49">
        <v>0</v>
      </c>
      <c r="W494" s="49">
        <v>0</v>
      </c>
      <c r="X494" s="58"/>
      <c r="Y494" s="83">
        <v>1</v>
      </c>
      <c r="AE494" s="49">
        <v>4</v>
      </c>
      <c r="AH494" s="49">
        <v>6</v>
      </c>
      <c r="AI494" s="49">
        <v>41</v>
      </c>
      <c r="AJ494" s="49">
        <v>0</v>
      </c>
      <c r="AK494" s="83">
        <v>0</v>
      </c>
      <c r="AL494" s="49">
        <v>0</v>
      </c>
      <c r="AM494" s="49">
        <v>1</v>
      </c>
      <c r="AN494" s="49">
        <v>1</v>
      </c>
      <c r="AO494" s="58">
        <v>0</v>
      </c>
      <c r="AP494" s="174">
        <v>0</v>
      </c>
      <c r="AQ494" s="175">
        <v>0</v>
      </c>
      <c r="AR494" s="175">
        <v>0</v>
      </c>
      <c r="AS494" s="175">
        <v>39</v>
      </c>
      <c r="AT494" s="175">
        <v>11</v>
      </c>
      <c r="AU494" s="175">
        <v>136</v>
      </c>
      <c r="AV494" s="175">
        <v>0</v>
      </c>
      <c r="AW494" s="175">
        <v>0</v>
      </c>
      <c r="AX494" s="83">
        <v>0</v>
      </c>
      <c r="AY494" s="49">
        <v>0</v>
      </c>
      <c r="AZ494" s="49">
        <v>0</v>
      </c>
      <c r="BA494" s="49">
        <v>0</v>
      </c>
      <c r="BB494" s="58">
        <v>0</v>
      </c>
      <c r="BC494" s="42">
        <v>101</v>
      </c>
      <c r="BE494" s="49"/>
      <c r="BS494" s="58"/>
      <c r="BT494" s="83"/>
      <c r="CE494" s="83"/>
      <c r="CK494" s="58"/>
      <c r="CL494" s="83"/>
      <c r="CO494" s="58"/>
      <c r="CP494" s="83"/>
      <c r="CR494" s="58"/>
      <c r="CS494" s="83"/>
      <c r="CY494" s="83"/>
      <c r="DG494" s="58"/>
      <c r="DH494" s="83"/>
      <c r="DQ494" s="83"/>
      <c r="EE494" s="58"/>
      <c r="EF494" s="83"/>
      <c r="EI494" s="83"/>
      <c r="EK494" s="58"/>
      <c r="EL494" s="83"/>
      <c r="EO494" s="58"/>
      <c r="EP494" s="83"/>
      <c r="EQ494" s="58"/>
      <c r="ER494" s="83"/>
      <c r="ES494" s="58"/>
      <c r="ET494" s="83"/>
      <c r="EU494" s="58"/>
    </row>
    <row r="495" spans="1:151">
      <c r="A495" s="87" t="s">
        <v>327</v>
      </c>
      <c r="B495" s="7" t="s">
        <v>184</v>
      </c>
      <c r="C495" s="7" t="s">
        <v>514</v>
      </c>
      <c r="D495" s="147" t="s">
        <v>64</v>
      </c>
      <c r="E495" s="148"/>
      <c r="F495" s="148" t="s">
        <v>286</v>
      </c>
      <c r="G495" s="148">
        <v>84.28</v>
      </c>
      <c r="H495" s="148">
        <v>4089</v>
      </c>
      <c r="I495" s="148">
        <v>1485</v>
      </c>
      <c r="J495" s="158">
        <v>14.702970297029703</v>
      </c>
      <c r="K495" s="148">
        <v>3</v>
      </c>
      <c r="L495" s="148">
        <v>1</v>
      </c>
      <c r="M495" s="147">
        <v>1</v>
      </c>
      <c r="N495" s="148">
        <v>0</v>
      </c>
      <c r="O495" s="148">
        <v>1</v>
      </c>
      <c r="P495" s="148">
        <v>1</v>
      </c>
      <c r="Q495" s="149">
        <v>0</v>
      </c>
      <c r="R495" s="87">
        <v>3</v>
      </c>
      <c r="S495" s="147" t="s">
        <v>284</v>
      </c>
      <c r="T495" s="148"/>
      <c r="U495" s="147">
        <v>0</v>
      </c>
      <c r="V495" s="148">
        <v>0</v>
      </c>
      <c r="W495" s="148">
        <v>0</v>
      </c>
      <c r="X495" s="149"/>
      <c r="Y495" s="147">
        <v>0</v>
      </c>
      <c r="Z495" s="148"/>
      <c r="AA495" s="148"/>
      <c r="AB495" s="148"/>
      <c r="AC495" s="148"/>
      <c r="AD495" s="148"/>
      <c r="AE495" s="148"/>
      <c r="AF495" s="148"/>
      <c r="AG495" s="148"/>
      <c r="AH495" s="148"/>
      <c r="AI495" s="148"/>
      <c r="AJ495" s="148">
        <v>0</v>
      </c>
      <c r="AK495" s="147">
        <v>0</v>
      </c>
      <c r="AL495" s="148">
        <v>0</v>
      </c>
      <c r="AM495" s="148">
        <v>0</v>
      </c>
      <c r="AN495" s="148">
        <v>0</v>
      </c>
      <c r="AO495" s="149">
        <v>0</v>
      </c>
      <c r="AP495" s="169" t="s">
        <v>284</v>
      </c>
      <c r="AQ495" s="170" t="s">
        <v>284</v>
      </c>
      <c r="AR495" s="170" t="s">
        <v>284</v>
      </c>
      <c r="AS495" s="170" t="s">
        <v>284</v>
      </c>
      <c r="AT495" s="170" t="s">
        <v>284</v>
      </c>
      <c r="AU495" s="170" t="s">
        <v>284</v>
      </c>
      <c r="AV495" s="170" t="s">
        <v>284</v>
      </c>
      <c r="AW495" s="170" t="s">
        <v>284</v>
      </c>
      <c r="AX495" s="147">
        <v>0</v>
      </c>
      <c r="AY495" s="148">
        <v>0</v>
      </c>
      <c r="AZ495" s="148">
        <v>0</v>
      </c>
      <c r="BA495" s="148">
        <v>0</v>
      </c>
      <c r="BB495" s="149">
        <v>0</v>
      </c>
      <c r="BC495" s="87">
        <v>145</v>
      </c>
      <c r="BD495" s="148">
        <v>68.5</v>
      </c>
      <c r="BE495" s="158"/>
      <c r="BF495" s="148"/>
      <c r="BG495" s="148"/>
      <c r="BH495" s="148"/>
      <c r="BI495" s="148"/>
      <c r="BJ495" s="148"/>
      <c r="BK495" s="148"/>
      <c r="BL495" s="148"/>
      <c r="BM495" s="148"/>
      <c r="BN495" s="148"/>
      <c r="BO495" s="148"/>
      <c r="BP495" s="148"/>
      <c r="BQ495" s="148"/>
      <c r="BR495" s="148"/>
      <c r="BS495" s="149"/>
      <c r="BT495" s="147"/>
      <c r="BU495" s="148"/>
      <c r="BV495" s="148"/>
      <c r="BW495" s="148"/>
      <c r="BX495" s="148"/>
      <c r="BY495" s="148"/>
      <c r="BZ495" s="148"/>
      <c r="CA495" s="148"/>
      <c r="CB495" s="148"/>
      <c r="CC495" s="148"/>
      <c r="CD495" s="148"/>
      <c r="CE495" s="147">
        <v>67.14</v>
      </c>
      <c r="CF495" s="148"/>
      <c r="CG495" s="148"/>
      <c r="CH495" s="148"/>
      <c r="CI495" s="148"/>
      <c r="CJ495" s="148"/>
      <c r="CK495" s="149"/>
      <c r="CL495" s="147"/>
      <c r="CM495" s="148"/>
      <c r="CN495" s="148"/>
      <c r="CO495" s="149"/>
      <c r="CP495" s="147"/>
      <c r="CQ495" s="148"/>
      <c r="CR495" s="149"/>
      <c r="CS495" s="147"/>
      <c r="CT495" s="148"/>
      <c r="CU495" s="148"/>
      <c r="CV495" s="148"/>
      <c r="CW495" s="148"/>
      <c r="CX495" s="148"/>
      <c r="CY495" s="147"/>
      <c r="CZ495" s="148"/>
      <c r="DA495" s="148"/>
      <c r="DB495" s="148"/>
      <c r="DC495" s="148"/>
      <c r="DD495" s="148"/>
      <c r="DE495" s="148"/>
      <c r="DF495" s="148"/>
      <c r="DG495" s="149"/>
      <c r="DH495" s="147"/>
      <c r="DI495" s="148"/>
      <c r="DJ495" s="148"/>
      <c r="DK495" s="148"/>
      <c r="DL495" s="148"/>
      <c r="DM495" s="148"/>
      <c r="DN495" s="148"/>
      <c r="DO495" s="148"/>
      <c r="DP495" s="148"/>
      <c r="DQ495" s="147"/>
      <c r="DR495" s="148"/>
      <c r="DS495" s="148"/>
      <c r="DT495" s="148"/>
      <c r="DU495" s="148"/>
      <c r="DV495" s="148"/>
      <c r="DW495" s="148"/>
      <c r="DX495" s="148"/>
      <c r="DY495" s="148"/>
      <c r="DZ495" s="148"/>
      <c r="EA495" s="148"/>
      <c r="EB495" s="148"/>
      <c r="EC495" s="148"/>
      <c r="ED495" s="148"/>
      <c r="EE495" s="149"/>
      <c r="EF495" s="147"/>
      <c r="EG495" s="148"/>
      <c r="EH495" s="148"/>
      <c r="EI495" s="147"/>
      <c r="EJ495" s="148"/>
      <c r="EK495" s="149"/>
      <c r="EL495" s="147"/>
      <c r="EM495" s="148"/>
      <c r="EN495" s="148"/>
      <c r="EO495" s="149"/>
      <c r="EP495" s="147"/>
      <c r="EQ495" s="149"/>
      <c r="ER495" s="147"/>
      <c r="ES495" s="149"/>
      <c r="ET495" s="147"/>
      <c r="EU495" s="149"/>
    </row>
    <row r="496" spans="1:151">
      <c r="A496" s="42" t="s">
        <v>327</v>
      </c>
      <c r="B496" s="173" t="s">
        <v>184</v>
      </c>
      <c r="C496" s="173" t="s">
        <v>514</v>
      </c>
      <c r="D496" s="83" t="s">
        <v>75</v>
      </c>
      <c r="E496" s="49" t="s">
        <v>1</v>
      </c>
      <c r="F496" s="49" t="s">
        <v>286</v>
      </c>
      <c r="G496" s="49">
        <v>84.28</v>
      </c>
      <c r="I496" s="49">
        <v>1193</v>
      </c>
      <c r="J496" s="159">
        <v>5.3258928571428568</v>
      </c>
      <c r="K496" s="49">
        <v>1</v>
      </c>
      <c r="L496" s="49">
        <v>2</v>
      </c>
      <c r="M496" s="83">
        <v>1</v>
      </c>
      <c r="N496" s="49">
        <v>0</v>
      </c>
      <c r="O496" s="49">
        <v>0</v>
      </c>
      <c r="P496" s="49">
        <v>1</v>
      </c>
      <c r="Q496" s="58">
        <v>0</v>
      </c>
      <c r="R496" s="42">
        <v>2</v>
      </c>
      <c r="S496" s="83">
        <v>1</v>
      </c>
      <c r="U496" s="83">
        <v>2</v>
      </c>
      <c r="V496" s="49">
        <v>3</v>
      </c>
      <c r="W496" s="49">
        <v>3</v>
      </c>
      <c r="X496" s="58">
        <v>2</v>
      </c>
      <c r="Y496" s="83">
        <v>2</v>
      </c>
      <c r="AD496" s="49">
        <v>5</v>
      </c>
      <c r="AE496" s="49">
        <v>21</v>
      </c>
      <c r="AH496" s="49">
        <v>7</v>
      </c>
      <c r="AI496" s="49">
        <v>79</v>
      </c>
      <c r="AJ496" s="49">
        <v>0</v>
      </c>
      <c r="AK496" s="83">
        <v>0</v>
      </c>
      <c r="AL496" s="49">
        <v>1</v>
      </c>
      <c r="AM496" s="49">
        <v>0</v>
      </c>
      <c r="AN496" s="49">
        <v>0</v>
      </c>
      <c r="AO496" s="58">
        <v>0</v>
      </c>
      <c r="AP496" s="174">
        <v>191</v>
      </c>
      <c r="AQ496" s="175">
        <v>221</v>
      </c>
      <c r="AR496" s="175">
        <v>0</v>
      </c>
      <c r="AS496" s="175">
        <v>0</v>
      </c>
      <c r="AT496" s="175">
        <v>0</v>
      </c>
      <c r="AU496" s="175">
        <v>0</v>
      </c>
      <c r="AV496" s="175">
        <v>0</v>
      </c>
      <c r="AW496" s="175">
        <v>0</v>
      </c>
      <c r="AX496" s="83">
        <v>0</v>
      </c>
      <c r="AY496" s="49">
        <v>0</v>
      </c>
      <c r="AZ496" s="49">
        <v>0</v>
      </c>
      <c r="BA496" s="49">
        <v>1</v>
      </c>
      <c r="BB496" s="58">
        <v>2</v>
      </c>
      <c r="BC496" s="42">
        <v>120</v>
      </c>
      <c r="BS496" s="58"/>
      <c r="BT496" s="83"/>
      <c r="CE496" s="83"/>
      <c r="CK496" s="58"/>
      <c r="CL496" s="83"/>
      <c r="CO496" s="58"/>
      <c r="CP496" s="83"/>
      <c r="CR496" s="58"/>
      <c r="CS496" s="83"/>
      <c r="CY496" s="83"/>
      <c r="DG496" s="58"/>
      <c r="DH496" s="83"/>
      <c r="DQ496" s="83"/>
      <c r="EE496" s="58"/>
      <c r="EF496" s="83"/>
      <c r="EI496" s="83"/>
      <c r="EK496" s="58"/>
      <c r="EL496" s="83"/>
      <c r="EO496" s="58"/>
      <c r="EP496" s="83"/>
      <c r="EQ496" s="58"/>
      <c r="ER496" s="83"/>
      <c r="ES496" s="58"/>
      <c r="ET496" s="83"/>
      <c r="EU496" s="58"/>
    </row>
    <row r="497" spans="1:151">
      <c r="A497" s="42" t="s">
        <v>327</v>
      </c>
      <c r="B497" s="173" t="s">
        <v>184</v>
      </c>
      <c r="C497" s="173" t="s">
        <v>514</v>
      </c>
      <c r="D497" s="83" t="s">
        <v>73</v>
      </c>
      <c r="F497" s="49" t="s">
        <v>287</v>
      </c>
      <c r="G497" s="49">
        <v>84.28</v>
      </c>
      <c r="H497" s="49">
        <v>4089</v>
      </c>
      <c r="I497" s="49">
        <v>695</v>
      </c>
      <c r="J497" s="159">
        <v>7.5543478260869561</v>
      </c>
      <c r="K497" s="49">
        <v>1</v>
      </c>
      <c r="L497" s="49">
        <v>2</v>
      </c>
      <c r="M497" s="83">
        <v>0</v>
      </c>
      <c r="N497" s="49">
        <v>0</v>
      </c>
      <c r="O497" s="49">
        <v>0</v>
      </c>
      <c r="P497" s="49">
        <v>0</v>
      </c>
      <c r="Q497" s="58">
        <v>1</v>
      </c>
      <c r="R497" s="42">
        <v>1</v>
      </c>
      <c r="S497" s="83" t="s">
        <v>284</v>
      </c>
      <c r="U497" s="83">
        <v>0</v>
      </c>
      <c r="V497" s="49">
        <v>0</v>
      </c>
      <c r="W497" s="49">
        <v>0</v>
      </c>
      <c r="X497" s="58"/>
      <c r="Y497" s="83">
        <v>0</v>
      </c>
      <c r="AJ497" s="49">
        <v>0</v>
      </c>
      <c r="AK497" s="83">
        <v>0</v>
      </c>
      <c r="AL497" s="49">
        <v>0</v>
      </c>
      <c r="AM497" s="49">
        <v>1</v>
      </c>
      <c r="AN497" s="49">
        <v>0</v>
      </c>
      <c r="AO497" s="58">
        <v>0</v>
      </c>
      <c r="AP497" s="174" t="s">
        <v>284</v>
      </c>
      <c r="AQ497" s="175" t="s">
        <v>284</v>
      </c>
      <c r="AR497" s="175" t="s">
        <v>501</v>
      </c>
      <c r="AS497" s="175" t="s">
        <v>501</v>
      </c>
      <c r="AT497" s="175" t="s">
        <v>284</v>
      </c>
      <c r="AU497" s="175" t="s">
        <v>284</v>
      </c>
      <c r="AV497" s="175" t="s">
        <v>284</v>
      </c>
      <c r="AW497" s="175" t="s">
        <v>284</v>
      </c>
      <c r="AX497" s="83">
        <v>0</v>
      </c>
      <c r="AY497" s="49">
        <v>0</v>
      </c>
      <c r="AZ497" s="49">
        <v>0</v>
      </c>
      <c r="BA497" s="49">
        <v>0</v>
      </c>
      <c r="BB497" s="58">
        <v>0</v>
      </c>
      <c r="BC497" s="42">
        <v>106</v>
      </c>
      <c r="BD497" s="49">
        <v>58.6</v>
      </c>
      <c r="BS497" s="58"/>
      <c r="BT497" s="83">
        <v>68.489999999999995</v>
      </c>
      <c r="CE497" s="83">
        <v>65.040000000000006</v>
      </c>
      <c r="CK497" s="58"/>
      <c r="CL497" s="83"/>
      <c r="CO497" s="58"/>
      <c r="CP497" s="83"/>
      <c r="CR497" s="58"/>
      <c r="CS497" s="83"/>
      <c r="CY497" s="83"/>
      <c r="DG497" s="58"/>
      <c r="DH497" s="83"/>
      <c r="DQ497" s="83"/>
      <c r="EE497" s="58"/>
      <c r="EF497" s="83"/>
      <c r="EI497" s="83"/>
      <c r="EK497" s="58"/>
      <c r="EL497" s="83"/>
      <c r="EO497" s="58"/>
      <c r="EP497" s="83"/>
      <c r="EQ497" s="58"/>
      <c r="ER497" s="83"/>
      <c r="ES497" s="58"/>
      <c r="ET497" s="83"/>
      <c r="EU497" s="58"/>
    </row>
    <row r="498" spans="1:151">
      <c r="A498" s="42" t="s">
        <v>327</v>
      </c>
      <c r="B498" s="173" t="s">
        <v>184</v>
      </c>
      <c r="C498" s="173" t="s">
        <v>514</v>
      </c>
      <c r="D498" s="83" t="s">
        <v>81</v>
      </c>
      <c r="F498" s="49" t="s">
        <v>287</v>
      </c>
      <c r="G498" s="49">
        <v>84.28</v>
      </c>
      <c r="H498" s="49">
        <v>4089</v>
      </c>
      <c r="I498" s="49">
        <v>680</v>
      </c>
      <c r="J498" s="159">
        <v>4.6575342465753424</v>
      </c>
      <c r="K498" s="49">
        <v>1</v>
      </c>
      <c r="L498" s="49">
        <v>1</v>
      </c>
      <c r="M498" s="83">
        <v>1</v>
      </c>
      <c r="N498" s="49">
        <v>0</v>
      </c>
      <c r="O498" s="49">
        <v>0</v>
      </c>
      <c r="P498" s="49">
        <v>1</v>
      </c>
      <c r="Q498" s="58">
        <v>0</v>
      </c>
      <c r="R498" s="42">
        <v>2</v>
      </c>
      <c r="S498" s="83" t="s">
        <v>284</v>
      </c>
      <c r="U498" s="83">
        <v>0</v>
      </c>
      <c r="V498" s="49">
        <v>0</v>
      </c>
      <c r="W498" s="49">
        <v>0</v>
      </c>
      <c r="X498" s="58"/>
      <c r="Y498" s="83">
        <v>0</v>
      </c>
      <c r="AJ498" s="49">
        <v>0</v>
      </c>
      <c r="AK498" s="83">
        <v>0</v>
      </c>
      <c r="AL498" s="49">
        <v>0</v>
      </c>
      <c r="AM498" s="49">
        <v>1</v>
      </c>
      <c r="AN498" s="49">
        <v>0</v>
      </c>
      <c r="AO498" s="58">
        <v>0</v>
      </c>
      <c r="AP498" s="174" t="s">
        <v>284</v>
      </c>
      <c r="AQ498" s="175" t="s">
        <v>284</v>
      </c>
      <c r="AR498" s="175" t="s">
        <v>501</v>
      </c>
      <c r="AS498" s="175" t="s">
        <v>501</v>
      </c>
      <c r="AT498" s="175" t="s">
        <v>284</v>
      </c>
      <c r="AU498" s="175" t="s">
        <v>284</v>
      </c>
      <c r="AV498" s="175" t="s">
        <v>284</v>
      </c>
      <c r="AW498" s="175" t="s">
        <v>284</v>
      </c>
      <c r="AX498" s="83">
        <v>0</v>
      </c>
      <c r="AY498" s="49">
        <v>0</v>
      </c>
      <c r="AZ498" s="49">
        <v>0</v>
      </c>
      <c r="BA498" s="49">
        <v>0</v>
      </c>
      <c r="BB498" s="58">
        <v>0</v>
      </c>
      <c r="BC498" s="42">
        <v>102</v>
      </c>
      <c r="BD498" s="49">
        <v>69.98</v>
      </c>
      <c r="BE498" s="159">
        <v>69.75</v>
      </c>
      <c r="BS498" s="58"/>
      <c r="BT498" s="83">
        <v>69.48</v>
      </c>
      <c r="CE498" s="83">
        <v>65.2</v>
      </c>
      <c r="CK498" s="58"/>
      <c r="CL498" s="83"/>
      <c r="CO498" s="58"/>
      <c r="CP498" s="83"/>
      <c r="CR498" s="58"/>
      <c r="CS498" s="83"/>
      <c r="CY498" s="83"/>
      <c r="DG498" s="58"/>
      <c r="DH498" s="83"/>
      <c r="DQ498" s="83"/>
      <c r="EE498" s="58"/>
      <c r="EF498" s="83"/>
      <c r="EI498" s="83"/>
      <c r="EK498" s="58"/>
      <c r="EL498" s="83"/>
      <c r="EO498" s="58"/>
      <c r="EP498" s="83"/>
      <c r="EQ498" s="58"/>
      <c r="ER498" s="83"/>
      <c r="ES498" s="58"/>
      <c r="ET498" s="83"/>
      <c r="EU498" s="58"/>
    </row>
    <row r="499" spans="1:151">
      <c r="A499" s="42" t="s">
        <v>327</v>
      </c>
      <c r="B499" s="173" t="s">
        <v>184</v>
      </c>
      <c r="C499" s="173" t="s">
        <v>514</v>
      </c>
      <c r="D499" s="83" t="s">
        <v>88</v>
      </c>
      <c r="F499" s="49" t="s">
        <v>286</v>
      </c>
      <c r="G499" s="49">
        <v>84.28</v>
      </c>
      <c r="H499" s="49">
        <v>4089</v>
      </c>
      <c r="I499" s="49">
        <v>1593</v>
      </c>
      <c r="J499" s="159">
        <v>5.1553398058252426</v>
      </c>
      <c r="K499" s="49">
        <v>1</v>
      </c>
      <c r="L499" s="49">
        <v>2</v>
      </c>
      <c r="M499" s="83">
        <v>1</v>
      </c>
      <c r="N499" s="49">
        <v>3</v>
      </c>
      <c r="O499" s="49">
        <v>1</v>
      </c>
      <c r="P499" s="49">
        <v>1</v>
      </c>
      <c r="Q499" s="58">
        <v>0</v>
      </c>
      <c r="R499" s="42">
        <v>6</v>
      </c>
      <c r="S499" s="83" t="s">
        <v>284</v>
      </c>
      <c r="U499" s="83">
        <v>3</v>
      </c>
      <c r="V499" s="49">
        <v>2</v>
      </c>
      <c r="W499" s="49">
        <v>1</v>
      </c>
      <c r="X499" s="58">
        <v>2</v>
      </c>
      <c r="Y499" s="83">
        <v>2</v>
      </c>
      <c r="AD499" s="49">
        <v>20</v>
      </c>
      <c r="AE499" s="49">
        <v>139</v>
      </c>
      <c r="AF499" s="49">
        <v>19</v>
      </c>
      <c r="AG499" s="49">
        <v>1010</v>
      </c>
      <c r="AJ499" s="49">
        <v>0</v>
      </c>
      <c r="AK499" s="83">
        <v>0</v>
      </c>
      <c r="AL499" s="49">
        <v>0</v>
      </c>
      <c r="AM499" s="49">
        <v>1</v>
      </c>
      <c r="AN499" s="49">
        <v>0</v>
      </c>
      <c r="AO499" s="58">
        <v>0</v>
      </c>
      <c r="AP499" s="174" t="s">
        <v>284</v>
      </c>
      <c r="AQ499" s="175" t="s">
        <v>284</v>
      </c>
      <c r="AR499" s="175" t="s">
        <v>501</v>
      </c>
      <c r="AS499" s="175" t="s">
        <v>501</v>
      </c>
      <c r="AT499" s="175" t="s">
        <v>284</v>
      </c>
      <c r="AU499" s="175" t="s">
        <v>284</v>
      </c>
      <c r="AV499" s="175" t="s">
        <v>284</v>
      </c>
      <c r="AW499" s="175" t="s">
        <v>284</v>
      </c>
      <c r="AX499" s="83">
        <v>0</v>
      </c>
      <c r="AY499" s="49">
        <v>0</v>
      </c>
      <c r="AZ499" s="49">
        <v>0</v>
      </c>
      <c r="BA499" s="49">
        <v>0</v>
      </c>
      <c r="BB499" s="58">
        <v>0</v>
      </c>
      <c r="BC499" s="42">
        <v>94</v>
      </c>
      <c r="BS499" s="58"/>
      <c r="BT499" s="83"/>
      <c r="CE499" s="83"/>
      <c r="CK499" s="58"/>
      <c r="CL499" s="83"/>
      <c r="CO499" s="58"/>
      <c r="CP499" s="83"/>
      <c r="CR499" s="58"/>
      <c r="CS499" s="83"/>
      <c r="CY499" s="83"/>
      <c r="DG499" s="58"/>
      <c r="DH499" s="83"/>
      <c r="DQ499" s="83"/>
      <c r="EE499" s="58"/>
      <c r="EF499" s="83"/>
      <c r="EI499" s="83"/>
      <c r="EK499" s="58"/>
      <c r="EL499" s="83"/>
      <c r="EO499" s="58"/>
      <c r="EP499" s="83"/>
      <c r="EQ499" s="58"/>
      <c r="ER499" s="83"/>
      <c r="ES499" s="58"/>
      <c r="ET499" s="83"/>
      <c r="EU499" s="58"/>
    </row>
    <row r="500" spans="1:151">
      <c r="A500" s="42" t="s">
        <v>327</v>
      </c>
      <c r="B500" s="173" t="s">
        <v>184</v>
      </c>
      <c r="C500" s="173" t="s">
        <v>514</v>
      </c>
      <c r="D500" s="83" t="s">
        <v>111</v>
      </c>
      <c r="F500" s="49" t="s">
        <v>287</v>
      </c>
      <c r="G500" s="49">
        <v>84.28</v>
      </c>
      <c r="H500" s="49">
        <v>4089</v>
      </c>
      <c r="I500" s="49">
        <v>554</v>
      </c>
      <c r="J500" s="159">
        <v>5.2264150943396226</v>
      </c>
      <c r="K500" s="49">
        <v>1</v>
      </c>
      <c r="L500" s="49">
        <v>2</v>
      </c>
      <c r="M500" s="83">
        <v>0</v>
      </c>
      <c r="N500" s="49">
        <v>0</v>
      </c>
      <c r="O500" s="49">
        <v>1</v>
      </c>
      <c r="P500" s="49">
        <v>1</v>
      </c>
      <c r="Q500" s="58">
        <v>0</v>
      </c>
      <c r="R500" s="42">
        <v>2</v>
      </c>
      <c r="S500" s="83" t="s">
        <v>284</v>
      </c>
      <c r="U500" s="83">
        <v>0</v>
      </c>
      <c r="V500" s="49">
        <v>0</v>
      </c>
      <c r="W500" s="49">
        <v>0</v>
      </c>
      <c r="X500" s="58"/>
      <c r="Y500" s="83">
        <v>0</v>
      </c>
      <c r="AJ500" s="49">
        <v>0</v>
      </c>
      <c r="AK500" s="83">
        <v>0</v>
      </c>
      <c r="AL500" s="49">
        <v>0</v>
      </c>
      <c r="AM500" s="49">
        <v>0</v>
      </c>
      <c r="AN500" s="49">
        <v>0</v>
      </c>
      <c r="AO500" s="58">
        <v>0</v>
      </c>
      <c r="AP500" s="174" t="s">
        <v>284</v>
      </c>
      <c r="AQ500" s="175" t="s">
        <v>284</v>
      </c>
      <c r="AR500" s="175" t="s">
        <v>284</v>
      </c>
      <c r="AS500" s="175" t="s">
        <v>284</v>
      </c>
      <c r="AT500" s="175" t="s">
        <v>284</v>
      </c>
      <c r="AU500" s="175" t="s">
        <v>284</v>
      </c>
      <c r="AV500" s="175" t="s">
        <v>284</v>
      </c>
      <c r="AW500" s="175" t="s">
        <v>284</v>
      </c>
      <c r="AX500" s="83">
        <v>0</v>
      </c>
      <c r="AY500" s="49">
        <v>0</v>
      </c>
      <c r="AZ500" s="49">
        <v>0</v>
      </c>
      <c r="BA500" s="49">
        <v>0</v>
      </c>
      <c r="BB500" s="58">
        <v>0</v>
      </c>
      <c r="BC500" s="42">
        <v>105</v>
      </c>
      <c r="BS500" s="58"/>
      <c r="BT500" s="83"/>
      <c r="CE500" s="83"/>
      <c r="CK500" s="58"/>
      <c r="CL500" s="83"/>
      <c r="CO500" s="58"/>
      <c r="CP500" s="83"/>
      <c r="CR500" s="58"/>
      <c r="CS500" s="83"/>
      <c r="CY500" s="83"/>
      <c r="DG500" s="58"/>
      <c r="DH500" s="83"/>
      <c r="DQ500" s="83"/>
      <c r="EE500" s="58"/>
      <c r="EF500" s="83"/>
      <c r="EI500" s="83"/>
      <c r="EK500" s="58"/>
      <c r="EL500" s="83"/>
      <c r="EO500" s="58"/>
      <c r="EP500" s="83"/>
      <c r="EQ500" s="58"/>
      <c r="ER500" s="83"/>
      <c r="ES500" s="58"/>
      <c r="ET500" s="83"/>
      <c r="EU500" s="58"/>
    </row>
    <row r="501" spans="1:151">
      <c r="A501" s="42" t="s">
        <v>327</v>
      </c>
      <c r="B501" s="173" t="s">
        <v>184</v>
      </c>
      <c r="C501" s="173" t="s">
        <v>514</v>
      </c>
      <c r="D501" s="83" t="s">
        <v>92</v>
      </c>
      <c r="F501" s="49" t="s">
        <v>287</v>
      </c>
      <c r="G501" s="49">
        <v>84.28</v>
      </c>
      <c r="H501" s="49">
        <v>4089</v>
      </c>
      <c r="I501" s="49">
        <v>510</v>
      </c>
      <c r="J501" s="159">
        <v>4.6363636363636367</v>
      </c>
      <c r="K501" s="49">
        <v>1</v>
      </c>
      <c r="L501" s="49">
        <v>1</v>
      </c>
      <c r="M501" s="83">
        <v>1</v>
      </c>
      <c r="N501" s="49">
        <v>0</v>
      </c>
      <c r="O501" s="49">
        <v>1</v>
      </c>
      <c r="P501" s="49">
        <v>1</v>
      </c>
      <c r="Q501" s="58">
        <v>0</v>
      </c>
      <c r="R501" s="42">
        <v>3</v>
      </c>
      <c r="S501" s="83" t="s">
        <v>284</v>
      </c>
      <c r="U501" s="83">
        <v>1</v>
      </c>
      <c r="V501" s="49">
        <v>1</v>
      </c>
      <c r="W501" s="49">
        <v>1</v>
      </c>
      <c r="X501" s="58">
        <v>2</v>
      </c>
      <c r="Y501" s="83">
        <v>0</v>
      </c>
      <c r="AJ501" s="49">
        <v>0</v>
      </c>
      <c r="AK501" s="83">
        <v>0</v>
      </c>
      <c r="AL501" s="49">
        <v>0</v>
      </c>
      <c r="AM501" s="49">
        <v>1</v>
      </c>
      <c r="AN501" s="49">
        <v>0</v>
      </c>
      <c r="AO501" s="58">
        <v>0</v>
      </c>
      <c r="AP501" s="174" t="s">
        <v>284</v>
      </c>
      <c r="AQ501" s="175" t="s">
        <v>284</v>
      </c>
      <c r="AR501" s="175" t="s">
        <v>501</v>
      </c>
      <c r="AS501" s="175" t="s">
        <v>501</v>
      </c>
      <c r="AT501" s="175" t="s">
        <v>284</v>
      </c>
      <c r="AU501" s="175" t="s">
        <v>284</v>
      </c>
      <c r="AV501" s="175" t="s">
        <v>284</v>
      </c>
      <c r="AW501" s="175" t="s">
        <v>284</v>
      </c>
      <c r="AX501" s="83">
        <v>0</v>
      </c>
      <c r="AY501" s="49">
        <v>0</v>
      </c>
      <c r="AZ501" s="49">
        <v>0</v>
      </c>
      <c r="BA501" s="49">
        <v>0</v>
      </c>
      <c r="BB501" s="58">
        <v>0</v>
      </c>
      <c r="BC501" s="42">
        <v>76</v>
      </c>
      <c r="BS501" s="58"/>
      <c r="BT501" s="83">
        <v>68.489999999999995</v>
      </c>
      <c r="CE501" s="83">
        <v>65.040000000000006</v>
      </c>
      <c r="CF501" s="49">
        <v>65.56</v>
      </c>
      <c r="CK501" s="58"/>
      <c r="CL501" s="83"/>
      <c r="CO501" s="58"/>
      <c r="CP501" s="83"/>
      <c r="CR501" s="58"/>
      <c r="CS501" s="83"/>
      <c r="CY501" s="83"/>
      <c r="DG501" s="58"/>
      <c r="DH501" s="83"/>
      <c r="DQ501" s="83"/>
      <c r="EE501" s="58"/>
      <c r="EF501" s="83"/>
      <c r="EI501" s="83"/>
      <c r="EK501" s="58"/>
      <c r="EL501" s="83"/>
      <c r="EO501" s="58"/>
      <c r="EP501" s="83"/>
      <c r="EQ501" s="58"/>
      <c r="ER501" s="83"/>
      <c r="ES501" s="58"/>
      <c r="ET501" s="83"/>
      <c r="EU501" s="58"/>
    </row>
    <row r="502" spans="1:151">
      <c r="A502" s="42" t="s">
        <v>327</v>
      </c>
      <c r="B502" s="173" t="s">
        <v>184</v>
      </c>
      <c r="C502" s="173" t="s">
        <v>514</v>
      </c>
      <c r="D502" s="83" t="s">
        <v>93</v>
      </c>
      <c r="F502" s="49" t="s">
        <v>287</v>
      </c>
      <c r="G502" s="49">
        <v>84.28</v>
      </c>
      <c r="I502" s="49">
        <v>747</v>
      </c>
      <c r="J502" s="159">
        <v>2.7362637362637363</v>
      </c>
      <c r="K502" s="49">
        <v>1</v>
      </c>
      <c r="L502" s="49">
        <v>1</v>
      </c>
      <c r="M502" s="83">
        <v>1</v>
      </c>
      <c r="O502" s="49">
        <v>0</v>
      </c>
      <c r="P502" s="49">
        <v>0</v>
      </c>
      <c r="Q502" s="58">
        <v>0</v>
      </c>
      <c r="R502" s="42">
        <v>1</v>
      </c>
      <c r="S502" s="83">
        <v>1</v>
      </c>
      <c r="U502" s="83">
        <v>0</v>
      </c>
      <c r="V502" s="49">
        <v>0</v>
      </c>
      <c r="W502" s="49">
        <v>0</v>
      </c>
      <c r="X502" s="58"/>
      <c r="Y502" s="83">
        <v>0</v>
      </c>
      <c r="AJ502" s="49">
        <v>0</v>
      </c>
      <c r="AK502" s="83">
        <v>0</v>
      </c>
      <c r="AL502" s="49">
        <v>1</v>
      </c>
      <c r="AM502" s="49">
        <v>1</v>
      </c>
      <c r="AN502" s="49">
        <v>0</v>
      </c>
      <c r="AO502" s="58">
        <v>0</v>
      </c>
      <c r="AP502" s="174">
        <v>0</v>
      </c>
      <c r="AQ502" s="175">
        <v>381</v>
      </c>
      <c r="AR502" s="175">
        <v>0</v>
      </c>
      <c r="AS502" s="175">
        <v>83</v>
      </c>
      <c r="AT502" s="175" t="s">
        <v>284</v>
      </c>
      <c r="AU502" s="175" t="s">
        <v>284</v>
      </c>
      <c r="AV502" s="175" t="s">
        <v>284</v>
      </c>
      <c r="AW502" s="175" t="s">
        <v>284</v>
      </c>
      <c r="AX502" s="83">
        <v>0</v>
      </c>
      <c r="AY502" s="49">
        <v>0</v>
      </c>
      <c r="AZ502" s="49">
        <v>0</v>
      </c>
      <c r="BA502" s="49">
        <v>0</v>
      </c>
      <c r="BB502" s="58">
        <v>0</v>
      </c>
      <c r="BC502" s="42">
        <v>137</v>
      </c>
      <c r="BS502" s="58"/>
      <c r="BT502" s="83"/>
      <c r="CE502" s="83"/>
      <c r="CK502" s="58"/>
      <c r="CL502" s="83"/>
      <c r="CO502" s="58"/>
      <c r="CP502" s="83"/>
      <c r="CR502" s="58"/>
      <c r="CS502" s="83"/>
      <c r="CY502" s="83"/>
      <c r="DG502" s="58"/>
      <c r="DH502" s="83"/>
      <c r="DQ502" s="83"/>
      <c r="EE502" s="58"/>
      <c r="EF502" s="83"/>
      <c r="EI502" s="83"/>
      <c r="EK502" s="58"/>
      <c r="EL502" s="83"/>
      <c r="EO502" s="58"/>
      <c r="EP502" s="83"/>
      <c r="EQ502" s="58"/>
      <c r="ER502" s="83"/>
      <c r="ES502" s="58"/>
      <c r="ET502" s="83"/>
      <c r="EU502" s="58"/>
    </row>
    <row r="503" spans="1:151">
      <c r="A503" s="42" t="s">
        <v>327</v>
      </c>
      <c r="B503" s="173" t="s">
        <v>184</v>
      </c>
      <c r="C503" s="173" t="s">
        <v>514</v>
      </c>
      <c r="D503" s="83" t="s">
        <v>112</v>
      </c>
      <c r="F503" s="49" t="s">
        <v>286</v>
      </c>
      <c r="G503" s="49">
        <v>84.28</v>
      </c>
      <c r="H503" s="49">
        <v>4089</v>
      </c>
      <c r="I503" s="49">
        <v>1079</v>
      </c>
      <c r="J503" s="159">
        <v>5.801075268817204</v>
      </c>
      <c r="K503" s="49">
        <v>1</v>
      </c>
      <c r="L503" s="49">
        <v>1</v>
      </c>
      <c r="M503" s="83">
        <v>1</v>
      </c>
      <c r="N503" s="49">
        <v>0</v>
      </c>
      <c r="O503" s="49">
        <v>0</v>
      </c>
      <c r="P503" s="49">
        <v>0</v>
      </c>
      <c r="Q503" s="58">
        <v>0</v>
      </c>
      <c r="R503" s="42">
        <v>1</v>
      </c>
      <c r="S503" s="83" t="s">
        <v>284</v>
      </c>
      <c r="U503" s="83">
        <v>0</v>
      </c>
      <c r="V503" s="49">
        <v>0</v>
      </c>
      <c r="W503" s="49">
        <v>0</v>
      </c>
      <c r="X503" s="58"/>
      <c r="Y503" s="83">
        <v>0</v>
      </c>
      <c r="AJ503" s="49">
        <v>0</v>
      </c>
      <c r="AK503" s="83">
        <v>0</v>
      </c>
      <c r="AL503" s="49">
        <v>0</v>
      </c>
      <c r="AM503" s="49">
        <v>1</v>
      </c>
      <c r="AN503" s="49">
        <v>0</v>
      </c>
      <c r="AO503" s="58">
        <v>0</v>
      </c>
      <c r="AP503" s="174" t="s">
        <v>284</v>
      </c>
      <c r="AQ503" s="175" t="s">
        <v>284</v>
      </c>
      <c r="AR503" s="175" t="s">
        <v>501</v>
      </c>
      <c r="AS503" s="175" t="s">
        <v>501</v>
      </c>
      <c r="AT503" s="175" t="s">
        <v>284</v>
      </c>
      <c r="AU503" s="175" t="s">
        <v>284</v>
      </c>
      <c r="AV503" s="175" t="s">
        <v>284</v>
      </c>
      <c r="AW503" s="175" t="s">
        <v>284</v>
      </c>
      <c r="AX503" s="83">
        <v>0</v>
      </c>
      <c r="AY503" s="49">
        <v>0</v>
      </c>
      <c r="AZ503" s="49">
        <v>0</v>
      </c>
      <c r="BA503" s="49">
        <v>0</v>
      </c>
      <c r="BB503" s="58">
        <v>0</v>
      </c>
      <c r="BC503" s="42">
        <v>114</v>
      </c>
      <c r="BD503" s="49">
        <v>67.37</v>
      </c>
      <c r="BS503" s="58"/>
      <c r="BT503" s="83"/>
      <c r="CE503" s="83">
        <v>70.05</v>
      </c>
      <c r="CF503" s="49">
        <v>69.42</v>
      </c>
      <c r="CK503" s="58"/>
      <c r="CL503" s="83">
        <v>64.87</v>
      </c>
      <c r="CO503" s="58"/>
      <c r="CP503" s="83"/>
      <c r="CR503" s="58"/>
      <c r="CS503" s="83"/>
      <c r="CY503" s="83"/>
      <c r="DG503" s="58"/>
      <c r="DH503" s="83"/>
      <c r="DQ503" s="83"/>
      <c r="EE503" s="58"/>
      <c r="EF503" s="83"/>
      <c r="EI503" s="83"/>
      <c r="EK503" s="58"/>
      <c r="EL503" s="83"/>
      <c r="EO503" s="58"/>
      <c r="EP503" s="83"/>
      <c r="EQ503" s="58"/>
      <c r="ER503" s="83"/>
      <c r="ES503" s="58"/>
      <c r="ET503" s="83"/>
      <c r="EU503" s="58"/>
    </row>
    <row r="504" spans="1:151">
      <c r="A504" s="42" t="s">
        <v>327</v>
      </c>
      <c r="B504" s="173" t="s">
        <v>184</v>
      </c>
      <c r="C504" s="173" t="s">
        <v>514</v>
      </c>
      <c r="D504" s="83" t="s">
        <v>65</v>
      </c>
      <c r="E504" s="49" t="s">
        <v>0</v>
      </c>
      <c r="F504" s="49" t="s">
        <v>287</v>
      </c>
      <c r="G504" s="49">
        <v>84.28</v>
      </c>
      <c r="H504" s="49">
        <v>4089</v>
      </c>
      <c r="I504" s="49">
        <v>663</v>
      </c>
      <c r="J504" s="159">
        <v>7.9879518072289155</v>
      </c>
      <c r="K504" s="49">
        <v>1</v>
      </c>
      <c r="L504" s="49">
        <v>1</v>
      </c>
      <c r="M504" s="83">
        <v>1</v>
      </c>
      <c r="N504" s="49">
        <v>0</v>
      </c>
      <c r="O504" s="49">
        <v>0</v>
      </c>
      <c r="P504" s="49">
        <v>0</v>
      </c>
      <c r="Q504" s="58">
        <v>0</v>
      </c>
      <c r="R504" s="42">
        <v>1</v>
      </c>
      <c r="S504" s="83" t="s">
        <v>284</v>
      </c>
      <c r="U504" s="83">
        <v>0</v>
      </c>
      <c r="V504" s="49">
        <v>0</v>
      </c>
      <c r="W504" s="49">
        <v>0</v>
      </c>
      <c r="X504" s="58"/>
      <c r="Y504" s="83">
        <v>0</v>
      </c>
      <c r="AJ504" s="49">
        <v>0</v>
      </c>
      <c r="AK504" s="83">
        <v>0</v>
      </c>
      <c r="AL504" s="49">
        <v>0</v>
      </c>
      <c r="AM504" s="49">
        <v>0</v>
      </c>
      <c r="AN504" s="49">
        <v>0</v>
      </c>
      <c r="AO504" s="58">
        <v>0</v>
      </c>
      <c r="AP504" s="174" t="s">
        <v>284</v>
      </c>
      <c r="AQ504" s="175" t="s">
        <v>284</v>
      </c>
      <c r="AR504" s="175" t="s">
        <v>284</v>
      </c>
      <c r="AS504" s="175" t="s">
        <v>284</v>
      </c>
      <c r="AT504" s="175" t="s">
        <v>284</v>
      </c>
      <c r="AU504" s="175" t="s">
        <v>284</v>
      </c>
      <c r="AV504" s="175" t="s">
        <v>284</v>
      </c>
      <c r="AW504" s="175" t="s">
        <v>284</v>
      </c>
      <c r="AX504" s="83">
        <v>0</v>
      </c>
      <c r="AY504" s="49">
        <v>0</v>
      </c>
      <c r="AZ504" s="49">
        <v>0</v>
      </c>
      <c r="BA504" s="49">
        <v>0</v>
      </c>
      <c r="BB504" s="58">
        <v>0</v>
      </c>
      <c r="BC504" s="42">
        <v>95</v>
      </c>
      <c r="BS504" s="58"/>
      <c r="BT504" s="83"/>
      <c r="CE504" s="83"/>
      <c r="CK504" s="58"/>
      <c r="CL504" s="83"/>
      <c r="CO504" s="58"/>
      <c r="CP504" s="83"/>
      <c r="CR504" s="58"/>
      <c r="CS504" s="83"/>
      <c r="CY504" s="83"/>
      <c r="DG504" s="58"/>
      <c r="DH504" s="83"/>
      <c r="DQ504" s="83"/>
      <c r="EE504" s="58"/>
      <c r="EF504" s="83"/>
      <c r="EI504" s="83"/>
      <c r="EK504" s="58"/>
      <c r="EL504" s="83"/>
      <c r="EO504" s="58"/>
      <c r="EP504" s="83"/>
      <c r="EQ504" s="58"/>
      <c r="ER504" s="83"/>
      <c r="ES504" s="58"/>
      <c r="ET504" s="83"/>
      <c r="EU504" s="58"/>
    </row>
    <row r="505" spans="1:151">
      <c r="A505" s="42" t="s">
        <v>327</v>
      </c>
      <c r="B505" s="173" t="s">
        <v>184</v>
      </c>
      <c r="C505" s="173" t="s">
        <v>514</v>
      </c>
      <c r="D505" s="83" t="s">
        <v>66</v>
      </c>
      <c r="F505" s="49" t="s">
        <v>286</v>
      </c>
      <c r="G505" s="49">
        <v>84.28</v>
      </c>
      <c r="H505" s="49">
        <v>4089</v>
      </c>
      <c r="I505" s="49">
        <v>1531</v>
      </c>
      <c r="J505" s="159">
        <v>7.5049019607843137</v>
      </c>
      <c r="K505" s="49">
        <v>1</v>
      </c>
      <c r="L505" s="49">
        <v>1</v>
      </c>
      <c r="M505" s="83">
        <v>1</v>
      </c>
      <c r="N505" s="49">
        <v>0</v>
      </c>
      <c r="O505" s="49">
        <v>0</v>
      </c>
      <c r="P505" s="49">
        <v>0</v>
      </c>
      <c r="Q505" s="58">
        <v>0</v>
      </c>
      <c r="R505" s="42">
        <v>1</v>
      </c>
      <c r="S505" s="83" t="s">
        <v>284</v>
      </c>
      <c r="U505" s="83">
        <v>0</v>
      </c>
      <c r="V505" s="49">
        <v>0</v>
      </c>
      <c r="W505" s="49">
        <v>0</v>
      </c>
      <c r="X505" s="58"/>
      <c r="Y505" s="83">
        <v>0</v>
      </c>
      <c r="AJ505" s="49">
        <v>0</v>
      </c>
      <c r="AK505" s="83">
        <v>0</v>
      </c>
      <c r="AL505" s="49">
        <v>0</v>
      </c>
      <c r="AM505" s="49">
        <v>0</v>
      </c>
      <c r="AN505" s="49">
        <v>0</v>
      </c>
      <c r="AO505" s="58">
        <v>0</v>
      </c>
      <c r="AP505" s="174" t="s">
        <v>284</v>
      </c>
      <c r="AQ505" s="175" t="s">
        <v>284</v>
      </c>
      <c r="AR505" s="175" t="s">
        <v>284</v>
      </c>
      <c r="AS505" s="175" t="s">
        <v>284</v>
      </c>
      <c r="AT505" s="175" t="s">
        <v>284</v>
      </c>
      <c r="AU505" s="175" t="s">
        <v>284</v>
      </c>
      <c r="AV505" s="175" t="s">
        <v>284</v>
      </c>
      <c r="AW505" s="175" t="s">
        <v>284</v>
      </c>
      <c r="AX505" s="83">
        <v>0</v>
      </c>
      <c r="AY505" s="49">
        <v>0</v>
      </c>
      <c r="AZ505" s="49">
        <v>0</v>
      </c>
      <c r="BA505" s="49">
        <v>0</v>
      </c>
      <c r="BB505" s="58">
        <v>0</v>
      </c>
      <c r="BC505" s="42">
        <v>154</v>
      </c>
      <c r="BE505" s="49"/>
      <c r="BS505" s="58"/>
      <c r="BT505" s="83"/>
      <c r="CE505" s="83"/>
      <c r="CK505" s="58"/>
      <c r="CL505" s="83"/>
      <c r="CO505" s="58"/>
      <c r="CP505" s="83"/>
      <c r="CR505" s="58"/>
      <c r="CS505" s="83"/>
      <c r="CY505" s="83"/>
      <c r="DG505" s="58"/>
      <c r="DH505" s="83"/>
      <c r="DQ505" s="83"/>
      <c r="EE505" s="58"/>
      <c r="EF505" s="83"/>
      <c r="EI505" s="83"/>
      <c r="EK505" s="58"/>
      <c r="EL505" s="83"/>
      <c r="EO505" s="58"/>
      <c r="EP505" s="83"/>
      <c r="EQ505" s="58"/>
      <c r="ER505" s="83"/>
      <c r="ES505" s="58"/>
      <c r="ET505" s="83"/>
      <c r="EU505" s="58"/>
    </row>
    <row r="506" spans="1:151">
      <c r="A506" s="42" t="s">
        <v>327</v>
      </c>
      <c r="B506" s="173" t="s">
        <v>184</v>
      </c>
      <c r="C506" s="173" t="s">
        <v>514</v>
      </c>
      <c r="D506" s="83" t="s">
        <v>68</v>
      </c>
      <c r="E506" s="49" t="s">
        <v>0</v>
      </c>
      <c r="F506" s="49" t="s">
        <v>287</v>
      </c>
      <c r="G506" s="49">
        <v>84.28</v>
      </c>
      <c r="H506" s="49">
        <v>4089</v>
      </c>
      <c r="I506" s="49">
        <v>525</v>
      </c>
      <c r="J506" s="159">
        <v>2.5362318840579712</v>
      </c>
      <c r="K506" s="49">
        <v>1</v>
      </c>
      <c r="L506" s="49">
        <v>2</v>
      </c>
      <c r="M506" s="83">
        <v>1</v>
      </c>
      <c r="N506" s="49">
        <v>0</v>
      </c>
      <c r="O506" s="49">
        <v>0</v>
      </c>
      <c r="P506" s="49">
        <v>0</v>
      </c>
      <c r="Q506" s="58">
        <v>0</v>
      </c>
      <c r="R506" s="42">
        <v>1</v>
      </c>
      <c r="S506" s="83" t="s">
        <v>284</v>
      </c>
      <c r="U506" s="83">
        <v>2</v>
      </c>
      <c r="V506" s="49">
        <v>2</v>
      </c>
      <c r="W506" s="49">
        <v>1</v>
      </c>
      <c r="X506" s="58">
        <v>1</v>
      </c>
      <c r="Y506" s="83">
        <v>1</v>
      </c>
      <c r="AD506" s="49">
        <v>2</v>
      </c>
      <c r="AE506" s="49">
        <v>5</v>
      </c>
      <c r="AH506" s="49">
        <v>4</v>
      </c>
      <c r="AI506" s="49">
        <v>10</v>
      </c>
      <c r="AJ506" s="49">
        <v>0</v>
      </c>
      <c r="AK506" s="83">
        <v>0</v>
      </c>
      <c r="AL506" s="49">
        <v>0</v>
      </c>
      <c r="AM506" s="49">
        <v>0</v>
      </c>
      <c r="AN506" s="49">
        <v>0</v>
      </c>
      <c r="AO506" s="58">
        <v>0</v>
      </c>
      <c r="AP506" s="174" t="s">
        <v>284</v>
      </c>
      <c r="AQ506" s="175" t="s">
        <v>284</v>
      </c>
      <c r="AR506" s="175" t="s">
        <v>284</v>
      </c>
      <c r="AS506" s="175" t="s">
        <v>284</v>
      </c>
      <c r="AT506" s="175" t="s">
        <v>284</v>
      </c>
      <c r="AU506" s="175" t="s">
        <v>284</v>
      </c>
      <c r="AV506" s="175" t="s">
        <v>284</v>
      </c>
      <c r="AW506" s="175" t="s">
        <v>284</v>
      </c>
      <c r="AX506" s="83">
        <v>0</v>
      </c>
      <c r="AY506" s="49">
        <v>0</v>
      </c>
      <c r="AZ506" s="49">
        <v>0</v>
      </c>
      <c r="BA506" s="49">
        <v>0</v>
      </c>
      <c r="BB506" s="58">
        <v>0</v>
      </c>
      <c r="BC506" s="42">
        <v>94</v>
      </c>
      <c r="BE506" s="49"/>
      <c r="BS506" s="58"/>
      <c r="BT506" s="83"/>
      <c r="CE506" s="83"/>
      <c r="CK506" s="58"/>
      <c r="CL506" s="83"/>
      <c r="CO506" s="58"/>
      <c r="CP506" s="83"/>
      <c r="CR506" s="58"/>
      <c r="CS506" s="83"/>
      <c r="CY506" s="83"/>
      <c r="DG506" s="58"/>
      <c r="DH506" s="83"/>
      <c r="DQ506" s="83"/>
      <c r="EE506" s="58"/>
      <c r="EF506" s="83"/>
      <c r="EI506" s="83"/>
      <c r="EK506" s="58"/>
      <c r="EL506" s="83"/>
      <c r="EO506" s="58"/>
      <c r="EP506" s="83"/>
      <c r="EQ506" s="58"/>
      <c r="ER506" s="83"/>
      <c r="ES506" s="58"/>
      <c r="ET506" s="83"/>
      <c r="EU506" s="58"/>
    </row>
    <row r="507" spans="1:151">
      <c r="A507" s="42" t="s">
        <v>327</v>
      </c>
      <c r="B507" s="173" t="s">
        <v>184</v>
      </c>
      <c r="C507" s="173" t="s">
        <v>514</v>
      </c>
      <c r="D507" s="83" t="s">
        <v>68</v>
      </c>
      <c r="E507" s="49" t="s">
        <v>1</v>
      </c>
      <c r="F507" s="49" t="s">
        <v>287</v>
      </c>
      <c r="G507" s="49">
        <v>84.28</v>
      </c>
      <c r="H507" s="49">
        <v>4089</v>
      </c>
      <c r="I507" s="49">
        <v>132</v>
      </c>
      <c r="J507" s="159">
        <v>1.736842105263158</v>
      </c>
      <c r="K507" s="49">
        <v>1</v>
      </c>
      <c r="L507" s="49">
        <v>1</v>
      </c>
      <c r="M507" s="83">
        <v>1</v>
      </c>
      <c r="N507" s="49">
        <v>0</v>
      </c>
      <c r="O507" s="49">
        <v>0</v>
      </c>
      <c r="P507" s="49">
        <v>0</v>
      </c>
      <c r="Q507" s="58">
        <v>0</v>
      </c>
      <c r="R507" s="42">
        <v>1</v>
      </c>
      <c r="S507" s="83" t="s">
        <v>284</v>
      </c>
      <c r="U507" s="83">
        <v>0</v>
      </c>
      <c r="V507" s="49">
        <v>0</v>
      </c>
      <c r="W507" s="49">
        <v>0</v>
      </c>
      <c r="X507" s="58"/>
      <c r="Y507" s="83">
        <v>1</v>
      </c>
      <c r="Z507" s="49">
        <v>2</v>
      </c>
      <c r="AA507" s="49">
        <v>3</v>
      </c>
      <c r="AI507" s="49">
        <v>10</v>
      </c>
      <c r="AJ507" s="49">
        <v>0</v>
      </c>
      <c r="AK507" s="83">
        <v>0</v>
      </c>
      <c r="AL507" s="49">
        <v>0</v>
      </c>
      <c r="AM507" s="49">
        <v>0</v>
      </c>
      <c r="AN507" s="49">
        <v>0</v>
      </c>
      <c r="AO507" s="58">
        <v>0</v>
      </c>
      <c r="AP507" s="174" t="s">
        <v>284</v>
      </c>
      <c r="AQ507" s="175" t="s">
        <v>284</v>
      </c>
      <c r="AR507" s="175" t="s">
        <v>284</v>
      </c>
      <c r="AS507" s="175" t="s">
        <v>284</v>
      </c>
      <c r="AT507" s="175" t="s">
        <v>284</v>
      </c>
      <c r="AU507" s="175" t="s">
        <v>284</v>
      </c>
      <c r="AV507" s="175" t="s">
        <v>284</v>
      </c>
      <c r="AW507" s="175" t="s">
        <v>284</v>
      </c>
      <c r="AX507" s="83">
        <v>1</v>
      </c>
      <c r="AY507" s="49">
        <v>0</v>
      </c>
      <c r="AZ507" s="49">
        <v>0</v>
      </c>
      <c r="BA507" s="49">
        <v>0</v>
      </c>
      <c r="BB507" s="58">
        <v>1</v>
      </c>
      <c r="BC507" s="42">
        <v>94</v>
      </c>
      <c r="BS507" s="58"/>
      <c r="BT507" s="83"/>
      <c r="CE507" s="83"/>
      <c r="CK507" s="58"/>
      <c r="CL507" s="83"/>
      <c r="CO507" s="58"/>
      <c r="CP507" s="83"/>
      <c r="CR507" s="58"/>
      <c r="CS507" s="83"/>
      <c r="CY507" s="83"/>
      <c r="DG507" s="58"/>
      <c r="DH507" s="83"/>
      <c r="DQ507" s="83"/>
      <c r="EE507" s="58"/>
      <c r="EF507" s="83"/>
      <c r="EI507" s="83"/>
      <c r="EK507" s="58"/>
      <c r="EL507" s="83"/>
      <c r="EO507" s="58"/>
      <c r="EP507" s="83"/>
      <c r="EQ507" s="58"/>
      <c r="ER507" s="83"/>
      <c r="ES507" s="58"/>
      <c r="ET507" s="83"/>
      <c r="EU507" s="58"/>
    </row>
    <row r="508" spans="1:151">
      <c r="A508" s="42" t="s">
        <v>327</v>
      </c>
      <c r="B508" s="173" t="s">
        <v>184</v>
      </c>
      <c r="C508" s="173" t="s">
        <v>514</v>
      </c>
      <c r="D508" s="83" t="s">
        <v>69</v>
      </c>
      <c r="F508" s="49" t="s">
        <v>287</v>
      </c>
      <c r="G508" s="49">
        <v>84.28</v>
      </c>
      <c r="H508" s="49">
        <v>4089</v>
      </c>
      <c r="I508" s="49">
        <v>352</v>
      </c>
      <c r="J508" s="159">
        <v>1.8144329896907216</v>
      </c>
      <c r="K508" s="49">
        <v>1</v>
      </c>
      <c r="L508" s="49">
        <v>1</v>
      </c>
      <c r="M508" s="83">
        <v>1</v>
      </c>
      <c r="N508" s="49">
        <v>0</v>
      </c>
      <c r="O508" s="49">
        <v>1</v>
      </c>
      <c r="P508" s="49">
        <v>1</v>
      </c>
      <c r="Q508" s="58">
        <v>0</v>
      </c>
      <c r="R508" s="42">
        <v>3</v>
      </c>
      <c r="S508" s="83" t="s">
        <v>284</v>
      </c>
      <c r="U508" s="83">
        <v>1</v>
      </c>
      <c r="V508" s="49">
        <v>1</v>
      </c>
      <c r="W508" s="49">
        <v>1</v>
      </c>
      <c r="X508" s="58">
        <v>3</v>
      </c>
      <c r="Y508" s="83">
        <v>0</v>
      </c>
      <c r="AJ508" s="49">
        <v>0</v>
      </c>
      <c r="AK508" s="83">
        <v>0</v>
      </c>
      <c r="AL508" s="49">
        <v>0</v>
      </c>
      <c r="AM508" s="49">
        <v>1</v>
      </c>
      <c r="AN508" s="49">
        <v>0</v>
      </c>
      <c r="AO508" s="58">
        <v>0</v>
      </c>
      <c r="AP508" s="174" t="s">
        <v>284</v>
      </c>
      <c r="AQ508" s="175" t="s">
        <v>284</v>
      </c>
      <c r="AR508" s="175" t="s">
        <v>501</v>
      </c>
      <c r="AS508" s="175" t="s">
        <v>501</v>
      </c>
      <c r="AT508" s="175" t="s">
        <v>284</v>
      </c>
      <c r="AU508" s="175" t="s">
        <v>284</v>
      </c>
      <c r="AV508" s="175" t="s">
        <v>284</v>
      </c>
      <c r="AW508" s="175" t="s">
        <v>284</v>
      </c>
      <c r="AX508" s="83">
        <v>0</v>
      </c>
      <c r="AY508" s="49">
        <v>0</v>
      </c>
      <c r="AZ508" s="49">
        <v>0</v>
      </c>
      <c r="BA508" s="49">
        <v>0</v>
      </c>
      <c r="BB508" s="58">
        <v>0</v>
      </c>
      <c r="BC508" s="42">
        <v>97</v>
      </c>
      <c r="BD508" s="49">
        <v>70.66</v>
      </c>
      <c r="BS508" s="58"/>
      <c r="BT508" s="83">
        <v>69.680000000000007</v>
      </c>
      <c r="CE508" s="83">
        <v>74.63</v>
      </c>
      <c r="CK508" s="58"/>
      <c r="CL508" s="83">
        <v>62.78</v>
      </c>
      <c r="CO508" s="58"/>
      <c r="CP508" s="83"/>
      <c r="CR508" s="58"/>
      <c r="CS508" s="83"/>
      <c r="CY508" s="83"/>
      <c r="DG508" s="58"/>
      <c r="DH508" s="83"/>
      <c r="DQ508" s="83"/>
      <c r="EE508" s="58"/>
      <c r="EF508" s="83"/>
      <c r="EI508" s="83"/>
      <c r="EK508" s="58"/>
      <c r="EL508" s="83"/>
      <c r="EO508" s="58"/>
      <c r="EP508" s="83"/>
      <c r="EQ508" s="58"/>
      <c r="ER508" s="83"/>
      <c r="ES508" s="58"/>
      <c r="ET508" s="83"/>
      <c r="EU508" s="58"/>
    </row>
    <row r="509" spans="1:151">
      <c r="A509" s="42" t="s">
        <v>327</v>
      </c>
      <c r="B509" s="173" t="s">
        <v>184</v>
      </c>
      <c r="C509" s="173" t="s">
        <v>514</v>
      </c>
      <c r="D509" s="83" t="s">
        <v>74</v>
      </c>
      <c r="F509" s="49" t="s">
        <v>287</v>
      </c>
      <c r="G509" s="49">
        <v>84.28</v>
      </c>
      <c r="H509" s="49">
        <v>4089</v>
      </c>
      <c r="I509" s="49">
        <v>780</v>
      </c>
      <c r="J509" s="159">
        <v>5.0649350649350646</v>
      </c>
      <c r="K509" s="49">
        <v>1</v>
      </c>
      <c r="L509" s="49">
        <v>1</v>
      </c>
      <c r="M509" s="83">
        <v>1</v>
      </c>
      <c r="N509" s="49">
        <v>0</v>
      </c>
      <c r="O509" s="49">
        <v>1</v>
      </c>
      <c r="P509" s="49">
        <v>1</v>
      </c>
      <c r="Q509" s="58">
        <v>0</v>
      </c>
      <c r="R509" s="42">
        <v>3</v>
      </c>
      <c r="S509" s="83" t="s">
        <v>284</v>
      </c>
      <c r="U509" s="83">
        <v>0</v>
      </c>
      <c r="V509" s="49">
        <v>0</v>
      </c>
      <c r="W509" s="49">
        <v>0</v>
      </c>
      <c r="X509" s="58"/>
      <c r="Y509" s="83">
        <v>0</v>
      </c>
      <c r="AJ509" s="49">
        <v>0</v>
      </c>
      <c r="AK509" s="83">
        <v>0</v>
      </c>
      <c r="AL509" s="49">
        <v>0</v>
      </c>
      <c r="AM509" s="49">
        <v>0</v>
      </c>
      <c r="AN509" s="49">
        <v>0</v>
      </c>
      <c r="AO509" s="58">
        <v>0</v>
      </c>
      <c r="AP509" s="174" t="s">
        <v>284</v>
      </c>
      <c r="AQ509" s="175" t="s">
        <v>284</v>
      </c>
      <c r="AR509" s="175" t="s">
        <v>284</v>
      </c>
      <c r="AS509" s="175" t="s">
        <v>284</v>
      </c>
      <c r="AT509" s="175" t="s">
        <v>284</v>
      </c>
      <c r="AU509" s="175" t="s">
        <v>284</v>
      </c>
      <c r="AV509" s="175" t="s">
        <v>284</v>
      </c>
      <c r="AW509" s="175" t="s">
        <v>284</v>
      </c>
      <c r="AX509" s="83">
        <v>0</v>
      </c>
      <c r="AY509" s="49">
        <v>0</v>
      </c>
      <c r="AZ509" s="49">
        <v>0</v>
      </c>
      <c r="BA509" s="49">
        <v>0</v>
      </c>
      <c r="BB509" s="58">
        <v>0</v>
      </c>
      <c r="BC509" s="42">
        <v>140</v>
      </c>
      <c r="BS509" s="58"/>
      <c r="BT509" s="83"/>
      <c r="CE509" s="83"/>
      <c r="CK509" s="58"/>
      <c r="CL509" s="83"/>
      <c r="CO509" s="58"/>
      <c r="CP509" s="83"/>
      <c r="CR509" s="58"/>
      <c r="CS509" s="83"/>
      <c r="CY509" s="83"/>
      <c r="DG509" s="58"/>
      <c r="DH509" s="83"/>
      <c r="DQ509" s="83"/>
      <c r="EE509" s="58"/>
      <c r="EF509" s="83"/>
      <c r="EI509" s="83"/>
      <c r="EK509" s="58"/>
      <c r="EL509" s="83"/>
      <c r="EO509" s="58"/>
      <c r="EP509" s="83"/>
      <c r="EQ509" s="58"/>
      <c r="ER509" s="83"/>
      <c r="ES509" s="58"/>
      <c r="ET509" s="83"/>
      <c r="EU509" s="58"/>
    </row>
    <row r="510" spans="1:151">
      <c r="A510" s="42" t="s">
        <v>327</v>
      </c>
      <c r="B510" s="173" t="s">
        <v>184</v>
      </c>
      <c r="C510" s="173" t="s">
        <v>514</v>
      </c>
      <c r="D510" s="83" t="s">
        <v>75</v>
      </c>
      <c r="E510" s="49" t="s">
        <v>0</v>
      </c>
      <c r="F510" s="49" t="s">
        <v>287</v>
      </c>
      <c r="G510" s="49">
        <v>84.28</v>
      </c>
      <c r="H510" s="49">
        <v>4089</v>
      </c>
      <c r="I510" s="49">
        <v>492</v>
      </c>
      <c r="J510" s="159">
        <v>3.1948051948051948</v>
      </c>
      <c r="K510" s="49">
        <v>1</v>
      </c>
      <c r="L510" s="49">
        <v>1</v>
      </c>
      <c r="M510" s="83">
        <v>1</v>
      </c>
      <c r="N510" s="49">
        <v>0</v>
      </c>
      <c r="O510" s="49">
        <v>0</v>
      </c>
      <c r="P510" s="49">
        <v>1</v>
      </c>
      <c r="Q510" s="58">
        <v>0</v>
      </c>
      <c r="R510" s="42">
        <v>2</v>
      </c>
      <c r="S510" s="83" t="s">
        <v>284</v>
      </c>
      <c r="U510" s="83">
        <v>0</v>
      </c>
      <c r="V510" s="49">
        <v>0</v>
      </c>
      <c r="W510" s="49">
        <v>0</v>
      </c>
      <c r="X510" s="58"/>
      <c r="Y510" s="83">
        <v>2</v>
      </c>
      <c r="AD510" s="49">
        <v>3</v>
      </c>
      <c r="AE510" s="49">
        <v>6</v>
      </c>
      <c r="AG510" s="49">
        <v>65</v>
      </c>
      <c r="AJ510" s="49">
        <v>0</v>
      </c>
      <c r="AK510" s="83">
        <v>0</v>
      </c>
      <c r="AL510" s="49">
        <v>0</v>
      </c>
      <c r="AM510" s="49">
        <v>1</v>
      </c>
      <c r="AN510" s="49">
        <v>0</v>
      </c>
      <c r="AO510" s="58">
        <v>0</v>
      </c>
      <c r="AP510" s="174" t="s">
        <v>284</v>
      </c>
      <c r="AQ510" s="175" t="s">
        <v>284</v>
      </c>
      <c r="AR510" s="175" t="s">
        <v>501</v>
      </c>
      <c r="AS510" s="175" t="s">
        <v>501</v>
      </c>
      <c r="AT510" s="175" t="s">
        <v>284</v>
      </c>
      <c r="AU510" s="175" t="s">
        <v>284</v>
      </c>
      <c r="AV510" s="175" t="s">
        <v>284</v>
      </c>
      <c r="AW510" s="175" t="s">
        <v>284</v>
      </c>
      <c r="AX510" s="83">
        <v>0</v>
      </c>
      <c r="AY510" s="49">
        <v>0</v>
      </c>
      <c r="AZ510" s="49">
        <v>0</v>
      </c>
      <c r="BA510" s="49">
        <v>0</v>
      </c>
      <c r="BB510" s="58">
        <v>0</v>
      </c>
      <c r="BC510" s="42">
        <v>120</v>
      </c>
      <c r="BS510" s="58"/>
      <c r="BT510" s="83"/>
      <c r="CE510" s="83"/>
      <c r="CK510" s="58"/>
      <c r="CL510" s="83"/>
      <c r="CO510" s="58"/>
      <c r="CP510" s="83"/>
      <c r="CR510" s="58"/>
      <c r="CS510" s="83"/>
      <c r="CY510" s="83"/>
      <c r="DG510" s="58"/>
      <c r="DH510" s="83"/>
      <c r="DQ510" s="83"/>
      <c r="EE510" s="58"/>
      <c r="EF510" s="83"/>
      <c r="EI510" s="83"/>
      <c r="EK510" s="58"/>
      <c r="EL510" s="83"/>
      <c r="EO510" s="58"/>
      <c r="EP510" s="83"/>
      <c r="EQ510" s="58"/>
      <c r="ER510" s="83"/>
      <c r="ES510" s="58"/>
      <c r="ET510" s="83"/>
      <c r="EU510" s="58"/>
    </row>
    <row r="511" spans="1:151" ht="17" thickBot="1">
      <c r="A511" s="55" t="s">
        <v>327</v>
      </c>
      <c r="B511" s="47" t="s">
        <v>184</v>
      </c>
      <c r="C511" s="47" t="s">
        <v>514</v>
      </c>
      <c r="D511" s="84" t="s">
        <v>76</v>
      </c>
      <c r="E511" s="57"/>
      <c r="F511" s="57" t="s">
        <v>286</v>
      </c>
      <c r="G511" s="57">
        <v>84.28</v>
      </c>
      <c r="H511" s="57">
        <v>4089</v>
      </c>
      <c r="I511" s="57">
        <v>1094</v>
      </c>
      <c r="J511" s="75">
        <v>6.924050632911392</v>
      </c>
      <c r="K511" s="57">
        <v>1</v>
      </c>
      <c r="L511" s="57">
        <v>2</v>
      </c>
      <c r="M511" s="84">
        <v>1</v>
      </c>
      <c r="N511" s="57">
        <v>0</v>
      </c>
      <c r="O511" s="57">
        <v>1</v>
      </c>
      <c r="P511" s="57">
        <v>1</v>
      </c>
      <c r="Q511" s="56">
        <v>0</v>
      </c>
      <c r="R511" s="55">
        <v>3</v>
      </c>
      <c r="S511" s="84" t="s">
        <v>284</v>
      </c>
      <c r="T511" s="57"/>
      <c r="U511" s="84">
        <v>0</v>
      </c>
      <c r="V511" s="57">
        <v>0</v>
      </c>
      <c r="W511" s="57">
        <v>0</v>
      </c>
      <c r="X511" s="56"/>
      <c r="Y511" s="84">
        <v>1</v>
      </c>
      <c r="Z511" s="57"/>
      <c r="AA511" s="57"/>
      <c r="AB511" s="57"/>
      <c r="AC511" s="57"/>
      <c r="AD511" s="57">
        <v>3</v>
      </c>
      <c r="AE511" s="57">
        <v>69</v>
      </c>
      <c r="AF511" s="57"/>
      <c r="AG511" s="57"/>
      <c r="AH511" s="57">
        <v>1</v>
      </c>
      <c r="AI511" s="57">
        <v>19</v>
      </c>
      <c r="AJ511" s="57">
        <v>0</v>
      </c>
      <c r="AK511" s="84">
        <v>0</v>
      </c>
      <c r="AL511" s="57">
        <v>1</v>
      </c>
      <c r="AM511" s="57">
        <v>0</v>
      </c>
      <c r="AN511" s="57">
        <v>0</v>
      </c>
      <c r="AO511" s="56">
        <v>0</v>
      </c>
      <c r="AP511" s="178" t="s">
        <v>501</v>
      </c>
      <c r="AQ511" s="179" t="s">
        <v>501</v>
      </c>
      <c r="AR511" s="179" t="s">
        <v>284</v>
      </c>
      <c r="AS511" s="179" t="s">
        <v>284</v>
      </c>
      <c r="AT511" s="179" t="s">
        <v>284</v>
      </c>
      <c r="AU511" s="179" t="s">
        <v>284</v>
      </c>
      <c r="AV511" s="179" t="s">
        <v>284</v>
      </c>
      <c r="AW511" s="179" t="s">
        <v>284</v>
      </c>
      <c r="AX511" s="84">
        <v>1</v>
      </c>
      <c r="AY511" s="57">
        <v>0</v>
      </c>
      <c r="AZ511" s="57">
        <v>0</v>
      </c>
      <c r="BA511" s="57">
        <v>0</v>
      </c>
      <c r="BB511" s="56">
        <v>1</v>
      </c>
      <c r="BC511" s="55">
        <v>112</v>
      </c>
      <c r="BD511" s="57"/>
      <c r="BE511" s="75"/>
      <c r="BF511" s="57"/>
      <c r="BG511" s="57"/>
      <c r="BH511" s="57"/>
      <c r="BI511" s="57"/>
      <c r="BJ511" s="57"/>
      <c r="BK511" s="57"/>
      <c r="BL511" s="57"/>
      <c r="BM511" s="57"/>
      <c r="BN511" s="57"/>
      <c r="BO511" s="57"/>
      <c r="BP511" s="57"/>
      <c r="BQ511" s="57"/>
      <c r="BR511" s="57"/>
      <c r="BS511" s="56"/>
      <c r="BT511" s="84"/>
      <c r="BU511" s="57"/>
      <c r="BV511" s="57"/>
      <c r="BW511" s="57"/>
      <c r="BX511" s="57"/>
      <c r="BY511" s="57"/>
      <c r="BZ511" s="57"/>
      <c r="CA511" s="57"/>
      <c r="CB511" s="57"/>
      <c r="CC511" s="57"/>
      <c r="CD511" s="57"/>
      <c r="CE511" s="84"/>
      <c r="CF511" s="57"/>
      <c r="CG511" s="57"/>
      <c r="CH511" s="57"/>
      <c r="CI511" s="57"/>
      <c r="CJ511" s="57"/>
      <c r="CK511" s="56"/>
      <c r="CL511" s="84"/>
      <c r="CM511" s="57"/>
      <c r="CN511" s="57"/>
      <c r="CO511" s="56"/>
      <c r="CP511" s="84"/>
      <c r="CQ511" s="57"/>
      <c r="CR511" s="56"/>
      <c r="CS511" s="84"/>
      <c r="CT511" s="57"/>
      <c r="CU511" s="57"/>
      <c r="CV511" s="57"/>
      <c r="CW511" s="57"/>
      <c r="CX511" s="57"/>
      <c r="CY511" s="84"/>
      <c r="CZ511" s="57"/>
      <c r="DA511" s="57"/>
      <c r="DB511" s="57"/>
      <c r="DC511" s="57"/>
      <c r="DD511" s="57"/>
      <c r="DE511" s="57"/>
      <c r="DF511" s="57"/>
      <c r="DG511" s="56"/>
      <c r="DH511" s="84"/>
      <c r="DI511" s="57"/>
      <c r="DJ511" s="57"/>
      <c r="DK511" s="57"/>
      <c r="DL511" s="57"/>
      <c r="DM511" s="57"/>
      <c r="DN511" s="57"/>
      <c r="DO511" s="57"/>
      <c r="DP511" s="57"/>
      <c r="DQ511" s="84"/>
      <c r="DR511" s="57"/>
      <c r="DS511" s="57"/>
      <c r="DT511" s="57"/>
      <c r="DU511" s="57"/>
      <c r="DV511" s="57"/>
      <c r="DW511" s="57"/>
      <c r="DX511" s="57"/>
      <c r="DY511" s="57"/>
      <c r="DZ511" s="57"/>
      <c r="EA511" s="57"/>
      <c r="EB511" s="57"/>
      <c r="EC511" s="57"/>
      <c r="ED511" s="57"/>
      <c r="EE511" s="56"/>
      <c r="EF511" s="84"/>
      <c r="EG511" s="57"/>
      <c r="EH511" s="57"/>
      <c r="EI511" s="84"/>
      <c r="EJ511" s="57"/>
      <c r="EK511" s="56"/>
      <c r="EL511" s="84"/>
      <c r="EM511" s="57"/>
      <c r="EN511" s="57"/>
      <c r="EO511" s="56"/>
      <c r="EP511" s="84"/>
      <c r="EQ511" s="56"/>
      <c r="ER511" s="84"/>
      <c r="ES511" s="56"/>
      <c r="ET511" s="84"/>
      <c r="EU511" s="56"/>
    </row>
    <row r="512" spans="1:151">
      <c r="A512" s="83" t="s">
        <v>327</v>
      </c>
      <c r="B512" s="173" t="s">
        <v>185</v>
      </c>
      <c r="C512" s="173" t="s">
        <v>514</v>
      </c>
      <c r="D512" s="83" t="s">
        <v>64</v>
      </c>
      <c r="E512" s="49" t="s">
        <v>0</v>
      </c>
      <c r="F512" s="49" t="s">
        <v>286</v>
      </c>
      <c r="G512" s="49">
        <v>84.28</v>
      </c>
      <c r="H512" s="49">
        <v>4089</v>
      </c>
      <c r="I512" s="49">
        <v>1118</v>
      </c>
      <c r="J512" s="159">
        <v>3.7898305084745765</v>
      </c>
      <c r="K512" s="49">
        <v>1</v>
      </c>
      <c r="L512" s="49">
        <v>1</v>
      </c>
      <c r="M512" s="83">
        <v>1</v>
      </c>
      <c r="N512" s="49">
        <v>0</v>
      </c>
      <c r="O512" s="49">
        <v>0</v>
      </c>
      <c r="P512" s="49">
        <v>0</v>
      </c>
      <c r="Q512" s="58">
        <v>0</v>
      </c>
      <c r="R512" s="42">
        <v>1</v>
      </c>
      <c r="S512" s="83" t="s">
        <v>284</v>
      </c>
      <c r="U512" s="83">
        <v>0</v>
      </c>
      <c r="V512" s="49">
        <v>0</v>
      </c>
      <c r="W512" s="49">
        <v>0</v>
      </c>
      <c r="X512" s="58"/>
      <c r="Y512" s="83">
        <v>0</v>
      </c>
      <c r="AJ512" s="49">
        <v>0</v>
      </c>
      <c r="AK512" s="83">
        <v>0</v>
      </c>
      <c r="AL512" s="49">
        <v>1</v>
      </c>
      <c r="AM512" s="49">
        <v>0</v>
      </c>
      <c r="AN512" s="49">
        <v>0</v>
      </c>
      <c r="AO512" s="58">
        <v>0</v>
      </c>
      <c r="AP512" s="174" t="s">
        <v>501</v>
      </c>
      <c r="AQ512" s="175" t="s">
        <v>501</v>
      </c>
      <c r="AR512" s="175" t="s">
        <v>284</v>
      </c>
      <c r="AS512" s="175" t="s">
        <v>284</v>
      </c>
      <c r="AT512" s="175" t="s">
        <v>284</v>
      </c>
      <c r="AU512" s="175" t="s">
        <v>284</v>
      </c>
      <c r="AV512" s="175" t="s">
        <v>284</v>
      </c>
      <c r="AW512" s="175" t="s">
        <v>284</v>
      </c>
      <c r="AX512" s="83">
        <v>0</v>
      </c>
      <c r="AY512" s="49">
        <v>0</v>
      </c>
      <c r="AZ512" s="49">
        <v>0</v>
      </c>
      <c r="BA512" s="49">
        <v>0</v>
      </c>
      <c r="BB512" s="58">
        <v>0</v>
      </c>
      <c r="BC512" s="42">
        <v>103</v>
      </c>
      <c r="BD512" s="49">
        <v>65.95</v>
      </c>
      <c r="BE512" s="49"/>
      <c r="BS512" s="58"/>
      <c r="BT512" s="83">
        <v>67.14</v>
      </c>
      <c r="BU512" s="49">
        <v>68.540000000000006</v>
      </c>
      <c r="BV512" s="49">
        <v>68.42</v>
      </c>
      <c r="CE512" s="83"/>
      <c r="CK512" s="58"/>
      <c r="CL512" s="83"/>
      <c r="CO512" s="58"/>
      <c r="CP512" s="83"/>
      <c r="CR512" s="58"/>
      <c r="CS512" s="83"/>
      <c r="CY512" s="83"/>
      <c r="DG512" s="58"/>
      <c r="DH512" s="83"/>
      <c r="DQ512" s="83"/>
      <c r="EE512" s="58"/>
      <c r="EF512" s="83"/>
      <c r="EI512" s="83"/>
      <c r="EK512" s="58"/>
      <c r="EL512" s="83"/>
      <c r="EO512" s="58"/>
      <c r="EP512" s="83"/>
      <c r="EQ512" s="58"/>
      <c r="ER512" s="83"/>
      <c r="ES512" s="58"/>
      <c r="ET512" s="83"/>
      <c r="EU512" s="58"/>
    </row>
    <row r="513" spans="1:151">
      <c r="A513" s="83" t="s">
        <v>327</v>
      </c>
      <c r="B513" s="173" t="s">
        <v>185</v>
      </c>
      <c r="C513" s="173" t="s">
        <v>514</v>
      </c>
      <c r="D513" s="83" t="s">
        <v>64</v>
      </c>
      <c r="E513" s="49" t="s">
        <v>1</v>
      </c>
      <c r="F513" s="49" t="s">
        <v>287</v>
      </c>
      <c r="G513" s="49">
        <v>84.28</v>
      </c>
      <c r="H513" s="49">
        <v>4089</v>
      </c>
      <c r="I513" s="49">
        <v>478</v>
      </c>
      <c r="J513" s="159">
        <v>4.2678571428571432</v>
      </c>
      <c r="K513" s="49">
        <v>1</v>
      </c>
      <c r="L513" s="49">
        <v>1</v>
      </c>
      <c r="M513" s="83">
        <v>1</v>
      </c>
      <c r="N513" s="49">
        <v>0</v>
      </c>
      <c r="O513" s="49">
        <v>0</v>
      </c>
      <c r="P513" s="49">
        <v>0</v>
      </c>
      <c r="Q513" s="58">
        <v>0</v>
      </c>
      <c r="R513" s="42">
        <v>1</v>
      </c>
      <c r="S513" s="83" t="s">
        <v>284</v>
      </c>
      <c r="U513" s="83">
        <v>0</v>
      </c>
      <c r="V513" s="49">
        <v>0</v>
      </c>
      <c r="W513" s="49">
        <v>0</v>
      </c>
      <c r="X513" s="58"/>
      <c r="Y513" s="83">
        <v>0</v>
      </c>
      <c r="AJ513" s="49">
        <v>0</v>
      </c>
      <c r="AK513" s="83">
        <v>0</v>
      </c>
      <c r="AL513" s="49">
        <v>0</v>
      </c>
      <c r="AM513" s="49">
        <v>0</v>
      </c>
      <c r="AN513" s="49">
        <v>0</v>
      </c>
      <c r="AO513" s="58">
        <v>0</v>
      </c>
      <c r="AP513" s="174" t="s">
        <v>284</v>
      </c>
      <c r="AQ513" s="175" t="s">
        <v>284</v>
      </c>
      <c r="AR513" s="175" t="s">
        <v>284</v>
      </c>
      <c r="AS513" s="175" t="s">
        <v>284</v>
      </c>
      <c r="AT513" s="175" t="s">
        <v>284</v>
      </c>
      <c r="AU513" s="175" t="s">
        <v>284</v>
      </c>
      <c r="AV513" s="175" t="s">
        <v>284</v>
      </c>
      <c r="AW513" s="175" t="s">
        <v>284</v>
      </c>
      <c r="AX513" s="83">
        <v>0</v>
      </c>
      <c r="AY513" s="49">
        <v>0</v>
      </c>
      <c r="AZ513" s="49">
        <v>0</v>
      </c>
      <c r="BA513" s="49">
        <v>0</v>
      </c>
      <c r="BB513" s="58">
        <v>0</v>
      </c>
      <c r="BC513" s="42">
        <v>103</v>
      </c>
      <c r="BE513" s="49"/>
      <c r="BS513" s="58"/>
      <c r="BT513" s="83"/>
      <c r="CE513" s="83"/>
      <c r="CK513" s="58"/>
      <c r="CL513" s="83"/>
      <c r="CO513" s="58"/>
      <c r="CP513" s="83"/>
      <c r="CR513" s="58"/>
      <c r="CS513" s="83"/>
      <c r="CY513" s="83"/>
      <c r="DG513" s="58"/>
      <c r="DH513" s="83"/>
      <c r="DQ513" s="83"/>
      <c r="EE513" s="58"/>
      <c r="EF513" s="83"/>
      <c r="EI513" s="83"/>
      <c r="EK513" s="58"/>
      <c r="EL513" s="83"/>
      <c r="EO513" s="58"/>
      <c r="EP513" s="83"/>
      <c r="EQ513" s="58"/>
      <c r="ER513" s="83"/>
      <c r="ES513" s="58"/>
      <c r="ET513" s="83"/>
      <c r="EU513" s="58"/>
    </row>
    <row r="514" spans="1:151">
      <c r="A514" s="83" t="s">
        <v>327</v>
      </c>
      <c r="B514" s="173" t="s">
        <v>185</v>
      </c>
      <c r="C514" s="173" t="s">
        <v>514</v>
      </c>
      <c r="D514" s="83" t="s">
        <v>64</v>
      </c>
      <c r="E514" s="49" t="s">
        <v>2</v>
      </c>
      <c r="F514" s="49" t="s">
        <v>287</v>
      </c>
      <c r="G514" s="49">
        <v>84.28</v>
      </c>
      <c r="H514" s="49">
        <v>4089</v>
      </c>
      <c r="I514" s="49">
        <v>149</v>
      </c>
      <c r="J514" s="159">
        <v>1.4752475247524752</v>
      </c>
      <c r="K514" s="49">
        <v>1</v>
      </c>
      <c r="L514" s="49">
        <v>1</v>
      </c>
      <c r="M514" s="83">
        <v>1</v>
      </c>
      <c r="N514" s="49">
        <v>0</v>
      </c>
      <c r="O514" s="49">
        <v>0</v>
      </c>
      <c r="P514" s="49">
        <v>0</v>
      </c>
      <c r="Q514" s="58">
        <v>0</v>
      </c>
      <c r="R514" s="42">
        <v>1</v>
      </c>
      <c r="S514" s="83" t="s">
        <v>284</v>
      </c>
      <c r="U514" s="83">
        <v>0</v>
      </c>
      <c r="V514" s="49">
        <v>0</v>
      </c>
      <c r="W514" s="49">
        <v>0</v>
      </c>
      <c r="X514" s="58"/>
      <c r="Y514" s="83">
        <v>0</v>
      </c>
      <c r="AJ514" s="49">
        <v>0</v>
      </c>
      <c r="AK514" s="83">
        <v>0</v>
      </c>
      <c r="AL514" s="49">
        <v>0</v>
      </c>
      <c r="AM514" s="49">
        <v>0</v>
      </c>
      <c r="AN514" s="49">
        <v>0</v>
      </c>
      <c r="AO514" s="58">
        <v>0</v>
      </c>
      <c r="AP514" s="174" t="s">
        <v>284</v>
      </c>
      <c r="AQ514" s="175" t="s">
        <v>284</v>
      </c>
      <c r="AR514" s="175" t="s">
        <v>284</v>
      </c>
      <c r="AS514" s="175" t="s">
        <v>284</v>
      </c>
      <c r="AT514" s="175" t="s">
        <v>284</v>
      </c>
      <c r="AU514" s="175" t="s">
        <v>284</v>
      </c>
      <c r="AV514" s="175" t="s">
        <v>284</v>
      </c>
      <c r="AW514" s="175" t="s">
        <v>284</v>
      </c>
      <c r="AX514" s="83">
        <v>0</v>
      </c>
      <c r="AY514" s="49">
        <v>0</v>
      </c>
      <c r="AZ514" s="49">
        <v>0</v>
      </c>
      <c r="BA514" s="49">
        <v>0</v>
      </c>
      <c r="BB514" s="58">
        <v>0</v>
      </c>
      <c r="BC514" s="42">
        <v>103</v>
      </c>
      <c r="BE514" s="49"/>
      <c r="BS514" s="58"/>
      <c r="BT514" s="83"/>
      <c r="CE514" s="83"/>
      <c r="CK514" s="58"/>
      <c r="CL514" s="83"/>
      <c r="CO514" s="58"/>
      <c r="CP514" s="83"/>
      <c r="CR514" s="58"/>
      <c r="CS514" s="83"/>
      <c r="CY514" s="83"/>
      <c r="DG514" s="58"/>
      <c r="DH514" s="83"/>
      <c r="DQ514" s="83"/>
      <c r="EE514" s="58"/>
      <c r="EF514" s="83"/>
      <c r="EI514" s="83"/>
      <c r="EK514" s="58"/>
      <c r="EL514" s="83"/>
      <c r="EO514" s="58"/>
      <c r="EP514" s="83"/>
      <c r="EQ514" s="58"/>
      <c r="ER514" s="83"/>
      <c r="ES514" s="58"/>
      <c r="ET514" s="83"/>
      <c r="EU514" s="58"/>
    </row>
    <row r="515" spans="1:151">
      <c r="A515" s="83" t="s">
        <v>327</v>
      </c>
      <c r="B515" s="173" t="s">
        <v>185</v>
      </c>
      <c r="C515" s="173" t="s">
        <v>514</v>
      </c>
      <c r="D515" s="83" t="s">
        <v>65</v>
      </c>
      <c r="F515" s="49" t="s">
        <v>287</v>
      </c>
      <c r="G515" s="49">
        <v>84.28</v>
      </c>
      <c r="H515" s="49">
        <v>4089</v>
      </c>
      <c r="I515" s="49">
        <v>840</v>
      </c>
      <c r="J515" s="159">
        <v>3.2183908045977012</v>
      </c>
      <c r="K515" s="49">
        <v>1</v>
      </c>
      <c r="L515" s="49">
        <v>2</v>
      </c>
      <c r="M515" s="83">
        <v>1</v>
      </c>
      <c r="N515" s="49">
        <v>0</v>
      </c>
      <c r="O515" s="49">
        <v>1</v>
      </c>
      <c r="P515" s="49">
        <v>0</v>
      </c>
      <c r="Q515" s="58">
        <v>0</v>
      </c>
      <c r="R515" s="42">
        <v>2</v>
      </c>
      <c r="S515" s="83" t="s">
        <v>284</v>
      </c>
      <c r="U515" s="83">
        <v>1</v>
      </c>
      <c r="V515" s="49">
        <v>2</v>
      </c>
      <c r="W515" s="49">
        <v>1</v>
      </c>
      <c r="X515" s="58">
        <v>1</v>
      </c>
      <c r="Y515" s="83">
        <v>0</v>
      </c>
      <c r="AJ515" s="49">
        <v>0</v>
      </c>
      <c r="AK515" s="83">
        <v>0</v>
      </c>
      <c r="AL515" s="49">
        <v>1</v>
      </c>
      <c r="AM515" s="49">
        <v>1</v>
      </c>
      <c r="AN515" s="49">
        <v>0</v>
      </c>
      <c r="AO515" s="58">
        <v>0</v>
      </c>
      <c r="AP515" s="174">
        <v>156</v>
      </c>
      <c r="AQ515" s="175">
        <v>1037</v>
      </c>
      <c r="AR515" s="175">
        <v>20</v>
      </c>
      <c r="AS515" s="175">
        <v>52</v>
      </c>
      <c r="AT515" s="175" t="s">
        <v>284</v>
      </c>
      <c r="AU515" s="175" t="s">
        <v>284</v>
      </c>
      <c r="AV515" s="175" t="s">
        <v>284</v>
      </c>
      <c r="AW515" s="175" t="s">
        <v>284</v>
      </c>
      <c r="AX515" s="83">
        <v>0</v>
      </c>
      <c r="AY515" s="49">
        <v>0</v>
      </c>
      <c r="AZ515" s="49">
        <v>0</v>
      </c>
      <c r="BA515" s="49">
        <v>0</v>
      </c>
      <c r="BB515" s="58">
        <v>0</v>
      </c>
      <c r="BC515" s="42">
        <v>108</v>
      </c>
      <c r="BE515" s="49"/>
      <c r="BS515" s="58"/>
      <c r="BT515" s="83"/>
      <c r="CE515" s="83"/>
      <c r="CK515" s="58"/>
      <c r="CL515" s="83"/>
      <c r="CO515" s="58"/>
      <c r="CP515" s="83"/>
      <c r="CR515" s="58"/>
      <c r="CS515" s="83"/>
      <c r="CY515" s="83"/>
      <c r="DG515" s="58"/>
      <c r="DH515" s="83"/>
      <c r="DQ515" s="83"/>
      <c r="EE515" s="58"/>
      <c r="EF515" s="83"/>
      <c r="EI515" s="83"/>
      <c r="EK515" s="58"/>
      <c r="EL515" s="83"/>
      <c r="EO515" s="58"/>
      <c r="EP515" s="83"/>
      <c r="EQ515" s="58"/>
      <c r="ER515" s="83"/>
      <c r="ES515" s="58"/>
      <c r="ET515" s="83"/>
      <c r="EU515" s="58"/>
    </row>
    <row r="516" spans="1:151">
      <c r="A516" s="83" t="s">
        <v>327</v>
      </c>
      <c r="B516" s="173" t="s">
        <v>185</v>
      </c>
      <c r="C516" s="173" t="s">
        <v>514</v>
      </c>
      <c r="D516" s="83" t="s">
        <v>66</v>
      </c>
      <c r="F516" s="49" t="s">
        <v>287</v>
      </c>
      <c r="G516" s="49">
        <v>84.28</v>
      </c>
      <c r="H516" s="49">
        <v>4089</v>
      </c>
      <c r="I516" s="49">
        <v>770</v>
      </c>
      <c r="J516" s="159">
        <v>2.6190476190476191</v>
      </c>
      <c r="K516" s="49">
        <v>1</v>
      </c>
      <c r="L516" s="49">
        <v>1</v>
      </c>
      <c r="M516" s="83">
        <v>1</v>
      </c>
      <c r="N516" s="49">
        <v>0</v>
      </c>
      <c r="O516" s="49">
        <v>0</v>
      </c>
      <c r="P516" s="49">
        <v>0</v>
      </c>
      <c r="Q516" s="58">
        <v>0</v>
      </c>
      <c r="R516" s="42">
        <v>1</v>
      </c>
      <c r="S516" s="83" t="s">
        <v>284</v>
      </c>
      <c r="U516" s="83">
        <v>0</v>
      </c>
      <c r="V516" s="49">
        <v>0</v>
      </c>
      <c r="W516" s="49">
        <v>0</v>
      </c>
      <c r="X516" s="58"/>
      <c r="Y516" s="83">
        <v>0</v>
      </c>
      <c r="AJ516" s="49">
        <v>0</v>
      </c>
      <c r="AK516" s="83">
        <v>0</v>
      </c>
      <c r="AL516" s="49">
        <v>0</v>
      </c>
      <c r="AM516" s="49">
        <v>0</v>
      </c>
      <c r="AN516" s="49">
        <v>0</v>
      </c>
      <c r="AO516" s="58">
        <v>0</v>
      </c>
      <c r="AP516" s="174" t="s">
        <v>284</v>
      </c>
      <c r="AQ516" s="175" t="s">
        <v>284</v>
      </c>
      <c r="AR516" s="175" t="s">
        <v>284</v>
      </c>
      <c r="AS516" s="175" t="s">
        <v>284</v>
      </c>
      <c r="AT516" s="175" t="s">
        <v>284</v>
      </c>
      <c r="AU516" s="175" t="s">
        <v>284</v>
      </c>
      <c r="AV516" s="175" t="s">
        <v>284</v>
      </c>
      <c r="AW516" s="175" t="s">
        <v>284</v>
      </c>
      <c r="AX516" s="83">
        <v>0</v>
      </c>
      <c r="AY516" s="49">
        <v>0</v>
      </c>
      <c r="AZ516" s="49">
        <v>0</v>
      </c>
      <c r="BA516" s="49">
        <v>0</v>
      </c>
      <c r="BB516" s="58">
        <v>0</v>
      </c>
      <c r="BC516" s="42">
        <v>100</v>
      </c>
      <c r="BE516" s="49"/>
      <c r="BS516" s="58"/>
      <c r="BT516" s="83"/>
      <c r="CE516" s="83"/>
      <c r="CK516" s="58"/>
      <c r="CL516" s="83"/>
      <c r="CO516" s="58"/>
      <c r="CP516" s="83"/>
      <c r="CR516" s="58"/>
      <c r="CS516" s="83"/>
      <c r="CY516" s="83"/>
      <c r="DG516" s="58"/>
      <c r="DH516" s="83"/>
      <c r="DQ516" s="83"/>
      <c r="EE516" s="58"/>
      <c r="EF516" s="83"/>
      <c r="EI516" s="83"/>
      <c r="EK516" s="58"/>
      <c r="EL516" s="83"/>
      <c r="EO516" s="58"/>
      <c r="EP516" s="83"/>
      <c r="EQ516" s="58"/>
      <c r="ER516" s="83"/>
      <c r="ES516" s="58"/>
      <c r="ET516" s="83"/>
      <c r="EU516" s="58"/>
    </row>
    <row r="517" spans="1:151">
      <c r="A517" s="83" t="s">
        <v>327</v>
      </c>
      <c r="B517" s="173" t="s">
        <v>185</v>
      </c>
      <c r="C517" s="173" t="s">
        <v>514</v>
      </c>
      <c r="D517" s="83" t="s">
        <v>67</v>
      </c>
      <c r="E517" s="49" t="s">
        <v>0</v>
      </c>
      <c r="F517" s="49" t="s">
        <v>287</v>
      </c>
      <c r="G517" s="49">
        <v>84.28</v>
      </c>
      <c r="H517" s="49">
        <v>4089</v>
      </c>
      <c r="I517" s="49">
        <v>980</v>
      </c>
      <c r="J517" s="159">
        <v>1.7721518987341771</v>
      </c>
      <c r="K517" s="49">
        <v>1</v>
      </c>
      <c r="L517" s="49">
        <v>1</v>
      </c>
      <c r="M517" s="83">
        <v>1</v>
      </c>
      <c r="N517" s="49">
        <v>0</v>
      </c>
      <c r="O517" s="49">
        <v>0</v>
      </c>
      <c r="P517" s="49">
        <v>1</v>
      </c>
      <c r="Q517" s="58">
        <v>0</v>
      </c>
      <c r="R517" s="42">
        <v>2</v>
      </c>
      <c r="S517" s="83" t="s">
        <v>284</v>
      </c>
      <c r="U517" s="83">
        <v>1</v>
      </c>
      <c r="V517" s="49">
        <v>3</v>
      </c>
      <c r="W517" s="49">
        <v>1</v>
      </c>
      <c r="X517" s="58">
        <v>2</v>
      </c>
      <c r="Y517" s="83">
        <v>2</v>
      </c>
      <c r="AD517" s="49">
        <v>19</v>
      </c>
      <c r="AE517" s="49">
        <v>46</v>
      </c>
      <c r="AJ517" s="49">
        <v>0</v>
      </c>
      <c r="AK517" s="83">
        <v>0</v>
      </c>
      <c r="AL517" s="49">
        <v>0</v>
      </c>
      <c r="AM517" s="49">
        <v>0</v>
      </c>
      <c r="AN517" s="49">
        <v>0</v>
      </c>
      <c r="AO517" s="58">
        <v>0</v>
      </c>
      <c r="AP517" s="174" t="s">
        <v>284</v>
      </c>
      <c r="AQ517" s="175" t="s">
        <v>284</v>
      </c>
      <c r="AR517" s="175" t="s">
        <v>284</v>
      </c>
      <c r="AS517" s="175" t="s">
        <v>284</v>
      </c>
      <c r="AT517" s="175" t="s">
        <v>284</v>
      </c>
      <c r="AU517" s="175" t="s">
        <v>284</v>
      </c>
      <c r="AV517" s="175" t="s">
        <v>284</v>
      </c>
      <c r="AW517" s="175" t="s">
        <v>284</v>
      </c>
      <c r="AX517" s="83">
        <v>0</v>
      </c>
      <c r="AY517" s="49">
        <v>0</v>
      </c>
      <c r="AZ517" s="49">
        <v>0</v>
      </c>
      <c r="BA517" s="49">
        <v>0</v>
      </c>
      <c r="BB517" s="58">
        <v>0</v>
      </c>
      <c r="BC517" s="42">
        <v>92</v>
      </c>
      <c r="BD517" s="49">
        <v>64.98</v>
      </c>
      <c r="BE517" s="49">
        <v>65.13</v>
      </c>
      <c r="BF517" s="49">
        <v>65.510000000000005</v>
      </c>
      <c r="BS517" s="58"/>
      <c r="BT517" s="83">
        <v>67.7</v>
      </c>
      <c r="CE517" s="83"/>
      <c r="CK517" s="58"/>
      <c r="CL517" s="83"/>
      <c r="CO517" s="58"/>
      <c r="CP517" s="83"/>
      <c r="CR517" s="58"/>
      <c r="CS517" s="83"/>
      <c r="CY517" s="83"/>
      <c r="DG517" s="58"/>
      <c r="DH517" s="83"/>
      <c r="DQ517" s="83"/>
      <c r="EE517" s="58"/>
      <c r="EF517" s="83"/>
      <c r="EI517" s="83"/>
      <c r="EK517" s="58"/>
      <c r="EL517" s="83"/>
      <c r="EO517" s="58"/>
      <c r="EP517" s="83"/>
      <c r="EQ517" s="58"/>
      <c r="ER517" s="83"/>
      <c r="ES517" s="58"/>
      <c r="ET517" s="83"/>
      <c r="EU517" s="58"/>
    </row>
    <row r="518" spans="1:151">
      <c r="A518" s="83" t="s">
        <v>327</v>
      </c>
      <c r="B518" s="173" t="s">
        <v>185</v>
      </c>
      <c r="C518" s="173" t="s">
        <v>514</v>
      </c>
      <c r="D518" s="83" t="s">
        <v>67</v>
      </c>
      <c r="E518" s="49" t="s">
        <v>1</v>
      </c>
      <c r="F518" s="49" t="s">
        <v>286</v>
      </c>
      <c r="G518" s="49">
        <v>84.28</v>
      </c>
      <c r="H518" s="49">
        <v>4089</v>
      </c>
      <c r="I518" s="49">
        <v>1147</v>
      </c>
      <c r="J518" s="159">
        <v>18.206349206349206</v>
      </c>
      <c r="K518" s="49">
        <v>3</v>
      </c>
      <c r="L518" s="49">
        <v>1</v>
      </c>
      <c r="M518" s="83">
        <v>0</v>
      </c>
      <c r="N518" s="49">
        <v>0</v>
      </c>
      <c r="O518" s="49">
        <v>0</v>
      </c>
      <c r="P518" s="49">
        <v>0</v>
      </c>
      <c r="Q518" s="58">
        <v>0</v>
      </c>
      <c r="R518" s="42">
        <v>0</v>
      </c>
      <c r="S518" s="83" t="s">
        <v>284</v>
      </c>
      <c r="U518" s="83">
        <v>0</v>
      </c>
      <c r="V518" s="49">
        <v>0</v>
      </c>
      <c r="W518" s="49">
        <v>0</v>
      </c>
      <c r="X518" s="58"/>
      <c r="Y518" s="83">
        <v>0</v>
      </c>
      <c r="AJ518" s="49">
        <v>0</v>
      </c>
      <c r="AK518" s="83">
        <v>0</v>
      </c>
      <c r="AL518" s="49">
        <v>0</v>
      </c>
      <c r="AM518" s="49">
        <v>0</v>
      </c>
      <c r="AN518" s="49">
        <v>0</v>
      </c>
      <c r="AO518" s="58">
        <v>0</v>
      </c>
      <c r="AP518" s="174" t="s">
        <v>284</v>
      </c>
      <c r="AQ518" s="175" t="s">
        <v>284</v>
      </c>
      <c r="AR518" s="175" t="s">
        <v>284</v>
      </c>
      <c r="AS518" s="175" t="s">
        <v>284</v>
      </c>
      <c r="AT518" s="175" t="s">
        <v>284</v>
      </c>
      <c r="AU518" s="175" t="s">
        <v>284</v>
      </c>
      <c r="AV518" s="175" t="s">
        <v>284</v>
      </c>
      <c r="AW518" s="175" t="s">
        <v>284</v>
      </c>
      <c r="AX518" s="83">
        <v>0</v>
      </c>
      <c r="AY518" s="49">
        <v>0</v>
      </c>
      <c r="AZ518" s="49">
        <v>0</v>
      </c>
      <c r="BA518" s="49">
        <v>0</v>
      </c>
      <c r="BB518" s="58">
        <v>0</v>
      </c>
      <c r="BC518" s="42">
        <v>92</v>
      </c>
      <c r="BE518" s="49"/>
      <c r="BS518" s="58"/>
      <c r="BT518" s="83"/>
      <c r="CE518" s="83"/>
      <c r="CK518" s="58"/>
      <c r="CL518" s="83"/>
      <c r="CO518" s="58"/>
      <c r="CP518" s="83"/>
      <c r="CR518" s="58"/>
      <c r="CS518" s="83"/>
      <c r="CY518" s="83"/>
      <c r="DG518" s="58"/>
      <c r="DH518" s="83"/>
      <c r="DQ518" s="83"/>
      <c r="EE518" s="58"/>
      <c r="EF518" s="83"/>
      <c r="EI518" s="83"/>
      <c r="EK518" s="58"/>
      <c r="EL518" s="83"/>
      <c r="EO518" s="58"/>
      <c r="EP518" s="83"/>
      <c r="EQ518" s="58"/>
      <c r="ER518" s="83"/>
      <c r="ES518" s="58"/>
      <c r="ET518" s="83"/>
      <c r="EU518" s="58"/>
    </row>
    <row r="519" spans="1:151">
      <c r="A519" s="83" t="s">
        <v>327</v>
      </c>
      <c r="B519" s="173" t="s">
        <v>185</v>
      </c>
      <c r="C519" s="173" t="s">
        <v>514</v>
      </c>
      <c r="D519" s="83" t="s">
        <v>68</v>
      </c>
      <c r="F519" s="49" t="s">
        <v>287</v>
      </c>
      <c r="G519" s="49">
        <v>84.28</v>
      </c>
      <c r="H519" s="49">
        <v>4089</v>
      </c>
      <c r="I519" s="49">
        <v>569</v>
      </c>
      <c r="J519" s="159">
        <v>5.1261261261261257</v>
      </c>
      <c r="K519" s="49">
        <v>1</v>
      </c>
      <c r="L519" s="49">
        <v>1</v>
      </c>
      <c r="M519" s="83">
        <v>1</v>
      </c>
      <c r="N519" s="49">
        <v>0</v>
      </c>
      <c r="O519" s="49">
        <v>0</v>
      </c>
      <c r="P519" s="49">
        <v>0</v>
      </c>
      <c r="Q519" s="58">
        <v>0</v>
      </c>
      <c r="R519" s="42">
        <v>1</v>
      </c>
      <c r="S519" s="83" t="s">
        <v>284</v>
      </c>
      <c r="U519" s="83">
        <v>0</v>
      </c>
      <c r="V519" s="49">
        <v>0</v>
      </c>
      <c r="W519" s="49">
        <v>0</v>
      </c>
      <c r="X519" s="58"/>
      <c r="Y519" s="83">
        <v>0</v>
      </c>
      <c r="AJ519" s="49">
        <v>0</v>
      </c>
      <c r="AK519" s="83">
        <v>0</v>
      </c>
      <c r="AL519" s="49">
        <v>0</v>
      </c>
      <c r="AM519" s="49">
        <v>0</v>
      </c>
      <c r="AN519" s="49">
        <v>0</v>
      </c>
      <c r="AO519" s="58">
        <v>0</v>
      </c>
      <c r="AP519" s="174" t="s">
        <v>284</v>
      </c>
      <c r="AQ519" s="175" t="s">
        <v>284</v>
      </c>
      <c r="AR519" s="175" t="s">
        <v>284</v>
      </c>
      <c r="AS519" s="175" t="s">
        <v>284</v>
      </c>
      <c r="AT519" s="175" t="s">
        <v>284</v>
      </c>
      <c r="AU519" s="175" t="s">
        <v>284</v>
      </c>
      <c r="AV519" s="175" t="s">
        <v>284</v>
      </c>
      <c r="AW519" s="175" t="s">
        <v>284</v>
      </c>
      <c r="AX519" s="83">
        <v>0</v>
      </c>
      <c r="AY519" s="49">
        <v>0</v>
      </c>
      <c r="AZ519" s="49">
        <v>0</v>
      </c>
      <c r="BA519" s="49">
        <v>0</v>
      </c>
      <c r="BB519" s="58">
        <v>0</v>
      </c>
      <c r="BC519" s="42">
        <v>84</v>
      </c>
      <c r="BE519" s="49"/>
      <c r="BS519" s="58"/>
      <c r="BT519" s="83"/>
      <c r="CE519" s="83"/>
      <c r="CK519" s="58"/>
      <c r="CL519" s="83"/>
      <c r="CO519" s="58"/>
      <c r="CP519" s="83"/>
      <c r="CR519" s="58"/>
      <c r="CS519" s="83"/>
      <c r="CY519" s="83"/>
      <c r="DG519" s="58"/>
      <c r="DH519" s="83"/>
      <c r="DQ519" s="83"/>
      <c r="EE519" s="58"/>
      <c r="EF519" s="83"/>
      <c r="EI519" s="83"/>
      <c r="EK519" s="58"/>
      <c r="EL519" s="83"/>
      <c r="EO519" s="58"/>
      <c r="EP519" s="83"/>
      <c r="EQ519" s="58"/>
      <c r="ER519" s="83"/>
      <c r="ES519" s="58"/>
      <c r="ET519" s="83"/>
      <c r="EU519" s="58"/>
    </row>
    <row r="520" spans="1:151">
      <c r="A520" s="83" t="s">
        <v>327</v>
      </c>
      <c r="B520" s="173" t="s">
        <v>185</v>
      </c>
      <c r="C520" s="173" t="s">
        <v>514</v>
      </c>
      <c r="D520" s="83" t="s">
        <v>69</v>
      </c>
      <c r="F520" s="49" t="s">
        <v>287</v>
      </c>
      <c r="G520" s="49">
        <v>84.28</v>
      </c>
      <c r="H520" s="49">
        <v>4089</v>
      </c>
      <c r="I520" s="49">
        <v>225</v>
      </c>
      <c r="J520" s="159">
        <v>1.1083743842364533</v>
      </c>
      <c r="K520" s="49">
        <v>1</v>
      </c>
      <c r="L520" s="49">
        <v>3</v>
      </c>
      <c r="M520" s="83">
        <v>0</v>
      </c>
      <c r="N520" s="49">
        <v>2</v>
      </c>
      <c r="O520" s="49">
        <v>0</v>
      </c>
      <c r="P520" s="49">
        <v>0</v>
      </c>
      <c r="Q520" s="58">
        <v>0</v>
      </c>
      <c r="R520" s="42">
        <v>2</v>
      </c>
      <c r="S520" s="83" t="s">
        <v>283</v>
      </c>
      <c r="T520" s="49">
        <v>2</v>
      </c>
      <c r="U520" s="83">
        <v>1</v>
      </c>
      <c r="V520" s="49">
        <v>3</v>
      </c>
      <c r="W520" s="49">
        <v>1</v>
      </c>
      <c r="X520" s="58">
        <v>1</v>
      </c>
      <c r="Y520" s="83">
        <v>5</v>
      </c>
      <c r="AI520" s="49">
        <v>59</v>
      </c>
      <c r="AJ520" s="49">
        <v>0</v>
      </c>
      <c r="AK520" s="83">
        <v>0</v>
      </c>
      <c r="AL520" s="49">
        <v>0</v>
      </c>
      <c r="AM520" s="49">
        <v>1</v>
      </c>
      <c r="AN520" s="49">
        <v>0</v>
      </c>
      <c r="AO520" s="58">
        <v>0</v>
      </c>
      <c r="AP520" s="174" t="s">
        <v>284</v>
      </c>
      <c r="AQ520" s="175" t="s">
        <v>284</v>
      </c>
      <c r="AR520" s="175" t="s">
        <v>501</v>
      </c>
      <c r="AS520" s="175" t="s">
        <v>501</v>
      </c>
      <c r="AT520" s="175" t="s">
        <v>284</v>
      </c>
      <c r="AU520" s="175" t="s">
        <v>284</v>
      </c>
      <c r="AV520" s="175" t="s">
        <v>284</v>
      </c>
      <c r="AW520" s="175" t="s">
        <v>284</v>
      </c>
      <c r="AX520" s="83">
        <v>0</v>
      </c>
      <c r="AY520" s="49">
        <v>1</v>
      </c>
      <c r="AZ520" s="49">
        <v>0</v>
      </c>
      <c r="BA520" s="49">
        <v>0</v>
      </c>
      <c r="BB520" s="58">
        <v>2</v>
      </c>
      <c r="BC520" s="42">
        <v>61</v>
      </c>
      <c r="BE520" s="49"/>
      <c r="BS520" s="58"/>
      <c r="BT520" s="83"/>
      <c r="CE520" s="83"/>
      <c r="CK520" s="58"/>
      <c r="CL520" s="83"/>
      <c r="CO520" s="58"/>
      <c r="CP520" s="83"/>
      <c r="CR520" s="58"/>
      <c r="CS520" s="83"/>
      <c r="CY520" s="83"/>
      <c r="DG520" s="58"/>
      <c r="DH520" s="83"/>
      <c r="DQ520" s="83"/>
      <c r="EE520" s="58"/>
      <c r="EF520" s="83"/>
      <c r="EI520" s="83"/>
      <c r="EK520" s="58"/>
      <c r="EL520" s="83"/>
      <c r="EO520" s="58"/>
      <c r="EP520" s="83"/>
      <c r="EQ520" s="58"/>
      <c r="ER520" s="83"/>
      <c r="ES520" s="58"/>
      <c r="ET520" s="83"/>
      <c r="EU520" s="58"/>
    </row>
    <row r="521" spans="1:151">
      <c r="A521" s="83" t="s">
        <v>327</v>
      </c>
      <c r="B521" s="173" t="s">
        <v>185</v>
      </c>
      <c r="C521" s="173" t="s">
        <v>514</v>
      </c>
      <c r="D521" s="83" t="s">
        <v>74</v>
      </c>
      <c r="F521" s="49" t="s">
        <v>287</v>
      </c>
      <c r="G521" s="49">
        <v>84.28</v>
      </c>
      <c r="H521" s="49">
        <v>4089</v>
      </c>
      <c r="I521" s="49">
        <v>758</v>
      </c>
      <c r="J521" s="159">
        <v>5.7424242424242422</v>
      </c>
      <c r="K521" s="49">
        <v>1</v>
      </c>
      <c r="L521" s="49">
        <v>1</v>
      </c>
      <c r="M521" s="83">
        <v>0</v>
      </c>
      <c r="N521" s="49">
        <v>0</v>
      </c>
      <c r="O521" s="49">
        <v>0</v>
      </c>
      <c r="P521" s="49">
        <v>0</v>
      </c>
      <c r="Q521" s="58">
        <v>0</v>
      </c>
      <c r="R521" s="42">
        <v>0</v>
      </c>
      <c r="S521" s="83" t="s">
        <v>284</v>
      </c>
      <c r="U521" s="83">
        <v>0</v>
      </c>
      <c r="V521" s="49">
        <v>0</v>
      </c>
      <c r="W521" s="49">
        <v>0</v>
      </c>
      <c r="X521" s="58"/>
      <c r="Y521" s="83">
        <v>0</v>
      </c>
      <c r="AJ521" s="49">
        <v>0</v>
      </c>
      <c r="AK521" s="83">
        <v>0</v>
      </c>
      <c r="AL521" s="49">
        <v>1</v>
      </c>
      <c r="AM521" s="49">
        <v>0</v>
      </c>
      <c r="AN521" s="49">
        <v>0</v>
      </c>
      <c r="AO521" s="58">
        <v>0</v>
      </c>
      <c r="AP521" s="174" t="s">
        <v>501</v>
      </c>
      <c r="AQ521" s="175" t="s">
        <v>501</v>
      </c>
      <c r="AR521" s="175" t="s">
        <v>284</v>
      </c>
      <c r="AS521" s="175" t="s">
        <v>284</v>
      </c>
      <c r="AT521" s="175" t="s">
        <v>284</v>
      </c>
      <c r="AU521" s="175" t="s">
        <v>284</v>
      </c>
      <c r="AV521" s="175" t="s">
        <v>284</v>
      </c>
      <c r="AW521" s="175" t="s">
        <v>284</v>
      </c>
      <c r="AX521" s="83">
        <v>0</v>
      </c>
      <c r="AY521" s="49">
        <v>0</v>
      </c>
      <c r="AZ521" s="49">
        <v>0</v>
      </c>
      <c r="BA521" s="49">
        <v>0</v>
      </c>
      <c r="BB521" s="58">
        <v>0</v>
      </c>
      <c r="BC521" s="42">
        <v>92</v>
      </c>
      <c r="BD521" s="49">
        <v>69.94</v>
      </c>
      <c r="BE521" s="49"/>
      <c r="BS521" s="58"/>
      <c r="BT521" s="83">
        <v>68.64</v>
      </c>
      <c r="CE521" s="83">
        <v>68.42</v>
      </c>
      <c r="CF521" s="49">
        <v>67.02</v>
      </c>
      <c r="CK521" s="58"/>
      <c r="CL521" s="83"/>
      <c r="CO521" s="58"/>
      <c r="CP521" s="83"/>
      <c r="CR521" s="58"/>
      <c r="CS521" s="83"/>
      <c r="CY521" s="83"/>
      <c r="DG521" s="58"/>
      <c r="DH521" s="83"/>
      <c r="DQ521" s="83"/>
      <c r="EE521" s="58"/>
      <c r="EF521" s="83"/>
      <c r="EI521" s="83"/>
      <c r="EK521" s="58"/>
      <c r="EL521" s="83"/>
      <c r="EO521" s="58"/>
      <c r="EP521" s="83"/>
      <c r="EQ521" s="58"/>
      <c r="ER521" s="83"/>
      <c r="ES521" s="58"/>
      <c r="ET521" s="83"/>
      <c r="EU521" s="58"/>
    </row>
    <row r="522" spans="1:151">
      <c r="A522" s="83" t="s">
        <v>327</v>
      </c>
      <c r="B522" s="173" t="s">
        <v>185</v>
      </c>
      <c r="C522" s="173" t="s">
        <v>514</v>
      </c>
      <c r="D522" s="83" t="s">
        <v>75</v>
      </c>
      <c r="F522" s="49" t="s">
        <v>287</v>
      </c>
      <c r="G522" s="49">
        <v>84.28</v>
      </c>
      <c r="H522" s="49">
        <v>4089</v>
      </c>
      <c r="I522" s="49">
        <v>797</v>
      </c>
      <c r="J522" s="159">
        <v>3.9261083743842367</v>
      </c>
      <c r="K522" s="49">
        <v>1</v>
      </c>
      <c r="L522" s="49">
        <v>1</v>
      </c>
      <c r="M522" s="83">
        <v>0</v>
      </c>
      <c r="N522" s="49">
        <v>0</v>
      </c>
      <c r="O522" s="49">
        <v>0</v>
      </c>
      <c r="P522" s="49">
        <v>0</v>
      </c>
      <c r="Q522" s="58">
        <v>0</v>
      </c>
      <c r="R522" s="42">
        <v>0</v>
      </c>
      <c r="S522" s="83" t="s">
        <v>284</v>
      </c>
      <c r="U522" s="83">
        <v>0</v>
      </c>
      <c r="V522" s="49">
        <v>0</v>
      </c>
      <c r="W522" s="49">
        <v>0</v>
      </c>
      <c r="X522" s="58"/>
      <c r="Y522" s="83">
        <v>0</v>
      </c>
      <c r="AJ522" s="49">
        <v>0</v>
      </c>
      <c r="AK522" s="83">
        <v>0</v>
      </c>
      <c r="AL522" s="49">
        <v>0</v>
      </c>
      <c r="AM522" s="49">
        <v>1</v>
      </c>
      <c r="AN522" s="49">
        <v>0</v>
      </c>
      <c r="AO522" s="58">
        <v>0</v>
      </c>
      <c r="AP522" s="174" t="s">
        <v>284</v>
      </c>
      <c r="AQ522" s="175" t="s">
        <v>284</v>
      </c>
      <c r="AR522" s="175" t="s">
        <v>501</v>
      </c>
      <c r="AS522" s="175" t="s">
        <v>501</v>
      </c>
      <c r="AT522" s="175" t="s">
        <v>284</v>
      </c>
      <c r="AU522" s="175" t="s">
        <v>284</v>
      </c>
      <c r="AV522" s="175" t="s">
        <v>284</v>
      </c>
      <c r="AW522" s="175" t="s">
        <v>284</v>
      </c>
      <c r="AX522" s="83">
        <v>0</v>
      </c>
      <c r="AY522" s="49">
        <v>0</v>
      </c>
      <c r="AZ522" s="49">
        <v>0</v>
      </c>
      <c r="BA522" s="49">
        <v>0</v>
      </c>
      <c r="BB522" s="58">
        <v>0</v>
      </c>
      <c r="BC522" s="42">
        <v>115</v>
      </c>
      <c r="BE522" s="49"/>
      <c r="BS522" s="58"/>
      <c r="BT522" s="83"/>
      <c r="CE522" s="83"/>
      <c r="CK522" s="58"/>
      <c r="CL522" s="83"/>
      <c r="CO522" s="58"/>
      <c r="CP522" s="83"/>
      <c r="CR522" s="58"/>
      <c r="CS522" s="83"/>
      <c r="CY522" s="83"/>
      <c r="DG522" s="58"/>
      <c r="DH522" s="83"/>
      <c r="DQ522" s="83"/>
      <c r="EE522" s="58"/>
      <c r="EF522" s="83"/>
      <c r="EI522" s="83"/>
      <c r="EK522" s="58"/>
      <c r="EL522" s="83"/>
      <c r="EO522" s="58"/>
      <c r="EP522" s="83"/>
      <c r="EQ522" s="58"/>
      <c r="ER522" s="83"/>
      <c r="ES522" s="58"/>
      <c r="ET522" s="83"/>
      <c r="EU522" s="58"/>
    </row>
    <row r="523" spans="1:151" ht="17" thickBot="1">
      <c r="A523" s="83" t="s">
        <v>327</v>
      </c>
      <c r="B523" s="173" t="s">
        <v>185</v>
      </c>
      <c r="C523" s="173" t="s">
        <v>514</v>
      </c>
      <c r="D523" s="83" t="s">
        <v>76</v>
      </c>
      <c r="F523" s="49" t="s">
        <v>287</v>
      </c>
      <c r="G523" s="49">
        <v>84.28</v>
      </c>
      <c r="H523" s="49">
        <v>4089</v>
      </c>
      <c r="I523" s="49">
        <v>599</v>
      </c>
      <c r="J523" s="159">
        <v>8.6811594202898554</v>
      </c>
      <c r="K523" s="49">
        <v>1</v>
      </c>
      <c r="L523" s="49">
        <v>2</v>
      </c>
      <c r="M523" s="83">
        <v>1</v>
      </c>
      <c r="N523" s="49">
        <v>0</v>
      </c>
      <c r="O523" s="49">
        <v>0</v>
      </c>
      <c r="P523" s="49">
        <v>1</v>
      </c>
      <c r="Q523" s="58">
        <v>0</v>
      </c>
      <c r="R523" s="42">
        <v>2</v>
      </c>
      <c r="S523" s="83" t="s">
        <v>284</v>
      </c>
      <c r="U523" s="83">
        <v>1</v>
      </c>
      <c r="V523" s="49">
        <v>1</v>
      </c>
      <c r="W523" s="49">
        <v>1</v>
      </c>
      <c r="X523" s="58">
        <v>2</v>
      </c>
      <c r="Y523" s="83">
        <v>0</v>
      </c>
      <c r="AJ523" s="49">
        <v>0</v>
      </c>
      <c r="AK523" s="83">
        <v>0</v>
      </c>
      <c r="AL523" s="49">
        <v>1</v>
      </c>
      <c r="AM523" s="49">
        <v>1</v>
      </c>
      <c r="AN523" s="49">
        <v>0</v>
      </c>
      <c r="AO523" s="58">
        <v>0</v>
      </c>
      <c r="AP523" s="174" t="s">
        <v>501</v>
      </c>
      <c r="AQ523" s="175" t="s">
        <v>501</v>
      </c>
      <c r="AR523" s="175" t="s">
        <v>501</v>
      </c>
      <c r="AS523" s="175" t="s">
        <v>501</v>
      </c>
      <c r="AT523" s="175" t="s">
        <v>284</v>
      </c>
      <c r="AU523" s="175" t="s">
        <v>284</v>
      </c>
      <c r="AV523" s="175" t="s">
        <v>284</v>
      </c>
      <c r="AW523" s="175" t="s">
        <v>284</v>
      </c>
      <c r="AX523" s="83">
        <v>0</v>
      </c>
      <c r="AY523" s="49">
        <v>0</v>
      </c>
      <c r="AZ523" s="49">
        <v>0</v>
      </c>
      <c r="BA523" s="49">
        <v>0</v>
      </c>
      <c r="BB523" s="58">
        <v>0</v>
      </c>
      <c r="BC523" s="42">
        <v>89</v>
      </c>
      <c r="BE523" s="49"/>
      <c r="BS523" s="58"/>
      <c r="BT523" s="83"/>
      <c r="CE523" s="83"/>
      <c r="CK523" s="58"/>
      <c r="CL523" s="83"/>
      <c r="CO523" s="58"/>
      <c r="CP523" s="83"/>
      <c r="CR523" s="58"/>
      <c r="CS523" s="83"/>
      <c r="CY523" s="83"/>
      <c r="DG523" s="58"/>
      <c r="DH523" s="83"/>
      <c r="DQ523" s="83"/>
      <c r="EE523" s="58"/>
      <c r="EF523" s="83"/>
      <c r="EI523" s="83"/>
      <c r="EK523" s="58"/>
      <c r="EL523" s="83"/>
      <c r="EO523" s="58"/>
      <c r="EP523" s="83"/>
      <c r="EQ523" s="58"/>
      <c r="ER523" s="83"/>
      <c r="ES523" s="58"/>
      <c r="ET523" s="83"/>
      <c r="EU523" s="58"/>
    </row>
    <row r="524" spans="1:151">
      <c r="A524" s="87" t="s">
        <v>327</v>
      </c>
      <c r="B524" s="7" t="s">
        <v>186</v>
      </c>
      <c r="C524" s="7" t="s">
        <v>515</v>
      </c>
      <c r="D524" s="147" t="s">
        <v>64</v>
      </c>
      <c r="E524" s="148"/>
      <c r="F524" s="148" t="s">
        <v>286</v>
      </c>
      <c r="G524" s="148">
        <v>84.28</v>
      </c>
      <c r="H524" s="148">
        <v>3423</v>
      </c>
      <c r="I524" s="148">
        <v>2132</v>
      </c>
      <c r="J524" s="158">
        <v>1.5745937961595273</v>
      </c>
      <c r="K524" s="148">
        <v>1</v>
      </c>
      <c r="L524" s="148">
        <v>3</v>
      </c>
      <c r="M524" s="147">
        <v>0</v>
      </c>
      <c r="N524" s="148">
        <v>0</v>
      </c>
      <c r="O524" s="148">
        <v>1</v>
      </c>
      <c r="P524" s="148">
        <v>0</v>
      </c>
      <c r="Q524" s="149">
        <v>0</v>
      </c>
      <c r="R524" s="87">
        <v>1</v>
      </c>
      <c r="S524" s="147">
        <v>1</v>
      </c>
      <c r="T524" s="148"/>
      <c r="U524" s="147">
        <v>2</v>
      </c>
      <c r="V524" s="148">
        <v>3</v>
      </c>
      <c r="W524" s="148">
        <v>3</v>
      </c>
      <c r="X524" s="149">
        <v>1</v>
      </c>
      <c r="Y524" s="147">
        <v>5</v>
      </c>
      <c r="Z524" s="148"/>
      <c r="AA524" s="148"/>
      <c r="AB524" s="148"/>
      <c r="AC524" s="148"/>
      <c r="AD524" s="148">
        <v>4</v>
      </c>
      <c r="AE524" s="148">
        <v>42</v>
      </c>
      <c r="AF524" s="148">
        <v>5</v>
      </c>
      <c r="AG524" s="148">
        <v>129</v>
      </c>
      <c r="AH524" s="148">
        <v>62</v>
      </c>
      <c r="AI524" s="148">
        <v>220</v>
      </c>
      <c r="AJ524" s="148">
        <v>0</v>
      </c>
      <c r="AK524" s="147">
        <v>0</v>
      </c>
      <c r="AL524" s="148">
        <v>1</v>
      </c>
      <c r="AM524" s="148">
        <v>0</v>
      </c>
      <c r="AN524" s="148">
        <v>0</v>
      </c>
      <c r="AO524" s="149">
        <v>0</v>
      </c>
      <c r="AP524" s="169">
        <v>0</v>
      </c>
      <c r="AQ524" s="170">
        <v>955</v>
      </c>
      <c r="AR524" s="170" t="s">
        <v>284</v>
      </c>
      <c r="AS524" s="170" t="s">
        <v>284</v>
      </c>
      <c r="AT524" s="170" t="s">
        <v>284</v>
      </c>
      <c r="AU524" s="170" t="s">
        <v>284</v>
      </c>
      <c r="AV524" s="170" t="s">
        <v>284</v>
      </c>
      <c r="AW524" s="170" t="s">
        <v>284</v>
      </c>
      <c r="AX524" s="147">
        <v>0</v>
      </c>
      <c r="AY524" s="148">
        <v>0</v>
      </c>
      <c r="AZ524" s="148">
        <v>0</v>
      </c>
      <c r="BA524" s="148">
        <v>0</v>
      </c>
      <c r="BB524" s="149">
        <v>0</v>
      </c>
      <c r="BC524" s="87">
        <v>110</v>
      </c>
      <c r="BD524" s="148"/>
      <c r="BE524" s="148"/>
      <c r="BF524" s="148"/>
      <c r="BG524" s="148"/>
      <c r="BH524" s="148"/>
      <c r="BI524" s="148"/>
      <c r="BJ524" s="148"/>
      <c r="BK524" s="148"/>
      <c r="BL524" s="148"/>
      <c r="BM524" s="148"/>
      <c r="BN524" s="148"/>
      <c r="BO524" s="148"/>
      <c r="BP524" s="148"/>
      <c r="BQ524" s="148"/>
      <c r="BR524" s="148"/>
      <c r="BS524" s="149"/>
      <c r="BT524" s="147"/>
      <c r="BU524" s="148"/>
      <c r="BV524" s="148"/>
      <c r="BW524" s="148"/>
      <c r="BX524" s="148"/>
      <c r="BY524" s="148"/>
      <c r="BZ524" s="148"/>
      <c r="CA524" s="148"/>
      <c r="CB524" s="148"/>
      <c r="CC524" s="148"/>
      <c r="CD524" s="148"/>
      <c r="CE524" s="147"/>
      <c r="CF524" s="148"/>
      <c r="CG524" s="148"/>
      <c r="CH524" s="148"/>
      <c r="CI524" s="148"/>
      <c r="CJ524" s="148"/>
      <c r="CK524" s="149"/>
      <c r="CL524" s="147"/>
      <c r="CM524" s="148"/>
      <c r="CN524" s="148"/>
      <c r="CO524" s="149"/>
      <c r="CP524" s="147"/>
      <c r="CQ524" s="148"/>
      <c r="CR524" s="149"/>
      <c r="CS524" s="147"/>
      <c r="CT524" s="148"/>
      <c r="CU524" s="148"/>
      <c r="CV524" s="148"/>
      <c r="CW524" s="148"/>
      <c r="CX524" s="148"/>
      <c r="CY524" s="147"/>
      <c r="CZ524" s="148"/>
      <c r="DA524" s="148"/>
      <c r="DB524" s="148"/>
      <c r="DC524" s="148"/>
      <c r="DD524" s="148"/>
      <c r="DE524" s="148"/>
      <c r="DF524" s="148"/>
      <c r="DG524" s="149"/>
      <c r="DH524" s="147"/>
      <c r="DI524" s="148"/>
      <c r="DJ524" s="148"/>
      <c r="DK524" s="148"/>
      <c r="DL524" s="148"/>
      <c r="DM524" s="148"/>
      <c r="DN524" s="148"/>
      <c r="DO524" s="148"/>
      <c r="DP524" s="148"/>
      <c r="DQ524" s="147"/>
      <c r="DR524" s="148"/>
      <c r="DS524" s="148"/>
      <c r="DT524" s="148"/>
      <c r="DU524" s="148"/>
      <c r="DV524" s="148"/>
      <c r="DW524" s="148"/>
      <c r="DX524" s="148"/>
      <c r="DY524" s="148"/>
      <c r="DZ524" s="148"/>
      <c r="EA524" s="148"/>
      <c r="EB524" s="148"/>
      <c r="EC524" s="148"/>
      <c r="ED524" s="148"/>
      <c r="EE524" s="149"/>
      <c r="EF524" s="147"/>
      <c r="EG524" s="148"/>
      <c r="EH524" s="148"/>
      <c r="EI524" s="147"/>
      <c r="EJ524" s="148"/>
      <c r="EK524" s="149"/>
      <c r="EL524" s="147"/>
      <c r="EM524" s="148"/>
      <c r="EN524" s="148"/>
      <c r="EO524" s="149"/>
      <c r="EP524" s="147"/>
      <c r="EQ524" s="149"/>
      <c r="ER524" s="147"/>
      <c r="ES524" s="149"/>
      <c r="ET524" s="147"/>
      <c r="EU524" s="149"/>
    </row>
    <row r="525" spans="1:151">
      <c r="A525" s="42" t="s">
        <v>327</v>
      </c>
      <c r="B525" s="173" t="s">
        <v>186</v>
      </c>
      <c r="C525" s="173" t="s">
        <v>515</v>
      </c>
      <c r="D525" s="83" t="s">
        <v>65</v>
      </c>
      <c r="F525" s="49" t="s">
        <v>286</v>
      </c>
      <c r="G525" s="49">
        <v>84.28</v>
      </c>
      <c r="H525" s="49">
        <v>3423</v>
      </c>
      <c r="I525" s="49">
        <v>2031</v>
      </c>
      <c r="J525" s="159">
        <v>3.3024390243902437</v>
      </c>
      <c r="K525" s="49">
        <v>1</v>
      </c>
      <c r="L525" s="49">
        <v>3</v>
      </c>
      <c r="M525" s="83">
        <v>0</v>
      </c>
      <c r="N525" s="49">
        <v>0</v>
      </c>
      <c r="O525" s="49">
        <v>0</v>
      </c>
      <c r="P525" s="49">
        <v>0</v>
      </c>
      <c r="Q525" s="58">
        <v>0</v>
      </c>
      <c r="R525" s="42">
        <v>0</v>
      </c>
      <c r="S525" s="83">
        <v>1</v>
      </c>
      <c r="U525" s="83">
        <v>1</v>
      </c>
      <c r="V525" s="49">
        <v>3</v>
      </c>
      <c r="W525" s="49">
        <v>2</v>
      </c>
      <c r="X525" s="58"/>
      <c r="Y525" s="83">
        <v>10</v>
      </c>
      <c r="Z525" s="49">
        <v>3</v>
      </c>
      <c r="AA525" s="49">
        <v>33</v>
      </c>
      <c r="AD525" s="49">
        <v>7</v>
      </c>
      <c r="AE525" s="49">
        <v>33</v>
      </c>
      <c r="AF525" s="49">
        <v>5</v>
      </c>
      <c r="AG525" s="49">
        <v>203</v>
      </c>
      <c r="AH525" s="49">
        <v>14</v>
      </c>
      <c r="AI525" s="49">
        <v>225</v>
      </c>
      <c r="AJ525" s="49">
        <v>0</v>
      </c>
      <c r="AK525" s="83">
        <v>0</v>
      </c>
      <c r="AL525" s="49">
        <v>1</v>
      </c>
      <c r="AM525" s="49">
        <v>0</v>
      </c>
      <c r="AN525" s="49">
        <v>0</v>
      </c>
      <c r="AO525" s="58">
        <v>0</v>
      </c>
      <c r="AP525" s="174">
        <v>0</v>
      </c>
      <c r="AQ525" s="175">
        <v>306</v>
      </c>
      <c r="AR525" s="175">
        <v>0</v>
      </c>
      <c r="AS525" s="175">
        <v>0</v>
      </c>
      <c r="AT525" s="175">
        <v>0</v>
      </c>
      <c r="AU525" s="175">
        <v>0</v>
      </c>
      <c r="AV525" s="175">
        <v>0</v>
      </c>
      <c r="AW525" s="175">
        <v>0</v>
      </c>
      <c r="AX525" s="83">
        <v>0</v>
      </c>
      <c r="AY525" s="49">
        <v>0</v>
      </c>
      <c r="AZ525" s="49">
        <v>0</v>
      </c>
      <c r="BA525" s="49">
        <v>0</v>
      </c>
      <c r="BB525" s="58">
        <v>0</v>
      </c>
      <c r="BC525" s="42">
        <v>136</v>
      </c>
      <c r="BD525" s="49">
        <v>78.27</v>
      </c>
      <c r="BE525" s="49">
        <v>77.78</v>
      </c>
      <c r="BS525" s="58"/>
      <c r="BT525" s="83"/>
      <c r="CE525" s="83"/>
      <c r="CK525" s="58"/>
      <c r="CL525" s="83">
        <v>60.94</v>
      </c>
      <c r="CO525" s="58"/>
      <c r="CP525" s="83">
        <v>65.430000000000007</v>
      </c>
      <c r="CR525" s="58"/>
      <c r="CS525" s="83"/>
      <c r="CY525" s="83"/>
      <c r="DG525" s="58"/>
      <c r="DH525" s="83"/>
      <c r="DQ525" s="83"/>
      <c r="EE525" s="58"/>
      <c r="EF525" s="83"/>
      <c r="EI525" s="83"/>
      <c r="EK525" s="58"/>
      <c r="EL525" s="83"/>
      <c r="EO525" s="58"/>
      <c r="EP525" s="83"/>
      <c r="EQ525" s="58"/>
      <c r="ER525" s="83"/>
      <c r="ES525" s="58"/>
      <c r="ET525" s="83"/>
      <c r="EU525" s="58"/>
    </row>
    <row r="526" spans="1:151">
      <c r="A526" s="42" t="s">
        <v>327</v>
      </c>
      <c r="B526" s="173" t="s">
        <v>186</v>
      </c>
      <c r="C526" s="173" t="s">
        <v>515</v>
      </c>
      <c r="D526" s="83" t="s">
        <v>66</v>
      </c>
      <c r="F526" s="49" t="s">
        <v>286</v>
      </c>
      <c r="G526" s="49">
        <v>84.28</v>
      </c>
      <c r="H526" s="49">
        <v>3423</v>
      </c>
      <c r="I526" s="49">
        <v>1115</v>
      </c>
      <c r="J526" s="159">
        <v>1.7394695787831513</v>
      </c>
      <c r="K526" s="49">
        <v>1</v>
      </c>
      <c r="L526" s="49">
        <v>3</v>
      </c>
      <c r="M526" s="83">
        <v>0</v>
      </c>
      <c r="N526" s="49">
        <v>0</v>
      </c>
      <c r="O526" s="49">
        <v>1</v>
      </c>
      <c r="P526" s="49">
        <v>1</v>
      </c>
      <c r="Q526" s="58">
        <v>0</v>
      </c>
      <c r="R526" s="42">
        <v>2</v>
      </c>
      <c r="S526" s="83">
        <v>1</v>
      </c>
      <c r="U526" s="83">
        <v>1</v>
      </c>
      <c r="V526" s="49">
        <v>3</v>
      </c>
      <c r="W526" s="49">
        <v>1</v>
      </c>
      <c r="X526" s="58">
        <v>2</v>
      </c>
      <c r="Y526" s="83">
        <v>10</v>
      </c>
      <c r="Z526" s="49">
        <v>2</v>
      </c>
      <c r="AA526" s="49">
        <v>11</v>
      </c>
      <c r="AD526" s="49">
        <v>6</v>
      </c>
      <c r="AE526" s="49">
        <v>181</v>
      </c>
      <c r="AF526" s="49">
        <v>11</v>
      </c>
      <c r="AG526" s="49">
        <v>36</v>
      </c>
      <c r="AH526" s="49">
        <v>14</v>
      </c>
      <c r="AI526" s="49">
        <v>222</v>
      </c>
      <c r="AJ526" s="49">
        <v>0</v>
      </c>
      <c r="AK526" s="83">
        <v>0</v>
      </c>
      <c r="AL526" s="49">
        <v>1</v>
      </c>
      <c r="AM526" s="49">
        <v>0</v>
      </c>
      <c r="AN526" s="49">
        <v>0</v>
      </c>
      <c r="AO526" s="58">
        <v>0</v>
      </c>
      <c r="AP526" s="174">
        <v>0</v>
      </c>
      <c r="AQ526" s="175">
        <v>563</v>
      </c>
      <c r="AR526" s="175">
        <v>0</v>
      </c>
      <c r="AS526" s="175">
        <v>0</v>
      </c>
      <c r="AT526" s="175">
        <v>0</v>
      </c>
      <c r="AU526" s="175">
        <v>0</v>
      </c>
      <c r="AV526" s="175">
        <v>0</v>
      </c>
      <c r="AW526" s="175">
        <v>0</v>
      </c>
      <c r="AX526" s="83">
        <v>0</v>
      </c>
      <c r="AY526" s="49">
        <v>0</v>
      </c>
      <c r="AZ526" s="49">
        <v>0</v>
      </c>
      <c r="BA526" s="49">
        <v>0</v>
      </c>
      <c r="BB526" s="58">
        <v>0</v>
      </c>
      <c r="BC526" s="42">
        <v>92</v>
      </c>
      <c r="BE526" s="49"/>
      <c r="BS526" s="58"/>
      <c r="BT526" s="83">
        <v>77.11</v>
      </c>
      <c r="CE526" s="83"/>
      <c r="CK526" s="58"/>
      <c r="CL526" s="83">
        <v>61.01</v>
      </c>
      <c r="CM526" s="49">
        <v>61.5</v>
      </c>
      <c r="CO526" s="58"/>
      <c r="CP526" s="83"/>
      <c r="CR526" s="58"/>
      <c r="CS526" s="83"/>
      <c r="CY526" s="83"/>
      <c r="DG526" s="58"/>
      <c r="DH526" s="83"/>
      <c r="DQ526" s="83"/>
      <c r="EE526" s="58"/>
      <c r="EF526" s="83"/>
      <c r="EI526" s="83"/>
      <c r="EK526" s="58"/>
      <c r="EL526" s="83"/>
      <c r="EO526" s="58"/>
      <c r="EP526" s="83"/>
      <c r="EQ526" s="58"/>
      <c r="ER526" s="83"/>
      <c r="ES526" s="58"/>
      <c r="ET526" s="83"/>
      <c r="EU526" s="58"/>
    </row>
    <row r="527" spans="1:151">
      <c r="A527" s="42" t="s">
        <v>327</v>
      </c>
      <c r="B527" s="173" t="s">
        <v>186</v>
      </c>
      <c r="C527" s="173" t="s">
        <v>515</v>
      </c>
      <c r="D527" s="83" t="s">
        <v>68</v>
      </c>
      <c r="F527" s="49" t="s">
        <v>286</v>
      </c>
      <c r="G527" s="49">
        <v>84.28</v>
      </c>
      <c r="H527" s="49">
        <v>3423</v>
      </c>
      <c r="I527" s="49">
        <v>1212</v>
      </c>
      <c r="J527" s="159">
        <v>3.2493297587131367</v>
      </c>
      <c r="K527" s="49">
        <v>1</v>
      </c>
      <c r="L527" s="49">
        <v>2</v>
      </c>
      <c r="M527" s="83">
        <v>0</v>
      </c>
      <c r="N527" s="49">
        <v>1</v>
      </c>
      <c r="O527" s="49">
        <v>0</v>
      </c>
      <c r="P527" s="49">
        <v>0</v>
      </c>
      <c r="Q527" s="58">
        <v>0</v>
      </c>
      <c r="R527" s="42">
        <v>1</v>
      </c>
      <c r="S527" s="83">
        <v>1</v>
      </c>
      <c r="U527" s="83">
        <v>1</v>
      </c>
      <c r="V527" s="49">
        <v>2</v>
      </c>
      <c r="W527" s="49">
        <v>2</v>
      </c>
      <c r="X527" s="58"/>
      <c r="Y527" s="83">
        <v>1</v>
      </c>
      <c r="AA527" s="49">
        <v>3</v>
      </c>
      <c r="AD527" s="49">
        <v>2</v>
      </c>
      <c r="AE527" s="49">
        <v>237</v>
      </c>
      <c r="AH527" s="49">
        <v>19</v>
      </c>
      <c r="AI527" s="49">
        <v>57</v>
      </c>
      <c r="AJ527" s="49">
        <v>0</v>
      </c>
      <c r="AK527" s="83">
        <v>0</v>
      </c>
      <c r="AL527" s="49">
        <v>1</v>
      </c>
      <c r="AM527" s="49">
        <v>0</v>
      </c>
      <c r="AN527" s="49">
        <v>0</v>
      </c>
      <c r="AO527" s="58">
        <v>0</v>
      </c>
      <c r="AP527" s="174">
        <v>168</v>
      </c>
      <c r="AQ527" s="175">
        <v>416</v>
      </c>
      <c r="AR527" s="175">
        <v>0</v>
      </c>
      <c r="AS527" s="175">
        <v>0</v>
      </c>
      <c r="AT527" s="175">
        <v>0</v>
      </c>
      <c r="AU527" s="175">
        <v>0</v>
      </c>
      <c r="AV527" s="175">
        <v>0</v>
      </c>
      <c r="AW527" s="175">
        <v>0</v>
      </c>
      <c r="AX527" s="83">
        <v>0</v>
      </c>
      <c r="AY527" s="49">
        <v>0</v>
      </c>
      <c r="AZ527" s="49">
        <v>0</v>
      </c>
      <c r="BA527" s="49">
        <v>0</v>
      </c>
      <c r="BB527" s="58">
        <v>0</v>
      </c>
      <c r="BC527" s="42">
        <v>91</v>
      </c>
      <c r="BD527" s="49">
        <v>79.03</v>
      </c>
      <c r="BE527" s="49">
        <v>76.42</v>
      </c>
      <c r="BS527" s="58"/>
      <c r="BT527" s="83"/>
      <c r="CE527" s="83">
        <v>61.71</v>
      </c>
      <c r="CK527" s="58"/>
      <c r="CL527" s="83"/>
      <c r="CO527" s="58"/>
      <c r="CP527" s="83"/>
      <c r="CR527" s="58"/>
      <c r="CS527" s="83"/>
      <c r="CY527" s="83"/>
      <c r="DG527" s="58"/>
      <c r="DH527" s="83"/>
      <c r="DQ527" s="83"/>
      <c r="EE527" s="58"/>
      <c r="EF527" s="83"/>
      <c r="EI527" s="83"/>
      <c r="EK527" s="58"/>
      <c r="EL527" s="83"/>
      <c r="EO527" s="58"/>
      <c r="EP527" s="83"/>
      <c r="EQ527" s="58"/>
      <c r="ER527" s="83"/>
      <c r="ES527" s="58"/>
      <c r="ET527" s="83"/>
      <c r="EU527" s="58"/>
    </row>
    <row r="528" spans="1:151">
      <c r="A528" s="42" t="s">
        <v>327</v>
      </c>
      <c r="B528" s="173" t="s">
        <v>186</v>
      </c>
      <c r="C528" s="173" t="s">
        <v>515</v>
      </c>
      <c r="D528" s="83" t="s">
        <v>73</v>
      </c>
      <c r="F528" s="49" t="s">
        <v>286</v>
      </c>
      <c r="G528" s="49">
        <v>84.28</v>
      </c>
      <c r="H528" s="49">
        <v>3423</v>
      </c>
      <c r="I528" s="49">
        <v>1416</v>
      </c>
      <c r="J528" s="159">
        <v>2.2949756888168555</v>
      </c>
      <c r="K528" s="49">
        <v>1</v>
      </c>
      <c r="L528" s="49">
        <v>3</v>
      </c>
      <c r="M528" s="83">
        <v>0</v>
      </c>
      <c r="N528" s="49">
        <v>3</v>
      </c>
      <c r="O528" s="49">
        <v>1</v>
      </c>
      <c r="P528" s="49">
        <v>0</v>
      </c>
      <c r="Q528" s="58">
        <v>0</v>
      </c>
      <c r="R528" s="42">
        <v>4</v>
      </c>
      <c r="S528" s="83">
        <v>1</v>
      </c>
      <c r="U528" s="83">
        <v>1</v>
      </c>
      <c r="V528" s="49">
        <v>3</v>
      </c>
      <c r="W528" s="49">
        <v>1</v>
      </c>
      <c r="X528" s="58">
        <v>1</v>
      </c>
      <c r="Y528" s="83">
        <v>10</v>
      </c>
      <c r="Z528" s="49">
        <v>6</v>
      </c>
      <c r="AA528" s="49">
        <v>18</v>
      </c>
      <c r="AD528" s="49">
        <v>11</v>
      </c>
      <c r="AE528" s="49">
        <v>208</v>
      </c>
      <c r="AF528" s="49">
        <v>14</v>
      </c>
      <c r="AG528" s="49">
        <v>31</v>
      </c>
      <c r="AJ528" s="49">
        <v>0</v>
      </c>
      <c r="AK528" s="83">
        <v>0</v>
      </c>
      <c r="AL528" s="49">
        <v>0</v>
      </c>
      <c r="AM528" s="49">
        <v>0</v>
      </c>
      <c r="AN528" s="49">
        <v>0</v>
      </c>
      <c r="AO528" s="58">
        <v>0</v>
      </c>
      <c r="AP528" s="174" t="s">
        <v>284</v>
      </c>
      <c r="AQ528" s="175" t="s">
        <v>284</v>
      </c>
      <c r="AR528" s="175" t="s">
        <v>284</v>
      </c>
      <c r="AS528" s="175" t="s">
        <v>284</v>
      </c>
      <c r="AT528" s="175" t="s">
        <v>284</v>
      </c>
      <c r="AU528" s="175" t="s">
        <v>284</v>
      </c>
      <c r="AV528" s="175" t="s">
        <v>284</v>
      </c>
      <c r="AW528" s="175" t="s">
        <v>284</v>
      </c>
      <c r="AX528" s="83">
        <v>0</v>
      </c>
      <c r="AY528" s="49">
        <v>0</v>
      </c>
      <c r="AZ528" s="49">
        <v>0</v>
      </c>
      <c r="BA528" s="49">
        <v>0</v>
      </c>
      <c r="BB528" s="58">
        <v>0</v>
      </c>
      <c r="BC528" s="42">
        <v>88</v>
      </c>
      <c r="BE528" s="49"/>
      <c r="BS528" s="58"/>
      <c r="BT528" s="83"/>
      <c r="CE528" s="83"/>
      <c r="CK528" s="58"/>
      <c r="CL528" s="83"/>
      <c r="CO528" s="58"/>
      <c r="CP528" s="83"/>
      <c r="CR528" s="58"/>
      <c r="CS528" s="83"/>
      <c r="CY528" s="83"/>
      <c r="DG528" s="58"/>
      <c r="DH528" s="83"/>
      <c r="DQ528" s="83"/>
      <c r="EE528" s="58"/>
      <c r="EF528" s="83"/>
      <c r="EI528" s="83"/>
      <c r="EK528" s="58"/>
      <c r="EL528" s="83"/>
      <c r="EO528" s="58"/>
      <c r="EP528" s="83"/>
      <c r="EQ528" s="58"/>
      <c r="ER528" s="83"/>
      <c r="ES528" s="58"/>
      <c r="ET528" s="83"/>
      <c r="EU528" s="58"/>
    </row>
    <row r="529" spans="1:151">
      <c r="A529" s="42" t="s">
        <v>327</v>
      </c>
      <c r="B529" s="173" t="s">
        <v>186</v>
      </c>
      <c r="C529" s="173" t="s">
        <v>515</v>
      </c>
      <c r="D529" s="83" t="s">
        <v>81</v>
      </c>
      <c r="F529" s="49" t="s">
        <v>286</v>
      </c>
      <c r="G529" s="49">
        <v>84.28</v>
      </c>
      <c r="H529" s="49">
        <v>3423</v>
      </c>
      <c r="I529" s="49">
        <v>1200</v>
      </c>
      <c r="J529" s="159">
        <v>3.1914893617021276</v>
      </c>
      <c r="K529" s="49">
        <v>1</v>
      </c>
      <c r="L529" s="49">
        <v>2</v>
      </c>
      <c r="M529" s="83">
        <v>0</v>
      </c>
      <c r="N529" s="49">
        <v>2</v>
      </c>
      <c r="O529" s="49">
        <v>1</v>
      </c>
      <c r="P529" s="49">
        <v>1</v>
      </c>
      <c r="Q529" s="58">
        <v>0</v>
      </c>
      <c r="R529" s="42">
        <v>4</v>
      </c>
      <c r="S529" s="83">
        <v>1</v>
      </c>
      <c r="U529" s="83">
        <v>1</v>
      </c>
      <c r="V529" s="49">
        <v>2</v>
      </c>
      <c r="W529" s="49">
        <v>1</v>
      </c>
      <c r="X529" s="58">
        <v>1</v>
      </c>
      <c r="Y529" s="83">
        <v>5</v>
      </c>
      <c r="Z529" s="49">
        <v>3</v>
      </c>
      <c r="AA529" s="49">
        <v>14</v>
      </c>
      <c r="AD529" s="49">
        <v>5</v>
      </c>
      <c r="AE529" s="49">
        <v>120</v>
      </c>
      <c r="AF529" s="49">
        <v>6</v>
      </c>
      <c r="AG529" s="49">
        <v>132</v>
      </c>
      <c r="AJ529" s="49">
        <v>0</v>
      </c>
      <c r="AK529" s="83">
        <v>0</v>
      </c>
      <c r="AL529" s="49">
        <v>1</v>
      </c>
      <c r="AM529" s="49">
        <v>0</v>
      </c>
      <c r="AN529" s="49">
        <v>0</v>
      </c>
      <c r="AO529" s="58">
        <v>0</v>
      </c>
      <c r="AP529" s="174">
        <v>0</v>
      </c>
      <c r="AQ529" s="175">
        <v>532</v>
      </c>
      <c r="AR529" s="175">
        <v>0</v>
      </c>
      <c r="AS529" s="175">
        <v>0</v>
      </c>
      <c r="AT529" s="175">
        <v>0</v>
      </c>
      <c r="AU529" s="175">
        <v>0</v>
      </c>
      <c r="AV529" s="175">
        <v>0</v>
      </c>
      <c r="AW529" s="175">
        <v>0</v>
      </c>
      <c r="AX529" s="83">
        <v>0</v>
      </c>
      <c r="AY529" s="49">
        <v>0</v>
      </c>
      <c r="AZ529" s="49">
        <v>0</v>
      </c>
      <c r="BA529" s="49">
        <v>0</v>
      </c>
      <c r="BB529" s="58">
        <v>0</v>
      </c>
      <c r="BC529" s="42">
        <v>76</v>
      </c>
      <c r="BE529" s="49"/>
      <c r="BS529" s="58"/>
      <c r="BT529" s="83"/>
      <c r="CE529" s="83"/>
      <c r="CK529" s="58"/>
      <c r="CL529" s="83"/>
      <c r="CO529" s="58"/>
      <c r="CP529" s="83"/>
      <c r="CR529" s="58"/>
      <c r="CS529" s="83"/>
      <c r="CY529" s="83"/>
      <c r="DG529" s="58"/>
      <c r="DH529" s="83"/>
      <c r="DQ529" s="83"/>
      <c r="EE529" s="58"/>
      <c r="EF529" s="83"/>
      <c r="EI529" s="83"/>
      <c r="EK529" s="58"/>
      <c r="EL529" s="83"/>
      <c r="EO529" s="58"/>
      <c r="EP529" s="83"/>
      <c r="EQ529" s="58"/>
      <c r="ER529" s="83"/>
      <c r="ES529" s="58"/>
      <c r="ET529" s="83"/>
      <c r="EU529" s="58"/>
    </row>
    <row r="530" spans="1:151">
      <c r="A530" s="42" t="s">
        <v>327</v>
      </c>
      <c r="B530" s="173" t="s">
        <v>186</v>
      </c>
      <c r="C530" s="173" t="s">
        <v>515</v>
      </c>
      <c r="D530" s="83" t="s">
        <v>87</v>
      </c>
      <c r="F530" s="49" t="s">
        <v>286</v>
      </c>
      <c r="G530" s="49">
        <v>84.28</v>
      </c>
      <c r="H530" s="49">
        <v>3423</v>
      </c>
      <c r="I530" s="49">
        <v>1675</v>
      </c>
      <c r="J530" s="159">
        <v>2.4925595238095237</v>
      </c>
      <c r="K530" s="49">
        <v>1</v>
      </c>
      <c r="L530" s="49">
        <v>2</v>
      </c>
      <c r="M530" s="83">
        <v>0</v>
      </c>
      <c r="N530" s="49">
        <v>1</v>
      </c>
      <c r="O530" s="49">
        <v>1</v>
      </c>
      <c r="P530" s="49">
        <v>1</v>
      </c>
      <c r="Q530" s="58">
        <v>0</v>
      </c>
      <c r="R530" s="42">
        <v>3</v>
      </c>
      <c r="S530" s="83">
        <v>1</v>
      </c>
      <c r="U530" s="83">
        <v>1</v>
      </c>
      <c r="V530" s="49">
        <v>2</v>
      </c>
      <c r="W530" s="49">
        <v>1</v>
      </c>
      <c r="X530" s="58">
        <v>2</v>
      </c>
      <c r="Y530" s="83">
        <v>5</v>
      </c>
      <c r="AE530" s="49">
        <v>697</v>
      </c>
      <c r="AF530" s="49">
        <v>21</v>
      </c>
      <c r="AG530" s="49">
        <v>219</v>
      </c>
      <c r="AJ530" s="49">
        <v>0</v>
      </c>
      <c r="AK530" s="83">
        <v>0</v>
      </c>
      <c r="AL530" s="49">
        <v>1</v>
      </c>
      <c r="AM530" s="49">
        <v>0</v>
      </c>
      <c r="AN530" s="49">
        <v>0</v>
      </c>
      <c r="AO530" s="58">
        <v>0</v>
      </c>
      <c r="AP530" s="174">
        <v>242</v>
      </c>
      <c r="AQ530" s="175">
        <v>753</v>
      </c>
      <c r="AR530" s="175">
        <v>0</v>
      </c>
      <c r="AS530" s="175">
        <v>0</v>
      </c>
      <c r="AT530" s="175">
        <v>0</v>
      </c>
      <c r="AU530" s="175">
        <v>0</v>
      </c>
      <c r="AV530" s="175">
        <v>0</v>
      </c>
      <c r="AW530" s="175">
        <v>0</v>
      </c>
      <c r="AX530" s="83">
        <v>0</v>
      </c>
      <c r="AY530" s="49">
        <v>0</v>
      </c>
      <c r="AZ530" s="49">
        <v>0</v>
      </c>
      <c r="BA530" s="49">
        <v>0</v>
      </c>
      <c r="BB530" s="58">
        <v>0</v>
      </c>
      <c r="BC530" s="42">
        <v>134</v>
      </c>
      <c r="BE530" s="49"/>
      <c r="BS530" s="58"/>
      <c r="BT530" s="83">
        <v>73.040000000000006</v>
      </c>
      <c r="CE530" s="83"/>
      <c r="CK530" s="58"/>
      <c r="CL530" s="83">
        <v>65.94</v>
      </c>
      <c r="CO530" s="58"/>
      <c r="CP530" s="83"/>
      <c r="CR530" s="58"/>
      <c r="CS530" s="83"/>
      <c r="CY530" s="83"/>
      <c r="DG530" s="58"/>
      <c r="DH530" s="83">
        <v>73.819999999999993</v>
      </c>
      <c r="DI530" s="49">
        <v>70.8</v>
      </c>
      <c r="DJ530" s="49">
        <v>77.400000000000006</v>
      </c>
      <c r="DK530" s="49">
        <v>72.19</v>
      </c>
      <c r="DQ530" s="83">
        <v>75.989999999999995</v>
      </c>
      <c r="DR530" s="49">
        <v>75.75</v>
      </c>
      <c r="EE530" s="58"/>
      <c r="EF530" s="83"/>
      <c r="EI530" s="83"/>
      <c r="EK530" s="58"/>
      <c r="EL530" s="83"/>
      <c r="EO530" s="58"/>
      <c r="EP530" s="83"/>
      <c r="EQ530" s="58"/>
      <c r="ER530" s="83"/>
      <c r="ES530" s="58"/>
      <c r="ET530" s="83"/>
      <c r="EU530" s="58"/>
    </row>
    <row r="531" spans="1:151">
      <c r="A531" s="42" t="s">
        <v>327</v>
      </c>
      <c r="B531" s="173" t="s">
        <v>186</v>
      </c>
      <c r="C531" s="173" t="s">
        <v>515</v>
      </c>
      <c r="D531" s="83" t="s">
        <v>88</v>
      </c>
      <c r="F531" s="49" t="s">
        <v>286</v>
      </c>
      <c r="G531" s="49">
        <v>84.28</v>
      </c>
      <c r="H531" s="49">
        <v>3423</v>
      </c>
      <c r="I531" s="49">
        <v>1314</v>
      </c>
      <c r="J531" s="159">
        <v>1.2443181818181819</v>
      </c>
      <c r="K531" s="49">
        <v>4</v>
      </c>
      <c r="L531" s="49">
        <v>4</v>
      </c>
      <c r="M531" s="83">
        <v>1</v>
      </c>
      <c r="N531" s="49">
        <v>1</v>
      </c>
      <c r="O531" s="49">
        <v>1</v>
      </c>
      <c r="P531" s="49">
        <v>1</v>
      </c>
      <c r="Q531" s="58">
        <v>0</v>
      </c>
      <c r="R531" s="42">
        <v>4</v>
      </c>
      <c r="S531" s="83">
        <v>1</v>
      </c>
      <c r="U531" s="83">
        <v>2</v>
      </c>
      <c r="V531" s="49">
        <v>4</v>
      </c>
      <c r="W531" s="49">
        <v>1</v>
      </c>
      <c r="X531" s="58">
        <v>1</v>
      </c>
      <c r="Y531" s="83">
        <v>1</v>
      </c>
      <c r="Z531" s="49">
        <v>8</v>
      </c>
      <c r="AA531" s="49">
        <v>28</v>
      </c>
      <c r="AD531" s="49">
        <v>8</v>
      </c>
      <c r="AE531" s="49">
        <v>69</v>
      </c>
      <c r="AF531" s="49">
        <v>6</v>
      </c>
      <c r="AG531" s="49">
        <v>158</v>
      </c>
      <c r="AJ531" s="49">
        <v>0</v>
      </c>
      <c r="AK531" s="83">
        <v>0</v>
      </c>
      <c r="AL531" s="49">
        <v>1</v>
      </c>
      <c r="AM531" s="49">
        <v>0</v>
      </c>
      <c r="AN531" s="49">
        <v>0</v>
      </c>
      <c r="AO531" s="58">
        <v>0</v>
      </c>
      <c r="AP531" s="174">
        <v>666</v>
      </c>
      <c r="AQ531" s="175">
        <v>1036</v>
      </c>
      <c r="AR531" s="175">
        <v>0</v>
      </c>
      <c r="AS531" s="175">
        <v>0</v>
      </c>
      <c r="AT531" s="175">
        <v>0</v>
      </c>
      <c r="AU531" s="175">
        <v>0</v>
      </c>
      <c r="AV531" s="175">
        <v>0</v>
      </c>
      <c r="AW531" s="175">
        <v>0</v>
      </c>
      <c r="AX531" s="83">
        <v>0</v>
      </c>
      <c r="AY531" s="49">
        <v>0</v>
      </c>
      <c r="AZ531" s="49">
        <v>0</v>
      </c>
      <c r="BA531" s="49">
        <v>0</v>
      </c>
      <c r="BB531" s="58">
        <v>0</v>
      </c>
      <c r="BC531" s="42">
        <v>171</v>
      </c>
      <c r="BD531" s="49">
        <v>78.790000000000006</v>
      </c>
      <c r="BE531" s="49">
        <v>79.709999999999994</v>
      </c>
      <c r="BF531" s="49">
        <v>79.849999999999994</v>
      </c>
      <c r="BG531" s="49">
        <v>79.95</v>
      </c>
      <c r="BS531" s="58"/>
      <c r="BT531" s="83">
        <v>61.95</v>
      </c>
      <c r="CE531" s="83"/>
      <c r="CK531" s="58"/>
      <c r="CL531" s="83"/>
      <c r="CO531" s="58"/>
      <c r="CP531" s="83"/>
      <c r="CR531" s="58"/>
      <c r="CS531" s="83"/>
      <c r="CY531" s="83"/>
      <c r="DG531" s="58"/>
      <c r="DH531" s="83"/>
      <c r="DQ531" s="83"/>
      <c r="EE531" s="58"/>
      <c r="EF531" s="83"/>
      <c r="EI531" s="83"/>
      <c r="EK531" s="58"/>
      <c r="EL531" s="83"/>
      <c r="EO531" s="58"/>
      <c r="EP531" s="83"/>
      <c r="EQ531" s="58"/>
      <c r="ER531" s="83"/>
      <c r="ES531" s="58"/>
      <c r="ET531" s="83"/>
      <c r="EU531" s="58"/>
    </row>
    <row r="532" spans="1:151">
      <c r="A532" s="42" t="s">
        <v>327</v>
      </c>
      <c r="B532" s="173" t="s">
        <v>186</v>
      </c>
      <c r="C532" s="173" t="s">
        <v>515</v>
      </c>
      <c r="D532" s="83" t="s">
        <v>111</v>
      </c>
      <c r="F532" s="49" t="s">
        <v>287</v>
      </c>
      <c r="G532" s="49">
        <v>84.28</v>
      </c>
      <c r="H532" s="49">
        <v>3423</v>
      </c>
      <c r="I532" s="49">
        <v>983</v>
      </c>
      <c r="J532" s="159">
        <v>3.5487364620938626</v>
      </c>
      <c r="K532" s="49">
        <v>1</v>
      </c>
      <c r="L532" s="49">
        <v>2</v>
      </c>
      <c r="M532" s="83">
        <v>0</v>
      </c>
      <c r="N532" s="49">
        <v>3</v>
      </c>
      <c r="O532" s="49">
        <v>1</v>
      </c>
      <c r="P532" s="49">
        <v>0</v>
      </c>
      <c r="Q532" s="58">
        <v>0</v>
      </c>
      <c r="R532" s="42">
        <v>4</v>
      </c>
      <c r="S532" s="83">
        <v>1</v>
      </c>
      <c r="U532" s="83">
        <v>2</v>
      </c>
      <c r="V532" s="49">
        <v>3</v>
      </c>
      <c r="W532" s="49">
        <v>1</v>
      </c>
      <c r="X532" s="58">
        <v>1</v>
      </c>
      <c r="Y532" s="83">
        <v>1</v>
      </c>
      <c r="AD532" s="49">
        <v>10</v>
      </c>
      <c r="AE532" s="49">
        <v>31</v>
      </c>
      <c r="AH532" s="49">
        <v>15</v>
      </c>
      <c r="AI532" s="49">
        <v>22</v>
      </c>
      <c r="AJ532" s="49">
        <v>0</v>
      </c>
      <c r="AK532" s="83">
        <v>0</v>
      </c>
      <c r="AL532" s="49">
        <v>1</v>
      </c>
      <c r="AM532" s="49">
        <v>0</v>
      </c>
      <c r="AN532" s="49">
        <v>0</v>
      </c>
      <c r="AO532" s="58">
        <v>0</v>
      </c>
      <c r="AP532" s="174">
        <v>0</v>
      </c>
      <c r="AQ532" s="175">
        <v>577</v>
      </c>
      <c r="AR532" s="175">
        <v>0</v>
      </c>
      <c r="AS532" s="175">
        <v>0</v>
      </c>
      <c r="AT532" s="175">
        <v>0</v>
      </c>
      <c r="AU532" s="175">
        <v>0</v>
      </c>
      <c r="AV532" s="175">
        <v>0</v>
      </c>
      <c r="AW532" s="175">
        <v>0</v>
      </c>
      <c r="AX532" s="83">
        <v>0</v>
      </c>
      <c r="AY532" s="49">
        <v>0</v>
      </c>
      <c r="AZ532" s="49">
        <v>0</v>
      </c>
      <c r="BA532" s="49">
        <v>0</v>
      </c>
      <c r="BB532" s="58">
        <v>0</v>
      </c>
      <c r="BC532" s="42">
        <v>104</v>
      </c>
      <c r="BE532" s="49"/>
      <c r="BS532" s="58"/>
      <c r="BT532" s="83"/>
      <c r="CE532" s="83"/>
      <c r="CK532" s="58"/>
      <c r="CL532" s="83"/>
      <c r="CO532" s="58"/>
      <c r="CP532" s="83"/>
      <c r="CR532" s="58"/>
      <c r="CS532" s="83"/>
      <c r="CY532" s="83"/>
      <c r="DG532" s="58"/>
      <c r="DH532" s="83"/>
      <c r="DQ532" s="83"/>
      <c r="EE532" s="58"/>
      <c r="EF532" s="83"/>
      <c r="EI532" s="83"/>
      <c r="EK532" s="58"/>
      <c r="EL532" s="83"/>
      <c r="EO532" s="58"/>
      <c r="EP532" s="83"/>
      <c r="EQ532" s="58"/>
      <c r="ER532" s="83"/>
      <c r="ES532" s="58"/>
      <c r="ET532" s="83"/>
      <c r="EU532" s="58"/>
    </row>
    <row r="533" spans="1:151">
      <c r="A533" s="42" t="s">
        <v>327</v>
      </c>
      <c r="B533" s="173" t="s">
        <v>186</v>
      </c>
      <c r="C533" s="173" t="s">
        <v>515</v>
      </c>
      <c r="D533" s="83" t="s">
        <v>92</v>
      </c>
      <c r="F533" s="49" t="s">
        <v>286</v>
      </c>
      <c r="G533" s="49">
        <v>84.28</v>
      </c>
      <c r="H533" s="49">
        <v>3423</v>
      </c>
      <c r="I533" s="49">
        <v>1717</v>
      </c>
      <c r="J533" s="159">
        <v>2.6173780487804876</v>
      </c>
      <c r="K533" s="49">
        <v>1</v>
      </c>
      <c r="L533" s="49">
        <v>3</v>
      </c>
      <c r="M533" s="83">
        <v>0</v>
      </c>
      <c r="N533" s="49">
        <v>3</v>
      </c>
      <c r="O533" s="49">
        <v>1</v>
      </c>
      <c r="P533" s="49">
        <v>1</v>
      </c>
      <c r="Q533" s="58">
        <v>0</v>
      </c>
      <c r="R533" s="42">
        <v>5</v>
      </c>
      <c r="S533" s="83">
        <v>1</v>
      </c>
      <c r="U533" s="83">
        <v>2</v>
      </c>
      <c r="V533" s="49">
        <v>2</v>
      </c>
      <c r="W533" s="49">
        <v>3</v>
      </c>
      <c r="X533" s="58">
        <v>1</v>
      </c>
      <c r="Y533" s="83">
        <v>15</v>
      </c>
      <c r="AA533" s="49">
        <v>20</v>
      </c>
      <c r="AF533" s="49">
        <v>51</v>
      </c>
      <c r="AG533" s="49">
        <v>953</v>
      </c>
      <c r="AJ533" s="49">
        <v>0</v>
      </c>
      <c r="AK533" s="83">
        <v>0</v>
      </c>
      <c r="AL533" s="49">
        <v>0</v>
      </c>
      <c r="AM533" s="49">
        <v>0</v>
      </c>
      <c r="AN533" s="49">
        <v>0</v>
      </c>
      <c r="AO533" s="58">
        <v>0</v>
      </c>
      <c r="AP533" s="174" t="s">
        <v>284</v>
      </c>
      <c r="AQ533" s="175" t="s">
        <v>284</v>
      </c>
      <c r="AR533" s="175" t="s">
        <v>284</v>
      </c>
      <c r="AS533" s="175" t="s">
        <v>284</v>
      </c>
      <c r="AT533" s="175" t="s">
        <v>284</v>
      </c>
      <c r="AU533" s="175" t="s">
        <v>284</v>
      </c>
      <c r="AV533" s="175" t="s">
        <v>284</v>
      </c>
      <c r="AW533" s="175" t="s">
        <v>284</v>
      </c>
      <c r="AX533" s="83">
        <v>0</v>
      </c>
      <c r="AY533" s="49">
        <v>0</v>
      </c>
      <c r="AZ533" s="49">
        <v>0</v>
      </c>
      <c r="BA533" s="49">
        <v>0</v>
      </c>
      <c r="BB533" s="58">
        <v>0</v>
      </c>
      <c r="BC533" s="42">
        <v>121</v>
      </c>
      <c r="BE533" s="49"/>
      <c r="BS533" s="58"/>
      <c r="BT533" s="83">
        <v>73.7</v>
      </c>
      <c r="CE533" s="83"/>
      <c r="CK533" s="58"/>
      <c r="CL533" s="83">
        <v>56.89</v>
      </c>
      <c r="CM533" s="49">
        <v>60.81</v>
      </c>
      <c r="CO533" s="58"/>
      <c r="CP533" s="83"/>
      <c r="CR533" s="58"/>
      <c r="CS533" s="83"/>
      <c r="CY533" s="83"/>
      <c r="DG533" s="58"/>
      <c r="DH533" s="83">
        <v>74.459999999999994</v>
      </c>
      <c r="DQ533" s="83">
        <v>68.31</v>
      </c>
      <c r="EE533" s="58"/>
      <c r="EF533" s="83"/>
      <c r="EI533" s="83"/>
      <c r="EK533" s="58"/>
      <c r="EL533" s="83"/>
      <c r="EO533" s="58"/>
      <c r="EP533" s="83"/>
      <c r="EQ533" s="58"/>
      <c r="ER533" s="83"/>
      <c r="ES533" s="58"/>
      <c r="ET533" s="83"/>
      <c r="EU533" s="58"/>
    </row>
    <row r="534" spans="1:151">
      <c r="A534" s="42" t="s">
        <v>327</v>
      </c>
      <c r="B534" s="173" t="s">
        <v>186</v>
      </c>
      <c r="C534" s="173" t="s">
        <v>515</v>
      </c>
      <c r="D534" s="83" t="s">
        <v>95</v>
      </c>
      <c r="F534" s="49" t="s">
        <v>286</v>
      </c>
      <c r="G534" s="49">
        <v>84.28</v>
      </c>
      <c r="H534" s="49">
        <v>3423</v>
      </c>
      <c r="I534" s="49">
        <v>2165</v>
      </c>
      <c r="J534" s="159">
        <v>1.7558799675587997</v>
      </c>
      <c r="K534" s="49">
        <v>4</v>
      </c>
      <c r="L534" s="49">
        <v>3</v>
      </c>
      <c r="M534" s="83">
        <v>0</v>
      </c>
      <c r="N534" s="49">
        <v>3</v>
      </c>
      <c r="O534" s="49">
        <v>0</v>
      </c>
      <c r="P534" s="49">
        <v>1</v>
      </c>
      <c r="Q534" s="58">
        <v>0</v>
      </c>
      <c r="R534" s="42">
        <v>4</v>
      </c>
      <c r="S534" s="83">
        <v>1</v>
      </c>
      <c r="U534" s="83">
        <v>1</v>
      </c>
      <c r="V534" s="49">
        <v>3</v>
      </c>
      <c r="W534" s="49">
        <v>1</v>
      </c>
      <c r="X534" s="58">
        <v>2</v>
      </c>
      <c r="Y534" s="83">
        <v>20</v>
      </c>
      <c r="Z534" s="49">
        <v>5</v>
      </c>
      <c r="AA534" s="49">
        <v>23</v>
      </c>
      <c r="AD534" s="49">
        <v>13</v>
      </c>
      <c r="AE534" s="49">
        <v>257</v>
      </c>
      <c r="AF534" s="49">
        <v>38</v>
      </c>
      <c r="AG534" s="49">
        <v>91</v>
      </c>
      <c r="AH534" s="49">
        <v>56</v>
      </c>
      <c r="AI534" s="49">
        <v>233</v>
      </c>
      <c r="AJ534" s="49">
        <v>0</v>
      </c>
      <c r="AK534" s="83">
        <v>0</v>
      </c>
      <c r="AL534" s="49">
        <v>1</v>
      </c>
      <c r="AM534" s="49">
        <v>0</v>
      </c>
      <c r="AN534" s="49">
        <v>0</v>
      </c>
      <c r="AO534" s="58">
        <v>0</v>
      </c>
      <c r="AP534" s="174" t="s">
        <v>501</v>
      </c>
      <c r="AQ534" s="175" t="s">
        <v>501</v>
      </c>
      <c r="AR534" s="175" t="s">
        <v>284</v>
      </c>
      <c r="AS534" s="175" t="s">
        <v>284</v>
      </c>
      <c r="AT534" s="175" t="s">
        <v>284</v>
      </c>
      <c r="AU534" s="175" t="s">
        <v>284</v>
      </c>
      <c r="AV534" s="175" t="s">
        <v>284</v>
      </c>
      <c r="AW534" s="175" t="s">
        <v>284</v>
      </c>
      <c r="AX534" s="83">
        <v>0</v>
      </c>
      <c r="AY534" s="49">
        <v>0</v>
      </c>
      <c r="AZ534" s="49">
        <v>0</v>
      </c>
      <c r="BA534" s="49">
        <v>0</v>
      </c>
      <c r="BB534" s="58">
        <v>0</v>
      </c>
      <c r="BC534" s="42">
        <v>112</v>
      </c>
      <c r="BE534" s="49"/>
      <c r="BS534" s="58"/>
      <c r="BT534" s="83"/>
      <c r="CE534" s="83"/>
      <c r="CK534" s="58"/>
      <c r="CL534" s="83"/>
      <c r="CO534" s="58"/>
      <c r="CP534" s="83"/>
      <c r="CR534" s="58"/>
      <c r="CS534" s="83"/>
      <c r="CY534" s="83"/>
      <c r="DG534" s="58"/>
      <c r="DH534" s="83"/>
      <c r="DQ534" s="83"/>
      <c r="EE534" s="58"/>
      <c r="EF534" s="83"/>
      <c r="EI534" s="83"/>
      <c r="EK534" s="58"/>
      <c r="EL534" s="83"/>
      <c r="EO534" s="58"/>
      <c r="EP534" s="83"/>
      <c r="EQ534" s="58"/>
      <c r="ER534" s="83"/>
      <c r="ES534" s="58"/>
      <c r="ET534" s="83"/>
      <c r="EU534" s="58"/>
    </row>
    <row r="535" spans="1:151">
      <c r="A535" s="42" t="s">
        <v>327</v>
      </c>
      <c r="B535" s="173" t="s">
        <v>186</v>
      </c>
      <c r="C535" s="173" t="s">
        <v>515</v>
      </c>
      <c r="D535" s="83" t="s">
        <v>96</v>
      </c>
      <c r="F535" s="49" t="s">
        <v>287</v>
      </c>
      <c r="G535" s="49">
        <v>84.28</v>
      </c>
      <c r="H535" s="49">
        <v>3423</v>
      </c>
      <c r="I535" s="49">
        <v>947</v>
      </c>
      <c r="J535" s="159">
        <v>1.3338028169014085</v>
      </c>
      <c r="K535" s="49">
        <v>1</v>
      </c>
      <c r="L535" s="49">
        <v>3</v>
      </c>
      <c r="M535" s="83">
        <v>0</v>
      </c>
      <c r="N535" s="49">
        <v>3</v>
      </c>
      <c r="O535" s="49">
        <v>1</v>
      </c>
      <c r="P535" s="49">
        <v>1</v>
      </c>
      <c r="Q535" s="58">
        <v>0</v>
      </c>
      <c r="R535" s="42">
        <v>5</v>
      </c>
      <c r="S535" s="83">
        <v>1</v>
      </c>
      <c r="U535" s="83">
        <v>2</v>
      </c>
      <c r="V535" s="49">
        <v>1</v>
      </c>
      <c r="W535" s="49">
        <v>1</v>
      </c>
      <c r="X535" s="58">
        <v>2</v>
      </c>
      <c r="Y535" s="83">
        <v>5</v>
      </c>
      <c r="Z535" s="49">
        <v>3</v>
      </c>
      <c r="AA535" s="49">
        <v>21</v>
      </c>
      <c r="AD535" s="49">
        <v>4</v>
      </c>
      <c r="AE535" s="49">
        <v>172</v>
      </c>
      <c r="AF535" s="49">
        <v>6</v>
      </c>
      <c r="AG535" s="49">
        <v>136</v>
      </c>
      <c r="AI535" s="49">
        <v>65</v>
      </c>
      <c r="AJ535" s="49">
        <v>0</v>
      </c>
      <c r="AK535" s="83">
        <v>0</v>
      </c>
      <c r="AL535" s="49">
        <v>1</v>
      </c>
      <c r="AM535" s="49">
        <v>0</v>
      </c>
      <c r="AN535" s="49">
        <v>0</v>
      </c>
      <c r="AO535" s="58">
        <v>0</v>
      </c>
      <c r="AP535" s="174">
        <v>219</v>
      </c>
      <c r="AQ535" s="175">
        <v>581</v>
      </c>
      <c r="AR535" s="175">
        <v>0</v>
      </c>
      <c r="AS535" s="175">
        <v>0</v>
      </c>
      <c r="AT535" s="175">
        <v>0</v>
      </c>
      <c r="AU535" s="175">
        <v>0</v>
      </c>
      <c r="AV535" s="175">
        <v>0</v>
      </c>
      <c r="AW535" s="175">
        <v>0</v>
      </c>
      <c r="AX535" s="83">
        <v>0</v>
      </c>
      <c r="AY535" s="49">
        <v>1</v>
      </c>
      <c r="AZ535" s="49">
        <v>0</v>
      </c>
      <c r="BA535" s="49">
        <v>0</v>
      </c>
      <c r="BB535" s="58">
        <v>1</v>
      </c>
      <c r="BC535" s="42">
        <v>130</v>
      </c>
      <c r="BE535" s="49"/>
      <c r="BS535" s="58"/>
      <c r="BT535" s="83"/>
      <c r="CE535" s="83"/>
      <c r="CK535" s="58"/>
      <c r="CL535" s="83"/>
      <c r="CO535" s="58"/>
      <c r="CP535" s="83"/>
      <c r="CR535" s="58"/>
      <c r="CS535" s="83"/>
      <c r="CY535" s="83"/>
      <c r="DG535" s="58"/>
      <c r="DH535" s="83"/>
      <c r="DQ535" s="83"/>
      <c r="EE535" s="58"/>
      <c r="EF535" s="83"/>
      <c r="EI535" s="83"/>
      <c r="EK535" s="58"/>
      <c r="EL535" s="83"/>
      <c r="EO535" s="58"/>
      <c r="EP535" s="83"/>
      <c r="EQ535" s="58"/>
      <c r="ER535" s="83"/>
      <c r="ES535" s="58"/>
      <c r="ET535" s="83"/>
      <c r="EU535" s="58"/>
    </row>
    <row r="536" spans="1:151">
      <c r="A536" s="42" t="s">
        <v>327</v>
      </c>
      <c r="B536" s="173" t="s">
        <v>186</v>
      </c>
      <c r="C536" s="173" t="s">
        <v>515</v>
      </c>
      <c r="D536" s="83" t="s">
        <v>98</v>
      </c>
      <c r="E536" s="49" t="s">
        <v>0</v>
      </c>
      <c r="F536" s="49" t="s">
        <v>286</v>
      </c>
      <c r="G536" s="49">
        <v>84.28</v>
      </c>
      <c r="H536" s="49">
        <v>3423</v>
      </c>
      <c r="I536" s="49">
        <v>2742</v>
      </c>
      <c r="J536" s="159">
        <v>3.6805369127516778</v>
      </c>
      <c r="K536" s="49">
        <v>1</v>
      </c>
      <c r="L536" s="49">
        <v>3</v>
      </c>
      <c r="M536" s="83">
        <v>0</v>
      </c>
      <c r="N536" s="49">
        <v>3</v>
      </c>
      <c r="O536" s="49">
        <v>0</v>
      </c>
      <c r="P536" s="49">
        <v>1</v>
      </c>
      <c r="Q536" s="58">
        <v>0</v>
      </c>
      <c r="R536" s="42">
        <v>4</v>
      </c>
      <c r="S536" s="83">
        <v>1</v>
      </c>
      <c r="U536" s="83">
        <v>1</v>
      </c>
      <c r="V536" s="49">
        <v>3</v>
      </c>
      <c r="W536" s="49">
        <v>2</v>
      </c>
      <c r="X536" s="58"/>
      <c r="Y536" s="83">
        <v>5</v>
      </c>
      <c r="Z536" s="49">
        <v>5</v>
      </c>
      <c r="AA536" s="49">
        <v>8</v>
      </c>
      <c r="AD536" s="49">
        <v>7</v>
      </c>
      <c r="AE536" s="49">
        <v>68</v>
      </c>
      <c r="AF536" s="49">
        <v>30</v>
      </c>
      <c r="AG536" s="49">
        <v>268</v>
      </c>
      <c r="AH536" s="49">
        <v>25</v>
      </c>
      <c r="AI536" s="49">
        <v>157</v>
      </c>
      <c r="AJ536" s="49">
        <v>0</v>
      </c>
      <c r="AK536" s="83">
        <v>0</v>
      </c>
      <c r="AL536" s="49">
        <v>1</v>
      </c>
      <c r="AM536" s="49">
        <v>0</v>
      </c>
      <c r="AN536" s="49">
        <v>0</v>
      </c>
      <c r="AO536" s="58">
        <v>0</v>
      </c>
      <c r="AP536" s="174">
        <v>0</v>
      </c>
      <c r="AQ536" s="175">
        <v>730</v>
      </c>
      <c r="AR536" s="175" t="s">
        <v>284</v>
      </c>
      <c r="AS536" s="175" t="s">
        <v>284</v>
      </c>
      <c r="AT536" s="175" t="s">
        <v>284</v>
      </c>
      <c r="AU536" s="175" t="s">
        <v>284</v>
      </c>
      <c r="AV536" s="175" t="s">
        <v>284</v>
      </c>
      <c r="AW536" s="175" t="s">
        <v>284</v>
      </c>
      <c r="AX536" s="83">
        <v>0</v>
      </c>
      <c r="AY536" s="49">
        <v>0</v>
      </c>
      <c r="AZ536" s="49">
        <v>0</v>
      </c>
      <c r="BA536" s="49">
        <v>0</v>
      </c>
      <c r="BB536" s="58">
        <v>0</v>
      </c>
      <c r="BC536" s="42">
        <v>137</v>
      </c>
      <c r="BD536" s="49">
        <v>59.38</v>
      </c>
      <c r="BE536" s="49">
        <v>60.6</v>
      </c>
      <c r="BF536" s="49">
        <v>59.1</v>
      </c>
      <c r="BS536" s="58"/>
      <c r="BT536" s="83">
        <v>71.78</v>
      </c>
      <c r="CE536" s="83"/>
      <c r="CK536" s="58"/>
      <c r="CL536" s="83"/>
      <c r="CO536" s="58"/>
      <c r="CP536" s="83"/>
      <c r="CR536" s="58"/>
      <c r="CS536" s="83"/>
      <c r="CY536" s="83"/>
      <c r="DG536" s="58"/>
      <c r="DH536" s="83"/>
      <c r="DQ536" s="83"/>
      <c r="EE536" s="58"/>
      <c r="EF536" s="83"/>
      <c r="EI536" s="83"/>
      <c r="EK536" s="58"/>
      <c r="EL536" s="83"/>
      <c r="EO536" s="58"/>
      <c r="EP536" s="83"/>
      <c r="EQ536" s="58"/>
      <c r="ER536" s="83"/>
      <c r="ES536" s="58"/>
      <c r="ET536" s="83"/>
      <c r="EU536" s="58"/>
    </row>
    <row r="537" spans="1:151">
      <c r="A537" s="42" t="s">
        <v>327</v>
      </c>
      <c r="B537" s="173" t="s">
        <v>186</v>
      </c>
      <c r="C537" s="173" t="s">
        <v>515</v>
      </c>
      <c r="D537" s="83" t="s">
        <v>98</v>
      </c>
      <c r="E537" s="49" t="s">
        <v>1</v>
      </c>
      <c r="F537" s="49" t="s">
        <v>287</v>
      </c>
      <c r="G537" s="49">
        <v>84.28</v>
      </c>
      <c r="I537" s="49">
        <v>407</v>
      </c>
      <c r="J537" s="159">
        <v>1.3257328990228012</v>
      </c>
      <c r="K537" s="49">
        <v>1</v>
      </c>
      <c r="L537" s="49">
        <v>2</v>
      </c>
      <c r="M537" s="83">
        <v>0</v>
      </c>
      <c r="N537" s="49">
        <v>1</v>
      </c>
      <c r="O537" s="49">
        <v>0</v>
      </c>
      <c r="P537" s="49">
        <v>0</v>
      </c>
      <c r="Q537" s="58">
        <v>0</v>
      </c>
      <c r="R537" s="42">
        <v>1</v>
      </c>
      <c r="S537" s="83">
        <v>1</v>
      </c>
      <c r="U537" s="83">
        <v>1</v>
      </c>
      <c r="V537" s="49">
        <v>3</v>
      </c>
      <c r="W537" s="49">
        <v>2</v>
      </c>
      <c r="X537" s="58"/>
      <c r="Y537" s="83">
        <v>0</v>
      </c>
      <c r="AJ537" s="49">
        <v>0</v>
      </c>
      <c r="AK537" s="83">
        <v>0</v>
      </c>
      <c r="AL537" s="49">
        <v>0</v>
      </c>
      <c r="AM537" s="49">
        <v>1</v>
      </c>
      <c r="AN537" s="49">
        <v>0</v>
      </c>
      <c r="AO537" s="58">
        <v>0</v>
      </c>
      <c r="AP537" s="174" t="s">
        <v>284</v>
      </c>
      <c r="AQ537" s="175" t="s">
        <v>284</v>
      </c>
      <c r="AR537" s="175">
        <v>0</v>
      </c>
      <c r="AS537" s="175">
        <v>26</v>
      </c>
      <c r="AT537" s="175" t="s">
        <v>284</v>
      </c>
      <c r="AU537" s="175" t="s">
        <v>284</v>
      </c>
      <c r="AV537" s="175" t="s">
        <v>284</v>
      </c>
      <c r="AW537" s="175" t="s">
        <v>284</v>
      </c>
      <c r="AX537" s="83">
        <v>0</v>
      </c>
      <c r="AY537" s="49">
        <v>1</v>
      </c>
      <c r="AZ537" s="49">
        <v>0</v>
      </c>
      <c r="BA537" s="49">
        <v>0</v>
      </c>
      <c r="BB537" s="58">
        <v>2</v>
      </c>
      <c r="BC537" s="42">
        <v>137</v>
      </c>
      <c r="BD537" s="49">
        <v>75.290000000000006</v>
      </c>
      <c r="BE537" s="49"/>
      <c r="BS537" s="58"/>
      <c r="BT537" s="83">
        <v>61.91</v>
      </c>
      <c r="CE537" s="83"/>
      <c r="CK537" s="58"/>
      <c r="CL537" s="83"/>
      <c r="CO537" s="58"/>
      <c r="CP537" s="83"/>
      <c r="CR537" s="58"/>
      <c r="CS537" s="83"/>
      <c r="CY537" s="83"/>
      <c r="DG537" s="58"/>
      <c r="DH537" s="83"/>
      <c r="DQ537" s="83"/>
      <c r="EE537" s="58"/>
      <c r="EF537" s="83"/>
      <c r="EI537" s="83"/>
      <c r="EK537" s="58"/>
      <c r="EL537" s="83"/>
      <c r="EO537" s="58"/>
      <c r="EP537" s="83"/>
      <c r="EQ537" s="58"/>
      <c r="ER537" s="83"/>
      <c r="ES537" s="58"/>
      <c r="ET537" s="83"/>
      <c r="EU537" s="58"/>
    </row>
    <row r="538" spans="1:151">
      <c r="A538" s="42" t="s">
        <v>327</v>
      </c>
      <c r="B538" s="173" t="s">
        <v>186</v>
      </c>
      <c r="C538" s="173" t="s">
        <v>515</v>
      </c>
      <c r="D538" s="83" t="s">
        <v>99</v>
      </c>
      <c r="F538" s="49" t="s">
        <v>286</v>
      </c>
      <c r="G538" s="49">
        <v>84.28</v>
      </c>
      <c r="H538" s="49">
        <v>3423</v>
      </c>
      <c r="I538" s="49">
        <v>2392</v>
      </c>
      <c r="J538" s="159">
        <v>4.5475285171102664</v>
      </c>
      <c r="K538" s="49">
        <v>1</v>
      </c>
      <c r="L538" s="49">
        <v>2</v>
      </c>
      <c r="M538" s="83">
        <v>0</v>
      </c>
      <c r="N538" s="49">
        <v>2</v>
      </c>
      <c r="O538" s="49">
        <v>0</v>
      </c>
      <c r="P538" s="49">
        <v>0</v>
      </c>
      <c r="Q538" s="58">
        <v>0</v>
      </c>
      <c r="R538" s="42">
        <v>2</v>
      </c>
      <c r="S538" s="83">
        <v>1</v>
      </c>
      <c r="U538" s="83">
        <v>1</v>
      </c>
      <c r="V538" s="49">
        <v>2</v>
      </c>
      <c r="W538" s="49">
        <v>2</v>
      </c>
      <c r="X538" s="58"/>
      <c r="Y538" s="83">
        <v>10</v>
      </c>
      <c r="Z538" s="49">
        <v>7</v>
      </c>
      <c r="AA538" s="49">
        <v>21</v>
      </c>
      <c r="AD538" s="49">
        <v>13</v>
      </c>
      <c r="AE538" s="49">
        <v>119</v>
      </c>
      <c r="AF538" s="49">
        <v>9</v>
      </c>
      <c r="AG538" s="49">
        <v>120</v>
      </c>
      <c r="AH538" s="49">
        <v>16</v>
      </c>
      <c r="AI538" s="49">
        <v>202</v>
      </c>
      <c r="AJ538" s="49">
        <v>0</v>
      </c>
      <c r="AK538" s="83">
        <v>0</v>
      </c>
      <c r="AL538" s="49">
        <v>1</v>
      </c>
      <c r="AM538" s="49">
        <v>0</v>
      </c>
      <c r="AN538" s="49">
        <v>0</v>
      </c>
      <c r="AO538" s="58">
        <v>0</v>
      </c>
      <c r="AP538" s="174" t="s">
        <v>501</v>
      </c>
      <c r="AQ538" s="175" t="s">
        <v>501</v>
      </c>
      <c r="AR538" s="175" t="s">
        <v>284</v>
      </c>
      <c r="AS538" s="175" t="s">
        <v>284</v>
      </c>
      <c r="AT538" s="175" t="s">
        <v>284</v>
      </c>
      <c r="AU538" s="175" t="s">
        <v>284</v>
      </c>
      <c r="AV538" s="175" t="s">
        <v>284</v>
      </c>
      <c r="AW538" s="175" t="s">
        <v>284</v>
      </c>
      <c r="AX538" s="83">
        <v>0</v>
      </c>
      <c r="AY538" s="49">
        <v>1</v>
      </c>
      <c r="AZ538" s="49">
        <v>0</v>
      </c>
      <c r="BA538" s="49">
        <v>0</v>
      </c>
      <c r="BB538" s="58">
        <v>1</v>
      </c>
      <c r="BC538" s="42">
        <v>115</v>
      </c>
      <c r="BE538" s="49"/>
      <c r="BS538" s="58"/>
      <c r="BT538" s="83"/>
      <c r="CE538" s="83"/>
      <c r="CK538" s="58"/>
      <c r="CL538" s="83"/>
      <c r="CO538" s="58"/>
      <c r="CP538" s="83"/>
      <c r="CR538" s="58"/>
      <c r="CS538" s="83"/>
      <c r="CY538" s="83"/>
      <c r="DG538" s="58"/>
      <c r="DH538" s="83"/>
      <c r="DQ538" s="83"/>
      <c r="EE538" s="58"/>
      <c r="EF538" s="83"/>
      <c r="EI538" s="83"/>
      <c r="EK538" s="58"/>
      <c r="EL538" s="83"/>
      <c r="EO538" s="58"/>
      <c r="EP538" s="83"/>
      <c r="EQ538" s="58"/>
      <c r="ER538" s="83"/>
      <c r="ES538" s="58"/>
      <c r="ET538" s="83"/>
      <c r="EU538" s="58"/>
    </row>
    <row r="539" spans="1:151">
      <c r="A539" s="42" t="s">
        <v>327</v>
      </c>
      <c r="B539" s="173" t="s">
        <v>186</v>
      </c>
      <c r="C539" s="173" t="s">
        <v>515</v>
      </c>
      <c r="D539" s="83" t="s">
        <v>100</v>
      </c>
      <c r="E539" s="49" t="s">
        <v>0</v>
      </c>
      <c r="F539" s="49" t="s">
        <v>286</v>
      </c>
      <c r="G539" s="49">
        <v>84.28</v>
      </c>
      <c r="H539" s="49">
        <v>3423</v>
      </c>
      <c r="I539" s="49">
        <v>2680</v>
      </c>
      <c r="J539" s="159">
        <v>2.1508828250401284</v>
      </c>
      <c r="K539" s="49">
        <v>1</v>
      </c>
      <c r="L539" s="49">
        <v>2</v>
      </c>
      <c r="M539" s="83">
        <v>1</v>
      </c>
      <c r="N539" s="49">
        <v>3</v>
      </c>
      <c r="O539" s="49">
        <v>1</v>
      </c>
      <c r="P539" s="49">
        <v>1</v>
      </c>
      <c r="Q539" s="58">
        <v>0</v>
      </c>
      <c r="R539" s="42">
        <v>6</v>
      </c>
      <c r="S539" s="83">
        <v>1</v>
      </c>
      <c r="U539" s="83">
        <v>2</v>
      </c>
      <c r="V539" s="49">
        <v>2</v>
      </c>
      <c r="W539" s="49">
        <v>3</v>
      </c>
      <c r="X539" s="58">
        <v>2</v>
      </c>
      <c r="Y539" s="83">
        <v>15</v>
      </c>
      <c r="AA539" s="49">
        <v>7</v>
      </c>
      <c r="AD539" s="49">
        <v>8</v>
      </c>
      <c r="AE539" s="49">
        <v>64</v>
      </c>
      <c r="AF539" s="49">
        <v>96</v>
      </c>
      <c r="AG539" s="49">
        <v>246</v>
      </c>
      <c r="AH539" s="49">
        <v>35</v>
      </c>
      <c r="AI539" s="49">
        <v>686</v>
      </c>
      <c r="AJ539" s="49">
        <v>0</v>
      </c>
      <c r="AK539" s="83">
        <v>0</v>
      </c>
      <c r="AL539" s="49">
        <v>1</v>
      </c>
      <c r="AM539" s="49">
        <v>0</v>
      </c>
      <c r="AN539" s="49">
        <v>0</v>
      </c>
      <c r="AO539" s="58">
        <v>0</v>
      </c>
      <c r="AP539" s="174" t="s">
        <v>501</v>
      </c>
      <c r="AQ539" s="175" t="s">
        <v>501</v>
      </c>
      <c r="AR539" s="175" t="s">
        <v>284</v>
      </c>
      <c r="AS539" s="175" t="s">
        <v>284</v>
      </c>
      <c r="AT539" s="175" t="s">
        <v>284</v>
      </c>
      <c r="AU539" s="175" t="s">
        <v>284</v>
      </c>
      <c r="AV539" s="175" t="s">
        <v>284</v>
      </c>
      <c r="AW539" s="175" t="s">
        <v>284</v>
      </c>
      <c r="AX539" s="83">
        <v>0</v>
      </c>
      <c r="AY539" s="49">
        <v>0</v>
      </c>
      <c r="AZ539" s="49">
        <v>0</v>
      </c>
      <c r="BA539" s="49">
        <v>0</v>
      </c>
      <c r="BB539" s="58">
        <v>0</v>
      </c>
      <c r="BC539" s="42">
        <v>136</v>
      </c>
      <c r="BE539" s="49"/>
      <c r="BS539" s="58"/>
      <c r="BT539" s="83"/>
      <c r="CE539" s="83"/>
      <c r="CK539" s="58"/>
      <c r="CL539" s="83"/>
      <c r="CO539" s="58"/>
      <c r="CP539" s="83"/>
      <c r="CR539" s="58"/>
      <c r="CS539" s="83"/>
      <c r="CY539" s="83"/>
      <c r="DG539" s="58"/>
      <c r="DH539" s="83"/>
      <c r="DQ539" s="83"/>
      <c r="EE539" s="58"/>
      <c r="EF539" s="83"/>
      <c r="EI539" s="83"/>
      <c r="EK539" s="58"/>
      <c r="EL539" s="83"/>
      <c r="EO539" s="58"/>
      <c r="EP539" s="83"/>
      <c r="EQ539" s="58"/>
      <c r="ER539" s="83"/>
      <c r="ES539" s="58"/>
      <c r="ET539" s="83"/>
      <c r="EU539" s="58"/>
    </row>
    <row r="540" spans="1:151">
      <c r="A540" s="42" t="s">
        <v>327</v>
      </c>
      <c r="B540" s="173" t="s">
        <v>186</v>
      </c>
      <c r="C540" s="173" t="s">
        <v>515</v>
      </c>
      <c r="D540" s="83" t="s">
        <v>100</v>
      </c>
      <c r="E540" s="49" t="s">
        <v>1</v>
      </c>
      <c r="F540" s="49" t="s">
        <v>287</v>
      </c>
      <c r="G540" s="49">
        <v>84.28</v>
      </c>
      <c r="H540" s="49">
        <v>3423</v>
      </c>
      <c r="I540" s="49">
        <v>963</v>
      </c>
      <c r="J540" s="159">
        <v>1.973360655737705</v>
      </c>
      <c r="K540" s="49">
        <v>1</v>
      </c>
      <c r="L540" s="49">
        <v>2</v>
      </c>
      <c r="M540" s="83">
        <v>0</v>
      </c>
      <c r="N540" s="49">
        <v>0</v>
      </c>
      <c r="O540" s="49">
        <v>1</v>
      </c>
      <c r="P540" s="49">
        <v>1</v>
      </c>
      <c r="Q540" s="58">
        <v>0</v>
      </c>
      <c r="R540" s="42">
        <v>2</v>
      </c>
      <c r="S540" s="83">
        <v>1</v>
      </c>
      <c r="U540" s="83">
        <v>1</v>
      </c>
      <c r="V540" s="49">
        <v>1</v>
      </c>
      <c r="W540" s="49">
        <v>1</v>
      </c>
      <c r="X540" s="58">
        <v>1</v>
      </c>
      <c r="Y540" s="83">
        <v>1</v>
      </c>
      <c r="AD540" s="49">
        <v>10</v>
      </c>
      <c r="AE540" s="49">
        <v>45</v>
      </c>
      <c r="AJ540" s="49">
        <v>0</v>
      </c>
      <c r="AK540" s="83">
        <v>0</v>
      </c>
      <c r="AL540" s="49">
        <v>0</v>
      </c>
      <c r="AM540" s="49">
        <v>0</v>
      </c>
      <c r="AN540" s="49">
        <v>0</v>
      </c>
      <c r="AO540" s="58">
        <v>0</v>
      </c>
      <c r="AP540" s="174" t="s">
        <v>284</v>
      </c>
      <c r="AQ540" s="175" t="s">
        <v>284</v>
      </c>
      <c r="AR540" s="175" t="s">
        <v>284</v>
      </c>
      <c r="AS540" s="175" t="s">
        <v>284</v>
      </c>
      <c r="AT540" s="175" t="s">
        <v>284</v>
      </c>
      <c r="AU540" s="175" t="s">
        <v>284</v>
      </c>
      <c r="AV540" s="175" t="s">
        <v>284</v>
      </c>
      <c r="AW540" s="175" t="s">
        <v>284</v>
      </c>
      <c r="AX540" s="83">
        <v>0</v>
      </c>
      <c r="AY540" s="49">
        <v>0</v>
      </c>
      <c r="AZ540" s="49">
        <v>0</v>
      </c>
      <c r="BA540" s="49">
        <v>0</v>
      </c>
      <c r="BB540" s="58">
        <v>0</v>
      </c>
      <c r="BC540" s="42">
        <v>136</v>
      </c>
      <c r="BE540" s="49"/>
      <c r="BS540" s="58"/>
      <c r="BT540" s="83"/>
      <c r="CE540" s="83"/>
      <c r="CK540" s="58"/>
      <c r="CL540" s="83"/>
      <c r="CO540" s="58"/>
      <c r="CP540" s="83"/>
      <c r="CR540" s="58"/>
      <c r="CS540" s="83"/>
      <c r="CY540" s="83"/>
      <c r="DG540" s="58"/>
      <c r="DH540" s="83"/>
      <c r="DQ540" s="83"/>
      <c r="EE540" s="58"/>
      <c r="EF540" s="83"/>
      <c r="EI540" s="83"/>
      <c r="EK540" s="58"/>
      <c r="EL540" s="83"/>
      <c r="EO540" s="58"/>
      <c r="EP540" s="83"/>
      <c r="EQ540" s="58"/>
      <c r="ER540" s="83"/>
      <c r="ES540" s="58"/>
      <c r="ET540" s="83"/>
      <c r="EU540" s="58"/>
    </row>
    <row r="541" spans="1:151">
      <c r="A541" s="42" t="s">
        <v>327</v>
      </c>
      <c r="B541" s="173" t="s">
        <v>186</v>
      </c>
      <c r="C541" s="173" t="s">
        <v>515</v>
      </c>
      <c r="D541" s="83" t="s">
        <v>114</v>
      </c>
      <c r="F541" s="49" t="s">
        <v>286</v>
      </c>
      <c r="G541" s="49">
        <v>84.28</v>
      </c>
      <c r="H541" s="49">
        <v>3423</v>
      </c>
      <c r="I541" s="49">
        <v>2722</v>
      </c>
      <c r="J541" s="159">
        <v>14.956043956043956</v>
      </c>
      <c r="K541" s="49">
        <v>3</v>
      </c>
      <c r="L541" s="49">
        <v>2</v>
      </c>
      <c r="M541" s="83">
        <v>0</v>
      </c>
      <c r="N541" s="49">
        <v>1</v>
      </c>
      <c r="O541" s="49">
        <v>1</v>
      </c>
      <c r="P541" s="49">
        <v>1</v>
      </c>
      <c r="Q541" s="58">
        <v>0</v>
      </c>
      <c r="R541" s="42">
        <v>3</v>
      </c>
      <c r="S541" s="83">
        <v>1</v>
      </c>
      <c r="U541" s="83">
        <v>2</v>
      </c>
      <c r="V541" s="49">
        <v>2</v>
      </c>
      <c r="W541" s="49">
        <v>1</v>
      </c>
      <c r="X541" s="58">
        <v>3</v>
      </c>
      <c r="Y541" s="83">
        <v>5</v>
      </c>
      <c r="AD541" s="49">
        <v>30</v>
      </c>
      <c r="AE541" s="49">
        <v>102</v>
      </c>
      <c r="AF541" s="49">
        <v>52</v>
      </c>
      <c r="AG541" s="49">
        <v>112</v>
      </c>
      <c r="AH541" s="49">
        <v>91</v>
      </c>
      <c r="AI541" s="49">
        <v>196</v>
      </c>
      <c r="AJ541" s="49">
        <v>0</v>
      </c>
      <c r="AK541" s="83">
        <v>0</v>
      </c>
      <c r="AL541" s="49">
        <v>1</v>
      </c>
      <c r="AM541" s="49">
        <v>0</v>
      </c>
      <c r="AN541" s="49">
        <v>0</v>
      </c>
      <c r="AO541" s="58">
        <v>0</v>
      </c>
      <c r="AP541" s="174">
        <v>0</v>
      </c>
      <c r="AQ541" s="175">
        <v>1801</v>
      </c>
      <c r="AR541" s="175" t="s">
        <v>284</v>
      </c>
      <c r="AS541" s="175" t="s">
        <v>284</v>
      </c>
      <c r="AT541" s="175" t="s">
        <v>284</v>
      </c>
      <c r="AU541" s="175" t="s">
        <v>284</v>
      </c>
      <c r="AV541" s="175" t="s">
        <v>284</v>
      </c>
      <c r="AW541" s="175" t="s">
        <v>284</v>
      </c>
      <c r="AX541" s="83">
        <v>0</v>
      </c>
      <c r="AY541" s="49">
        <v>0</v>
      </c>
      <c r="AZ541" s="49">
        <v>0</v>
      </c>
      <c r="BA541" s="49">
        <v>0</v>
      </c>
      <c r="BB541" s="58">
        <v>0</v>
      </c>
      <c r="BC541" s="42">
        <v>164</v>
      </c>
      <c r="BD541" s="49">
        <v>76.319999999999993</v>
      </c>
      <c r="BE541" s="49">
        <v>77.510000000000005</v>
      </c>
      <c r="BS541" s="58"/>
      <c r="BT541" s="83">
        <v>65.77</v>
      </c>
      <c r="CE541" s="83">
        <v>77.37</v>
      </c>
      <c r="CK541" s="58"/>
      <c r="CL541" s="83"/>
      <c r="CO541" s="58"/>
      <c r="CP541" s="83"/>
      <c r="CR541" s="58"/>
      <c r="CS541" s="83"/>
      <c r="CY541" s="83"/>
      <c r="DG541" s="58"/>
      <c r="DH541" s="83"/>
      <c r="DQ541" s="83"/>
      <c r="EE541" s="58"/>
      <c r="EF541" s="83"/>
      <c r="EI541" s="83"/>
      <c r="EK541" s="58"/>
      <c r="EL541" s="83"/>
      <c r="EO541" s="58"/>
      <c r="EP541" s="83"/>
      <c r="EQ541" s="58"/>
      <c r="ER541" s="83"/>
      <c r="ES541" s="58"/>
      <c r="ET541" s="83"/>
      <c r="EU541" s="58"/>
    </row>
    <row r="542" spans="1:151">
      <c r="A542" s="42" t="s">
        <v>327</v>
      </c>
      <c r="B542" s="173" t="s">
        <v>186</v>
      </c>
      <c r="C542" s="173" t="s">
        <v>515</v>
      </c>
      <c r="D542" s="83" t="s">
        <v>187</v>
      </c>
      <c r="E542" s="49" t="s">
        <v>1</v>
      </c>
      <c r="F542" s="49" t="s">
        <v>287</v>
      </c>
      <c r="G542" s="49">
        <v>84.28</v>
      </c>
      <c r="I542" s="49">
        <v>715</v>
      </c>
      <c r="J542" s="159">
        <v>2.0545977011494254</v>
      </c>
      <c r="K542" s="49">
        <v>4</v>
      </c>
      <c r="L542" s="49">
        <v>5</v>
      </c>
      <c r="M542" s="83">
        <v>0</v>
      </c>
      <c r="N542" s="49">
        <v>0</v>
      </c>
      <c r="O542" s="49">
        <v>1</v>
      </c>
      <c r="P542" s="49">
        <v>1</v>
      </c>
      <c r="Q542" s="58">
        <v>0</v>
      </c>
      <c r="R542" s="42">
        <v>2</v>
      </c>
      <c r="S542" s="83">
        <v>1</v>
      </c>
      <c r="U542" s="83">
        <v>3</v>
      </c>
      <c r="V542" s="49">
        <v>4</v>
      </c>
      <c r="W542" s="49">
        <v>3</v>
      </c>
      <c r="X542" s="58">
        <v>3</v>
      </c>
      <c r="Y542" s="83">
        <v>0</v>
      </c>
      <c r="AJ542" s="49">
        <v>0</v>
      </c>
      <c r="AK542" s="83">
        <v>0</v>
      </c>
      <c r="AL542" s="49">
        <v>0</v>
      </c>
      <c r="AM542" s="49">
        <v>0</v>
      </c>
      <c r="AN542" s="49">
        <v>0</v>
      </c>
      <c r="AO542" s="58">
        <v>0</v>
      </c>
      <c r="AP542" s="174">
        <v>0</v>
      </c>
      <c r="AQ542" s="175">
        <v>0</v>
      </c>
      <c r="AR542" s="175" t="s">
        <v>284</v>
      </c>
      <c r="AS542" s="175" t="s">
        <v>284</v>
      </c>
      <c r="AT542" s="175" t="s">
        <v>284</v>
      </c>
      <c r="AU542" s="175" t="s">
        <v>284</v>
      </c>
      <c r="AV542" s="175" t="s">
        <v>284</v>
      </c>
      <c r="AW542" s="175" t="s">
        <v>284</v>
      </c>
      <c r="AX542" s="83">
        <v>0</v>
      </c>
      <c r="AY542" s="49">
        <v>0</v>
      </c>
      <c r="AZ542" s="49">
        <v>0</v>
      </c>
      <c r="BA542" s="49">
        <v>0</v>
      </c>
      <c r="BB542" s="58">
        <v>0</v>
      </c>
      <c r="BC542" s="42">
        <v>164</v>
      </c>
      <c r="BD542" s="49">
        <v>70.2</v>
      </c>
      <c r="BE542" s="49"/>
      <c r="BS542" s="58"/>
      <c r="BT542" s="83">
        <v>62.73</v>
      </c>
      <c r="CE542" s="83"/>
      <c r="CK542" s="58"/>
      <c r="CL542" s="83"/>
      <c r="CO542" s="58"/>
      <c r="CP542" s="83"/>
      <c r="CR542" s="58"/>
      <c r="CS542" s="83"/>
      <c r="CY542" s="83"/>
      <c r="DG542" s="58"/>
      <c r="DH542" s="83"/>
      <c r="DQ542" s="83"/>
      <c r="EE542" s="58"/>
      <c r="EF542" s="83"/>
      <c r="EI542" s="83"/>
      <c r="EK542" s="58"/>
      <c r="EL542" s="83"/>
      <c r="EO542" s="58"/>
      <c r="EP542" s="83"/>
      <c r="EQ542" s="58"/>
      <c r="ER542" s="83"/>
      <c r="ES542" s="58"/>
      <c r="ET542" s="83"/>
      <c r="EU542" s="58"/>
    </row>
    <row r="543" spans="1:151">
      <c r="A543" s="42" t="s">
        <v>327</v>
      </c>
      <c r="B543" s="173" t="s">
        <v>186</v>
      </c>
      <c r="C543" s="173" t="s">
        <v>515</v>
      </c>
      <c r="D543" s="83" t="s">
        <v>119</v>
      </c>
      <c r="E543" s="49" t="s">
        <v>0</v>
      </c>
      <c r="F543" s="49" t="s">
        <v>287</v>
      </c>
      <c r="G543" s="49">
        <v>84.28</v>
      </c>
      <c r="H543" s="49">
        <v>3423</v>
      </c>
      <c r="I543" s="49">
        <v>570</v>
      </c>
      <c r="J543" s="159">
        <v>1.5119363395225465</v>
      </c>
      <c r="K543" s="49">
        <v>1</v>
      </c>
      <c r="L543" s="49">
        <v>2</v>
      </c>
      <c r="M543" s="83">
        <v>0</v>
      </c>
      <c r="N543" s="49">
        <v>1</v>
      </c>
      <c r="O543" s="49">
        <v>1</v>
      </c>
      <c r="P543" s="49">
        <v>0</v>
      </c>
      <c r="Q543" s="58">
        <v>0</v>
      </c>
      <c r="R543" s="42">
        <v>2</v>
      </c>
      <c r="S543" s="83">
        <v>1</v>
      </c>
      <c r="U543" s="83">
        <v>1</v>
      </c>
      <c r="V543" s="49">
        <v>2</v>
      </c>
      <c r="W543" s="49">
        <v>1</v>
      </c>
      <c r="X543" s="58">
        <v>1</v>
      </c>
      <c r="Y543" s="83">
        <v>6</v>
      </c>
      <c r="AA543" s="49">
        <v>12</v>
      </c>
      <c r="AD543" s="49">
        <v>2</v>
      </c>
      <c r="AE543" s="49">
        <v>54</v>
      </c>
      <c r="AH543" s="49">
        <v>3</v>
      </c>
      <c r="AI543" s="49">
        <v>35</v>
      </c>
      <c r="AJ543" s="49">
        <v>0</v>
      </c>
      <c r="AK543" s="83">
        <v>0</v>
      </c>
      <c r="AL543" s="49">
        <v>0</v>
      </c>
      <c r="AM543" s="49">
        <v>0</v>
      </c>
      <c r="AN543" s="49">
        <v>0</v>
      </c>
      <c r="AO543" s="58">
        <v>0</v>
      </c>
      <c r="AP543" s="174" t="s">
        <v>284</v>
      </c>
      <c r="AQ543" s="175" t="s">
        <v>284</v>
      </c>
      <c r="AR543" s="175" t="s">
        <v>284</v>
      </c>
      <c r="AS543" s="175" t="s">
        <v>284</v>
      </c>
      <c r="AT543" s="175" t="s">
        <v>284</v>
      </c>
      <c r="AU543" s="175" t="s">
        <v>284</v>
      </c>
      <c r="AV543" s="175" t="s">
        <v>284</v>
      </c>
      <c r="AW543" s="175" t="s">
        <v>284</v>
      </c>
      <c r="AX543" s="83">
        <v>0</v>
      </c>
      <c r="AY543" s="49">
        <v>0</v>
      </c>
      <c r="AZ543" s="49">
        <v>0</v>
      </c>
      <c r="BA543" s="49">
        <v>0</v>
      </c>
      <c r="BB543" s="58">
        <v>0</v>
      </c>
      <c r="BC543" s="42">
        <v>115</v>
      </c>
      <c r="BE543" s="49"/>
      <c r="BS543" s="58"/>
      <c r="BT543" s="83"/>
      <c r="CE543" s="83"/>
      <c r="CK543" s="58"/>
      <c r="CL543" s="83"/>
      <c r="CO543" s="58"/>
      <c r="CP543" s="83"/>
      <c r="CR543" s="58"/>
      <c r="CS543" s="83"/>
      <c r="CY543" s="83"/>
      <c r="DG543" s="58"/>
      <c r="DH543" s="83"/>
      <c r="DQ543" s="83"/>
      <c r="EE543" s="58"/>
      <c r="EF543" s="83"/>
      <c r="EI543" s="83"/>
      <c r="EK543" s="58"/>
      <c r="EL543" s="83"/>
      <c r="EO543" s="58"/>
      <c r="EP543" s="83"/>
      <c r="EQ543" s="58"/>
      <c r="ER543" s="83"/>
      <c r="ES543" s="58"/>
      <c r="ET543" s="83"/>
      <c r="EU543" s="58"/>
    </row>
    <row r="544" spans="1:151">
      <c r="A544" s="42" t="s">
        <v>327</v>
      </c>
      <c r="B544" s="173" t="s">
        <v>186</v>
      </c>
      <c r="C544" s="173" t="s">
        <v>515</v>
      </c>
      <c r="D544" s="83" t="s">
        <v>119</v>
      </c>
      <c r="E544" s="49" t="s">
        <v>70</v>
      </c>
      <c r="F544" s="49" t="s">
        <v>287</v>
      </c>
      <c r="G544" s="49">
        <v>84.28</v>
      </c>
      <c r="I544" s="49">
        <v>466</v>
      </c>
      <c r="J544" s="159">
        <v>6.2133333333333329</v>
      </c>
      <c r="K544" s="49">
        <v>2</v>
      </c>
      <c r="L544" s="49">
        <v>2</v>
      </c>
      <c r="M544" s="83">
        <v>0</v>
      </c>
      <c r="N544" s="49">
        <v>0</v>
      </c>
      <c r="O544" s="49">
        <v>0</v>
      </c>
      <c r="P544" s="49">
        <v>1</v>
      </c>
      <c r="Q544" s="58">
        <v>0</v>
      </c>
      <c r="R544" s="42">
        <v>1</v>
      </c>
      <c r="S544" s="83">
        <v>1</v>
      </c>
      <c r="U544" s="83">
        <v>0</v>
      </c>
      <c r="V544" s="49">
        <v>0</v>
      </c>
      <c r="W544" s="49">
        <v>0</v>
      </c>
      <c r="X544" s="58"/>
      <c r="Y544" s="83">
        <v>2</v>
      </c>
      <c r="AE544" s="49">
        <v>104</v>
      </c>
      <c r="AJ544" s="49">
        <v>0</v>
      </c>
      <c r="AK544" s="83">
        <v>0</v>
      </c>
      <c r="AL544" s="49">
        <v>1</v>
      </c>
      <c r="AM544" s="49">
        <v>1</v>
      </c>
      <c r="AN544" s="49">
        <v>0</v>
      </c>
      <c r="AO544" s="58">
        <v>0</v>
      </c>
      <c r="AP544" s="174">
        <v>79</v>
      </c>
      <c r="AQ544" s="175">
        <v>266</v>
      </c>
      <c r="AR544" s="175">
        <v>0</v>
      </c>
      <c r="AS544" s="175">
        <v>120</v>
      </c>
      <c r="AT544" s="175">
        <v>0</v>
      </c>
      <c r="AU544" s="175">
        <v>0</v>
      </c>
      <c r="AV544" s="175">
        <v>0</v>
      </c>
      <c r="AW544" s="175" t="s">
        <v>284</v>
      </c>
      <c r="AX544" s="83">
        <v>0</v>
      </c>
      <c r="AY544" s="49">
        <v>0</v>
      </c>
      <c r="AZ544" s="49">
        <v>0</v>
      </c>
      <c r="BA544" s="49">
        <v>0</v>
      </c>
      <c r="BB544" s="58">
        <v>0</v>
      </c>
      <c r="BC544" s="42">
        <v>115</v>
      </c>
      <c r="BD544" s="49">
        <v>59.94</v>
      </c>
      <c r="BE544" s="49"/>
      <c r="BS544" s="58"/>
      <c r="BT544" s="83"/>
      <c r="CE544" s="83"/>
      <c r="CK544" s="58"/>
      <c r="CL544" s="83"/>
      <c r="CO544" s="58"/>
      <c r="CP544" s="83"/>
      <c r="CR544" s="58"/>
      <c r="CS544" s="83"/>
      <c r="CY544" s="83"/>
      <c r="DG544" s="58"/>
      <c r="DH544" s="83"/>
      <c r="DQ544" s="83"/>
      <c r="EE544" s="58"/>
      <c r="EF544" s="83"/>
      <c r="EI544" s="83"/>
      <c r="EK544" s="58"/>
      <c r="EL544" s="83"/>
      <c r="EO544" s="58"/>
      <c r="EP544" s="83"/>
      <c r="EQ544" s="58"/>
      <c r="ER544" s="83"/>
      <c r="ES544" s="58"/>
      <c r="ET544" s="83"/>
      <c r="EU544" s="58"/>
    </row>
    <row r="545" spans="1:151">
      <c r="A545" s="42" t="s">
        <v>327</v>
      </c>
      <c r="B545" s="173" t="s">
        <v>186</v>
      </c>
      <c r="C545" s="173" t="s">
        <v>515</v>
      </c>
      <c r="D545" s="83" t="s">
        <v>101</v>
      </c>
      <c r="F545" s="49" t="s">
        <v>286</v>
      </c>
      <c r="G545" s="49">
        <v>84.28</v>
      </c>
      <c r="H545" s="49">
        <v>3423</v>
      </c>
      <c r="I545" s="49">
        <v>1449</v>
      </c>
      <c r="J545" s="159">
        <v>1.7374100719424461</v>
      </c>
      <c r="K545" s="49">
        <v>1</v>
      </c>
      <c r="L545" s="49">
        <v>2</v>
      </c>
      <c r="M545" s="83">
        <v>1</v>
      </c>
      <c r="N545" s="49">
        <v>0</v>
      </c>
      <c r="O545" s="49">
        <v>1</v>
      </c>
      <c r="P545" s="49">
        <v>1</v>
      </c>
      <c r="Q545" s="58">
        <v>0</v>
      </c>
      <c r="R545" s="42">
        <v>3</v>
      </c>
      <c r="S545" s="83">
        <v>1</v>
      </c>
      <c r="U545" s="83">
        <v>3</v>
      </c>
      <c r="V545" s="49">
        <v>3</v>
      </c>
      <c r="W545" s="49">
        <v>3</v>
      </c>
      <c r="X545" s="58">
        <v>3</v>
      </c>
      <c r="Y545" s="83">
        <v>1</v>
      </c>
      <c r="AA545" s="49">
        <v>5</v>
      </c>
      <c r="AJ545" s="49">
        <v>0</v>
      </c>
      <c r="AK545" s="83">
        <v>0</v>
      </c>
      <c r="AL545" s="49">
        <v>0</v>
      </c>
      <c r="AM545" s="49">
        <v>0</v>
      </c>
      <c r="AN545" s="49">
        <v>0</v>
      </c>
      <c r="AO545" s="58">
        <v>0</v>
      </c>
      <c r="AP545" s="174" t="s">
        <v>284</v>
      </c>
      <c r="AQ545" s="175" t="s">
        <v>284</v>
      </c>
      <c r="AR545" s="175" t="s">
        <v>284</v>
      </c>
      <c r="AS545" s="175" t="s">
        <v>284</v>
      </c>
      <c r="AT545" s="175" t="s">
        <v>284</v>
      </c>
      <c r="AU545" s="175" t="s">
        <v>284</v>
      </c>
      <c r="AV545" s="175" t="s">
        <v>284</v>
      </c>
      <c r="AW545" s="175" t="s">
        <v>284</v>
      </c>
      <c r="AX545" s="83">
        <v>0</v>
      </c>
      <c r="AY545" s="49">
        <v>0</v>
      </c>
      <c r="AZ545" s="49">
        <v>0</v>
      </c>
      <c r="BA545" s="49">
        <v>0</v>
      </c>
      <c r="BB545" s="58">
        <v>0</v>
      </c>
      <c r="BC545" s="42">
        <v>121</v>
      </c>
      <c r="BE545" s="49"/>
      <c r="BS545" s="58"/>
      <c r="BT545" s="83"/>
      <c r="CE545" s="83"/>
      <c r="CK545" s="58"/>
      <c r="CL545" s="83"/>
      <c r="CO545" s="58"/>
      <c r="CP545" s="83"/>
      <c r="CR545" s="58"/>
      <c r="CS545" s="83"/>
      <c r="CY545" s="83"/>
      <c r="DG545" s="58"/>
      <c r="DH545" s="83"/>
      <c r="DQ545" s="83"/>
      <c r="EE545" s="58"/>
      <c r="EF545" s="83"/>
      <c r="EI545" s="83"/>
      <c r="EK545" s="58"/>
      <c r="EL545" s="83"/>
      <c r="EO545" s="58"/>
      <c r="EP545" s="83"/>
      <c r="EQ545" s="58"/>
      <c r="ER545" s="83"/>
      <c r="ES545" s="58"/>
      <c r="ET545" s="83"/>
      <c r="EU545" s="58"/>
    </row>
    <row r="546" spans="1:151">
      <c r="A546" s="42" t="s">
        <v>327</v>
      </c>
      <c r="B546" s="173" t="s">
        <v>186</v>
      </c>
      <c r="C546" s="173" t="s">
        <v>515</v>
      </c>
      <c r="D546" s="83" t="s">
        <v>103</v>
      </c>
      <c r="F546" s="49" t="s">
        <v>286</v>
      </c>
      <c r="G546" s="49">
        <v>84.28</v>
      </c>
      <c r="H546" s="49">
        <v>3423</v>
      </c>
      <c r="I546" s="49">
        <v>5892</v>
      </c>
      <c r="J546" s="159">
        <v>2.3474103585657371</v>
      </c>
      <c r="K546" s="49">
        <v>1</v>
      </c>
      <c r="L546" s="49">
        <v>3</v>
      </c>
      <c r="M546" s="83">
        <v>1</v>
      </c>
      <c r="N546" s="49">
        <v>3</v>
      </c>
      <c r="O546" s="49">
        <v>1</v>
      </c>
      <c r="P546" s="49">
        <v>1</v>
      </c>
      <c r="Q546" s="58">
        <v>0</v>
      </c>
      <c r="R546" s="42">
        <v>6</v>
      </c>
      <c r="S546" s="83">
        <v>1</v>
      </c>
      <c r="U546" s="83">
        <v>4</v>
      </c>
      <c r="V546" s="49">
        <v>3</v>
      </c>
      <c r="W546" s="49">
        <v>1</v>
      </c>
      <c r="X546" s="58">
        <v>3</v>
      </c>
      <c r="Y546" s="83">
        <v>10</v>
      </c>
      <c r="Z546" s="49">
        <v>5</v>
      </c>
      <c r="AA546" s="49">
        <v>11</v>
      </c>
      <c r="AD546" s="49">
        <v>9</v>
      </c>
      <c r="AE546" s="49">
        <v>275</v>
      </c>
      <c r="AF546" s="49">
        <v>11</v>
      </c>
      <c r="AG546" s="49">
        <v>264</v>
      </c>
      <c r="AH546" s="49">
        <v>6</v>
      </c>
      <c r="AI546" s="49">
        <v>206</v>
      </c>
      <c r="AJ546" s="49">
        <v>0</v>
      </c>
      <c r="AK546" s="83">
        <v>0</v>
      </c>
      <c r="AL546" s="49">
        <v>1</v>
      </c>
      <c r="AM546" s="49">
        <v>0</v>
      </c>
      <c r="AN546" s="49">
        <v>0</v>
      </c>
      <c r="AO546" s="58">
        <v>0</v>
      </c>
      <c r="AP546" s="174">
        <v>350</v>
      </c>
      <c r="AQ546" s="175">
        <v>1604</v>
      </c>
      <c r="AR546" s="175" t="s">
        <v>284</v>
      </c>
      <c r="AS546" s="175" t="s">
        <v>284</v>
      </c>
      <c r="AT546" s="175" t="s">
        <v>284</v>
      </c>
      <c r="AU546" s="175" t="s">
        <v>284</v>
      </c>
      <c r="AV546" s="175" t="s">
        <v>284</v>
      </c>
      <c r="AW546" s="175" t="s">
        <v>284</v>
      </c>
      <c r="AX546" s="83">
        <v>1</v>
      </c>
      <c r="AY546" s="49">
        <v>0</v>
      </c>
      <c r="AZ546" s="49">
        <v>0</v>
      </c>
      <c r="BA546" s="49">
        <v>0</v>
      </c>
      <c r="BB546" s="58">
        <v>1</v>
      </c>
      <c r="BC546" s="42">
        <v>144</v>
      </c>
      <c r="BD546" s="49">
        <v>70.86</v>
      </c>
      <c r="BE546" s="49">
        <v>70.98</v>
      </c>
      <c r="BS546" s="58"/>
      <c r="BT546" s="83">
        <v>61.79</v>
      </c>
      <c r="BU546" s="49">
        <v>62.12</v>
      </c>
      <c r="BV546" s="49">
        <v>61.99</v>
      </c>
      <c r="BW546" s="49">
        <v>65.42</v>
      </c>
      <c r="BX546" s="49">
        <v>68.900000000000006</v>
      </c>
      <c r="BY546" s="49">
        <v>70.78</v>
      </c>
      <c r="BZ546" s="49">
        <v>66.25</v>
      </c>
      <c r="CA546" s="49">
        <v>66.87</v>
      </c>
      <c r="CB546" s="49">
        <v>75.55</v>
      </c>
      <c r="CC546" s="49">
        <v>80.02</v>
      </c>
      <c r="CE546" s="83">
        <v>70.73</v>
      </c>
      <c r="CF546" s="49">
        <v>70.430000000000007</v>
      </c>
      <c r="CG546" s="49">
        <v>71.92</v>
      </c>
      <c r="CK546" s="58"/>
      <c r="CL546" s="83">
        <v>64.91</v>
      </c>
      <c r="CO546" s="58"/>
      <c r="CP546" s="83"/>
      <c r="CR546" s="58"/>
      <c r="CS546" s="83"/>
      <c r="CY546" s="83"/>
      <c r="DG546" s="58"/>
      <c r="DH546" s="83"/>
      <c r="DQ546" s="83">
        <v>61.46</v>
      </c>
      <c r="DR546" s="49">
        <v>61.6</v>
      </c>
      <c r="DS546" s="49">
        <v>65.77</v>
      </c>
      <c r="EE546" s="58"/>
      <c r="EF546" s="83">
        <v>66.2</v>
      </c>
      <c r="EI546" s="83"/>
      <c r="EK546" s="58"/>
      <c r="EL546" s="83"/>
      <c r="EO546" s="58"/>
      <c r="EP546" s="83"/>
      <c r="EQ546" s="58"/>
      <c r="ER546" s="83"/>
      <c r="ES546" s="58"/>
      <c r="ET546" s="83"/>
      <c r="EU546" s="58"/>
    </row>
    <row r="547" spans="1:151">
      <c r="A547" s="42" t="s">
        <v>327</v>
      </c>
      <c r="B547" s="173" t="s">
        <v>186</v>
      </c>
      <c r="C547" s="173" t="s">
        <v>515</v>
      </c>
      <c r="D547" s="83" t="s">
        <v>147</v>
      </c>
      <c r="F547" s="49" t="s">
        <v>286</v>
      </c>
      <c r="G547" s="49">
        <v>84.28</v>
      </c>
      <c r="H547" s="49">
        <v>3423</v>
      </c>
      <c r="I547" s="49">
        <v>2286</v>
      </c>
      <c r="J547" s="159">
        <v>1.007492287351256</v>
      </c>
      <c r="K547" s="49">
        <v>1</v>
      </c>
      <c r="L547" s="49">
        <v>1</v>
      </c>
      <c r="M547" s="83">
        <v>1</v>
      </c>
      <c r="N547" s="49">
        <v>0</v>
      </c>
      <c r="O547" s="49">
        <v>1</v>
      </c>
      <c r="P547" s="49">
        <v>1</v>
      </c>
      <c r="Q547" s="58">
        <v>0</v>
      </c>
      <c r="R547" s="42">
        <v>3</v>
      </c>
      <c r="S547" s="83">
        <v>1</v>
      </c>
      <c r="U547" s="83">
        <v>2</v>
      </c>
      <c r="V547" s="49">
        <v>2</v>
      </c>
      <c r="W547" s="49">
        <v>3</v>
      </c>
      <c r="X547" s="58">
        <v>1</v>
      </c>
      <c r="Y547" s="83">
        <v>1</v>
      </c>
      <c r="AE547" s="49">
        <v>28</v>
      </c>
      <c r="AF547" s="49">
        <v>42</v>
      </c>
      <c r="AH547" s="49">
        <v>5</v>
      </c>
      <c r="AI547" s="49">
        <v>203</v>
      </c>
      <c r="AJ547" s="49">
        <v>0</v>
      </c>
      <c r="AK547" s="83">
        <v>0</v>
      </c>
      <c r="AL547" s="49">
        <v>1</v>
      </c>
      <c r="AM547" s="49">
        <v>0</v>
      </c>
      <c r="AN547" s="49">
        <v>0</v>
      </c>
      <c r="AO547" s="58">
        <v>0</v>
      </c>
      <c r="AP547" s="174" t="s">
        <v>501</v>
      </c>
      <c r="AQ547" s="175" t="s">
        <v>501</v>
      </c>
      <c r="AR547" s="175" t="s">
        <v>284</v>
      </c>
      <c r="AS547" s="175" t="s">
        <v>284</v>
      </c>
      <c r="AT547" s="175" t="s">
        <v>284</v>
      </c>
      <c r="AU547" s="175" t="s">
        <v>284</v>
      </c>
      <c r="AV547" s="175" t="s">
        <v>284</v>
      </c>
      <c r="AW547" s="175" t="s">
        <v>284</v>
      </c>
      <c r="AX547" s="83">
        <v>0</v>
      </c>
      <c r="AY547" s="49">
        <v>0</v>
      </c>
      <c r="AZ547" s="49">
        <v>0</v>
      </c>
      <c r="BA547" s="49">
        <v>0</v>
      </c>
      <c r="BB547" s="58">
        <v>0</v>
      </c>
      <c r="BC547" s="42">
        <v>155</v>
      </c>
      <c r="BE547" s="49"/>
      <c r="BS547" s="58"/>
      <c r="BT547" s="83"/>
      <c r="CE547" s="83"/>
      <c r="CK547" s="58"/>
      <c r="CL547" s="83"/>
      <c r="CO547" s="58"/>
      <c r="CP547" s="83"/>
      <c r="CR547" s="58"/>
      <c r="CS547" s="83"/>
      <c r="CY547" s="83"/>
      <c r="DG547" s="58"/>
      <c r="DH547" s="83"/>
      <c r="DQ547" s="83"/>
      <c r="EE547" s="58"/>
      <c r="EF547" s="83"/>
      <c r="EI547" s="83"/>
      <c r="EK547" s="58"/>
      <c r="EL547" s="83"/>
      <c r="EO547" s="58"/>
      <c r="EP547" s="83"/>
      <c r="EQ547" s="58"/>
      <c r="ER547" s="83"/>
      <c r="ES547" s="58"/>
      <c r="ET547" s="83"/>
      <c r="EU547" s="58"/>
    </row>
    <row r="548" spans="1:151">
      <c r="A548" s="42" t="s">
        <v>327</v>
      </c>
      <c r="B548" s="173" t="s">
        <v>186</v>
      </c>
      <c r="C548" s="173" t="s">
        <v>515</v>
      </c>
      <c r="D548" s="83" t="s">
        <v>148</v>
      </c>
      <c r="F548" s="49" t="s">
        <v>286</v>
      </c>
      <c r="G548" s="49">
        <v>84.28</v>
      </c>
      <c r="H548" s="49">
        <v>3423</v>
      </c>
      <c r="I548" s="49">
        <v>4666</v>
      </c>
      <c r="J548" s="159">
        <v>1.6389181594661046</v>
      </c>
      <c r="K548" s="49">
        <v>1</v>
      </c>
      <c r="L548" s="49">
        <v>2</v>
      </c>
      <c r="M548" s="83">
        <v>0</v>
      </c>
      <c r="N548" s="49">
        <v>5</v>
      </c>
      <c r="O548" s="49">
        <v>0</v>
      </c>
      <c r="P548" s="49">
        <v>1</v>
      </c>
      <c r="Q548" s="58">
        <v>0</v>
      </c>
      <c r="R548" s="42">
        <v>6</v>
      </c>
      <c r="S548" s="83">
        <v>1</v>
      </c>
      <c r="U548" s="83">
        <v>1</v>
      </c>
      <c r="V548" s="49">
        <v>2</v>
      </c>
      <c r="W548" s="49">
        <v>2</v>
      </c>
      <c r="X548" s="58"/>
      <c r="Y548" s="83">
        <v>15</v>
      </c>
      <c r="Z548" s="49">
        <v>4</v>
      </c>
      <c r="AA548" s="49">
        <v>22</v>
      </c>
      <c r="AD548" s="49">
        <v>5</v>
      </c>
      <c r="AE548" s="49">
        <v>253</v>
      </c>
      <c r="AF548" s="49">
        <v>7</v>
      </c>
      <c r="AG548" s="49">
        <v>1121</v>
      </c>
      <c r="AH548" s="49">
        <v>45</v>
      </c>
      <c r="AI548" s="49">
        <v>1023</v>
      </c>
      <c r="AJ548" s="49">
        <v>0</v>
      </c>
      <c r="AK548" s="83">
        <v>0</v>
      </c>
      <c r="AL548" s="49">
        <v>1</v>
      </c>
      <c r="AM548" s="49">
        <v>0</v>
      </c>
      <c r="AN548" s="49">
        <v>0</v>
      </c>
      <c r="AO548" s="58">
        <v>0</v>
      </c>
      <c r="AP548" s="174" t="s">
        <v>501</v>
      </c>
      <c r="AQ548" s="175" t="s">
        <v>501</v>
      </c>
      <c r="AR548" s="175" t="s">
        <v>284</v>
      </c>
      <c r="AS548" s="175" t="s">
        <v>284</v>
      </c>
      <c r="AT548" s="175" t="s">
        <v>284</v>
      </c>
      <c r="AU548" s="175" t="s">
        <v>284</v>
      </c>
      <c r="AV548" s="175" t="s">
        <v>284</v>
      </c>
      <c r="AW548" s="175" t="s">
        <v>284</v>
      </c>
      <c r="AX548" s="83">
        <v>0</v>
      </c>
      <c r="AY548" s="49">
        <v>0</v>
      </c>
      <c r="AZ548" s="49">
        <v>0</v>
      </c>
      <c r="BA548" s="49">
        <v>0</v>
      </c>
      <c r="BB548" s="58">
        <v>0</v>
      </c>
      <c r="BC548" s="42">
        <v>173</v>
      </c>
      <c r="BE548" s="49"/>
      <c r="BS548" s="58"/>
      <c r="BT548" s="83">
        <v>74.27</v>
      </c>
      <c r="BU548" s="49">
        <v>75.709999999999994</v>
      </c>
      <c r="BV548" s="49">
        <v>75.45</v>
      </c>
      <c r="BW548" s="49">
        <v>78.400000000000006</v>
      </c>
      <c r="CE548" s="83"/>
      <c r="CK548" s="58"/>
      <c r="CL548" s="83">
        <v>63.04</v>
      </c>
      <c r="CO548" s="58"/>
      <c r="CP548" s="83"/>
      <c r="CR548" s="58"/>
      <c r="CS548" s="83"/>
      <c r="CY548" s="83"/>
      <c r="DG548" s="58"/>
      <c r="DH548" s="83">
        <v>68.099999999999994</v>
      </c>
      <c r="DI548" s="49">
        <v>68.02</v>
      </c>
      <c r="DJ548" s="49">
        <v>68.2</v>
      </c>
      <c r="DK548" s="49">
        <v>67.989999999999995</v>
      </c>
      <c r="DL548" s="49">
        <v>68.31</v>
      </c>
      <c r="DM548" s="49">
        <v>69.3</v>
      </c>
      <c r="DN548" s="49">
        <v>67.72</v>
      </c>
      <c r="DO548" s="49">
        <v>68.83</v>
      </c>
      <c r="DQ548" s="83">
        <v>72.83</v>
      </c>
      <c r="DR548" s="49">
        <v>69.5</v>
      </c>
      <c r="DS548" s="49">
        <v>72.28</v>
      </c>
      <c r="DT548" s="49">
        <v>73.430000000000007</v>
      </c>
      <c r="DU548" s="49">
        <v>67.849999999999994</v>
      </c>
      <c r="DV548" s="49">
        <v>76.67</v>
      </c>
      <c r="DW548" s="49">
        <v>73.16</v>
      </c>
      <c r="DX548" s="49">
        <v>69.34</v>
      </c>
      <c r="DY548" s="49">
        <v>74.11</v>
      </c>
      <c r="EE548" s="58"/>
      <c r="EF548" s="83"/>
      <c r="EI548" s="83"/>
      <c r="EK548" s="58"/>
      <c r="EL548" s="83"/>
      <c r="EO548" s="58"/>
      <c r="EP548" s="83"/>
      <c r="EQ548" s="58"/>
      <c r="ER548" s="83"/>
      <c r="ES548" s="58"/>
      <c r="ET548" s="83"/>
      <c r="EU548" s="58"/>
    </row>
    <row r="549" spans="1:151">
      <c r="A549" s="42" t="s">
        <v>327</v>
      </c>
      <c r="B549" s="173" t="s">
        <v>186</v>
      </c>
      <c r="C549" s="173" t="s">
        <v>515</v>
      </c>
      <c r="D549" s="83" t="s">
        <v>104</v>
      </c>
      <c r="F549" s="49" t="s">
        <v>286</v>
      </c>
      <c r="G549" s="49">
        <v>84.28</v>
      </c>
      <c r="H549" s="49">
        <v>3423</v>
      </c>
      <c r="I549" s="49">
        <v>2846</v>
      </c>
      <c r="J549" s="159">
        <v>1.8637851997380486</v>
      </c>
      <c r="K549" s="49">
        <v>4</v>
      </c>
      <c r="L549" s="49">
        <v>3</v>
      </c>
      <c r="M549" s="83">
        <v>0</v>
      </c>
      <c r="N549" s="49">
        <v>5</v>
      </c>
      <c r="O549" s="49">
        <v>0</v>
      </c>
      <c r="P549" s="49">
        <v>0</v>
      </c>
      <c r="Q549" s="58">
        <v>0</v>
      </c>
      <c r="R549" s="42">
        <v>5</v>
      </c>
      <c r="S549" s="83">
        <v>1</v>
      </c>
      <c r="U549" s="83">
        <v>1</v>
      </c>
      <c r="V549" s="49">
        <v>4</v>
      </c>
      <c r="W549" s="49">
        <v>2</v>
      </c>
      <c r="X549" s="58"/>
      <c r="Y549" s="83">
        <v>5</v>
      </c>
      <c r="Z549" s="49">
        <v>3</v>
      </c>
      <c r="AA549" s="49">
        <v>118</v>
      </c>
      <c r="AD549" s="49">
        <v>5</v>
      </c>
      <c r="AE549" s="49">
        <v>299</v>
      </c>
      <c r="AF549" s="49">
        <v>12</v>
      </c>
      <c r="AG549" s="49">
        <v>112</v>
      </c>
      <c r="AH549" s="49">
        <v>7</v>
      </c>
      <c r="AI549" s="49">
        <v>53</v>
      </c>
      <c r="AJ549" s="49">
        <v>0</v>
      </c>
      <c r="AK549" s="83">
        <v>0</v>
      </c>
      <c r="AL549" s="49">
        <v>1</v>
      </c>
      <c r="AM549" s="49">
        <v>1</v>
      </c>
      <c r="AN549" s="49">
        <v>0</v>
      </c>
      <c r="AO549" s="58">
        <v>0</v>
      </c>
      <c r="AP549" s="174" t="s">
        <v>501</v>
      </c>
      <c r="AQ549" s="175" t="s">
        <v>501</v>
      </c>
      <c r="AR549" s="175" t="s">
        <v>501</v>
      </c>
      <c r="AS549" s="175" t="s">
        <v>501</v>
      </c>
      <c r="AT549" s="175" t="s">
        <v>284</v>
      </c>
      <c r="AU549" s="175" t="s">
        <v>284</v>
      </c>
      <c r="AV549" s="175" t="s">
        <v>284</v>
      </c>
      <c r="AW549" s="175" t="s">
        <v>284</v>
      </c>
      <c r="AX549" s="83">
        <v>0</v>
      </c>
      <c r="AY549" s="49">
        <v>0</v>
      </c>
      <c r="AZ549" s="49">
        <v>0</v>
      </c>
      <c r="BA549" s="49">
        <v>0</v>
      </c>
      <c r="BB549" s="58">
        <v>0</v>
      </c>
      <c r="BC549" s="42">
        <v>116</v>
      </c>
      <c r="BE549" s="49"/>
      <c r="BS549" s="58"/>
      <c r="BT549" s="83"/>
      <c r="CE549" s="83"/>
      <c r="CK549" s="58"/>
      <c r="CL549" s="83"/>
      <c r="CO549" s="58"/>
      <c r="CP549" s="83"/>
      <c r="CR549" s="58"/>
      <c r="CS549" s="83"/>
      <c r="CY549" s="83"/>
      <c r="DG549" s="58"/>
      <c r="DH549" s="83"/>
      <c r="DQ549" s="83"/>
      <c r="EE549" s="58"/>
      <c r="EF549" s="83"/>
      <c r="EI549" s="83"/>
      <c r="EK549" s="58"/>
      <c r="EL549" s="83"/>
      <c r="EO549" s="58"/>
      <c r="EP549" s="83"/>
      <c r="EQ549" s="58"/>
      <c r="ER549" s="83"/>
      <c r="ES549" s="58"/>
      <c r="ET549" s="83"/>
      <c r="EU549" s="58"/>
    </row>
    <row r="550" spans="1:151">
      <c r="A550" s="42" t="s">
        <v>327</v>
      </c>
      <c r="B550" s="173" t="s">
        <v>186</v>
      </c>
      <c r="C550" s="173" t="s">
        <v>515</v>
      </c>
      <c r="D550" s="83" t="s">
        <v>105</v>
      </c>
      <c r="F550" s="49" t="s">
        <v>286</v>
      </c>
      <c r="G550" s="49">
        <v>84.28</v>
      </c>
      <c r="H550" s="49">
        <v>3423</v>
      </c>
      <c r="I550" s="49">
        <v>3471</v>
      </c>
      <c r="J550" s="159">
        <v>1.0161007025761124</v>
      </c>
      <c r="K550" s="49">
        <v>1</v>
      </c>
      <c r="L550" s="49">
        <v>2</v>
      </c>
      <c r="M550" s="83">
        <v>1</v>
      </c>
      <c r="N550" s="49">
        <v>4</v>
      </c>
      <c r="O550" s="49">
        <v>0</v>
      </c>
      <c r="P550" s="49">
        <v>1</v>
      </c>
      <c r="Q550" s="58">
        <v>0</v>
      </c>
      <c r="R550" s="42">
        <v>6</v>
      </c>
      <c r="S550" s="83">
        <v>1</v>
      </c>
      <c r="U550" s="83">
        <v>3</v>
      </c>
      <c r="V550" s="49">
        <v>3</v>
      </c>
      <c r="W550" s="49">
        <v>3</v>
      </c>
      <c r="X550" s="58">
        <v>3</v>
      </c>
      <c r="Y550" s="83">
        <v>10</v>
      </c>
      <c r="Z550" s="49">
        <v>5</v>
      </c>
      <c r="AA550" s="49">
        <v>141</v>
      </c>
      <c r="AD550" s="49">
        <v>10</v>
      </c>
      <c r="AE550" s="49">
        <v>226</v>
      </c>
      <c r="AF550" s="49">
        <v>11</v>
      </c>
      <c r="AG550" s="49">
        <v>391</v>
      </c>
      <c r="AH550" s="49">
        <v>23</v>
      </c>
      <c r="AI550" s="49">
        <v>397</v>
      </c>
      <c r="AJ550" s="49">
        <v>0</v>
      </c>
      <c r="AK550" s="83">
        <v>0</v>
      </c>
      <c r="AL550" s="49">
        <v>1</v>
      </c>
      <c r="AM550" s="49">
        <v>0</v>
      </c>
      <c r="AN550" s="49">
        <v>0</v>
      </c>
      <c r="AO550" s="58">
        <v>0</v>
      </c>
      <c r="AP550" s="174" t="s">
        <v>501</v>
      </c>
      <c r="AQ550" s="175" t="s">
        <v>501</v>
      </c>
      <c r="AR550" s="175" t="s">
        <v>284</v>
      </c>
      <c r="AS550" s="175" t="s">
        <v>284</v>
      </c>
      <c r="AT550" s="175" t="s">
        <v>284</v>
      </c>
      <c r="AU550" s="175" t="s">
        <v>284</v>
      </c>
      <c r="AV550" s="175" t="s">
        <v>284</v>
      </c>
      <c r="AW550" s="175" t="s">
        <v>284</v>
      </c>
      <c r="AX550" s="83">
        <v>1</v>
      </c>
      <c r="AY550" s="49">
        <v>0</v>
      </c>
      <c r="AZ550" s="49">
        <v>0</v>
      </c>
      <c r="BA550" s="49">
        <v>0</v>
      </c>
      <c r="BB550" s="58">
        <v>1</v>
      </c>
      <c r="BC550" s="42">
        <v>160</v>
      </c>
      <c r="BD550" s="49">
        <v>78.08</v>
      </c>
      <c r="BE550" s="49">
        <v>79.010000000000005</v>
      </c>
      <c r="BF550" s="49">
        <v>79.91</v>
      </c>
      <c r="BG550" s="49">
        <v>77.55</v>
      </c>
      <c r="BS550" s="58"/>
      <c r="BT550" s="83">
        <v>76.17</v>
      </c>
      <c r="BU550" s="49">
        <v>77.819999999999993</v>
      </c>
      <c r="BV550" s="49">
        <v>75.78</v>
      </c>
      <c r="CE550" s="83">
        <v>79.62</v>
      </c>
      <c r="CK550" s="58"/>
      <c r="CL550" s="83">
        <v>63.21</v>
      </c>
      <c r="CM550" s="49">
        <v>59.27</v>
      </c>
      <c r="CO550" s="58"/>
      <c r="CP550" s="83"/>
      <c r="CR550" s="58"/>
      <c r="CS550" s="83"/>
      <c r="CY550" s="83"/>
      <c r="DG550" s="58"/>
      <c r="DH550" s="83"/>
      <c r="DQ550" s="83">
        <v>73.14</v>
      </c>
      <c r="DR550" s="49">
        <v>76.989999999999995</v>
      </c>
      <c r="DS550" s="49">
        <v>76.739999999999995</v>
      </c>
      <c r="DT550" s="49">
        <v>76.790000000000006</v>
      </c>
      <c r="EE550" s="58"/>
      <c r="EF550" s="83"/>
      <c r="EI550" s="83"/>
      <c r="EK550" s="58"/>
      <c r="EL550" s="83"/>
      <c r="EO550" s="58"/>
      <c r="EP550" s="83"/>
      <c r="EQ550" s="58"/>
      <c r="ER550" s="83"/>
      <c r="ES550" s="58"/>
      <c r="ET550" s="83"/>
      <c r="EU550" s="58"/>
    </row>
    <row r="551" spans="1:151">
      <c r="A551" s="42" t="s">
        <v>327</v>
      </c>
      <c r="B551" s="173" t="s">
        <v>186</v>
      </c>
      <c r="C551" s="173" t="s">
        <v>515</v>
      </c>
      <c r="D551" s="83" t="s">
        <v>149</v>
      </c>
      <c r="E551" s="49" t="s">
        <v>1</v>
      </c>
      <c r="F551" s="49" t="s">
        <v>286</v>
      </c>
      <c r="G551" s="49">
        <v>84.28</v>
      </c>
      <c r="H551" s="49">
        <v>3423</v>
      </c>
      <c r="I551" s="49">
        <v>3319</v>
      </c>
      <c r="J551" s="159">
        <v>4.9984939759036147</v>
      </c>
      <c r="K551" s="49">
        <v>1</v>
      </c>
      <c r="L551" s="49">
        <v>1</v>
      </c>
      <c r="M551" s="83">
        <v>1</v>
      </c>
      <c r="N551" s="49">
        <v>0</v>
      </c>
      <c r="O551" s="49">
        <v>1</v>
      </c>
      <c r="P551" s="49">
        <v>1</v>
      </c>
      <c r="Q551" s="58">
        <v>0</v>
      </c>
      <c r="R551" s="42">
        <v>3</v>
      </c>
      <c r="S551" s="83">
        <v>1</v>
      </c>
      <c r="U551" s="83">
        <v>3</v>
      </c>
      <c r="V551" s="49">
        <v>3</v>
      </c>
      <c r="W551" s="49">
        <v>1</v>
      </c>
      <c r="X551" s="58">
        <v>2</v>
      </c>
      <c r="Y551" s="83">
        <v>1</v>
      </c>
      <c r="AE551" s="49">
        <v>31</v>
      </c>
      <c r="AF551" s="49">
        <v>17</v>
      </c>
      <c r="AG551" s="49">
        <v>28</v>
      </c>
      <c r="AH551" s="49">
        <v>34</v>
      </c>
      <c r="AI551" s="49">
        <v>535</v>
      </c>
      <c r="AJ551" s="49">
        <v>0</v>
      </c>
      <c r="AK551" s="83">
        <v>0</v>
      </c>
      <c r="AL551" s="49">
        <v>1</v>
      </c>
      <c r="AM551" s="49">
        <v>0</v>
      </c>
      <c r="AN551" s="49">
        <v>0</v>
      </c>
      <c r="AO551" s="58">
        <v>0</v>
      </c>
      <c r="AP551" s="174">
        <v>0</v>
      </c>
      <c r="AQ551" s="175">
        <v>1022</v>
      </c>
      <c r="AR551" s="175" t="s">
        <v>284</v>
      </c>
      <c r="AS551" s="175" t="s">
        <v>284</v>
      </c>
      <c r="AT551" s="175" t="s">
        <v>284</v>
      </c>
      <c r="AU551" s="175" t="s">
        <v>284</v>
      </c>
      <c r="AV551" s="175" t="s">
        <v>284</v>
      </c>
      <c r="AW551" s="175" t="s">
        <v>284</v>
      </c>
      <c r="AX551" s="83">
        <v>0</v>
      </c>
      <c r="AY551" s="49">
        <v>0</v>
      </c>
      <c r="AZ551" s="49">
        <v>0</v>
      </c>
      <c r="BA551" s="49">
        <v>0</v>
      </c>
      <c r="BB551" s="58">
        <v>0</v>
      </c>
      <c r="BC551" s="42">
        <v>120</v>
      </c>
      <c r="BD551" s="49">
        <v>58.75</v>
      </c>
      <c r="BE551" s="49">
        <v>60</v>
      </c>
      <c r="BS551" s="58"/>
      <c r="BT551" s="83">
        <v>66.319999999999993</v>
      </c>
      <c r="BU551" s="49">
        <v>62.82</v>
      </c>
      <c r="CE551" s="83"/>
      <c r="CK551" s="58"/>
      <c r="CL551" s="83"/>
      <c r="CO551" s="58"/>
      <c r="CP551" s="83"/>
      <c r="CR551" s="58"/>
      <c r="CS551" s="83"/>
      <c r="CY551" s="83"/>
      <c r="DG551" s="58"/>
      <c r="DH551" s="83"/>
      <c r="DQ551" s="83"/>
      <c r="EE551" s="58"/>
      <c r="EF551" s="83"/>
      <c r="EI551" s="83"/>
      <c r="EK551" s="58"/>
      <c r="EL551" s="83"/>
      <c r="EO551" s="58"/>
      <c r="EP551" s="83"/>
      <c r="EQ551" s="58"/>
      <c r="ER551" s="83"/>
      <c r="ES551" s="58"/>
      <c r="ET551" s="83"/>
      <c r="EU551" s="58"/>
    </row>
    <row r="552" spans="1:151">
      <c r="A552" s="42" t="s">
        <v>327</v>
      </c>
      <c r="B552" s="173" t="s">
        <v>186</v>
      </c>
      <c r="C552" s="173" t="s">
        <v>515</v>
      </c>
      <c r="D552" s="83" t="s">
        <v>149</v>
      </c>
      <c r="E552" s="49" t="s">
        <v>2</v>
      </c>
      <c r="F552" s="49" t="s">
        <v>286</v>
      </c>
      <c r="G552" s="49">
        <v>84.28</v>
      </c>
      <c r="H552" s="49">
        <v>3423</v>
      </c>
      <c r="I552" s="49">
        <v>1821</v>
      </c>
      <c r="J552" s="159">
        <v>4.7054263565891477</v>
      </c>
      <c r="K552" s="49">
        <v>4</v>
      </c>
      <c r="L552" s="49">
        <v>3</v>
      </c>
      <c r="M552" s="83">
        <v>0</v>
      </c>
      <c r="N552" s="49">
        <v>1</v>
      </c>
      <c r="O552" s="49">
        <v>1</v>
      </c>
      <c r="P552" s="49">
        <v>0</v>
      </c>
      <c r="Q552" s="58">
        <v>0</v>
      </c>
      <c r="R552" s="42">
        <v>2</v>
      </c>
      <c r="S552" s="83">
        <v>1</v>
      </c>
      <c r="U552" s="83">
        <v>1</v>
      </c>
      <c r="V552" s="49">
        <v>3</v>
      </c>
      <c r="W552" s="49">
        <v>1</v>
      </c>
      <c r="X552" s="58">
        <v>1</v>
      </c>
      <c r="Y552" s="83">
        <v>0</v>
      </c>
      <c r="AJ552" s="49">
        <v>0</v>
      </c>
      <c r="AK552" s="83">
        <v>0</v>
      </c>
      <c r="AL552" s="49">
        <v>1</v>
      </c>
      <c r="AM552" s="49">
        <v>0</v>
      </c>
      <c r="AN552" s="49">
        <v>0</v>
      </c>
      <c r="AO552" s="58">
        <v>0</v>
      </c>
      <c r="AP552" s="174">
        <v>0</v>
      </c>
      <c r="AQ552" s="175">
        <v>0</v>
      </c>
      <c r="AR552" s="175" t="s">
        <v>284</v>
      </c>
      <c r="AS552" s="175" t="s">
        <v>284</v>
      </c>
      <c r="AT552" s="175" t="s">
        <v>284</v>
      </c>
      <c r="AU552" s="175" t="s">
        <v>284</v>
      </c>
      <c r="AV552" s="175" t="s">
        <v>284</v>
      </c>
      <c r="AW552" s="175" t="s">
        <v>284</v>
      </c>
      <c r="AX552" s="83">
        <v>0</v>
      </c>
      <c r="AY552" s="49">
        <v>0</v>
      </c>
      <c r="AZ552" s="49">
        <v>0</v>
      </c>
      <c r="BA552" s="49">
        <v>0</v>
      </c>
      <c r="BB552" s="58">
        <v>0</v>
      </c>
      <c r="BC552" s="42">
        <v>120</v>
      </c>
      <c r="BE552" s="49"/>
      <c r="BS552" s="58"/>
      <c r="BT552" s="83"/>
      <c r="CE552" s="83"/>
      <c r="CK552" s="58"/>
      <c r="CL552" s="83"/>
      <c r="CO552" s="58"/>
      <c r="CP552" s="83"/>
      <c r="CR552" s="58"/>
      <c r="CS552" s="83"/>
      <c r="CY552" s="83"/>
      <c r="DG552" s="58"/>
      <c r="DH552" s="83"/>
      <c r="DQ552" s="83"/>
      <c r="EE552" s="58"/>
      <c r="EF552" s="83"/>
      <c r="EI552" s="83"/>
      <c r="EK552" s="58"/>
      <c r="EL552" s="83"/>
      <c r="EO552" s="58"/>
      <c r="EP552" s="83"/>
      <c r="EQ552" s="58"/>
      <c r="ER552" s="83"/>
      <c r="ES552" s="58"/>
      <c r="ET552" s="83"/>
      <c r="EU552" s="58"/>
    </row>
    <row r="553" spans="1:151">
      <c r="A553" s="42" t="s">
        <v>327</v>
      </c>
      <c r="B553" s="173" t="s">
        <v>186</v>
      </c>
      <c r="C553" s="173" t="s">
        <v>515</v>
      </c>
      <c r="D553" s="83" t="s">
        <v>149</v>
      </c>
      <c r="E553" s="49" t="s">
        <v>3</v>
      </c>
      <c r="F553" s="49" t="s">
        <v>286</v>
      </c>
      <c r="G553" s="49">
        <v>84.28</v>
      </c>
      <c r="H553" s="49">
        <v>3423</v>
      </c>
      <c r="I553" s="49">
        <v>1046</v>
      </c>
      <c r="J553" s="159">
        <v>2.767195767195767</v>
      </c>
      <c r="K553" s="49">
        <v>4</v>
      </c>
      <c r="L553" s="49">
        <v>4</v>
      </c>
      <c r="M553" s="83">
        <v>0</v>
      </c>
      <c r="N553" s="49">
        <v>4</v>
      </c>
      <c r="O553" s="49">
        <v>0</v>
      </c>
      <c r="P553" s="49">
        <v>0</v>
      </c>
      <c r="Q553" s="58">
        <v>0</v>
      </c>
      <c r="R553" s="42">
        <v>4</v>
      </c>
      <c r="S553" s="83">
        <v>1</v>
      </c>
      <c r="U553" s="83">
        <v>1</v>
      </c>
      <c r="V553" s="49">
        <v>3</v>
      </c>
      <c r="W553" s="49">
        <v>1</v>
      </c>
      <c r="X553" s="58">
        <v>2</v>
      </c>
      <c r="Y553" s="83">
        <v>10</v>
      </c>
      <c r="AH553" s="49">
        <v>7</v>
      </c>
      <c r="AI553" s="49">
        <v>98</v>
      </c>
      <c r="AJ553" s="49">
        <v>0</v>
      </c>
      <c r="AK553" s="83">
        <v>0</v>
      </c>
      <c r="AL553" s="49">
        <v>0</v>
      </c>
      <c r="AM553" s="49">
        <v>0</v>
      </c>
      <c r="AN553" s="49">
        <v>0</v>
      </c>
      <c r="AO553" s="58">
        <v>0</v>
      </c>
      <c r="AP553" s="174" t="s">
        <v>284</v>
      </c>
      <c r="AQ553" s="175" t="s">
        <v>284</v>
      </c>
      <c r="AR553" s="175" t="s">
        <v>284</v>
      </c>
      <c r="AS553" s="175" t="s">
        <v>284</v>
      </c>
      <c r="AT553" s="175" t="s">
        <v>284</v>
      </c>
      <c r="AU553" s="175" t="s">
        <v>284</v>
      </c>
      <c r="AV553" s="175" t="s">
        <v>284</v>
      </c>
      <c r="AW553" s="175" t="s">
        <v>284</v>
      </c>
      <c r="AX553" s="83">
        <v>0</v>
      </c>
      <c r="AY553" s="49">
        <v>0</v>
      </c>
      <c r="AZ553" s="49">
        <v>0</v>
      </c>
      <c r="BA553" s="49">
        <v>0</v>
      </c>
      <c r="BB553" s="58">
        <v>0</v>
      </c>
      <c r="BC553" s="42">
        <v>120</v>
      </c>
      <c r="BE553" s="49"/>
      <c r="BS553" s="58"/>
      <c r="BT553" s="83"/>
      <c r="CE553" s="83"/>
      <c r="CK553" s="58"/>
      <c r="CL553" s="83"/>
      <c r="CO553" s="58"/>
      <c r="CP553" s="83"/>
      <c r="CR553" s="58"/>
      <c r="CS553" s="83"/>
      <c r="CY553" s="83"/>
      <c r="DG553" s="58"/>
      <c r="DH553" s="83"/>
      <c r="DQ553" s="83"/>
      <c r="EE553" s="58"/>
      <c r="EF553" s="83"/>
      <c r="EI553" s="83"/>
      <c r="EK553" s="58"/>
      <c r="EL553" s="83"/>
      <c r="EO553" s="58"/>
      <c r="EP553" s="83"/>
      <c r="EQ553" s="58"/>
      <c r="ER553" s="83"/>
      <c r="ES553" s="58"/>
      <c r="ET553" s="83"/>
      <c r="EU553" s="58"/>
    </row>
    <row r="554" spans="1:151">
      <c r="A554" s="42" t="s">
        <v>327</v>
      </c>
      <c r="B554" s="173" t="s">
        <v>186</v>
      </c>
      <c r="C554" s="173" t="s">
        <v>515</v>
      </c>
      <c r="D554" s="83" t="s">
        <v>106</v>
      </c>
      <c r="E554" s="49" t="s">
        <v>0</v>
      </c>
      <c r="F554" s="49" t="s">
        <v>286</v>
      </c>
      <c r="G554" s="49">
        <v>84.28</v>
      </c>
      <c r="H554" s="49">
        <v>3423</v>
      </c>
      <c r="I554" s="49">
        <v>2696</v>
      </c>
      <c r="J554" s="159">
        <v>2.2712721145745576</v>
      </c>
      <c r="K554" s="49">
        <v>4</v>
      </c>
      <c r="L554" s="49">
        <v>4</v>
      </c>
      <c r="M554" s="83">
        <v>0</v>
      </c>
      <c r="N554" s="49">
        <v>3</v>
      </c>
      <c r="O554" s="49">
        <v>0</v>
      </c>
      <c r="P554" s="49">
        <v>1</v>
      </c>
      <c r="Q554" s="58">
        <v>0</v>
      </c>
      <c r="R554" s="42">
        <v>4</v>
      </c>
      <c r="S554" s="83">
        <v>1</v>
      </c>
      <c r="U554" s="83">
        <v>1</v>
      </c>
      <c r="V554" s="49">
        <v>4</v>
      </c>
      <c r="W554" s="49">
        <v>1</v>
      </c>
      <c r="X554" s="58">
        <v>2</v>
      </c>
      <c r="Y554" s="83">
        <v>10</v>
      </c>
      <c r="Z554" s="49">
        <v>5</v>
      </c>
      <c r="AA554" s="49">
        <v>9</v>
      </c>
      <c r="AD554" s="49">
        <v>5</v>
      </c>
      <c r="AE554" s="49">
        <v>13</v>
      </c>
      <c r="AF554" s="49">
        <v>12</v>
      </c>
      <c r="AG554" s="49">
        <v>351</v>
      </c>
      <c r="AH554" s="49">
        <v>25</v>
      </c>
      <c r="AI554" s="49">
        <v>433</v>
      </c>
      <c r="AJ554" s="49">
        <v>0</v>
      </c>
      <c r="AK554" s="83">
        <v>0</v>
      </c>
      <c r="AL554" s="49">
        <v>1</v>
      </c>
      <c r="AM554" s="49">
        <v>0</v>
      </c>
      <c r="AN554" s="49">
        <v>0</v>
      </c>
      <c r="AO554" s="58">
        <v>0</v>
      </c>
      <c r="AP554" s="174">
        <v>235</v>
      </c>
      <c r="AQ554" s="175">
        <v>30</v>
      </c>
      <c r="AR554" s="175" t="s">
        <v>284</v>
      </c>
      <c r="AS554" s="175" t="s">
        <v>284</v>
      </c>
      <c r="AT554" s="175" t="s">
        <v>284</v>
      </c>
      <c r="AU554" s="175" t="s">
        <v>284</v>
      </c>
      <c r="AV554" s="175" t="s">
        <v>284</v>
      </c>
      <c r="AW554" s="175" t="s">
        <v>284</v>
      </c>
      <c r="AX554" s="83">
        <v>0</v>
      </c>
      <c r="AY554" s="49">
        <v>0</v>
      </c>
      <c r="AZ554" s="49">
        <v>0</v>
      </c>
      <c r="BA554" s="49">
        <v>0</v>
      </c>
      <c r="BB554" s="58">
        <v>0</v>
      </c>
      <c r="BC554" s="42">
        <v>155</v>
      </c>
      <c r="BD554" s="49">
        <v>59.89</v>
      </c>
      <c r="BE554" s="49">
        <v>60</v>
      </c>
      <c r="BF554" s="49">
        <v>63.49</v>
      </c>
      <c r="BG554" s="49">
        <v>62.82</v>
      </c>
      <c r="BS554" s="58"/>
      <c r="BT554" s="83"/>
      <c r="CE554" s="83">
        <v>66.73</v>
      </c>
      <c r="CK554" s="58"/>
      <c r="CL554" s="83"/>
      <c r="CO554" s="58"/>
      <c r="CP554" s="83"/>
      <c r="CR554" s="58"/>
      <c r="CS554" s="83"/>
      <c r="CY554" s="83"/>
      <c r="DG554" s="58"/>
      <c r="DH554" s="83"/>
      <c r="DQ554" s="83">
        <v>72.31</v>
      </c>
      <c r="DR554" s="49">
        <v>69.89</v>
      </c>
      <c r="EE554" s="58"/>
      <c r="EF554" s="83"/>
      <c r="EI554" s="83"/>
      <c r="EK554" s="58"/>
      <c r="EL554" s="83"/>
      <c r="EO554" s="58"/>
      <c r="EP554" s="83"/>
      <c r="EQ554" s="58"/>
      <c r="ER554" s="83"/>
      <c r="ES554" s="58"/>
      <c r="ET554" s="83"/>
      <c r="EU554" s="58"/>
    </row>
    <row r="555" spans="1:151">
      <c r="A555" s="42" t="s">
        <v>327</v>
      </c>
      <c r="B555" s="173" t="s">
        <v>186</v>
      </c>
      <c r="C555" s="173" t="s">
        <v>515</v>
      </c>
      <c r="D555" s="83" t="s">
        <v>106</v>
      </c>
      <c r="E555" s="49" t="s">
        <v>1</v>
      </c>
      <c r="F555" s="49" t="s">
        <v>286</v>
      </c>
      <c r="G555" s="49">
        <v>84.28</v>
      </c>
      <c r="H555" s="49">
        <v>3423</v>
      </c>
      <c r="I555" s="49">
        <v>1251</v>
      </c>
      <c r="J555" s="159">
        <v>1.4151583710407241</v>
      </c>
      <c r="K555" s="49">
        <v>1</v>
      </c>
      <c r="L555" s="49">
        <v>3</v>
      </c>
      <c r="M555" s="83">
        <v>0</v>
      </c>
      <c r="N555" s="49">
        <v>2</v>
      </c>
      <c r="O555" s="49">
        <v>1</v>
      </c>
      <c r="P555" s="49">
        <v>1</v>
      </c>
      <c r="Q555" s="58">
        <v>0</v>
      </c>
      <c r="R555" s="42">
        <v>4</v>
      </c>
      <c r="S555" s="83">
        <v>1</v>
      </c>
      <c r="U555" s="83">
        <v>2</v>
      </c>
      <c r="V555" s="49">
        <v>3</v>
      </c>
      <c r="W555" s="49">
        <v>3</v>
      </c>
      <c r="X555" s="58">
        <v>2</v>
      </c>
      <c r="Y555" s="83">
        <v>4</v>
      </c>
      <c r="Z555" s="49">
        <v>6</v>
      </c>
      <c r="AA555" s="49">
        <v>16</v>
      </c>
      <c r="AD555" s="49">
        <v>12</v>
      </c>
      <c r="AE555" s="49">
        <v>150</v>
      </c>
      <c r="AF555" s="49">
        <v>5</v>
      </c>
      <c r="AG555" s="49">
        <v>340</v>
      </c>
      <c r="AH555" s="49">
        <v>14</v>
      </c>
      <c r="AI555" s="49">
        <v>380</v>
      </c>
      <c r="AJ555" s="49">
        <v>0</v>
      </c>
      <c r="AK555" s="83">
        <v>0</v>
      </c>
      <c r="AL555" s="49">
        <v>1</v>
      </c>
      <c r="AM555" s="49">
        <v>0</v>
      </c>
      <c r="AN555" s="49">
        <v>0</v>
      </c>
      <c r="AO555" s="58">
        <v>0</v>
      </c>
      <c r="AP555" s="174">
        <v>686</v>
      </c>
      <c r="AQ555" s="175">
        <v>694</v>
      </c>
      <c r="AR555" s="175" t="s">
        <v>284</v>
      </c>
      <c r="AS555" s="175" t="s">
        <v>284</v>
      </c>
      <c r="AT555" s="175" t="s">
        <v>284</v>
      </c>
      <c r="AU555" s="175" t="s">
        <v>284</v>
      </c>
      <c r="AV555" s="175" t="s">
        <v>284</v>
      </c>
      <c r="AW555" s="175" t="s">
        <v>284</v>
      </c>
      <c r="AX555" s="83">
        <v>0</v>
      </c>
      <c r="AY555" s="49">
        <v>0</v>
      </c>
      <c r="AZ555" s="49">
        <v>0</v>
      </c>
      <c r="BA555" s="49">
        <v>0</v>
      </c>
      <c r="BB555" s="58">
        <v>0</v>
      </c>
      <c r="BC555" s="42">
        <v>155</v>
      </c>
      <c r="BD555" s="49">
        <v>78.83</v>
      </c>
      <c r="BE555" s="49">
        <v>77.569999999999993</v>
      </c>
      <c r="BS555" s="58"/>
      <c r="BT555" s="83">
        <v>77.680000000000007</v>
      </c>
      <c r="BU555" s="49">
        <v>77.86</v>
      </c>
      <c r="BV555" s="49">
        <v>72.13</v>
      </c>
      <c r="CE555" s="83">
        <v>63.14</v>
      </c>
      <c r="CK555" s="58"/>
      <c r="CL555" s="83"/>
      <c r="CO555" s="58"/>
      <c r="CP555" s="83"/>
      <c r="CR555" s="58"/>
      <c r="CS555" s="83"/>
      <c r="CY555" s="83"/>
      <c r="DG555" s="58"/>
      <c r="DH555" s="83"/>
      <c r="DQ555" s="83"/>
      <c r="EE555" s="58"/>
      <c r="EF555" s="83"/>
      <c r="EI555" s="83"/>
      <c r="EK555" s="58"/>
      <c r="EL555" s="83"/>
      <c r="EO555" s="58"/>
      <c r="EP555" s="83"/>
      <c r="EQ555" s="58"/>
      <c r="ER555" s="83"/>
      <c r="ES555" s="58"/>
      <c r="ET555" s="83"/>
      <c r="EU555" s="58"/>
    </row>
    <row r="556" spans="1:151">
      <c r="A556" s="42" t="s">
        <v>327</v>
      </c>
      <c r="B556" s="173" t="s">
        <v>186</v>
      </c>
      <c r="C556" s="173" t="s">
        <v>515</v>
      </c>
      <c r="D556" s="83" t="s">
        <v>74</v>
      </c>
      <c r="F556" s="49" t="s">
        <v>286</v>
      </c>
      <c r="G556" s="49">
        <v>84.28</v>
      </c>
      <c r="H556" s="49">
        <v>3423</v>
      </c>
      <c r="I556" s="49">
        <v>1539</v>
      </c>
      <c r="J556" s="159">
        <v>1.5313432835820895</v>
      </c>
      <c r="K556" s="49">
        <v>4</v>
      </c>
      <c r="L556" s="49">
        <v>4</v>
      </c>
      <c r="M556" s="83">
        <v>0</v>
      </c>
      <c r="N556" s="49">
        <v>0</v>
      </c>
      <c r="O556" s="49">
        <v>0</v>
      </c>
      <c r="P556" s="49">
        <v>1</v>
      </c>
      <c r="Q556" s="58">
        <v>0</v>
      </c>
      <c r="R556" s="42">
        <v>1</v>
      </c>
      <c r="S556" s="83">
        <v>1</v>
      </c>
      <c r="U556" s="83">
        <v>1</v>
      </c>
      <c r="V556" s="49">
        <v>4</v>
      </c>
      <c r="W556" s="49">
        <v>1</v>
      </c>
      <c r="X556" s="58">
        <v>2</v>
      </c>
      <c r="Y556" s="83">
        <v>0</v>
      </c>
      <c r="AJ556" s="49">
        <v>0</v>
      </c>
      <c r="AK556" s="83">
        <v>0</v>
      </c>
      <c r="AL556" s="49">
        <v>0</v>
      </c>
      <c r="AM556" s="49">
        <v>0</v>
      </c>
      <c r="AN556" s="49">
        <v>0</v>
      </c>
      <c r="AO556" s="58">
        <v>0</v>
      </c>
      <c r="AP556" s="174" t="s">
        <v>284</v>
      </c>
      <c r="AQ556" s="175" t="s">
        <v>284</v>
      </c>
      <c r="AR556" s="175" t="s">
        <v>284</v>
      </c>
      <c r="AS556" s="175" t="s">
        <v>284</v>
      </c>
      <c r="AT556" s="175" t="s">
        <v>284</v>
      </c>
      <c r="AU556" s="175" t="s">
        <v>284</v>
      </c>
      <c r="AV556" s="175" t="s">
        <v>284</v>
      </c>
      <c r="AW556" s="175" t="s">
        <v>284</v>
      </c>
      <c r="AX556" s="83">
        <v>0</v>
      </c>
      <c r="AY556" s="49">
        <v>0</v>
      </c>
      <c r="AZ556" s="49">
        <v>0</v>
      </c>
      <c r="BA556" s="49">
        <v>0</v>
      </c>
      <c r="BB556" s="58">
        <v>0</v>
      </c>
      <c r="BC556" s="42">
        <v>82</v>
      </c>
      <c r="BD556" s="49">
        <v>57.31</v>
      </c>
      <c r="BE556" s="49">
        <v>58.59</v>
      </c>
      <c r="BS556" s="58"/>
      <c r="BT556" s="83"/>
      <c r="CE556" s="83">
        <v>64.400000000000006</v>
      </c>
      <c r="CK556" s="58"/>
      <c r="CL556" s="83"/>
      <c r="CO556" s="58"/>
      <c r="CP556" s="83"/>
      <c r="CR556" s="58"/>
      <c r="CS556" s="83"/>
      <c r="CY556" s="83"/>
      <c r="DG556" s="58"/>
      <c r="DH556" s="83"/>
      <c r="DQ556" s="83"/>
      <c r="EE556" s="58"/>
      <c r="EF556" s="83"/>
      <c r="EI556" s="83"/>
      <c r="EK556" s="58"/>
      <c r="EL556" s="83"/>
      <c r="EO556" s="58"/>
      <c r="EP556" s="83"/>
      <c r="EQ556" s="58"/>
      <c r="ER556" s="83"/>
      <c r="ES556" s="58"/>
      <c r="ET556" s="83"/>
      <c r="EU556" s="58"/>
    </row>
    <row r="557" spans="1:151">
      <c r="A557" s="42" t="s">
        <v>327</v>
      </c>
      <c r="B557" s="173" t="s">
        <v>186</v>
      </c>
      <c r="C557" s="173" t="s">
        <v>515</v>
      </c>
      <c r="D557" s="83" t="s">
        <v>75</v>
      </c>
      <c r="F557" s="49" t="s">
        <v>286</v>
      </c>
      <c r="G557" s="49">
        <v>84.28</v>
      </c>
      <c r="H557" s="49">
        <v>3423</v>
      </c>
      <c r="I557" s="49">
        <v>1556</v>
      </c>
      <c r="J557" s="159">
        <v>1.2108949416342412</v>
      </c>
      <c r="K557" s="49">
        <v>1</v>
      </c>
      <c r="L557" s="49">
        <v>2</v>
      </c>
      <c r="M557" s="83">
        <v>0</v>
      </c>
      <c r="N557" s="49">
        <v>1</v>
      </c>
      <c r="O557" s="49">
        <v>0</v>
      </c>
      <c r="P557" s="49">
        <v>0</v>
      </c>
      <c r="Q557" s="58">
        <v>0</v>
      </c>
      <c r="R557" s="42">
        <v>1</v>
      </c>
      <c r="S557" s="83">
        <v>1</v>
      </c>
      <c r="U557" s="83">
        <v>1</v>
      </c>
      <c r="V557" s="49">
        <v>2</v>
      </c>
      <c r="W557" s="49">
        <v>2</v>
      </c>
      <c r="X557" s="58"/>
      <c r="Y557" s="83">
        <v>1</v>
      </c>
      <c r="Z557" s="49">
        <v>5</v>
      </c>
      <c r="AA557" s="49">
        <v>46</v>
      </c>
      <c r="AD557" s="49">
        <v>13</v>
      </c>
      <c r="AE557" s="49">
        <v>97</v>
      </c>
      <c r="AF557" s="49">
        <v>28</v>
      </c>
      <c r="AG557" s="49">
        <v>62</v>
      </c>
      <c r="AH557" s="49">
        <v>11</v>
      </c>
      <c r="AI557" s="49">
        <v>47</v>
      </c>
      <c r="AJ557" s="49">
        <v>0</v>
      </c>
      <c r="AK557" s="83">
        <v>0</v>
      </c>
      <c r="AL557" s="49">
        <v>1</v>
      </c>
      <c r="AM557" s="49">
        <v>0</v>
      </c>
      <c r="AN557" s="49">
        <v>0</v>
      </c>
      <c r="AO557" s="58">
        <v>0</v>
      </c>
      <c r="AP557" s="174">
        <v>142</v>
      </c>
      <c r="AQ557" s="175">
        <v>551</v>
      </c>
      <c r="AR557" s="175" t="s">
        <v>284</v>
      </c>
      <c r="AS557" s="175" t="s">
        <v>284</v>
      </c>
      <c r="AT557" s="175" t="s">
        <v>284</v>
      </c>
      <c r="AU557" s="175" t="s">
        <v>284</v>
      </c>
      <c r="AV557" s="175" t="s">
        <v>284</v>
      </c>
      <c r="AW557" s="175" t="s">
        <v>284</v>
      </c>
      <c r="AX557" s="83">
        <v>0</v>
      </c>
      <c r="AY557" s="49">
        <v>0</v>
      </c>
      <c r="AZ557" s="49">
        <v>0</v>
      </c>
      <c r="BA557" s="49">
        <v>0</v>
      </c>
      <c r="BB557" s="58">
        <v>0</v>
      </c>
      <c r="BC557" s="42">
        <v>135</v>
      </c>
      <c r="BE557" s="49"/>
      <c r="BS557" s="58"/>
      <c r="BT557" s="83"/>
      <c r="CE557" s="83"/>
      <c r="CK557" s="58"/>
      <c r="CL557" s="83"/>
      <c r="CO557" s="58"/>
      <c r="CP557" s="83"/>
      <c r="CR557" s="58"/>
      <c r="CS557" s="83"/>
      <c r="CY557" s="83"/>
      <c r="DG557" s="58"/>
      <c r="DH557" s="83"/>
      <c r="DQ557" s="83"/>
      <c r="EE557" s="58"/>
      <c r="EF557" s="83"/>
      <c r="EI557" s="83"/>
      <c r="EK557" s="58"/>
      <c r="EL557" s="83"/>
      <c r="EO557" s="58"/>
      <c r="EP557" s="83"/>
      <c r="EQ557" s="58"/>
      <c r="ER557" s="83"/>
      <c r="ES557" s="58"/>
      <c r="ET557" s="83"/>
      <c r="EU557" s="58"/>
    </row>
    <row r="558" spans="1:151" ht="17" thickBot="1">
      <c r="A558" s="55" t="s">
        <v>327</v>
      </c>
      <c r="B558" s="47" t="s">
        <v>186</v>
      </c>
      <c r="C558" s="47" t="s">
        <v>515</v>
      </c>
      <c r="D558" s="84" t="s">
        <v>76</v>
      </c>
      <c r="E558" s="57"/>
      <c r="F558" s="57" t="s">
        <v>286</v>
      </c>
      <c r="G558" s="57">
        <v>84.28</v>
      </c>
      <c r="H558" s="57">
        <v>3423</v>
      </c>
      <c r="I558" s="57">
        <v>2876</v>
      </c>
      <c r="J558" s="75">
        <v>2.4857389801210026</v>
      </c>
      <c r="K558" s="57">
        <v>1</v>
      </c>
      <c r="L558" s="57">
        <v>3</v>
      </c>
      <c r="M558" s="84">
        <v>0</v>
      </c>
      <c r="N558" s="57">
        <v>0</v>
      </c>
      <c r="O558" s="57">
        <v>1</v>
      </c>
      <c r="P558" s="57">
        <v>1</v>
      </c>
      <c r="Q558" s="56">
        <v>0</v>
      </c>
      <c r="R558" s="55">
        <v>2</v>
      </c>
      <c r="S558" s="84">
        <v>1</v>
      </c>
      <c r="T558" s="57"/>
      <c r="U558" s="84">
        <v>2</v>
      </c>
      <c r="V558" s="57">
        <v>3</v>
      </c>
      <c r="W558" s="57">
        <v>1</v>
      </c>
      <c r="X558" s="56">
        <v>3</v>
      </c>
      <c r="Y558" s="84">
        <v>0</v>
      </c>
      <c r="Z558" s="57"/>
      <c r="AA558" s="57"/>
      <c r="AB558" s="57"/>
      <c r="AC558" s="57"/>
      <c r="AD558" s="57"/>
      <c r="AE558" s="57"/>
      <c r="AF558" s="57"/>
      <c r="AG558" s="57"/>
      <c r="AH558" s="57"/>
      <c r="AI558" s="57"/>
      <c r="AJ558" s="57">
        <v>0</v>
      </c>
      <c r="AK558" s="84">
        <v>0</v>
      </c>
      <c r="AL558" s="57">
        <v>1</v>
      </c>
      <c r="AM558" s="57">
        <v>0</v>
      </c>
      <c r="AN558" s="57">
        <v>0</v>
      </c>
      <c r="AO558" s="56">
        <v>0</v>
      </c>
      <c r="AP558" s="178" t="s">
        <v>501</v>
      </c>
      <c r="AQ558" s="179" t="s">
        <v>501</v>
      </c>
      <c r="AR558" s="179" t="s">
        <v>284</v>
      </c>
      <c r="AS558" s="179" t="s">
        <v>284</v>
      </c>
      <c r="AT558" s="179" t="s">
        <v>284</v>
      </c>
      <c r="AU558" s="179" t="s">
        <v>284</v>
      </c>
      <c r="AV558" s="179" t="s">
        <v>284</v>
      </c>
      <c r="AW558" s="179" t="s">
        <v>284</v>
      </c>
      <c r="AX558" s="84">
        <v>0</v>
      </c>
      <c r="AY558" s="57">
        <v>0</v>
      </c>
      <c r="AZ558" s="57">
        <v>0</v>
      </c>
      <c r="BA558" s="57">
        <v>0</v>
      </c>
      <c r="BB558" s="56">
        <v>0</v>
      </c>
      <c r="BC558" s="55">
        <v>143</v>
      </c>
      <c r="BD558" s="57"/>
      <c r="BE558" s="57"/>
      <c r="BF558" s="57"/>
      <c r="BG558" s="57"/>
      <c r="BH558" s="57"/>
      <c r="BI558" s="57"/>
      <c r="BJ558" s="57"/>
      <c r="BK558" s="57"/>
      <c r="BL558" s="57"/>
      <c r="BM558" s="57"/>
      <c r="BN558" s="57"/>
      <c r="BO558" s="57"/>
      <c r="BP558" s="57"/>
      <c r="BQ558" s="57"/>
      <c r="BR558" s="57"/>
      <c r="BS558" s="56"/>
      <c r="BT558" s="84"/>
      <c r="BU558" s="57"/>
      <c r="BV558" s="57"/>
      <c r="BW558" s="57"/>
      <c r="BX558" s="57"/>
      <c r="BY558" s="57"/>
      <c r="BZ558" s="57"/>
      <c r="CA558" s="57"/>
      <c r="CB558" s="57"/>
      <c r="CC558" s="57"/>
      <c r="CD558" s="57"/>
      <c r="CE558" s="84"/>
      <c r="CF558" s="57"/>
      <c r="CG558" s="57"/>
      <c r="CH558" s="57"/>
      <c r="CI558" s="57"/>
      <c r="CJ558" s="57"/>
      <c r="CK558" s="56"/>
      <c r="CL558" s="84"/>
      <c r="CM558" s="57"/>
      <c r="CN558" s="57"/>
      <c r="CO558" s="56"/>
      <c r="CP558" s="84"/>
      <c r="CQ558" s="57"/>
      <c r="CR558" s="56"/>
      <c r="CS558" s="84"/>
      <c r="CT558" s="57"/>
      <c r="CU558" s="57"/>
      <c r="CV558" s="57"/>
      <c r="CW558" s="57"/>
      <c r="CX558" s="57"/>
      <c r="CY558" s="84"/>
      <c r="CZ558" s="57"/>
      <c r="DA558" s="57"/>
      <c r="DB558" s="57"/>
      <c r="DC558" s="57"/>
      <c r="DD558" s="57"/>
      <c r="DE558" s="57"/>
      <c r="DF558" s="57"/>
      <c r="DG558" s="56"/>
      <c r="DH558" s="84"/>
      <c r="DI558" s="57"/>
      <c r="DJ558" s="57"/>
      <c r="DK558" s="57"/>
      <c r="DL558" s="57"/>
      <c r="DM558" s="57"/>
      <c r="DN558" s="57"/>
      <c r="DO558" s="57"/>
      <c r="DP558" s="57"/>
      <c r="DQ558" s="84"/>
      <c r="DR558" s="57"/>
      <c r="DS558" s="57"/>
      <c r="DT558" s="57"/>
      <c r="DU558" s="57"/>
      <c r="DV558" s="57"/>
      <c r="DW558" s="57"/>
      <c r="DX558" s="57"/>
      <c r="DY558" s="57"/>
      <c r="DZ558" s="57"/>
      <c r="EA558" s="57"/>
      <c r="EB558" s="57"/>
      <c r="EC558" s="57"/>
      <c r="ED558" s="57"/>
      <c r="EE558" s="56"/>
      <c r="EF558" s="84"/>
      <c r="EG558" s="57"/>
      <c r="EH558" s="57"/>
      <c r="EI558" s="84"/>
      <c r="EJ558" s="57"/>
      <c r="EK558" s="56"/>
      <c r="EL558" s="84"/>
      <c r="EM558" s="57"/>
      <c r="EN558" s="57"/>
      <c r="EO558" s="56"/>
      <c r="EP558" s="84"/>
      <c r="EQ558" s="56"/>
      <c r="ER558" s="84"/>
      <c r="ES558" s="56"/>
      <c r="ET558" s="84"/>
      <c r="EU558" s="56"/>
    </row>
    <row r="559" spans="1:151">
      <c r="A559" s="83" t="s">
        <v>322</v>
      </c>
      <c r="B559" s="173" t="s">
        <v>188</v>
      </c>
      <c r="C559" s="173" t="s">
        <v>516</v>
      </c>
      <c r="D559" s="83" t="s">
        <v>64</v>
      </c>
      <c r="F559" s="49" t="s">
        <v>287</v>
      </c>
      <c r="G559" s="70">
        <v>8.7550000000000008</v>
      </c>
      <c r="I559" s="49">
        <v>640</v>
      </c>
      <c r="J559" s="159">
        <v>1.8768328445747802</v>
      </c>
      <c r="K559" s="49">
        <v>1</v>
      </c>
      <c r="L559" s="49">
        <v>2</v>
      </c>
      <c r="M559" s="83">
        <v>1</v>
      </c>
      <c r="N559" s="49">
        <v>2</v>
      </c>
      <c r="O559" s="49">
        <v>0</v>
      </c>
      <c r="P559" s="49">
        <v>0</v>
      </c>
      <c r="Q559" s="58">
        <v>0</v>
      </c>
      <c r="R559" s="42">
        <v>3</v>
      </c>
      <c r="S559" s="83" t="s">
        <v>284</v>
      </c>
      <c r="U559" s="83">
        <v>2</v>
      </c>
      <c r="V559" s="49">
        <v>2</v>
      </c>
      <c r="W559" s="49">
        <v>3</v>
      </c>
      <c r="X559" s="58">
        <v>2</v>
      </c>
      <c r="Y559" s="83">
        <v>5</v>
      </c>
      <c r="Z559" s="49">
        <v>2</v>
      </c>
      <c r="AA559" s="49">
        <v>9</v>
      </c>
      <c r="AD559" s="49">
        <v>5</v>
      </c>
      <c r="AE559" s="49">
        <v>70</v>
      </c>
      <c r="AH559" s="49">
        <v>6</v>
      </c>
      <c r="AI559" s="49">
        <v>42</v>
      </c>
      <c r="AJ559" s="49">
        <v>0</v>
      </c>
      <c r="AK559" s="83">
        <v>0</v>
      </c>
      <c r="AL559" s="49">
        <v>0</v>
      </c>
      <c r="AM559" s="49">
        <v>0</v>
      </c>
      <c r="AN559" s="49">
        <v>0</v>
      </c>
      <c r="AO559" s="58">
        <v>0</v>
      </c>
      <c r="AP559" s="174" t="s">
        <v>284</v>
      </c>
      <c r="AQ559" s="175" t="s">
        <v>284</v>
      </c>
      <c r="AR559" s="175" t="s">
        <v>284</v>
      </c>
      <c r="AS559" s="175" t="s">
        <v>284</v>
      </c>
      <c r="AT559" s="175" t="s">
        <v>284</v>
      </c>
      <c r="AU559" s="175" t="s">
        <v>284</v>
      </c>
      <c r="AV559" s="175" t="s">
        <v>284</v>
      </c>
      <c r="AW559" s="175" t="s">
        <v>284</v>
      </c>
      <c r="AX559" s="83">
        <v>0</v>
      </c>
      <c r="AY559" s="49">
        <v>0</v>
      </c>
      <c r="AZ559" s="49">
        <v>0</v>
      </c>
      <c r="BA559" s="49">
        <v>0</v>
      </c>
      <c r="BB559" s="58">
        <v>0</v>
      </c>
      <c r="BC559" s="42">
        <v>118</v>
      </c>
      <c r="BD559" s="49">
        <v>55.32</v>
      </c>
      <c r="BE559" s="49"/>
      <c r="BS559" s="58"/>
      <c r="BT559" s="83">
        <v>60.91</v>
      </c>
      <c r="BU559" s="49">
        <v>60.93</v>
      </c>
      <c r="CE559" s="83"/>
      <c r="CK559" s="58"/>
      <c r="CL559" s="83">
        <v>49.29</v>
      </c>
      <c r="CO559" s="58"/>
      <c r="CP559" s="83"/>
      <c r="CR559" s="58"/>
      <c r="CS559" s="83"/>
      <c r="CY559" s="83"/>
      <c r="DG559" s="58"/>
      <c r="DH559" s="83"/>
      <c r="DQ559" s="83"/>
      <c r="EE559" s="58"/>
      <c r="EF559" s="83"/>
      <c r="EI559" s="83"/>
      <c r="EK559" s="58"/>
      <c r="EL559" s="83"/>
      <c r="EO559" s="58"/>
      <c r="EP559" s="83"/>
      <c r="EQ559" s="58"/>
      <c r="ER559" s="83"/>
      <c r="ES559" s="58"/>
      <c r="ET559" s="83"/>
      <c r="EU559" s="58"/>
    </row>
    <row r="560" spans="1:151">
      <c r="A560" s="83" t="s">
        <v>322</v>
      </c>
      <c r="B560" s="173" t="s">
        <v>188</v>
      </c>
      <c r="C560" s="173" t="s">
        <v>516</v>
      </c>
      <c r="D560" s="83" t="s">
        <v>189</v>
      </c>
      <c r="F560" s="49" t="s">
        <v>287</v>
      </c>
      <c r="G560" s="70">
        <v>8.7550000000000008</v>
      </c>
      <c r="I560" s="49">
        <v>471</v>
      </c>
      <c r="J560" s="159">
        <v>1.1134751773049645</v>
      </c>
      <c r="K560" s="49">
        <v>1</v>
      </c>
      <c r="L560" s="49">
        <v>3</v>
      </c>
      <c r="M560" s="83">
        <v>0</v>
      </c>
      <c r="N560" s="49">
        <v>0</v>
      </c>
      <c r="O560" s="49">
        <v>0</v>
      </c>
      <c r="P560" s="49">
        <v>1</v>
      </c>
      <c r="Q560" s="58">
        <v>0</v>
      </c>
      <c r="R560" s="42">
        <v>1</v>
      </c>
      <c r="S560" s="83" t="s">
        <v>283</v>
      </c>
      <c r="T560" s="49">
        <v>9</v>
      </c>
      <c r="U560" s="83">
        <v>1</v>
      </c>
      <c r="V560" s="49">
        <v>4</v>
      </c>
      <c r="W560" s="49">
        <v>1</v>
      </c>
      <c r="X560" s="58">
        <v>2</v>
      </c>
      <c r="Y560" s="83">
        <v>1</v>
      </c>
      <c r="AD560" s="49">
        <v>11</v>
      </c>
      <c r="AE560" s="49">
        <v>25</v>
      </c>
      <c r="AH560" s="49">
        <v>10</v>
      </c>
      <c r="AI560" s="49">
        <v>94</v>
      </c>
      <c r="AJ560" s="49">
        <v>0</v>
      </c>
      <c r="AK560" s="83">
        <v>0</v>
      </c>
      <c r="AL560" s="49">
        <v>0</v>
      </c>
      <c r="AM560" s="49">
        <v>1</v>
      </c>
      <c r="AN560" s="49">
        <v>0</v>
      </c>
      <c r="AO560" s="58">
        <v>0</v>
      </c>
      <c r="AP560" s="174">
        <v>0</v>
      </c>
      <c r="AQ560" s="175">
        <v>0</v>
      </c>
      <c r="AR560" s="175">
        <v>0</v>
      </c>
      <c r="AS560" s="175">
        <v>144</v>
      </c>
      <c r="AT560" s="175">
        <v>0</v>
      </c>
      <c r="AU560" s="175">
        <v>0</v>
      </c>
      <c r="AV560" s="175">
        <v>0</v>
      </c>
      <c r="AW560" s="175">
        <v>0</v>
      </c>
      <c r="AX560" s="83">
        <v>0</v>
      </c>
      <c r="AY560" s="49">
        <v>1</v>
      </c>
      <c r="AZ560" s="49">
        <v>0</v>
      </c>
      <c r="BA560" s="49">
        <v>0</v>
      </c>
      <c r="BB560" s="58">
        <v>1</v>
      </c>
      <c r="BC560" s="42">
        <v>145</v>
      </c>
      <c r="BE560" s="49"/>
      <c r="BS560" s="58"/>
      <c r="BT560" s="83"/>
      <c r="CE560" s="83"/>
      <c r="CK560" s="58"/>
      <c r="CL560" s="83"/>
      <c r="CO560" s="58"/>
      <c r="CP560" s="83"/>
      <c r="CR560" s="58"/>
      <c r="CS560" s="83"/>
      <c r="CY560" s="83"/>
      <c r="DG560" s="58"/>
      <c r="DH560" s="83"/>
      <c r="DQ560" s="83"/>
      <c r="EE560" s="58"/>
      <c r="EF560" s="83"/>
      <c r="EI560" s="83"/>
      <c r="EK560" s="58"/>
      <c r="EL560" s="83"/>
      <c r="EO560" s="58"/>
      <c r="EP560" s="83"/>
      <c r="EQ560" s="58"/>
      <c r="ER560" s="83"/>
      <c r="ES560" s="58"/>
      <c r="ET560" s="83"/>
      <c r="EU560" s="58"/>
    </row>
    <row r="561" spans="1:151">
      <c r="A561" s="83" t="s">
        <v>322</v>
      </c>
      <c r="B561" s="173" t="s">
        <v>188</v>
      </c>
      <c r="C561" s="173" t="s">
        <v>516</v>
      </c>
      <c r="D561" s="83" t="s">
        <v>190</v>
      </c>
      <c r="E561" s="49" t="s">
        <v>0</v>
      </c>
      <c r="F561" s="49" t="s">
        <v>286</v>
      </c>
      <c r="G561" s="70">
        <v>8.7550000000000008</v>
      </c>
      <c r="I561" s="49">
        <v>1268</v>
      </c>
      <c r="J561" s="159">
        <v>1.4625144175317186</v>
      </c>
      <c r="K561" s="49">
        <v>4</v>
      </c>
      <c r="L561" s="49">
        <v>3</v>
      </c>
      <c r="M561" s="83">
        <v>0</v>
      </c>
      <c r="N561" s="49">
        <v>0</v>
      </c>
      <c r="O561" s="49">
        <v>0</v>
      </c>
      <c r="P561" s="49">
        <v>1</v>
      </c>
      <c r="Q561" s="58">
        <v>0</v>
      </c>
      <c r="R561" s="42">
        <v>10</v>
      </c>
      <c r="S561" s="83">
        <v>1</v>
      </c>
      <c r="U561" s="83">
        <v>1</v>
      </c>
      <c r="V561" s="49">
        <v>3</v>
      </c>
      <c r="W561" s="49">
        <v>1</v>
      </c>
      <c r="X561" s="58">
        <v>2</v>
      </c>
      <c r="Y561" s="83">
        <v>1</v>
      </c>
      <c r="Z561" s="49">
        <v>5</v>
      </c>
      <c r="AA561" s="49">
        <v>11</v>
      </c>
      <c r="AB561" s="49">
        <v>0</v>
      </c>
      <c r="AC561" s="49">
        <v>0</v>
      </c>
      <c r="AD561" s="49">
        <v>11</v>
      </c>
      <c r="AE561" s="49">
        <v>35</v>
      </c>
      <c r="AF561" s="49">
        <v>0</v>
      </c>
      <c r="AG561" s="49">
        <v>0</v>
      </c>
      <c r="AH561" s="49">
        <v>9</v>
      </c>
      <c r="AI561" s="49">
        <v>144</v>
      </c>
      <c r="AJ561" s="49">
        <v>1</v>
      </c>
      <c r="AK561" s="83">
        <v>0</v>
      </c>
      <c r="AL561" s="49">
        <v>0</v>
      </c>
      <c r="AM561" s="49">
        <v>0</v>
      </c>
      <c r="AN561" s="49">
        <v>0</v>
      </c>
      <c r="AO561" s="58">
        <v>0</v>
      </c>
      <c r="AP561" s="174">
        <v>0</v>
      </c>
      <c r="AQ561" s="175">
        <v>0</v>
      </c>
      <c r="AR561" s="175">
        <v>0</v>
      </c>
      <c r="AS561" s="175">
        <v>0</v>
      </c>
      <c r="AT561" s="175">
        <v>0</v>
      </c>
      <c r="AU561" s="175">
        <v>0</v>
      </c>
      <c r="AV561" s="175">
        <v>0</v>
      </c>
      <c r="AW561" s="175">
        <v>0</v>
      </c>
      <c r="AX561" s="83">
        <v>0</v>
      </c>
      <c r="AY561" s="49">
        <v>0</v>
      </c>
      <c r="AZ561" s="49">
        <v>0</v>
      </c>
      <c r="BA561" s="49">
        <v>0</v>
      </c>
      <c r="BB561" s="58">
        <v>0</v>
      </c>
      <c r="BC561" s="42">
        <v>156</v>
      </c>
      <c r="BE561" s="49"/>
      <c r="BS561" s="58"/>
      <c r="BT561" s="83"/>
      <c r="CE561" s="83"/>
      <c r="CK561" s="58"/>
      <c r="CL561" s="83"/>
      <c r="CO561" s="58"/>
      <c r="CP561" s="83"/>
      <c r="CR561" s="58"/>
      <c r="CS561" s="83"/>
      <c r="CY561" s="83"/>
      <c r="DG561" s="58"/>
      <c r="DH561" s="83"/>
      <c r="DQ561" s="83"/>
      <c r="EE561" s="58"/>
      <c r="EF561" s="83"/>
      <c r="EI561" s="83"/>
      <c r="EK561" s="58"/>
      <c r="EL561" s="83"/>
      <c r="EO561" s="58"/>
      <c r="EP561" s="83"/>
      <c r="EQ561" s="58"/>
      <c r="ER561" s="83"/>
      <c r="ES561" s="58"/>
      <c r="ET561" s="83"/>
      <c r="EU561" s="58"/>
    </row>
    <row r="562" spans="1:151">
      <c r="A562" s="83" t="s">
        <v>322</v>
      </c>
      <c r="B562" s="173" t="s">
        <v>188</v>
      </c>
      <c r="C562" s="173" t="s">
        <v>516</v>
      </c>
      <c r="D562" s="83" t="s">
        <v>190</v>
      </c>
      <c r="E562" s="49" t="s">
        <v>1</v>
      </c>
      <c r="F562" s="49" t="s">
        <v>287</v>
      </c>
      <c r="G562" s="70">
        <v>8.7550000000000008</v>
      </c>
      <c r="I562" s="49">
        <v>906</v>
      </c>
      <c r="J562" s="159">
        <v>1.7490347490347491</v>
      </c>
      <c r="K562" s="49">
        <v>1</v>
      </c>
      <c r="L562" s="49">
        <v>2</v>
      </c>
      <c r="M562" s="83">
        <v>1</v>
      </c>
      <c r="N562" s="49">
        <v>0</v>
      </c>
      <c r="O562" s="49">
        <v>1</v>
      </c>
      <c r="P562" s="49">
        <v>1</v>
      </c>
      <c r="Q562" s="58">
        <v>0</v>
      </c>
      <c r="R562" s="42">
        <v>3</v>
      </c>
      <c r="S562" s="83">
        <v>1</v>
      </c>
      <c r="U562" s="83">
        <v>2</v>
      </c>
      <c r="V562" s="49">
        <v>2</v>
      </c>
      <c r="W562" s="49">
        <v>1</v>
      </c>
      <c r="X562" s="58">
        <v>2</v>
      </c>
      <c r="Y562" s="83">
        <v>0</v>
      </c>
      <c r="AJ562" s="49">
        <v>0</v>
      </c>
      <c r="AK562" s="83">
        <v>0</v>
      </c>
      <c r="AL562" s="49">
        <v>0</v>
      </c>
      <c r="AM562" s="49">
        <v>1</v>
      </c>
      <c r="AN562" s="49">
        <v>0</v>
      </c>
      <c r="AO562" s="58">
        <v>0</v>
      </c>
      <c r="AP562" s="174" t="s">
        <v>284</v>
      </c>
      <c r="AQ562" s="175" t="s">
        <v>284</v>
      </c>
      <c r="AR562" s="175">
        <v>0</v>
      </c>
      <c r="AS562" s="175">
        <v>759</v>
      </c>
      <c r="AT562" s="175" t="s">
        <v>284</v>
      </c>
      <c r="AU562" s="175" t="s">
        <v>284</v>
      </c>
      <c r="AV562" s="175" t="s">
        <v>284</v>
      </c>
      <c r="AW562" s="175" t="s">
        <v>284</v>
      </c>
      <c r="AX562" s="83">
        <v>0</v>
      </c>
      <c r="AY562" s="49">
        <v>0</v>
      </c>
      <c r="AZ562" s="49">
        <v>0</v>
      </c>
      <c r="BA562" s="49">
        <v>0</v>
      </c>
      <c r="BB562" s="58">
        <v>0</v>
      </c>
      <c r="BC562" s="42">
        <v>156</v>
      </c>
      <c r="BE562" s="49"/>
      <c r="BS562" s="58"/>
      <c r="BT562" s="83"/>
      <c r="CE562" s="83"/>
      <c r="CK562" s="58"/>
      <c r="CL562" s="83"/>
      <c r="CO562" s="58"/>
      <c r="CP562" s="83"/>
      <c r="CR562" s="58"/>
      <c r="CS562" s="83"/>
      <c r="CY562" s="83"/>
      <c r="DG562" s="58"/>
      <c r="DH562" s="83"/>
      <c r="DQ562" s="83"/>
      <c r="EE562" s="58"/>
      <c r="EF562" s="83"/>
      <c r="EI562" s="83"/>
      <c r="EK562" s="58"/>
      <c r="EL562" s="83"/>
      <c r="EO562" s="58"/>
      <c r="EP562" s="83"/>
      <c r="EQ562" s="58"/>
      <c r="ER562" s="83"/>
      <c r="ES562" s="58"/>
      <c r="ET562" s="83"/>
      <c r="EU562" s="58"/>
    </row>
    <row r="563" spans="1:151">
      <c r="A563" s="83" t="s">
        <v>322</v>
      </c>
      <c r="B563" s="173" t="s">
        <v>188</v>
      </c>
      <c r="C563" s="173" t="s">
        <v>516</v>
      </c>
      <c r="D563" s="83" t="s">
        <v>65</v>
      </c>
      <c r="F563" s="49" t="s">
        <v>286</v>
      </c>
      <c r="G563" s="70">
        <v>8.7550000000000008</v>
      </c>
      <c r="I563" s="49">
        <v>1145</v>
      </c>
      <c r="J563" s="159">
        <v>1.7013372956909361</v>
      </c>
      <c r="K563" s="49">
        <v>1</v>
      </c>
      <c r="L563" s="49">
        <v>2</v>
      </c>
      <c r="M563" s="83">
        <v>0</v>
      </c>
      <c r="N563" s="49">
        <v>1</v>
      </c>
      <c r="O563" s="49">
        <v>0</v>
      </c>
      <c r="P563" s="49">
        <v>1</v>
      </c>
      <c r="Q563" s="58">
        <v>0</v>
      </c>
      <c r="R563" s="42">
        <v>2</v>
      </c>
      <c r="S563" s="83" t="s">
        <v>284</v>
      </c>
      <c r="U563" s="83">
        <v>1</v>
      </c>
      <c r="V563" s="49">
        <v>2</v>
      </c>
      <c r="W563" s="49">
        <v>1</v>
      </c>
      <c r="X563" s="58">
        <v>2</v>
      </c>
      <c r="Y563" s="83">
        <v>20</v>
      </c>
      <c r="AD563" s="49">
        <v>9</v>
      </c>
      <c r="AE563" s="49">
        <v>245</v>
      </c>
      <c r="AG563" s="49">
        <v>9</v>
      </c>
      <c r="AH563" s="49">
        <v>28</v>
      </c>
      <c r="AI563" s="49">
        <v>612</v>
      </c>
      <c r="AJ563" s="49">
        <v>0</v>
      </c>
      <c r="AK563" s="83">
        <v>0</v>
      </c>
      <c r="AL563" s="49">
        <v>0</v>
      </c>
      <c r="AM563" s="49">
        <v>0</v>
      </c>
      <c r="AN563" s="49">
        <v>0</v>
      </c>
      <c r="AO563" s="58">
        <v>0</v>
      </c>
      <c r="AP563" s="174" t="s">
        <v>284</v>
      </c>
      <c r="AQ563" s="175" t="s">
        <v>284</v>
      </c>
      <c r="AR563" s="175" t="s">
        <v>284</v>
      </c>
      <c r="AS563" s="175" t="s">
        <v>284</v>
      </c>
      <c r="AT563" s="175" t="s">
        <v>284</v>
      </c>
      <c r="AU563" s="175" t="s">
        <v>284</v>
      </c>
      <c r="AV563" s="175" t="s">
        <v>284</v>
      </c>
      <c r="AW563" s="175" t="s">
        <v>284</v>
      </c>
      <c r="AX563" s="83">
        <v>0</v>
      </c>
      <c r="AY563" s="49">
        <v>0</v>
      </c>
      <c r="AZ563" s="49">
        <v>0</v>
      </c>
      <c r="BA563" s="49">
        <v>0</v>
      </c>
      <c r="BB563" s="58">
        <v>0</v>
      </c>
      <c r="BC563" s="42">
        <v>109</v>
      </c>
      <c r="BD563" s="49">
        <v>59.05</v>
      </c>
      <c r="BE563" s="49"/>
      <c r="BS563" s="58"/>
      <c r="BT563" s="83">
        <v>59.94</v>
      </c>
      <c r="CE563" s="83"/>
      <c r="CK563" s="58"/>
      <c r="CL563" s="83">
        <v>49.75</v>
      </c>
      <c r="CO563" s="58"/>
      <c r="CP563" s="83">
        <v>47.91</v>
      </c>
      <c r="CR563" s="58"/>
      <c r="CS563" s="83"/>
      <c r="CY563" s="83"/>
      <c r="DG563" s="58"/>
      <c r="DH563" s="83"/>
      <c r="DQ563" s="83"/>
      <c r="EE563" s="58"/>
      <c r="EF563" s="83"/>
      <c r="EI563" s="83"/>
      <c r="EK563" s="58"/>
      <c r="EL563" s="83"/>
      <c r="EO563" s="58"/>
      <c r="EP563" s="83"/>
      <c r="EQ563" s="58"/>
      <c r="ER563" s="83"/>
      <c r="ES563" s="58"/>
      <c r="ET563" s="83"/>
      <c r="EU563" s="58"/>
    </row>
    <row r="564" spans="1:151">
      <c r="A564" s="83" t="s">
        <v>322</v>
      </c>
      <c r="B564" s="173" t="s">
        <v>188</v>
      </c>
      <c r="C564" s="173" t="s">
        <v>516</v>
      </c>
      <c r="D564" s="83" t="s">
        <v>66</v>
      </c>
      <c r="F564" s="49" t="s">
        <v>287</v>
      </c>
      <c r="G564" s="70">
        <v>8.7550000000000008</v>
      </c>
      <c r="I564" s="49">
        <v>704</v>
      </c>
      <c r="J564" s="159">
        <v>2.2857142857142856</v>
      </c>
      <c r="K564" s="49">
        <v>1</v>
      </c>
      <c r="L564" s="49">
        <v>1</v>
      </c>
      <c r="M564" s="83">
        <v>1</v>
      </c>
      <c r="N564" s="49">
        <v>0</v>
      </c>
      <c r="O564" s="49">
        <v>0</v>
      </c>
      <c r="P564" s="49">
        <v>1</v>
      </c>
      <c r="Q564" s="58">
        <v>0</v>
      </c>
      <c r="R564" s="42">
        <v>2</v>
      </c>
      <c r="S564" s="83" t="s">
        <v>284</v>
      </c>
      <c r="U564" s="83">
        <v>1</v>
      </c>
      <c r="V564" s="49">
        <v>3</v>
      </c>
      <c r="W564" s="49">
        <v>1</v>
      </c>
      <c r="X564" s="58">
        <v>2</v>
      </c>
      <c r="Y564" s="83">
        <v>2</v>
      </c>
      <c r="AA564" s="49">
        <v>6</v>
      </c>
      <c r="AD564" s="49">
        <v>7</v>
      </c>
      <c r="AE564" s="49">
        <v>22</v>
      </c>
      <c r="AG564" s="49">
        <v>8</v>
      </c>
      <c r="AH564" s="49">
        <v>11</v>
      </c>
      <c r="AI564" s="49">
        <v>44</v>
      </c>
      <c r="AJ564" s="49">
        <v>0</v>
      </c>
      <c r="AK564" s="83">
        <v>0</v>
      </c>
      <c r="AL564" s="49">
        <v>0</v>
      </c>
      <c r="AM564" s="49">
        <v>0</v>
      </c>
      <c r="AN564" s="49">
        <v>0</v>
      </c>
      <c r="AO564" s="58">
        <v>0</v>
      </c>
      <c r="AP564" s="174" t="s">
        <v>284</v>
      </c>
      <c r="AQ564" s="175" t="s">
        <v>284</v>
      </c>
      <c r="AR564" s="175" t="s">
        <v>284</v>
      </c>
      <c r="AS564" s="175" t="s">
        <v>284</v>
      </c>
      <c r="AT564" s="175" t="s">
        <v>284</v>
      </c>
      <c r="AU564" s="175" t="s">
        <v>284</v>
      </c>
      <c r="AV564" s="175" t="s">
        <v>284</v>
      </c>
      <c r="AW564" s="175" t="s">
        <v>284</v>
      </c>
      <c r="AX564" s="83">
        <v>0</v>
      </c>
      <c r="AY564" s="49">
        <v>0</v>
      </c>
      <c r="AZ564" s="49">
        <v>0</v>
      </c>
      <c r="BA564" s="49">
        <v>0</v>
      </c>
      <c r="BB564" s="58">
        <v>0</v>
      </c>
      <c r="BC564" s="42">
        <v>111</v>
      </c>
      <c r="BD564" s="49">
        <v>57.14</v>
      </c>
      <c r="BE564" s="49">
        <v>59.54</v>
      </c>
      <c r="BS564" s="58"/>
      <c r="BT564" s="83">
        <v>61.26</v>
      </c>
      <c r="CE564" s="83"/>
      <c r="CK564" s="58"/>
      <c r="CL564" s="83">
        <v>47.88</v>
      </c>
      <c r="CO564" s="58"/>
      <c r="CP564" s="83"/>
      <c r="CR564" s="58"/>
      <c r="CS564" s="83"/>
      <c r="CY564" s="83"/>
      <c r="DG564" s="58"/>
      <c r="DH564" s="83"/>
      <c r="DQ564" s="83"/>
      <c r="EE564" s="58"/>
      <c r="EF564" s="83"/>
      <c r="EI564" s="83"/>
      <c r="EK564" s="58"/>
      <c r="EL564" s="83"/>
      <c r="EO564" s="58"/>
      <c r="EP564" s="83"/>
      <c r="EQ564" s="58"/>
      <c r="ER564" s="83"/>
      <c r="ES564" s="58"/>
      <c r="ET564" s="83"/>
      <c r="EU564" s="58"/>
    </row>
    <row r="565" spans="1:151">
      <c r="A565" s="83" t="s">
        <v>322</v>
      </c>
      <c r="B565" s="173" t="s">
        <v>188</v>
      </c>
      <c r="C565" s="173" t="s">
        <v>516</v>
      </c>
      <c r="D565" s="83" t="s">
        <v>191</v>
      </c>
      <c r="E565" s="49" t="s">
        <v>0</v>
      </c>
      <c r="F565" s="49" t="s">
        <v>287</v>
      </c>
      <c r="G565" s="70">
        <v>8.7550000000000008</v>
      </c>
      <c r="I565" s="49">
        <v>264</v>
      </c>
      <c r="J565" s="159">
        <v>1.0393700787401574</v>
      </c>
      <c r="K565" s="49">
        <v>1</v>
      </c>
      <c r="L565" s="49">
        <v>1</v>
      </c>
      <c r="M565" s="83">
        <v>0</v>
      </c>
      <c r="N565" s="49">
        <v>0</v>
      </c>
      <c r="O565" s="49">
        <v>0</v>
      </c>
      <c r="P565" s="49">
        <v>1</v>
      </c>
      <c r="Q565" s="58">
        <v>0</v>
      </c>
      <c r="R565" s="42">
        <v>1</v>
      </c>
      <c r="S565" s="83">
        <v>1</v>
      </c>
      <c r="U565" s="83">
        <v>1</v>
      </c>
      <c r="V565" s="49">
        <v>3</v>
      </c>
      <c r="W565" s="49">
        <v>1</v>
      </c>
      <c r="X565" s="58">
        <v>2</v>
      </c>
      <c r="Y565" s="83">
        <v>5</v>
      </c>
      <c r="AG565" s="49">
        <v>84</v>
      </c>
      <c r="AJ565" s="49">
        <v>0</v>
      </c>
      <c r="AK565" s="83">
        <v>0</v>
      </c>
      <c r="AL565" s="49">
        <v>0</v>
      </c>
      <c r="AM565" s="49">
        <v>0</v>
      </c>
      <c r="AN565" s="49">
        <v>0</v>
      </c>
      <c r="AO565" s="58">
        <v>0</v>
      </c>
      <c r="AP565" s="174" t="s">
        <v>284</v>
      </c>
      <c r="AQ565" s="175" t="s">
        <v>284</v>
      </c>
      <c r="AR565" s="175" t="s">
        <v>284</v>
      </c>
      <c r="AS565" s="175" t="s">
        <v>284</v>
      </c>
      <c r="AT565" s="175" t="s">
        <v>284</v>
      </c>
      <c r="AU565" s="175" t="s">
        <v>284</v>
      </c>
      <c r="AV565" s="175" t="s">
        <v>284</v>
      </c>
      <c r="AW565" s="175" t="s">
        <v>284</v>
      </c>
      <c r="AX565" s="83">
        <v>0</v>
      </c>
      <c r="AY565" s="49">
        <v>0</v>
      </c>
      <c r="AZ565" s="49">
        <v>0</v>
      </c>
      <c r="BA565" s="49">
        <v>0</v>
      </c>
      <c r="BB565" s="58">
        <v>0</v>
      </c>
      <c r="BC565" s="42">
        <v>161</v>
      </c>
      <c r="BE565" s="49"/>
      <c r="BS565" s="58"/>
      <c r="BT565" s="83"/>
      <c r="CE565" s="83"/>
      <c r="CK565" s="58"/>
      <c r="CL565" s="83"/>
      <c r="CO565" s="58"/>
      <c r="CP565" s="83"/>
      <c r="CR565" s="58"/>
      <c r="CS565" s="83"/>
      <c r="CY565" s="83"/>
      <c r="DG565" s="58"/>
      <c r="DH565" s="83"/>
      <c r="DQ565" s="83"/>
      <c r="EE565" s="58"/>
      <c r="EF565" s="83"/>
      <c r="EI565" s="83"/>
      <c r="EK565" s="58"/>
      <c r="EL565" s="83"/>
      <c r="EO565" s="58"/>
      <c r="EP565" s="83"/>
      <c r="EQ565" s="58"/>
      <c r="ER565" s="83"/>
      <c r="ES565" s="58"/>
      <c r="ET565" s="83"/>
      <c r="EU565" s="58"/>
    </row>
    <row r="566" spans="1:151">
      <c r="A566" s="83" t="s">
        <v>322</v>
      </c>
      <c r="B566" s="173" t="s">
        <v>188</v>
      </c>
      <c r="C566" s="173" t="s">
        <v>516</v>
      </c>
      <c r="D566" s="83" t="s">
        <v>191</v>
      </c>
      <c r="E566" s="49" t="s">
        <v>1</v>
      </c>
      <c r="F566" s="49" t="s">
        <v>287</v>
      </c>
      <c r="G566" s="70">
        <v>8.7550000000000008</v>
      </c>
      <c r="I566" s="49">
        <v>902</v>
      </c>
      <c r="J566" s="159">
        <v>3.4692307692307693</v>
      </c>
      <c r="K566" s="49">
        <v>1</v>
      </c>
      <c r="L566" s="49">
        <v>2</v>
      </c>
      <c r="M566" s="83">
        <v>1</v>
      </c>
      <c r="N566" s="49">
        <v>0</v>
      </c>
      <c r="O566" s="49">
        <v>0</v>
      </c>
      <c r="P566" s="49">
        <v>1</v>
      </c>
      <c r="Q566" s="58">
        <v>0</v>
      </c>
      <c r="R566" s="42">
        <v>2</v>
      </c>
      <c r="S566" s="83">
        <v>1</v>
      </c>
      <c r="U566" s="83">
        <v>1</v>
      </c>
      <c r="V566" s="49">
        <v>2</v>
      </c>
      <c r="W566" s="49">
        <v>1</v>
      </c>
      <c r="X566" s="58">
        <v>2</v>
      </c>
      <c r="Y566" s="83">
        <v>1</v>
      </c>
      <c r="AE566" s="49">
        <v>39</v>
      </c>
      <c r="AJ566" s="49">
        <v>1</v>
      </c>
      <c r="AK566" s="83">
        <v>0</v>
      </c>
      <c r="AL566" s="49">
        <v>1</v>
      </c>
      <c r="AM566" s="49">
        <v>0</v>
      </c>
      <c r="AN566" s="49">
        <v>0</v>
      </c>
      <c r="AO566" s="58">
        <v>0</v>
      </c>
      <c r="AP566" s="174">
        <v>0</v>
      </c>
      <c r="AQ566" s="175">
        <v>523</v>
      </c>
      <c r="AR566" s="175" t="s">
        <v>284</v>
      </c>
      <c r="AS566" s="175" t="s">
        <v>284</v>
      </c>
      <c r="AT566" s="175" t="s">
        <v>284</v>
      </c>
      <c r="AU566" s="175" t="s">
        <v>284</v>
      </c>
      <c r="AV566" s="175" t="s">
        <v>284</v>
      </c>
      <c r="AW566" s="175" t="s">
        <v>284</v>
      </c>
      <c r="AX566" s="83">
        <v>0</v>
      </c>
      <c r="AY566" s="49">
        <v>0</v>
      </c>
      <c r="AZ566" s="49">
        <v>0</v>
      </c>
      <c r="BA566" s="49">
        <v>0</v>
      </c>
      <c r="BB566" s="58">
        <v>0</v>
      </c>
      <c r="BC566" s="42">
        <v>161</v>
      </c>
      <c r="BE566" s="49"/>
      <c r="BS566" s="58"/>
      <c r="BT566" s="83"/>
      <c r="CE566" s="83"/>
      <c r="CK566" s="58"/>
      <c r="CL566" s="83"/>
      <c r="CO566" s="58"/>
      <c r="CP566" s="83"/>
      <c r="CR566" s="58"/>
      <c r="CS566" s="83"/>
      <c r="CY566" s="83"/>
      <c r="DG566" s="58"/>
      <c r="DH566" s="83"/>
      <c r="DQ566" s="83"/>
      <c r="EE566" s="58"/>
      <c r="EF566" s="83"/>
      <c r="EI566" s="83"/>
      <c r="EK566" s="58"/>
      <c r="EL566" s="83"/>
      <c r="EO566" s="58"/>
      <c r="EP566" s="83"/>
      <c r="EQ566" s="58"/>
      <c r="ER566" s="83"/>
      <c r="ES566" s="58"/>
      <c r="ET566" s="83"/>
      <c r="EU566" s="58"/>
    </row>
    <row r="567" spans="1:151">
      <c r="A567" s="83" t="s">
        <v>322</v>
      </c>
      <c r="B567" s="173" t="s">
        <v>188</v>
      </c>
      <c r="C567" s="173" t="s">
        <v>516</v>
      </c>
      <c r="D567" s="83" t="s">
        <v>191</v>
      </c>
      <c r="E567" s="49" t="s">
        <v>2</v>
      </c>
      <c r="F567" s="49" t="s">
        <v>287</v>
      </c>
      <c r="G567" s="70">
        <v>8.7550000000000008</v>
      </c>
      <c r="I567" s="49">
        <v>733</v>
      </c>
      <c r="J567" s="159">
        <v>2.6849816849816848</v>
      </c>
      <c r="K567" s="49">
        <v>2</v>
      </c>
      <c r="L567" s="49">
        <v>3</v>
      </c>
      <c r="M567" s="83">
        <v>0</v>
      </c>
      <c r="N567" s="49">
        <v>0</v>
      </c>
      <c r="O567" s="49">
        <v>0</v>
      </c>
      <c r="P567" s="49">
        <v>1</v>
      </c>
      <c r="Q567" s="58">
        <v>0</v>
      </c>
      <c r="R567" s="42">
        <v>1</v>
      </c>
      <c r="S567" s="83">
        <v>1</v>
      </c>
      <c r="U567" s="83">
        <v>1</v>
      </c>
      <c r="V567" s="49">
        <v>2</v>
      </c>
      <c r="W567" s="49">
        <v>1</v>
      </c>
      <c r="X567" s="58">
        <v>2</v>
      </c>
      <c r="Y567" s="83">
        <v>0</v>
      </c>
      <c r="AJ567" s="49">
        <v>0</v>
      </c>
      <c r="AK567" s="83">
        <v>0</v>
      </c>
      <c r="AL567" s="49">
        <v>1</v>
      </c>
      <c r="AM567" s="49">
        <v>0</v>
      </c>
      <c r="AN567" s="49">
        <v>0</v>
      </c>
      <c r="AO567" s="58">
        <v>0</v>
      </c>
      <c r="AP567" s="174">
        <v>0</v>
      </c>
      <c r="AQ567" s="175">
        <v>346</v>
      </c>
      <c r="AR567" s="175" t="s">
        <v>284</v>
      </c>
      <c r="AS567" s="175" t="s">
        <v>284</v>
      </c>
      <c r="AT567" s="175" t="s">
        <v>284</v>
      </c>
      <c r="AU567" s="175" t="s">
        <v>284</v>
      </c>
      <c r="AV567" s="175" t="s">
        <v>284</v>
      </c>
      <c r="AW567" s="175" t="s">
        <v>284</v>
      </c>
      <c r="AX567" s="83">
        <v>0</v>
      </c>
      <c r="AY567" s="49">
        <v>0</v>
      </c>
      <c r="AZ567" s="49">
        <v>0</v>
      </c>
      <c r="BA567" s="49">
        <v>0</v>
      </c>
      <c r="BB567" s="58">
        <v>0</v>
      </c>
      <c r="BC567" s="42">
        <v>161</v>
      </c>
      <c r="BE567" s="49"/>
      <c r="BS567" s="58"/>
      <c r="BT567" s="83"/>
      <c r="CE567" s="83"/>
      <c r="CK567" s="58"/>
      <c r="CL567" s="83"/>
      <c r="CO567" s="58"/>
      <c r="CP567" s="83"/>
      <c r="CR567" s="58"/>
      <c r="CS567" s="83"/>
      <c r="CY567" s="83"/>
      <c r="DG567" s="58"/>
      <c r="DH567" s="83"/>
      <c r="DQ567" s="83"/>
      <c r="EE567" s="58"/>
      <c r="EF567" s="83"/>
      <c r="EI567" s="83"/>
      <c r="EK567" s="58"/>
      <c r="EL567" s="83"/>
      <c r="EO567" s="58"/>
      <c r="EP567" s="83"/>
      <c r="EQ567" s="58"/>
      <c r="ER567" s="83"/>
      <c r="ES567" s="58"/>
      <c r="ET567" s="83"/>
      <c r="EU567" s="58"/>
    </row>
    <row r="568" spans="1:151">
      <c r="A568" s="83" t="s">
        <v>322</v>
      </c>
      <c r="B568" s="173" t="s">
        <v>188</v>
      </c>
      <c r="C568" s="173" t="s">
        <v>516</v>
      </c>
      <c r="D568" s="83" t="s">
        <v>191</v>
      </c>
      <c r="E568" s="49" t="s">
        <v>3</v>
      </c>
      <c r="F568" s="49" t="s">
        <v>286</v>
      </c>
      <c r="G568" s="70">
        <v>8.7550000000000008</v>
      </c>
      <c r="I568" s="49">
        <v>1427</v>
      </c>
      <c r="J568" s="159">
        <v>7.5502645502645507</v>
      </c>
      <c r="K568" s="49">
        <v>1</v>
      </c>
      <c r="L568" s="49">
        <v>2</v>
      </c>
      <c r="M568" s="83">
        <v>0</v>
      </c>
      <c r="N568" s="49">
        <v>0</v>
      </c>
      <c r="O568" s="49">
        <v>0</v>
      </c>
      <c r="P568" s="49">
        <v>0</v>
      </c>
      <c r="Q568" s="58">
        <v>0</v>
      </c>
      <c r="R568" s="42">
        <v>0</v>
      </c>
      <c r="S568" s="83">
        <v>1</v>
      </c>
      <c r="U568" s="83">
        <v>0</v>
      </c>
      <c r="V568" s="49">
        <v>0</v>
      </c>
      <c r="W568" s="49">
        <v>0</v>
      </c>
      <c r="X568" s="58"/>
      <c r="Y568" s="83">
        <v>5</v>
      </c>
      <c r="AD568" s="49">
        <v>11</v>
      </c>
      <c r="AE568" s="49">
        <v>246</v>
      </c>
      <c r="AH568" s="49">
        <v>11</v>
      </c>
      <c r="AI568" s="49">
        <v>78</v>
      </c>
      <c r="AJ568" s="49">
        <v>0</v>
      </c>
      <c r="AK568" s="83">
        <v>0</v>
      </c>
      <c r="AL568" s="49">
        <v>1</v>
      </c>
      <c r="AM568" s="49">
        <v>0</v>
      </c>
      <c r="AN568" s="49">
        <v>0</v>
      </c>
      <c r="AO568" s="58">
        <v>0</v>
      </c>
      <c r="AP568" s="174">
        <v>0</v>
      </c>
      <c r="AQ568" s="175">
        <v>261</v>
      </c>
      <c r="AR568" s="175" t="s">
        <v>284</v>
      </c>
      <c r="AS568" s="175" t="s">
        <v>284</v>
      </c>
      <c r="AT568" s="175" t="s">
        <v>284</v>
      </c>
      <c r="AU568" s="175" t="s">
        <v>284</v>
      </c>
      <c r="AV568" s="175" t="s">
        <v>284</v>
      </c>
      <c r="AW568" s="175" t="s">
        <v>284</v>
      </c>
      <c r="AX568" s="83">
        <v>0</v>
      </c>
      <c r="AY568" s="49">
        <v>0</v>
      </c>
      <c r="AZ568" s="49">
        <v>0</v>
      </c>
      <c r="BA568" s="49">
        <v>0</v>
      </c>
      <c r="BB568" s="58">
        <v>0</v>
      </c>
      <c r="BC568" s="42">
        <v>161</v>
      </c>
      <c r="BE568" s="49"/>
      <c r="BS568" s="58"/>
      <c r="BT568" s="83"/>
      <c r="CE568" s="83"/>
      <c r="CK568" s="58"/>
      <c r="CL568" s="83"/>
      <c r="CO568" s="58"/>
      <c r="CP568" s="83"/>
      <c r="CR568" s="58"/>
      <c r="CS568" s="83"/>
      <c r="CY568" s="83"/>
      <c r="DG568" s="58"/>
      <c r="DH568" s="83"/>
      <c r="DQ568" s="83"/>
      <c r="EE568" s="58"/>
      <c r="EF568" s="83"/>
      <c r="EI568" s="83"/>
      <c r="EK568" s="58"/>
      <c r="EL568" s="83"/>
      <c r="EO568" s="58"/>
      <c r="EP568" s="83"/>
      <c r="EQ568" s="58"/>
      <c r="ER568" s="83"/>
      <c r="ES568" s="58"/>
      <c r="ET568" s="83"/>
      <c r="EU568" s="58"/>
    </row>
    <row r="569" spans="1:151">
      <c r="A569" s="83" t="s">
        <v>322</v>
      </c>
      <c r="B569" s="173" t="s">
        <v>188</v>
      </c>
      <c r="C569" s="173" t="s">
        <v>516</v>
      </c>
      <c r="D569" s="83" t="s">
        <v>192</v>
      </c>
      <c r="E569" s="49" t="s">
        <v>1</v>
      </c>
      <c r="F569" s="49" t="s">
        <v>287</v>
      </c>
      <c r="G569" s="70">
        <v>8.7550000000000008</v>
      </c>
      <c r="I569" s="49">
        <v>147</v>
      </c>
      <c r="J569" s="159">
        <v>1.7294117647058824</v>
      </c>
      <c r="K569" s="49">
        <v>1</v>
      </c>
      <c r="L569" s="49">
        <v>2</v>
      </c>
      <c r="M569" s="83">
        <v>0</v>
      </c>
      <c r="N569" s="49">
        <v>0</v>
      </c>
      <c r="O569" s="49">
        <v>0</v>
      </c>
      <c r="P569" s="49">
        <v>0</v>
      </c>
      <c r="Q569" s="58">
        <v>0</v>
      </c>
      <c r="R569" s="42">
        <v>0</v>
      </c>
      <c r="S569" s="83">
        <v>1</v>
      </c>
      <c r="U569" s="83">
        <v>0</v>
      </c>
      <c r="V569" s="49">
        <v>0</v>
      </c>
      <c r="W569" s="49">
        <v>0</v>
      </c>
      <c r="X569" s="58"/>
      <c r="Y569" s="83">
        <v>5</v>
      </c>
      <c r="AD569" s="49">
        <v>22</v>
      </c>
      <c r="AE569" s="49">
        <v>40</v>
      </c>
      <c r="AJ569" s="49">
        <v>0</v>
      </c>
      <c r="AK569" s="83">
        <v>0</v>
      </c>
      <c r="AL569" s="49">
        <v>0</v>
      </c>
      <c r="AM569" s="49">
        <v>0</v>
      </c>
      <c r="AN569" s="49">
        <v>0</v>
      </c>
      <c r="AO569" s="58">
        <v>0</v>
      </c>
      <c r="AP569" s="174">
        <v>0</v>
      </c>
      <c r="AQ569" s="175">
        <v>0</v>
      </c>
      <c r="AR569" s="175" t="s">
        <v>284</v>
      </c>
      <c r="AS569" s="175" t="s">
        <v>284</v>
      </c>
      <c r="AT569" s="175" t="s">
        <v>284</v>
      </c>
      <c r="AU569" s="175" t="s">
        <v>284</v>
      </c>
      <c r="AV569" s="175" t="s">
        <v>284</v>
      </c>
      <c r="AW569" s="175" t="s">
        <v>284</v>
      </c>
      <c r="AX569" s="83">
        <v>0</v>
      </c>
      <c r="AY569" s="49">
        <v>0</v>
      </c>
      <c r="AZ569" s="49">
        <v>0</v>
      </c>
      <c r="BA569" s="49">
        <v>0</v>
      </c>
      <c r="BB569" s="58">
        <v>0</v>
      </c>
      <c r="BC569" s="42">
        <v>140</v>
      </c>
      <c r="BD569" s="49">
        <v>59.19</v>
      </c>
      <c r="BE569" s="49"/>
      <c r="BS569" s="58"/>
      <c r="BT569" s="83"/>
      <c r="CE569" s="83"/>
      <c r="CK569" s="58"/>
      <c r="CL569" s="83">
        <v>50.37</v>
      </c>
      <c r="CO569" s="58"/>
      <c r="CP569" s="83"/>
      <c r="CR569" s="58"/>
      <c r="CS569" s="83"/>
      <c r="CY569" s="83"/>
      <c r="DG569" s="58"/>
      <c r="DH569" s="83"/>
      <c r="DQ569" s="83"/>
      <c r="EE569" s="58"/>
      <c r="EF569" s="83"/>
      <c r="EI569" s="83"/>
      <c r="EK569" s="58"/>
      <c r="EL569" s="83"/>
      <c r="EO569" s="58"/>
      <c r="EP569" s="83"/>
      <c r="EQ569" s="58"/>
      <c r="ER569" s="83"/>
      <c r="ES569" s="58"/>
      <c r="ET569" s="83"/>
      <c r="EU569" s="58"/>
    </row>
    <row r="570" spans="1:151">
      <c r="A570" s="83" t="s">
        <v>322</v>
      </c>
      <c r="B570" s="173" t="s">
        <v>188</v>
      </c>
      <c r="C570" s="173" t="s">
        <v>516</v>
      </c>
      <c r="D570" s="83" t="s">
        <v>192</v>
      </c>
      <c r="E570" s="49" t="s">
        <v>2</v>
      </c>
      <c r="F570" s="49" t="s">
        <v>287</v>
      </c>
      <c r="G570" s="70">
        <v>8.7550000000000008</v>
      </c>
      <c r="I570" s="49">
        <v>482</v>
      </c>
      <c r="J570" s="159">
        <v>4.2654867256637168</v>
      </c>
      <c r="K570" s="49">
        <v>2</v>
      </c>
      <c r="L570" s="49">
        <v>3</v>
      </c>
      <c r="M570" s="83">
        <v>0</v>
      </c>
      <c r="N570" s="49">
        <v>0</v>
      </c>
      <c r="O570" s="49">
        <v>0</v>
      </c>
      <c r="P570" s="49">
        <v>0</v>
      </c>
      <c r="Q570" s="58">
        <v>0</v>
      </c>
      <c r="R570" s="42">
        <v>0</v>
      </c>
      <c r="S570" s="83">
        <v>1</v>
      </c>
      <c r="U570" s="83">
        <v>1</v>
      </c>
      <c r="V570" s="49">
        <v>2</v>
      </c>
      <c r="W570" s="49">
        <v>2</v>
      </c>
      <c r="X570" s="58"/>
      <c r="Y570" s="83">
        <v>2</v>
      </c>
      <c r="AD570" s="49">
        <v>24</v>
      </c>
      <c r="AE570" s="49">
        <v>71</v>
      </c>
      <c r="AJ570" s="49">
        <v>0</v>
      </c>
      <c r="AK570" s="83">
        <v>0</v>
      </c>
      <c r="AL570" s="49">
        <v>0</v>
      </c>
      <c r="AM570" s="49">
        <v>0</v>
      </c>
      <c r="AN570" s="49">
        <v>0</v>
      </c>
      <c r="AO570" s="58">
        <v>0</v>
      </c>
      <c r="AP570" s="174">
        <v>0</v>
      </c>
      <c r="AQ570" s="175">
        <v>0</v>
      </c>
      <c r="AR570" s="175" t="s">
        <v>284</v>
      </c>
      <c r="AS570" s="175" t="s">
        <v>284</v>
      </c>
      <c r="AT570" s="175" t="s">
        <v>284</v>
      </c>
      <c r="AU570" s="175" t="s">
        <v>284</v>
      </c>
      <c r="AV570" s="175" t="s">
        <v>284</v>
      </c>
      <c r="AW570" s="175" t="s">
        <v>284</v>
      </c>
      <c r="AX570" s="83">
        <v>0</v>
      </c>
      <c r="AY570" s="49">
        <v>0</v>
      </c>
      <c r="AZ570" s="49">
        <v>0</v>
      </c>
      <c r="BA570" s="49">
        <v>0</v>
      </c>
      <c r="BB570" s="58">
        <v>0</v>
      </c>
      <c r="BC570" s="42">
        <v>140</v>
      </c>
      <c r="BD570" s="49">
        <v>59.12</v>
      </c>
      <c r="BE570" s="49"/>
      <c r="BS570" s="58"/>
      <c r="BT570" s="83"/>
      <c r="CE570" s="83"/>
      <c r="CK570" s="58"/>
      <c r="CL570" s="83"/>
      <c r="CO570" s="58"/>
      <c r="CP570" s="83"/>
      <c r="CR570" s="58"/>
      <c r="CS570" s="83"/>
      <c r="CY570" s="83"/>
      <c r="DG570" s="58"/>
      <c r="DH570" s="83"/>
      <c r="DQ570" s="83"/>
      <c r="EE570" s="58"/>
      <c r="EF570" s="83"/>
      <c r="EI570" s="83"/>
      <c r="EK570" s="58"/>
      <c r="EL570" s="83"/>
      <c r="EO570" s="58"/>
      <c r="EP570" s="83"/>
      <c r="EQ570" s="58"/>
      <c r="ER570" s="83"/>
      <c r="ES570" s="58"/>
      <c r="ET570" s="83"/>
      <c r="EU570" s="58"/>
    </row>
    <row r="571" spans="1:151">
      <c r="A571" s="83" t="s">
        <v>322</v>
      </c>
      <c r="B571" s="173" t="s">
        <v>188</v>
      </c>
      <c r="C571" s="173" t="s">
        <v>516</v>
      </c>
      <c r="D571" s="83" t="s">
        <v>68</v>
      </c>
      <c r="E571" s="49" t="s">
        <v>0</v>
      </c>
      <c r="F571" s="49" t="s">
        <v>287</v>
      </c>
      <c r="G571" s="70">
        <v>8.7550000000000008</v>
      </c>
      <c r="I571" s="49">
        <v>879</v>
      </c>
      <c r="J571" s="159">
        <v>1.8662420382165605</v>
      </c>
      <c r="K571" s="49">
        <v>1</v>
      </c>
      <c r="L571" s="49">
        <v>2</v>
      </c>
      <c r="M571" s="83">
        <v>1</v>
      </c>
      <c r="N571" s="49">
        <v>2</v>
      </c>
      <c r="O571" s="49">
        <v>0</v>
      </c>
      <c r="P571" s="49">
        <v>1</v>
      </c>
      <c r="Q571" s="58">
        <v>0</v>
      </c>
      <c r="R571" s="42">
        <v>4</v>
      </c>
      <c r="S571" s="83" t="s">
        <v>283</v>
      </c>
      <c r="U571" s="83">
        <v>1</v>
      </c>
      <c r="V571" s="49">
        <v>2</v>
      </c>
      <c r="W571" s="49">
        <v>1</v>
      </c>
      <c r="X571" s="58">
        <v>2</v>
      </c>
      <c r="Y571" s="83">
        <v>5</v>
      </c>
      <c r="AD571" s="49">
        <v>9</v>
      </c>
      <c r="AE571" s="49">
        <v>26</v>
      </c>
      <c r="AH571" s="49">
        <v>10</v>
      </c>
      <c r="AI571" s="49">
        <v>176</v>
      </c>
      <c r="AJ571" s="49">
        <v>0</v>
      </c>
      <c r="AK571" s="83">
        <v>0</v>
      </c>
      <c r="AL571" s="49">
        <v>0</v>
      </c>
      <c r="AM571" s="49">
        <v>1</v>
      </c>
      <c r="AN571" s="49">
        <v>0</v>
      </c>
      <c r="AO571" s="58">
        <v>0</v>
      </c>
      <c r="AP571" s="174" t="s">
        <v>284</v>
      </c>
      <c r="AQ571" s="175" t="s">
        <v>284</v>
      </c>
      <c r="AR571" s="175">
        <v>46</v>
      </c>
      <c r="AS571" s="175">
        <v>54</v>
      </c>
      <c r="AT571" s="175" t="s">
        <v>284</v>
      </c>
      <c r="AU571" s="175" t="s">
        <v>284</v>
      </c>
      <c r="AV571" s="175" t="s">
        <v>284</v>
      </c>
      <c r="AW571" s="175" t="s">
        <v>284</v>
      </c>
      <c r="AX571" s="83">
        <v>0</v>
      </c>
      <c r="AY571" s="49">
        <v>0</v>
      </c>
      <c r="AZ571" s="49">
        <v>0</v>
      </c>
      <c r="BA571" s="49">
        <v>0</v>
      </c>
      <c r="BB571" s="58">
        <v>0</v>
      </c>
      <c r="BC571" s="42">
        <v>129</v>
      </c>
      <c r="BD571" s="49">
        <v>60.18</v>
      </c>
      <c r="BE571" s="49"/>
      <c r="BS571" s="58"/>
      <c r="BT571" s="83"/>
      <c r="CE571" s="83">
        <v>58.6</v>
      </c>
      <c r="CF571" s="49">
        <v>58.74</v>
      </c>
      <c r="CK571" s="58"/>
      <c r="CL571" s="83"/>
      <c r="CO571" s="58"/>
      <c r="CP571" s="83"/>
      <c r="CR571" s="58"/>
      <c r="CS571" s="83"/>
      <c r="CY571" s="83"/>
      <c r="DG571" s="58"/>
      <c r="DH571" s="83"/>
      <c r="DQ571" s="83"/>
      <c r="EE571" s="58"/>
      <c r="EF571" s="83"/>
      <c r="EI571" s="83"/>
      <c r="EK571" s="58"/>
      <c r="EL571" s="83"/>
      <c r="EO571" s="58"/>
      <c r="EP571" s="83"/>
      <c r="EQ571" s="58"/>
      <c r="ER571" s="83"/>
      <c r="ES571" s="58"/>
      <c r="ET571" s="83"/>
      <c r="EU571" s="58"/>
    </row>
    <row r="572" spans="1:151">
      <c r="A572" s="83" t="s">
        <v>322</v>
      </c>
      <c r="B572" s="173" t="s">
        <v>188</v>
      </c>
      <c r="C572" s="173" t="s">
        <v>516</v>
      </c>
      <c r="D572" s="83" t="s">
        <v>68</v>
      </c>
      <c r="E572" s="49" t="s">
        <v>2</v>
      </c>
      <c r="F572" s="49" t="s">
        <v>287</v>
      </c>
      <c r="G572" s="70">
        <v>8.7550000000000008</v>
      </c>
      <c r="I572" s="49">
        <v>428</v>
      </c>
      <c r="J572" s="159">
        <v>1.0388349514563107</v>
      </c>
      <c r="K572" s="49">
        <v>1</v>
      </c>
      <c r="L572" s="49">
        <v>2</v>
      </c>
      <c r="M572" s="83">
        <v>0</v>
      </c>
      <c r="N572" s="49">
        <v>0</v>
      </c>
      <c r="O572" s="49">
        <v>0</v>
      </c>
      <c r="P572" s="49">
        <v>1</v>
      </c>
      <c r="Q572" s="58">
        <v>0</v>
      </c>
      <c r="R572" s="42">
        <v>1</v>
      </c>
      <c r="S572" s="83">
        <v>1</v>
      </c>
      <c r="U572" s="83">
        <v>1</v>
      </c>
      <c r="V572" s="49">
        <v>3</v>
      </c>
      <c r="W572" s="49">
        <v>1</v>
      </c>
      <c r="X572" s="58">
        <v>2</v>
      </c>
      <c r="Y572" s="83">
        <v>2</v>
      </c>
      <c r="AD572" s="49">
        <v>2</v>
      </c>
      <c r="AE572" s="49">
        <v>16</v>
      </c>
      <c r="AH572" s="49">
        <v>10</v>
      </c>
      <c r="AI572" s="49">
        <v>101</v>
      </c>
      <c r="AJ572" s="49">
        <v>0</v>
      </c>
      <c r="AK572" s="83">
        <v>0</v>
      </c>
      <c r="AL572" s="49">
        <v>1</v>
      </c>
      <c r="AM572" s="49">
        <v>0</v>
      </c>
      <c r="AN572" s="49">
        <v>0</v>
      </c>
      <c r="AO572" s="58">
        <v>0</v>
      </c>
      <c r="AP572" s="174">
        <v>0</v>
      </c>
      <c r="AQ572" s="175">
        <v>295</v>
      </c>
      <c r="AR572" s="175">
        <v>0</v>
      </c>
      <c r="AS572" s="175">
        <v>0</v>
      </c>
      <c r="AT572" s="175" t="s">
        <v>284</v>
      </c>
      <c r="AU572" s="175" t="s">
        <v>284</v>
      </c>
      <c r="AV572" s="175" t="s">
        <v>284</v>
      </c>
      <c r="AW572" s="175" t="s">
        <v>284</v>
      </c>
      <c r="AX572" s="83">
        <v>0</v>
      </c>
      <c r="AY572" s="49">
        <v>0</v>
      </c>
      <c r="AZ572" s="49">
        <v>0</v>
      </c>
      <c r="BA572" s="49">
        <v>0</v>
      </c>
      <c r="BB572" s="58">
        <v>0</v>
      </c>
      <c r="BC572" s="42">
        <v>129</v>
      </c>
      <c r="BE572" s="49"/>
      <c r="BS572" s="58"/>
      <c r="BT572" s="83"/>
      <c r="CE572" s="83"/>
      <c r="CK572" s="58"/>
      <c r="CL572" s="83"/>
      <c r="CO572" s="58"/>
      <c r="CP572" s="83"/>
      <c r="CR572" s="58"/>
      <c r="CS572" s="83"/>
      <c r="CY572" s="83"/>
      <c r="DG572" s="58"/>
      <c r="DH572" s="83"/>
      <c r="DQ572" s="83"/>
      <c r="EE572" s="58"/>
      <c r="EF572" s="83"/>
      <c r="EI572" s="83"/>
      <c r="EK572" s="58"/>
      <c r="EL572" s="83"/>
      <c r="EO572" s="58"/>
      <c r="EP572" s="83"/>
      <c r="EQ572" s="58"/>
      <c r="ER572" s="83"/>
      <c r="ES572" s="58"/>
      <c r="ET572" s="83"/>
      <c r="EU572" s="58"/>
    </row>
    <row r="573" spans="1:151">
      <c r="A573" s="83" t="s">
        <v>322</v>
      </c>
      <c r="B573" s="173" t="s">
        <v>188</v>
      </c>
      <c r="C573" s="173" t="s">
        <v>516</v>
      </c>
      <c r="D573" s="83" t="s">
        <v>69</v>
      </c>
      <c r="F573" s="49" t="s">
        <v>286</v>
      </c>
      <c r="G573" s="70">
        <v>8.7550000000000008</v>
      </c>
      <c r="I573" s="49">
        <v>1542</v>
      </c>
      <c r="J573" s="159">
        <v>3.855</v>
      </c>
      <c r="K573" s="49">
        <v>1</v>
      </c>
      <c r="L573" s="49">
        <v>3</v>
      </c>
      <c r="M573" s="83">
        <v>0</v>
      </c>
      <c r="N573" s="49">
        <v>0</v>
      </c>
      <c r="O573" s="49">
        <v>1</v>
      </c>
      <c r="P573" s="49">
        <v>1</v>
      </c>
      <c r="Q573" s="58">
        <v>0</v>
      </c>
      <c r="R573" s="42">
        <v>2</v>
      </c>
      <c r="S573" s="83">
        <v>1</v>
      </c>
      <c r="U573" s="83">
        <v>1</v>
      </c>
      <c r="V573" s="49">
        <v>2</v>
      </c>
      <c r="W573" s="49">
        <v>2</v>
      </c>
      <c r="X573" s="58"/>
      <c r="Y573" s="83">
        <v>1</v>
      </c>
      <c r="AD573" s="49">
        <v>6</v>
      </c>
      <c r="AE573" s="49">
        <v>45</v>
      </c>
      <c r="AF573" s="49">
        <v>12</v>
      </c>
      <c r="AG573" s="49">
        <v>116</v>
      </c>
      <c r="AH573" s="49">
        <v>18</v>
      </c>
      <c r="AI573" s="49">
        <v>58</v>
      </c>
      <c r="AJ573" s="49">
        <v>0</v>
      </c>
      <c r="AK573" s="83">
        <v>0</v>
      </c>
      <c r="AL573" s="49">
        <v>0</v>
      </c>
      <c r="AM573" s="49">
        <v>1</v>
      </c>
      <c r="AN573" s="49">
        <v>0</v>
      </c>
      <c r="AO573" s="58">
        <v>0</v>
      </c>
      <c r="AP573" s="174" t="s">
        <v>284</v>
      </c>
      <c r="AQ573" s="175" t="s">
        <v>284</v>
      </c>
      <c r="AR573" s="175">
        <v>0</v>
      </c>
      <c r="AS573" s="175">
        <v>123</v>
      </c>
      <c r="AT573" s="175" t="s">
        <v>284</v>
      </c>
      <c r="AU573" s="175" t="s">
        <v>284</v>
      </c>
      <c r="AV573" s="175" t="s">
        <v>284</v>
      </c>
      <c r="AW573" s="175" t="s">
        <v>284</v>
      </c>
      <c r="AX573" s="83">
        <v>0</v>
      </c>
      <c r="AY573" s="49">
        <v>0</v>
      </c>
      <c r="AZ573" s="49">
        <v>0</v>
      </c>
      <c r="BA573" s="49">
        <v>0</v>
      </c>
      <c r="BB573" s="58">
        <v>0</v>
      </c>
      <c r="BC573" s="42">
        <v>104</v>
      </c>
      <c r="BE573" s="49"/>
      <c r="BS573" s="58"/>
      <c r="BT573" s="83"/>
      <c r="CE573" s="83"/>
      <c r="CK573" s="58"/>
      <c r="CL573" s="83"/>
      <c r="CO573" s="58"/>
      <c r="CP573" s="83"/>
      <c r="CR573" s="58"/>
      <c r="CS573" s="83"/>
      <c r="CY573" s="83"/>
      <c r="DG573" s="58"/>
      <c r="DH573" s="83"/>
      <c r="DQ573" s="83"/>
      <c r="EE573" s="58"/>
      <c r="EF573" s="83"/>
      <c r="EI573" s="83"/>
      <c r="EK573" s="58"/>
      <c r="EL573" s="83"/>
      <c r="EO573" s="58"/>
      <c r="EP573" s="83"/>
      <c r="EQ573" s="58"/>
      <c r="ER573" s="83"/>
      <c r="ES573" s="58"/>
      <c r="ET573" s="83"/>
      <c r="EU573" s="58"/>
    </row>
    <row r="574" spans="1:151">
      <c r="A574" s="83" t="s">
        <v>322</v>
      </c>
      <c r="B574" s="173" t="s">
        <v>188</v>
      </c>
      <c r="C574" s="173" t="s">
        <v>516</v>
      </c>
      <c r="D574" s="83" t="s">
        <v>74</v>
      </c>
      <c r="F574" s="49" t="s">
        <v>287</v>
      </c>
      <c r="G574" s="70">
        <v>8.7550000000000008</v>
      </c>
      <c r="I574" s="49">
        <v>887</v>
      </c>
      <c r="J574" s="159">
        <v>1.0337995337995338</v>
      </c>
      <c r="K574" s="49">
        <v>4</v>
      </c>
      <c r="L574" s="49">
        <v>2</v>
      </c>
      <c r="M574" s="83">
        <v>1</v>
      </c>
      <c r="N574" s="49">
        <v>0</v>
      </c>
      <c r="O574" s="49">
        <v>0</v>
      </c>
      <c r="P574" s="49">
        <v>1</v>
      </c>
      <c r="Q574" s="58">
        <v>0</v>
      </c>
      <c r="R574" s="42">
        <v>2</v>
      </c>
      <c r="S574" s="83" t="s">
        <v>283</v>
      </c>
      <c r="T574" s="49">
        <v>11</v>
      </c>
      <c r="U574" s="83">
        <v>3</v>
      </c>
      <c r="V574" s="49">
        <v>3</v>
      </c>
      <c r="W574" s="49">
        <v>3</v>
      </c>
      <c r="X574" s="58">
        <v>2</v>
      </c>
      <c r="Y574" s="83">
        <v>1</v>
      </c>
      <c r="Z574" s="49">
        <v>4</v>
      </c>
      <c r="AA574" s="49">
        <v>12</v>
      </c>
      <c r="AG574" s="49">
        <v>16</v>
      </c>
      <c r="AH574" s="49">
        <v>8</v>
      </c>
      <c r="AI574" s="49">
        <v>60</v>
      </c>
      <c r="AJ574" s="49">
        <v>1</v>
      </c>
      <c r="AK574" s="83">
        <v>0</v>
      </c>
      <c r="AL574" s="49">
        <v>1</v>
      </c>
      <c r="AM574" s="49">
        <v>1</v>
      </c>
      <c r="AN574" s="49">
        <v>0</v>
      </c>
      <c r="AO574" s="58">
        <v>0</v>
      </c>
      <c r="AP574" s="174">
        <v>0</v>
      </c>
      <c r="AQ574" s="175">
        <v>337</v>
      </c>
      <c r="AR574" s="175">
        <v>0</v>
      </c>
      <c r="AS574" s="175">
        <v>373</v>
      </c>
      <c r="AT574" s="175">
        <v>0</v>
      </c>
      <c r="AU574" s="175">
        <v>0</v>
      </c>
      <c r="AV574" s="175">
        <v>0</v>
      </c>
      <c r="AW574" s="175">
        <v>0</v>
      </c>
      <c r="AX574" s="83">
        <v>0</v>
      </c>
      <c r="AY574" s="49">
        <v>0</v>
      </c>
      <c r="AZ574" s="49">
        <v>0</v>
      </c>
      <c r="BA574" s="49">
        <v>0</v>
      </c>
      <c r="BB574" s="58">
        <v>0</v>
      </c>
      <c r="BC574" s="42">
        <v>98</v>
      </c>
      <c r="BD574" s="49">
        <v>57.65</v>
      </c>
      <c r="BE574" s="49"/>
      <c r="BS574" s="58"/>
      <c r="BT574" s="83">
        <v>60.31</v>
      </c>
      <c r="BU574" s="49">
        <v>60.38</v>
      </c>
      <c r="BV574" s="49">
        <v>56.91</v>
      </c>
      <c r="CE574" s="83"/>
      <c r="CK574" s="58"/>
      <c r="CL574" s="83">
        <v>53.82</v>
      </c>
      <c r="CO574" s="58"/>
      <c r="CP574" s="83"/>
      <c r="CR574" s="58"/>
      <c r="CS574" s="83"/>
      <c r="CY574" s="83"/>
      <c r="DG574" s="58"/>
      <c r="DH574" s="83"/>
      <c r="DQ574" s="83"/>
      <c r="EE574" s="58"/>
      <c r="EF574" s="83"/>
      <c r="EI574" s="83"/>
      <c r="EK574" s="58"/>
      <c r="EL574" s="83"/>
      <c r="EO574" s="58"/>
      <c r="EP574" s="83"/>
      <c r="EQ574" s="58"/>
      <c r="ER574" s="83"/>
      <c r="ES574" s="58"/>
      <c r="ET574" s="83"/>
      <c r="EU574" s="58"/>
    </row>
    <row r="575" spans="1:151">
      <c r="A575" s="83" t="s">
        <v>322</v>
      </c>
      <c r="B575" s="173" t="s">
        <v>188</v>
      </c>
      <c r="C575" s="173" t="s">
        <v>516</v>
      </c>
      <c r="D575" s="83" t="s">
        <v>75</v>
      </c>
      <c r="F575" s="49" t="s">
        <v>286</v>
      </c>
      <c r="G575" s="70">
        <v>8.7550000000000008</v>
      </c>
      <c r="I575" s="49">
        <v>1546</v>
      </c>
      <c r="J575" s="159">
        <v>0</v>
      </c>
      <c r="K575" s="49">
        <v>2</v>
      </c>
      <c r="L575" s="49">
        <v>3</v>
      </c>
      <c r="M575" s="83">
        <v>0</v>
      </c>
      <c r="N575" s="49">
        <v>1</v>
      </c>
      <c r="O575" s="49">
        <v>0</v>
      </c>
      <c r="P575" s="49">
        <v>0</v>
      </c>
      <c r="Q575" s="58">
        <v>0</v>
      </c>
      <c r="R575" s="42">
        <v>1</v>
      </c>
      <c r="S575" s="83" t="s">
        <v>284</v>
      </c>
      <c r="U575" s="83">
        <v>1</v>
      </c>
      <c r="V575" s="49">
        <v>2</v>
      </c>
      <c r="W575" s="49">
        <v>2</v>
      </c>
      <c r="X575" s="58"/>
      <c r="Y575" s="83">
        <v>1</v>
      </c>
      <c r="AA575" s="49">
        <v>10</v>
      </c>
      <c r="AD575" s="49">
        <v>19</v>
      </c>
      <c r="AE575" s="49">
        <v>44</v>
      </c>
      <c r="AF575" s="49">
        <v>9</v>
      </c>
      <c r="AG575" s="49">
        <v>40</v>
      </c>
      <c r="AH575" s="49">
        <v>13</v>
      </c>
      <c r="AI575" s="49">
        <v>267</v>
      </c>
      <c r="AJ575" s="49">
        <v>0</v>
      </c>
      <c r="AK575" s="83">
        <v>0</v>
      </c>
      <c r="AL575" s="49">
        <v>1</v>
      </c>
      <c r="AM575" s="49">
        <v>1</v>
      </c>
      <c r="AN575" s="49">
        <v>0</v>
      </c>
      <c r="AO575" s="58">
        <v>0</v>
      </c>
      <c r="AP575" s="174">
        <v>0</v>
      </c>
      <c r="AQ575" s="175">
        <v>1053</v>
      </c>
      <c r="AR575" s="175">
        <v>107</v>
      </c>
      <c r="AS575" s="175">
        <v>740</v>
      </c>
      <c r="AT575" s="175" t="s">
        <v>284</v>
      </c>
      <c r="AU575" s="175" t="s">
        <v>284</v>
      </c>
      <c r="AV575" s="175" t="s">
        <v>284</v>
      </c>
      <c r="AW575" s="175" t="s">
        <v>284</v>
      </c>
      <c r="AX575" s="83">
        <v>0</v>
      </c>
      <c r="AY575" s="49">
        <v>0</v>
      </c>
      <c r="AZ575" s="49">
        <v>0</v>
      </c>
      <c r="BA575" s="49">
        <v>0</v>
      </c>
      <c r="BB575" s="58">
        <v>0</v>
      </c>
      <c r="BC575" s="42">
        <v>106</v>
      </c>
      <c r="BE575" s="49"/>
      <c r="BS575" s="58"/>
      <c r="BT575" s="83"/>
      <c r="CE575" s="83"/>
      <c r="CK575" s="58"/>
      <c r="CL575" s="83"/>
      <c r="CO575" s="58"/>
      <c r="CP575" s="83"/>
      <c r="CR575" s="58"/>
      <c r="CS575" s="83"/>
      <c r="CY575" s="83"/>
      <c r="DG575" s="58"/>
      <c r="DH575" s="83"/>
      <c r="DQ575" s="83"/>
      <c r="EE575" s="58"/>
      <c r="EF575" s="83"/>
      <c r="EI575" s="83"/>
      <c r="EK575" s="58"/>
      <c r="EL575" s="83"/>
      <c r="EO575" s="58"/>
      <c r="EP575" s="83"/>
      <c r="EQ575" s="58"/>
      <c r="ER575" s="83"/>
      <c r="ES575" s="58"/>
      <c r="ET575" s="83"/>
      <c r="EU575" s="58"/>
    </row>
    <row r="576" spans="1:151">
      <c r="A576" s="83" t="s">
        <v>322</v>
      </c>
      <c r="B576" s="173" t="s">
        <v>188</v>
      </c>
      <c r="C576" s="173" t="s">
        <v>516</v>
      </c>
      <c r="D576" s="83" t="s">
        <v>76</v>
      </c>
      <c r="F576" s="49" t="s">
        <v>286</v>
      </c>
      <c r="G576" s="70">
        <v>8.7550000000000008</v>
      </c>
      <c r="I576" s="49">
        <v>1570</v>
      </c>
      <c r="J576" s="159">
        <v>2.4153846153846152</v>
      </c>
      <c r="K576" s="49">
        <v>2</v>
      </c>
      <c r="L576" s="49">
        <v>3</v>
      </c>
      <c r="M576" s="83">
        <v>1</v>
      </c>
      <c r="N576" s="49">
        <v>0</v>
      </c>
      <c r="O576" s="49">
        <v>0</v>
      </c>
      <c r="P576" s="49">
        <v>1</v>
      </c>
      <c r="Q576" s="58">
        <v>0</v>
      </c>
      <c r="R576" s="42">
        <v>2</v>
      </c>
      <c r="S576" s="83">
        <v>1</v>
      </c>
      <c r="U576" s="83">
        <v>1</v>
      </c>
      <c r="V576" s="49">
        <v>2</v>
      </c>
      <c r="W576" s="49">
        <v>1</v>
      </c>
      <c r="X576" s="58">
        <v>2</v>
      </c>
      <c r="Y576" s="83">
        <v>2</v>
      </c>
      <c r="AA576" s="49">
        <v>8</v>
      </c>
      <c r="AD576" s="49">
        <v>8</v>
      </c>
      <c r="AE576" s="49">
        <v>51</v>
      </c>
      <c r="AH576" s="49">
        <v>17</v>
      </c>
      <c r="AI576" s="49">
        <v>375</v>
      </c>
      <c r="AJ576" s="49">
        <v>0</v>
      </c>
      <c r="AK576" s="83">
        <v>0</v>
      </c>
      <c r="AL576" s="49">
        <v>1</v>
      </c>
      <c r="AM576" s="49">
        <v>1</v>
      </c>
      <c r="AN576" s="49">
        <v>0</v>
      </c>
      <c r="AO576" s="58">
        <v>0</v>
      </c>
      <c r="AP576" s="174">
        <v>0</v>
      </c>
      <c r="AQ576" s="175">
        <v>274</v>
      </c>
      <c r="AR576" s="175">
        <v>175</v>
      </c>
      <c r="AS576" s="175">
        <v>277</v>
      </c>
      <c r="AT576" s="175" t="s">
        <v>284</v>
      </c>
      <c r="AU576" s="175" t="s">
        <v>284</v>
      </c>
      <c r="AV576" s="175" t="s">
        <v>284</v>
      </c>
      <c r="AW576" s="175" t="s">
        <v>284</v>
      </c>
      <c r="AX576" s="83">
        <v>0</v>
      </c>
      <c r="AY576" s="49">
        <v>0</v>
      </c>
      <c r="AZ576" s="49">
        <v>0</v>
      </c>
      <c r="BA576" s="49">
        <v>0</v>
      </c>
      <c r="BB576" s="58">
        <v>0</v>
      </c>
      <c r="BC576" s="42">
        <v>105</v>
      </c>
      <c r="BE576" s="49"/>
      <c r="BS576" s="58"/>
      <c r="BT576" s="83"/>
      <c r="CE576" s="83"/>
      <c r="CK576" s="58"/>
      <c r="CL576" s="83"/>
      <c r="CO576" s="58"/>
      <c r="CP576" s="83"/>
      <c r="CR576" s="58"/>
      <c r="CS576" s="83"/>
      <c r="CY576" s="83"/>
      <c r="DG576" s="58"/>
      <c r="DH576" s="83"/>
      <c r="DQ576" s="83"/>
      <c r="EE576" s="58"/>
      <c r="EF576" s="83"/>
      <c r="EI576" s="83"/>
      <c r="EK576" s="58"/>
      <c r="EL576" s="83"/>
      <c r="EO576" s="58"/>
      <c r="EP576" s="83"/>
      <c r="EQ576" s="58"/>
      <c r="ER576" s="83"/>
      <c r="ES576" s="58"/>
      <c r="ET576" s="83"/>
      <c r="EU576" s="58"/>
    </row>
    <row r="577" spans="1:151">
      <c r="A577" s="83" t="s">
        <v>322</v>
      </c>
      <c r="B577" s="173" t="s">
        <v>188</v>
      </c>
      <c r="C577" s="173" t="s">
        <v>516</v>
      </c>
      <c r="D577" s="83" t="s">
        <v>73</v>
      </c>
      <c r="F577" s="49" t="s">
        <v>286</v>
      </c>
      <c r="G577" s="70">
        <v>8.7550000000000008</v>
      </c>
      <c r="I577" s="49">
        <v>3024</v>
      </c>
      <c r="J577" s="159">
        <v>5.0484140233722874</v>
      </c>
      <c r="K577" s="49">
        <v>2</v>
      </c>
      <c r="L577" s="49">
        <v>3</v>
      </c>
      <c r="M577" s="83">
        <v>1</v>
      </c>
      <c r="N577" s="49">
        <v>0</v>
      </c>
      <c r="O577" s="49">
        <v>0</v>
      </c>
      <c r="P577" s="49">
        <v>0</v>
      </c>
      <c r="Q577" s="58">
        <v>0</v>
      </c>
      <c r="R577" s="42">
        <v>1</v>
      </c>
      <c r="S577" s="83">
        <v>1</v>
      </c>
      <c r="U577" s="83">
        <v>0</v>
      </c>
      <c r="V577" s="49">
        <v>0</v>
      </c>
      <c r="W577" s="49">
        <v>0</v>
      </c>
      <c r="X577" s="58"/>
      <c r="Y577" s="83">
        <v>1</v>
      </c>
      <c r="Z577" s="49">
        <v>9</v>
      </c>
      <c r="AA577" s="49">
        <v>15</v>
      </c>
      <c r="AD577" s="49">
        <v>9</v>
      </c>
      <c r="AE577" s="49">
        <v>46</v>
      </c>
      <c r="AF577" s="49">
        <v>12</v>
      </c>
      <c r="AG577" s="49">
        <v>355</v>
      </c>
      <c r="AJ577" s="49">
        <v>0</v>
      </c>
      <c r="AK577" s="83">
        <v>0</v>
      </c>
      <c r="AL577" s="49">
        <v>0</v>
      </c>
      <c r="AM577" s="49">
        <v>1</v>
      </c>
      <c r="AN577" s="49">
        <v>0</v>
      </c>
      <c r="AO577" s="58">
        <v>0</v>
      </c>
      <c r="AP577" s="174" t="s">
        <v>284</v>
      </c>
      <c r="AQ577" s="175" t="s">
        <v>284</v>
      </c>
      <c r="AR577" s="175">
        <v>39</v>
      </c>
      <c r="AS577" s="175">
        <v>511</v>
      </c>
      <c r="AT577" s="175" t="s">
        <v>284</v>
      </c>
      <c r="AU577" s="175" t="s">
        <v>284</v>
      </c>
      <c r="AV577" s="175" t="s">
        <v>284</v>
      </c>
      <c r="AW577" s="175" t="s">
        <v>284</v>
      </c>
      <c r="AX577" s="83">
        <v>0</v>
      </c>
      <c r="AY577" s="49">
        <v>1</v>
      </c>
      <c r="AZ577" s="49">
        <v>0</v>
      </c>
      <c r="BA577" s="49">
        <v>0</v>
      </c>
      <c r="BB577" s="58">
        <v>11</v>
      </c>
      <c r="BC577" s="42">
        <v>110</v>
      </c>
      <c r="BE577" s="49"/>
      <c r="BS577" s="58"/>
      <c r="BT577" s="83"/>
      <c r="CE577" s="83"/>
      <c r="CK577" s="58"/>
      <c r="CL577" s="83"/>
      <c r="CO577" s="58"/>
      <c r="CP577" s="83"/>
      <c r="CR577" s="58"/>
      <c r="CS577" s="83"/>
      <c r="CY577" s="83"/>
      <c r="DG577" s="58"/>
      <c r="DH577" s="83"/>
      <c r="DQ577" s="83"/>
      <c r="EE577" s="58"/>
      <c r="EF577" s="83"/>
      <c r="EI577" s="83"/>
      <c r="EK577" s="58"/>
      <c r="EL577" s="83"/>
      <c r="EO577" s="58"/>
      <c r="EP577" s="83"/>
      <c r="EQ577" s="58"/>
      <c r="ER577" s="83"/>
      <c r="ES577" s="58"/>
      <c r="ET577" s="83"/>
      <c r="EU577" s="58"/>
    </row>
    <row r="578" spans="1:151">
      <c r="A578" s="83" t="s">
        <v>322</v>
      </c>
      <c r="B578" s="173" t="s">
        <v>188</v>
      </c>
      <c r="C578" s="173" t="s">
        <v>516</v>
      </c>
      <c r="D578" s="83" t="s">
        <v>81</v>
      </c>
      <c r="F578" s="49" t="s">
        <v>287</v>
      </c>
      <c r="G578" s="70">
        <v>8.7550000000000008</v>
      </c>
      <c r="I578" s="49">
        <v>771</v>
      </c>
      <c r="J578" s="159">
        <v>4.8797468354430382</v>
      </c>
      <c r="K578" s="49">
        <v>1</v>
      </c>
      <c r="L578" s="49">
        <v>2</v>
      </c>
      <c r="M578" s="83">
        <v>1</v>
      </c>
      <c r="N578" s="49">
        <v>0</v>
      </c>
      <c r="O578" s="49">
        <v>0</v>
      </c>
      <c r="P578" s="49">
        <v>1</v>
      </c>
      <c r="Q578" s="58">
        <v>0</v>
      </c>
      <c r="R578" s="42">
        <v>2</v>
      </c>
      <c r="S578" s="83">
        <v>1</v>
      </c>
      <c r="U578" s="83">
        <v>1</v>
      </c>
      <c r="V578" s="49">
        <v>2</v>
      </c>
      <c r="W578" s="49">
        <v>2</v>
      </c>
      <c r="X578" s="58"/>
      <c r="Y578" s="83">
        <v>2</v>
      </c>
      <c r="AD578" s="49">
        <v>18</v>
      </c>
      <c r="AE578" s="49">
        <v>100</v>
      </c>
      <c r="AJ578" s="49">
        <v>0</v>
      </c>
      <c r="AK578" s="83">
        <v>0</v>
      </c>
      <c r="AL578" s="49">
        <v>0</v>
      </c>
      <c r="AM578" s="49">
        <v>0</v>
      </c>
      <c r="AN578" s="49">
        <v>0</v>
      </c>
      <c r="AO578" s="58">
        <v>0</v>
      </c>
      <c r="AP578" s="174" t="s">
        <v>284</v>
      </c>
      <c r="AQ578" s="175" t="s">
        <v>284</v>
      </c>
      <c r="AR578" s="175" t="s">
        <v>284</v>
      </c>
      <c r="AS578" s="175" t="s">
        <v>284</v>
      </c>
      <c r="AT578" s="175" t="s">
        <v>284</v>
      </c>
      <c r="AU578" s="175" t="s">
        <v>284</v>
      </c>
      <c r="AV578" s="175" t="s">
        <v>284</v>
      </c>
      <c r="AW578" s="175" t="s">
        <v>284</v>
      </c>
      <c r="AX578" s="83">
        <v>0</v>
      </c>
      <c r="AY578" s="49">
        <v>0</v>
      </c>
      <c r="AZ578" s="49">
        <v>0</v>
      </c>
      <c r="BA578" s="49">
        <v>0</v>
      </c>
      <c r="BB578" s="58">
        <v>0</v>
      </c>
      <c r="BC578" s="42">
        <v>100</v>
      </c>
      <c r="BE578" s="49"/>
      <c r="BS578" s="58"/>
      <c r="BT578" s="83"/>
      <c r="CE578" s="83"/>
      <c r="CK578" s="58"/>
      <c r="CL578" s="83"/>
      <c r="CO578" s="58"/>
      <c r="CP578" s="83"/>
      <c r="CR578" s="58"/>
      <c r="CS578" s="83"/>
      <c r="CY578" s="83"/>
      <c r="DG578" s="58"/>
      <c r="DH578" s="83"/>
      <c r="DQ578" s="83"/>
      <c r="EE578" s="58"/>
      <c r="EF578" s="83"/>
      <c r="EI578" s="83"/>
      <c r="EK578" s="58"/>
      <c r="EL578" s="83"/>
      <c r="EO578" s="58"/>
      <c r="EP578" s="83"/>
      <c r="EQ578" s="58"/>
      <c r="ER578" s="83"/>
      <c r="ES578" s="58"/>
      <c r="ET578" s="83"/>
      <c r="EU578" s="58"/>
    </row>
    <row r="579" spans="1:151">
      <c r="A579" s="83" t="s">
        <v>322</v>
      </c>
      <c r="B579" s="173" t="s">
        <v>188</v>
      </c>
      <c r="C579" s="173" t="s">
        <v>516</v>
      </c>
      <c r="D579" s="83" t="s">
        <v>87</v>
      </c>
      <c r="F579" s="49" t="s">
        <v>286</v>
      </c>
      <c r="G579" s="70">
        <v>8.7550000000000008</v>
      </c>
      <c r="I579" s="49">
        <v>1070</v>
      </c>
      <c r="J579" s="159">
        <v>5.2970297029702973</v>
      </c>
      <c r="K579" s="49">
        <v>1</v>
      </c>
      <c r="L579" s="49">
        <v>3</v>
      </c>
      <c r="M579" s="83">
        <v>1</v>
      </c>
      <c r="N579" s="49">
        <v>2</v>
      </c>
      <c r="O579" s="49">
        <v>0</v>
      </c>
      <c r="P579" s="49">
        <v>1</v>
      </c>
      <c r="Q579" s="58">
        <v>0</v>
      </c>
      <c r="R579" s="42">
        <v>4</v>
      </c>
      <c r="S579" s="83">
        <v>1</v>
      </c>
      <c r="U579" s="83">
        <v>1</v>
      </c>
      <c r="V579" s="49">
        <v>2</v>
      </c>
      <c r="W579" s="49">
        <v>1</v>
      </c>
      <c r="X579" s="58">
        <v>2</v>
      </c>
      <c r="Y579" s="83">
        <v>1</v>
      </c>
      <c r="AD579" s="49">
        <v>4</v>
      </c>
      <c r="AE579" s="49">
        <v>12</v>
      </c>
      <c r="AH579" s="49">
        <v>9</v>
      </c>
      <c r="AI579" s="49">
        <v>49</v>
      </c>
      <c r="AJ579" s="49">
        <v>0</v>
      </c>
      <c r="AK579" s="83">
        <v>0</v>
      </c>
      <c r="AL579" s="49">
        <v>1</v>
      </c>
      <c r="AM579" s="49">
        <v>1</v>
      </c>
      <c r="AN579" s="49">
        <v>0</v>
      </c>
      <c r="AO579" s="58">
        <v>0</v>
      </c>
      <c r="AP579" s="174">
        <v>84</v>
      </c>
      <c r="AQ579" s="175">
        <v>128</v>
      </c>
      <c r="AR579" s="175">
        <v>249</v>
      </c>
      <c r="AS579" s="175">
        <v>312</v>
      </c>
      <c r="AT579" s="175" t="s">
        <v>284</v>
      </c>
      <c r="AU579" s="175" t="s">
        <v>284</v>
      </c>
      <c r="AV579" s="175" t="s">
        <v>284</v>
      </c>
      <c r="AW579" s="175" t="s">
        <v>284</v>
      </c>
      <c r="AX579" s="83">
        <v>0</v>
      </c>
      <c r="AY579" s="49">
        <v>0</v>
      </c>
      <c r="AZ579" s="49">
        <v>0</v>
      </c>
      <c r="BA579" s="49">
        <v>0</v>
      </c>
      <c r="BB579" s="58">
        <v>0</v>
      </c>
      <c r="BC579" s="42">
        <v>105</v>
      </c>
      <c r="BE579" s="49"/>
      <c r="BS579" s="58"/>
      <c r="BT579" s="83"/>
      <c r="CE579" s="83"/>
      <c r="CK579" s="58"/>
      <c r="CL579" s="83"/>
      <c r="CO579" s="58"/>
      <c r="CP579" s="83"/>
      <c r="CR579" s="58"/>
      <c r="CS579" s="83"/>
      <c r="CY579" s="83"/>
      <c r="DG579" s="58"/>
      <c r="DH579" s="83"/>
      <c r="DQ579" s="83"/>
      <c r="EE579" s="58"/>
      <c r="EF579" s="83"/>
      <c r="EI579" s="83"/>
      <c r="EK579" s="58"/>
      <c r="EL579" s="83"/>
      <c r="EO579" s="58"/>
      <c r="EP579" s="83"/>
      <c r="EQ579" s="58"/>
      <c r="ER579" s="83"/>
      <c r="ES579" s="58"/>
      <c r="ET579" s="83"/>
      <c r="EU579" s="58"/>
    </row>
    <row r="580" spans="1:151">
      <c r="A580" s="83" t="s">
        <v>322</v>
      </c>
      <c r="B580" s="173" t="s">
        <v>188</v>
      </c>
      <c r="C580" s="173" t="s">
        <v>516</v>
      </c>
      <c r="D580" s="83" t="s">
        <v>88</v>
      </c>
      <c r="F580" s="49" t="s">
        <v>286</v>
      </c>
      <c r="G580" s="70">
        <v>8.7550000000000008</v>
      </c>
      <c r="I580" s="49">
        <v>2166</v>
      </c>
      <c r="J580" s="159">
        <v>3.5508196721311474</v>
      </c>
      <c r="K580" s="49">
        <v>1</v>
      </c>
      <c r="L580" s="49">
        <v>3</v>
      </c>
      <c r="M580" s="83">
        <v>1</v>
      </c>
      <c r="N580" s="49">
        <v>0</v>
      </c>
      <c r="O580" s="49">
        <v>0</v>
      </c>
      <c r="P580" s="49">
        <v>1</v>
      </c>
      <c r="Q580" s="58">
        <v>0</v>
      </c>
      <c r="R580" s="42">
        <v>2</v>
      </c>
      <c r="S580" s="83">
        <v>1</v>
      </c>
      <c r="U580" s="83">
        <v>1</v>
      </c>
      <c r="V580" s="49">
        <v>1</v>
      </c>
      <c r="W580" s="49">
        <v>1</v>
      </c>
      <c r="X580" s="58">
        <v>2</v>
      </c>
      <c r="Y580" s="83">
        <v>1</v>
      </c>
      <c r="AD580" s="49">
        <v>25</v>
      </c>
      <c r="AE580" s="49">
        <v>5</v>
      </c>
      <c r="AJ580" s="49">
        <v>0</v>
      </c>
      <c r="AK580" s="83">
        <v>0</v>
      </c>
      <c r="AL580" s="49">
        <v>0</v>
      </c>
      <c r="AM580" s="49">
        <v>1</v>
      </c>
      <c r="AN580" s="49">
        <v>0</v>
      </c>
      <c r="AO580" s="58">
        <v>0</v>
      </c>
      <c r="AP580" s="174" t="s">
        <v>284</v>
      </c>
      <c r="AQ580" s="175" t="s">
        <v>284</v>
      </c>
      <c r="AR580" s="175">
        <v>0</v>
      </c>
      <c r="AS580" s="175">
        <v>153</v>
      </c>
      <c r="AT580" s="175" t="s">
        <v>284</v>
      </c>
      <c r="AU580" s="175" t="s">
        <v>284</v>
      </c>
      <c r="AV580" s="175" t="s">
        <v>284</v>
      </c>
      <c r="AW580" s="175" t="s">
        <v>284</v>
      </c>
      <c r="AX580" s="83">
        <v>0</v>
      </c>
      <c r="AY580" s="49">
        <v>0</v>
      </c>
      <c r="AZ580" s="49">
        <v>0</v>
      </c>
      <c r="BA580" s="49">
        <v>0</v>
      </c>
      <c r="BB580" s="58">
        <v>0</v>
      </c>
      <c r="BC580" s="42">
        <v>117</v>
      </c>
      <c r="BE580" s="49"/>
      <c r="BS580" s="58"/>
      <c r="BT580" s="83"/>
      <c r="CE580" s="83"/>
      <c r="CK580" s="58"/>
      <c r="CL580" s="83"/>
      <c r="CO580" s="58"/>
      <c r="CP580" s="83"/>
      <c r="CR580" s="58"/>
      <c r="CS580" s="83"/>
      <c r="CY580" s="83"/>
      <c r="DG580" s="58"/>
      <c r="DH580" s="83"/>
      <c r="DQ580" s="83"/>
      <c r="EE580" s="58"/>
      <c r="EF580" s="83"/>
      <c r="EI580" s="83"/>
      <c r="EK580" s="58"/>
      <c r="EL580" s="83"/>
      <c r="EO580" s="58"/>
      <c r="EP580" s="83"/>
      <c r="EQ580" s="58"/>
      <c r="ER580" s="83"/>
      <c r="ES580" s="58"/>
      <c r="ET580" s="83"/>
      <c r="EU580" s="58"/>
    </row>
    <row r="581" spans="1:151">
      <c r="A581" s="83" t="s">
        <v>322</v>
      </c>
      <c r="B581" s="173" t="s">
        <v>188</v>
      </c>
      <c r="C581" s="173" t="s">
        <v>516</v>
      </c>
      <c r="D581" s="83" t="s">
        <v>111</v>
      </c>
      <c r="F581" s="49" t="s">
        <v>286</v>
      </c>
      <c r="G581" s="70">
        <v>8.7550000000000008</v>
      </c>
      <c r="I581" s="49">
        <v>3065</v>
      </c>
      <c r="J581" s="159">
        <v>5.4830053667262968</v>
      </c>
      <c r="K581" s="49">
        <v>2</v>
      </c>
      <c r="L581" s="49">
        <v>2</v>
      </c>
      <c r="M581" s="83">
        <v>1</v>
      </c>
      <c r="N581" s="49">
        <v>0</v>
      </c>
      <c r="O581" s="49">
        <v>0</v>
      </c>
      <c r="P581" s="49">
        <v>1</v>
      </c>
      <c r="Q581" s="58">
        <v>0</v>
      </c>
      <c r="R581" s="42">
        <v>2</v>
      </c>
      <c r="S581" s="83">
        <v>1</v>
      </c>
      <c r="U581" s="83">
        <v>0</v>
      </c>
      <c r="V581" s="49">
        <v>0</v>
      </c>
      <c r="W581" s="49">
        <v>0</v>
      </c>
      <c r="X581" s="58"/>
      <c r="Y581" s="83">
        <v>3</v>
      </c>
      <c r="AD581" s="49">
        <v>6</v>
      </c>
      <c r="AE581" s="49">
        <v>66</v>
      </c>
      <c r="AF581" s="49">
        <v>9</v>
      </c>
      <c r="AG581" s="49">
        <v>31</v>
      </c>
      <c r="AH581" s="49">
        <v>27</v>
      </c>
      <c r="AI581" s="49">
        <v>210</v>
      </c>
      <c r="AJ581" s="49">
        <v>0</v>
      </c>
      <c r="AK581" s="83">
        <v>0</v>
      </c>
      <c r="AL581" s="49">
        <v>0</v>
      </c>
      <c r="AM581" s="49">
        <v>0</v>
      </c>
      <c r="AN581" s="49">
        <v>0</v>
      </c>
      <c r="AO581" s="58">
        <v>0</v>
      </c>
      <c r="AP581" s="174" t="s">
        <v>284</v>
      </c>
      <c r="AQ581" s="175" t="s">
        <v>284</v>
      </c>
      <c r="AR581" s="175" t="s">
        <v>284</v>
      </c>
      <c r="AS581" s="175" t="s">
        <v>284</v>
      </c>
      <c r="AT581" s="175" t="s">
        <v>284</v>
      </c>
      <c r="AU581" s="175" t="s">
        <v>284</v>
      </c>
      <c r="AV581" s="175" t="s">
        <v>284</v>
      </c>
      <c r="AW581" s="175" t="s">
        <v>284</v>
      </c>
      <c r="AX581" s="83">
        <v>0</v>
      </c>
      <c r="AY581" s="49">
        <v>0</v>
      </c>
      <c r="AZ581" s="49">
        <v>0</v>
      </c>
      <c r="BA581" s="49">
        <v>0</v>
      </c>
      <c r="BB581" s="58">
        <v>0</v>
      </c>
      <c r="BC581" s="42">
        <v>131</v>
      </c>
      <c r="BD581" s="49">
        <v>59.09</v>
      </c>
      <c r="BE581" s="49">
        <v>58.13</v>
      </c>
      <c r="BS581" s="58"/>
      <c r="BT581" s="83">
        <v>60.86</v>
      </c>
      <c r="BU581" s="49">
        <v>60.97</v>
      </c>
      <c r="CE581" s="83"/>
      <c r="CK581" s="58"/>
      <c r="CL581" s="83">
        <v>45.53</v>
      </c>
      <c r="CO581" s="58"/>
      <c r="CP581" s="83"/>
      <c r="CR581" s="58"/>
      <c r="CS581" s="83"/>
      <c r="CY581" s="83"/>
      <c r="DG581" s="58"/>
      <c r="DH581" s="83"/>
      <c r="DQ581" s="83"/>
      <c r="EE581" s="58"/>
      <c r="EF581" s="83"/>
      <c r="EI581" s="83"/>
      <c r="EK581" s="58"/>
      <c r="EL581" s="83"/>
      <c r="EO581" s="58"/>
      <c r="EP581" s="83"/>
      <c r="EQ581" s="58"/>
      <c r="ER581" s="83"/>
      <c r="ES581" s="58"/>
      <c r="ET581" s="83"/>
      <c r="EU581" s="58"/>
    </row>
    <row r="582" spans="1:151">
      <c r="A582" s="83" t="s">
        <v>322</v>
      </c>
      <c r="B582" s="173" t="s">
        <v>188</v>
      </c>
      <c r="C582" s="173" t="s">
        <v>516</v>
      </c>
      <c r="D582" s="83" t="s">
        <v>92</v>
      </c>
      <c r="F582" s="49" t="s">
        <v>287</v>
      </c>
      <c r="G582" s="70">
        <v>8.7550000000000008</v>
      </c>
      <c r="I582" s="49">
        <v>903</v>
      </c>
      <c r="J582" s="159">
        <v>1.7533980582524271</v>
      </c>
      <c r="K582" s="49">
        <v>1</v>
      </c>
      <c r="L582" s="49">
        <v>1</v>
      </c>
      <c r="M582" s="83">
        <v>1</v>
      </c>
      <c r="N582" s="49">
        <v>0</v>
      </c>
      <c r="O582" s="49">
        <v>0</v>
      </c>
      <c r="P582" s="49">
        <v>1</v>
      </c>
      <c r="Q582" s="58">
        <v>0</v>
      </c>
      <c r="R582" s="42">
        <v>2</v>
      </c>
      <c r="S582" s="83" t="s">
        <v>283</v>
      </c>
      <c r="T582" s="49">
        <v>11</v>
      </c>
      <c r="U582" s="83">
        <v>3</v>
      </c>
      <c r="V582" s="49">
        <v>2</v>
      </c>
      <c r="W582" s="49">
        <v>1</v>
      </c>
      <c r="X582" s="58">
        <v>2</v>
      </c>
      <c r="Y582" s="83">
        <v>1</v>
      </c>
      <c r="AD582" s="49">
        <v>3</v>
      </c>
      <c r="AE582" s="49">
        <v>9</v>
      </c>
      <c r="AH582" s="49">
        <v>51</v>
      </c>
      <c r="AI582" s="49">
        <v>77</v>
      </c>
      <c r="AJ582" s="49">
        <v>0</v>
      </c>
      <c r="AK582" s="83">
        <v>0</v>
      </c>
      <c r="AL582" s="49">
        <v>0</v>
      </c>
      <c r="AM582" s="49">
        <v>1</v>
      </c>
      <c r="AN582" s="49">
        <v>0</v>
      </c>
      <c r="AO582" s="58">
        <v>0</v>
      </c>
      <c r="AP582" s="174">
        <v>0</v>
      </c>
      <c r="AQ582" s="175">
        <v>0</v>
      </c>
      <c r="AR582" s="175">
        <v>0</v>
      </c>
      <c r="AS582" s="175">
        <v>201</v>
      </c>
      <c r="AT582" s="175">
        <v>0</v>
      </c>
      <c r="AU582" s="175">
        <v>0</v>
      </c>
      <c r="AV582" s="175">
        <v>0</v>
      </c>
      <c r="AW582" s="175">
        <v>0</v>
      </c>
      <c r="AX582" s="83">
        <v>0</v>
      </c>
      <c r="AY582" s="49">
        <v>0</v>
      </c>
      <c r="AZ582" s="49">
        <v>0</v>
      </c>
      <c r="BA582" s="49">
        <v>0</v>
      </c>
      <c r="BB582" s="58">
        <v>0</v>
      </c>
      <c r="BC582" s="42">
        <v>98</v>
      </c>
      <c r="BE582" s="49"/>
      <c r="BS582" s="58"/>
      <c r="BT582" s="83"/>
      <c r="CE582" s="83"/>
      <c r="CK582" s="58"/>
      <c r="CL582" s="83"/>
      <c r="CO582" s="58"/>
      <c r="CP582" s="83"/>
      <c r="CR582" s="58"/>
      <c r="CS582" s="83"/>
      <c r="CY582" s="83"/>
      <c r="DG582" s="58"/>
      <c r="DH582" s="83"/>
      <c r="DQ582" s="83"/>
      <c r="EE582" s="58"/>
      <c r="EF582" s="83"/>
      <c r="EI582" s="83"/>
      <c r="EK582" s="58"/>
      <c r="EL582" s="83"/>
      <c r="EO582" s="58"/>
      <c r="EP582" s="83"/>
      <c r="EQ582" s="58"/>
      <c r="ER582" s="83"/>
      <c r="ES582" s="58"/>
      <c r="ET582" s="83"/>
      <c r="EU582" s="58"/>
    </row>
    <row r="583" spans="1:151">
      <c r="A583" s="83" t="s">
        <v>322</v>
      </c>
      <c r="B583" s="173" t="s">
        <v>188</v>
      </c>
      <c r="C583" s="173" t="s">
        <v>516</v>
      </c>
      <c r="D583" s="83" t="s">
        <v>93</v>
      </c>
      <c r="E583" s="49" t="s">
        <v>0</v>
      </c>
      <c r="F583" s="49" t="s">
        <v>286</v>
      </c>
      <c r="G583" s="70">
        <v>8.7550000000000008</v>
      </c>
      <c r="I583" s="49">
        <v>1013</v>
      </c>
      <c r="J583" s="159">
        <v>13.328947368421053</v>
      </c>
      <c r="K583" s="49">
        <v>3</v>
      </c>
      <c r="L583" s="49">
        <v>2</v>
      </c>
      <c r="M583" s="83">
        <v>0</v>
      </c>
      <c r="N583" s="49">
        <v>0</v>
      </c>
      <c r="O583" s="49">
        <v>0</v>
      </c>
      <c r="P583" s="49">
        <v>1</v>
      </c>
      <c r="Q583" s="58">
        <v>0</v>
      </c>
      <c r="R583" s="42">
        <v>1</v>
      </c>
      <c r="S583" s="83" t="s">
        <v>284</v>
      </c>
      <c r="U583" s="83">
        <v>0</v>
      </c>
      <c r="V583" s="49">
        <v>0</v>
      </c>
      <c r="W583" s="49">
        <v>0</v>
      </c>
      <c r="X583" s="58"/>
      <c r="Y583" s="83">
        <v>0</v>
      </c>
      <c r="AJ583" s="49">
        <v>0</v>
      </c>
      <c r="AK583" s="83">
        <v>0</v>
      </c>
      <c r="AL583" s="49">
        <v>0</v>
      </c>
      <c r="AM583" s="49">
        <v>0</v>
      </c>
      <c r="AN583" s="49">
        <v>0</v>
      </c>
      <c r="AO583" s="58">
        <v>0</v>
      </c>
      <c r="AP583" s="174" t="s">
        <v>284</v>
      </c>
      <c r="AQ583" s="175" t="s">
        <v>284</v>
      </c>
      <c r="AR583" s="175" t="s">
        <v>284</v>
      </c>
      <c r="AS583" s="175" t="s">
        <v>284</v>
      </c>
      <c r="AT583" s="175" t="s">
        <v>284</v>
      </c>
      <c r="AU583" s="175" t="s">
        <v>284</v>
      </c>
      <c r="AV583" s="175" t="s">
        <v>284</v>
      </c>
      <c r="AW583" s="175" t="s">
        <v>284</v>
      </c>
      <c r="AX583" s="83">
        <v>0</v>
      </c>
      <c r="AY583" s="49">
        <v>0</v>
      </c>
      <c r="AZ583" s="49">
        <v>0</v>
      </c>
      <c r="BA583" s="49">
        <v>0</v>
      </c>
      <c r="BB583" s="58">
        <v>0</v>
      </c>
      <c r="BC583" s="42">
        <v>127</v>
      </c>
      <c r="BE583" s="49"/>
      <c r="BS583" s="58"/>
      <c r="BT583" s="83"/>
      <c r="CE583" s="83"/>
      <c r="CK583" s="58"/>
      <c r="CL583" s="83"/>
      <c r="CO583" s="58"/>
      <c r="CP583" s="83"/>
      <c r="CR583" s="58"/>
      <c r="CS583" s="83"/>
      <c r="CY583" s="83"/>
      <c r="DG583" s="58"/>
      <c r="DH583" s="83"/>
      <c r="DQ583" s="83"/>
      <c r="EE583" s="58"/>
      <c r="EF583" s="83"/>
      <c r="EI583" s="83"/>
      <c r="EK583" s="58"/>
      <c r="EL583" s="83"/>
      <c r="EO583" s="58"/>
      <c r="EP583" s="83"/>
      <c r="EQ583" s="58"/>
      <c r="ER583" s="83"/>
      <c r="ES583" s="58"/>
      <c r="ET583" s="83"/>
      <c r="EU583" s="58"/>
    </row>
    <row r="584" spans="1:151">
      <c r="A584" s="83" t="s">
        <v>322</v>
      </c>
      <c r="B584" s="173" t="s">
        <v>188</v>
      </c>
      <c r="C584" s="173" t="s">
        <v>516</v>
      </c>
      <c r="D584" s="83" t="s">
        <v>93</v>
      </c>
      <c r="E584" s="49" t="s">
        <v>1</v>
      </c>
      <c r="F584" s="49" t="s">
        <v>286</v>
      </c>
      <c r="G584" s="70">
        <v>8.7550000000000008</v>
      </c>
      <c r="I584" s="49">
        <v>1105</v>
      </c>
      <c r="J584" s="159">
        <v>3.6956521739130435</v>
      </c>
      <c r="K584" s="49">
        <v>1</v>
      </c>
      <c r="L584" s="49">
        <v>2</v>
      </c>
      <c r="M584" s="83">
        <v>0</v>
      </c>
      <c r="N584" s="49">
        <v>0</v>
      </c>
      <c r="O584" s="49">
        <v>0</v>
      </c>
      <c r="P584" s="49">
        <v>1</v>
      </c>
      <c r="Q584" s="58">
        <v>0</v>
      </c>
      <c r="R584" s="42">
        <v>1</v>
      </c>
      <c r="S584" s="83">
        <v>1</v>
      </c>
      <c r="U584" s="83">
        <v>1</v>
      </c>
      <c r="V584" s="49">
        <v>2</v>
      </c>
      <c r="W584" s="49">
        <v>1</v>
      </c>
      <c r="X584" s="58">
        <v>2</v>
      </c>
      <c r="Y584" s="83">
        <v>1</v>
      </c>
      <c r="AG584" s="49">
        <v>64</v>
      </c>
      <c r="AH584" s="49">
        <v>8</v>
      </c>
      <c r="AI584" s="49">
        <v>29</v>
      </c>
      <c r="AJ584" s="49">
        <v>0</v>
      </c>
      <c r="AK584" s="83">
        <v>0</v>
      </c>
      <c r="AL584" s="49">
        <v>1</v>
      </c>
      <c r="AM584" s="49">
        <v>0</v>
      </c>
      <c r="AN584" s="49">
        <v>0</v>
      </c>
      <c r="AO584" s="58">
        <v>0</v>
      </c>
      <c r="AP584" s="174">
        <v>0</v>
      </c>
      <c r="AQ584" s="175">
        <v>247</v>
      </c>
      <c r="AR584" s="175">
        <v>0</v>
      </c>
      <c r="AS584" s="175">
        <v>0</v>
      </c>
      <c r="AT584" s="175" t="s">
        <v>284</v>
      </c>
      <c r="AU584" s="175" t="s">
        <v>284</v>
      </c>
      <c r="AV584" s="175" t="s">
        <v>284</v>
      </c>
      <c r="AW584" s="175" t="s">
        <v>284</v>
      </c>
      <c r="AX584" s="83">
        <v>0</v>
      </c>
      <c r="AY584" s="49">
        <v>0</v>
      </c>
      <c r="AZ584" s="49">
        <v>0</v>
      </c>
      <c r="BA584" s="49">
        <v>0</v>
      </c>
      <c r="BB584" s="58">
        <v>0</v>
      </c>
      <c r="BC584" s="42">
        <v>127</v>
      </c>
      <c r="BE584" s="49"/>
      <c r="BS584" s="58"/>
      <c r="BT584" s="83"/>
      <c r="CE584" s="83"/>
      <c r="CK584" s="58"/>
      <c r="CL584" s="83"/>
      <c r="CO584" s="58"/>
      <c r="CP584" s="83"/>
      <c r="CR584" s="58"/>
      <c r="CS584" s="83"/>
      <c r="CY584" s="83"/>
      <c r="DG584" s="58"/>
      <c r="DH584" s="83"/>
      <c r="DQ584" s="83"/>
      <c r="EE584" s="58"/>
      <c r="EF584" s="83"/>
      <c r="EI584" s="83"/>
      <c r="EK584" s="58"/>
      <c r="EL584" s="83"/>
      <c r="EO584" s="58"/>
      <c r="EP584" s="83"/>
      <c r="EQ584" s="58"/>
      <c r="ER584" s="83"/>
      <c r="ES584" s="58"/>
      <c r="ET584" s="83"/>
      <c r="EU584" s="58"/>
    </row>
    <row r="585" spans="1:151">
      <c r="A585" s="83" t="s">
        <v>322</v>
      </c>
      <c r="B585" s="173" t="s">
        <v>188</v>
      </c>
      <c r="C585" s="173" t="s">
        <v>516</v>
      </c>
      <c r="D585" s="83" t="s">
        <v>112</v>
      </c>
      <c r="F585" s="49" t="s">
        <v>286</v>
      </c>
      <c r="G585" s="70">
        <v>8.7550000000000008</v>
      </c>
      <c r="I585" s="49">
        <v>1294</v>
      </c>
      <c r="J585" s="159">
        <v>3.1715686274509802</v>
      </c>
      <c r="K585" s="49">
        <v>1</v>
      </c>
      <c r="L585" s="49">
        <v>3</v>
      </c>
      <c r="M585" s="83">
        <v>1</v>
      </c>
      <c r="N585" s="49">
        <v>0</v>
      </c>
      <c r="O585" s="49">
        <v>0</v>
      </c>
      <c r="P585" s="49">
        <v>0</v>
      </c>
      <c r="Q585" s="58">
        <v>0</v>
      </c>
      <c r="R585" s="42">
        <v>1</v>
      </c>
      <c r="S585" s="83">
        <v>1</v>
      </c>
      <c r="U585" s="83">
        <v>1</v>
      </c>
      <c r="V585" s="49">
        <v>3</v>
      </c>
      <c r="W585" s="49">
        <v>1</v>
      </c>
      <c r="X585" s="58">
        <v>2</v>
      </c>
      <c r="Y585" s="83">
        <v>2</v>
      </c>
      <c r="Z585" s="49">
        <v>4</v>
      </c>
      <c r="AA585" s="49">
        <v>11</v>
      </c>
      <c r="AF585" s="49">
        <v>3</v>
      </c>
      <c r="AG585" s="49">
        <v>28</v>
      </c>
      <c r="AH585" s="49">
        <v>7</v>
      </c>
      <c r="AI585" s="49">
        <v>452</v>
      </c>
      <c r="AJ585" s="49">
        <v>0</v>
      </c>
      <c r="AK585" s="83">
        <v>0</v>
      </c>
      <c r="AL585" s="49">
        <v>1</v>
      </c>
      <c r="AM585" s="49">
        <v>0</v>
      </c>
      <c r="AN585" s="49">
        <v>0</v>
      </c>
      <c r="AO585" s="58">
        <v>0</v>
      </c>
      <c r="AP585" s="174">
        <v>0</v>
      </c>
      <c r="AQ585" s="175">
        <v>387</v>
      </c>
      <c r="AR585" s="175">
        <v>0</v>
      </c>
      <c r="AS585" s="175">
        <v>0</v>
      </c>
      <c r="AT585" s="175" t="s">
        <v>284</v>
      </c>
      <c r="AU585" s="175" t="s">
        <v>284</v>
      </c>
      <c r="AV585" s="175" t="s">
        <v>284</v>
      </c>
      <c r="AW585" s="175" t="s">
        <v>284</v>
      </c>
      <c r="AX585" s="83">
        <v>0</v>
      </c>
      <c r="AY585" s="49">
        <v>0</v>
      </c>
      <c r="AZ585" s="49">
        <v>0</v>
      </c>
      <c r="BA585" s="49">
        <v>0</v>
      </c>
      <c r="BB585" s="58">
        <v>0</v>
      </c>
      <c r="BC585" s="42">
        <v>154</v>
      </c>
      <c r="BE585" s="49"/>
      <c r="BS585" s="58"/>
      <c r="BT585" s="83"/>
      <c r="CE585" s="83"/>
      <c r="CK585" s="58"/>
      <c r="CL585" s="83"/>
      <c r="CO585" s="58"/>
      <c r="CP585" s="83"/>
      <c r="CR585" s="58"/>
      <c r="CS585" s="83"/>
      <c r="CY585" s="83"/>
      <c r="DG585" s="58"/>
      <c r="DH585" s="83"/>
      <c r="DQ585" s="83"/>
      <c r="EE585" s="58"/>
      <c r="EF585" s="83"/>
      <c r="EI585" s="83"/>
      <c r="EK585" s="58"/>
      <c r="EL585" s="83"/>
      <c r="EO585" s="58"/>
      <c r="EP585" s="83"/>
      <c r="EQ585" s="58"/>
      <c r="ER585" s="83"/>
      <c r="ES585" s="58"/>
      <c r="ET585" s="83"/>
      <c r="EU585" s="58"/>
    </row>
    <row r="586" spans="1:151">
      <c r="A586" s="83" t="s">
        <v>322</v>
      </c>
      <c r="B586" s="173" t="s">
        <v>188</v>
      </c>
      <c r="C586" s="173" t="s">
        <v>516</v>
      </c>
      <c r="D586" s="83" t="s">
        <v>94</v>
      </c>
      <c r="F586" s="49" t="s">
        <v>286</v>
      </c>
      <c r="G586" s="70">
        <v>8.7550000000000008</v>
      </c>
      <c r="I586" s="49">
        <v>1298</v>
      </c>
      <c r="J586" s="159">
        <v>1.8052851182197496</v>
      </c>
      <c r="K586" s="49">
        <v>4</v>
      </c>
      <c r="L586" s="49">
        <v>3</v>
      </c>
      <c r="M586" s="83">
        <v>1</v>
      </c>
      <c r="N586" s="49">
        <v>0</v>
      </c>
      <c r="O586" s="49">
        <v>0</v>
      </c>
      <c r="P586" s="49">
        <v>1</v>
      </c>
      <c r="Q586" s="58">
        <v>0</v>
      </c>
      <c r="R586" s="42">
        <v>2</v>
      </c>
      <c r="S586" s="83">
        <v>1</v>
      </c>
      <c r="U586" s="83">
        <v>1</v>
      </c>
      <c r="V586" s="49">
        <v>3</v>
      </c>
      <c r="W586" s="49">
        <v>1</v>
      </c>
      <c r="X586" s="58">
        <v>2</v>
      </c>
      <c r="Y586" s="83">
        <v>1</v>
      </c>
      <c r="Z586" s="49">
        <v>8</v>
      </c>
      <c r="AA586" s="49">
        <v>12</v>
      </c>
      <c r="AD586" s="49">
        <v>7</v>
      </c>
      <c r="AE586" s="49">
        <v>32</v>
      </c>
      <c r="AF586" s="49">
        <v>6</v>
      </c>
      <c r="AG586" s="49">
        <v>12</v>
      </c>
      <c r="AH586" s="49">
        <v>55</v>
      </c>
      <c r="AI586" s="49">
        <v>231</v>
      </c>
      <c r="AJ586" s="49">
        <v>0</v>
      </c>
      <c r="AK586" s="83">
        <v>0</v>
      </c>
      <c r="AL586" s="49">
        <v>1</v>
      </c>
      <c r="AM586" s="49">
        <v>1</v>
      </c>
      <c r="AN586" s="49">
        <v>0</v>
      </c>
      <c r="AO586" s="58">
        <v>0</v>
      </c>
      <c r="AP586" s="174">
        <v>0</v>
      </c>
      <c r="AQ586" s="175">
        <v>205</v>
      </c>
      <c r="AR586" s="175">
        <v>131</v>
      </c>
      <c r="AS586" s="175">
        <v>399</v>
      </c>
      <c r="AT586" s="175" t="s">
        <v>284</v>
      </c>
      <c r="AU586" s="175" t="s">
        <v>284</v>
      </c>
      <c r="AV586" s="175" t="s">
        <v>284</v>
      </c>
      <c r="AW586" s="175" t="s">
        <v>284</v>
      </c>
      <c r="AX586" s="83">
        <v>0</v>
      </c>
      <c r="AY586" s="49">
        <v>0</v>
      </c>
      <c r="AZ586" s="49">
        <v>0</v>
      </c>
      <c r="BA586" s="49">
        <v>0</v>
      </c>
      <c r="BB586" s="58">
        <v>0</v>
      </c>
      <c r="BC586" s="42">
        <v>114</v>
      </c>
      <c r="BE586" s="49"/>
      <c r="BS586" s="58"/>
      <c r="BT586" s="83"/>
      <c r="CE586" s="83"/>
      <c r="CK586" s="58"/>
      <c r="CL586" s="83"/>
      <c r="CO586" s="58"/>
      <c r="CP586" s="83"/>
      <c r="CR586" s="58"/>
      <c r="CS586" s="83"/>
      <c r="CY586" s="83"/>
      <c r="DG586" s="58"/>
      <c r="DH586" s="83"/>
      <c r="DQ586" s="83"/>
      <c r="EE586" s="58"/>
      <c r="EF586" s="83"/>
      <c r="EI586" s="83"/>
      <c r="EK586" s="58"/>
      <c r="EL586" s="83"/>
      <c r="EO586" s="58"/>
      <c r="EP586" s="83"/>
      <c r="EQ586" s="58"/>
      <c r="ER586" s="83"/>
      <c r="ES586" s="58"/>
      <c r="ET586" s="83"/>
      <c r="EU586" s="58"/>
    </row>
    <row r="587" spans="1:151" ht="17" thickBot="1">
      <c r="A587" s="83" t="s">
        <v>322</v>
      </c>
      <c r="B587" s="173" t="s">
        <v>188</v>
      </c>
      <c r="C587" s="173" t="s">
        <v>516</v>
      </c>
      <c r="D587" s="83" t="s">
        <v>95</v>
      </c>
      <c r="F587" s="49" t="s">
        <v>286</v>
      </c>
      <c r="G587" s="70">
        <v>8.7550000000000008</v>
      </c>
      <c r="I587" s="49">
        <v>5237</v>
      </c>
      <c r="J587" s="159">
        <v>1.1655909192076563</v>
      </c>
      <c r="K587" s="49">
        <v>4</v>
      </c>
      <c r="L587" s="49">
        <v>5</v>
      </c>
      <c r="M587" s="83">
        <v>1</v>
      </c>
      <c r="N587" s="49">
        <v>0</v>
      </c>
      <c r="O587" s="49">
        <v>0</v>
      </c>
      <c r="P587" s="49">
        <v>1</v>
      </c>
      <c r="Q587" s="58">
        <v>0</v>
      </c>
      <c r="R587" s="42">
        <v>2</v>
      </c>
      <c r="S587" s="83">
        <v>1</v>
      </c>
      <c r="U587" s="83">
        <v>1</v>
      </c>
      <c r="V587" s="49">
        <v>5</v>
      </c>
      <c r="W587" s="49">
        <v>1</v>
      </c>
      <c r="X587" s="58">
        <v>2</v>
      </c>
      <c r="Y587" s="83">
        <v>2</v>
      </c>
      <c r="AD587" s="49">
        <v>9</v>
      </c>
      <c r="AE587" s="49">
        <v>36</v>
      </c>
      <c r="AH587" s="49">
        <v>19</v>
      </c>
      <c r="AI587" s="49">
        <v>219</v>
      </c>
      <c r="AJ587" s="49">
        <v>0</v>
      </c>
      <c r="AK587" s="83">
        <v>0</v>
      </c>
      <c r="AL587" s="49">
        <v>0</v>
      </c>
      <c r="AM587" s="49">
        <v>0</v>
      </c>
      <c r="AN587" s="49">
        <v>0</v>
      </c>
      <c r="AO587" s="58">
        <v>0</v>
      </c>
      <c r="AP587" s="174" t="s">
        <v>284</v>
      </c>
      <c r="AQ587" s="175" t="s">
        <v>284</v>
      </c>
      <c r="AR587" s="175" t="s">
        <v>284</v>
      </c>
      <c r="AS587" s="175" t="s">
        <v>284</v>
      </c>
      <c r="AT587" s="175" t="s">
        <v>284</v>
      </c>
      <c r="AU587" s="175" t="s">
        <v>284</v>
      </c>
      <c r="AV587" s="175" t="s">
        <v>284</v>
      </c>
      <c r="AW587" s="175" t="s">
        <v>284</v>
      </c>
      <c r="AX587" s="83">
        <v>0</v>
      </c>
      <c r="AY587" s="49">
        <v>0</v>
      </c>
      <c r="AZ587" s="49">
        <v>0</v>
      </c>
      <c r="BA587" s="49">
        <v>0</v>
      </c>
      <c r="BB587" s="58">
        <v>0</v>
      </c>
      <c r="BC587" s="42">
        <v>149</v>
      </c>
      <c r="BD587" s="49">
        <v>67</v>
      </c>
      <c r="BE587" s="49">
        <v>67.36</v>
      </c>
      <c r="BF587" s="49">
        <v>67.239999999999995</v>
      </c>
      <c r="BG587" s="49">
        <v>67.23</v>
      </c>
      <c r="BS587" s="58"/>
      <c r="BT587" s="83"/>
      <c r="CE587" s="83">
        <v>59.36</v>
      </c>
      <c r="CF587" s="49">
        <v>60.4</v>
      </c>
      <c r="CG587" s="49">
        <v>61.86</v>
      </c>
      <c r="CK587" s="58"/>
      <c r="CL587" s="83"/>
      <c r="CO587" s="58"/>
      <c r="CP587" s="83"/>
      <c r="CR587" s="58"/>
      <c r="CS587" s="83"/>
      <c r="CY587" s="83"/>
      <c r="DG587" s="58"/>
      <c r="DH587" s="83"/>
      <c r="DQ587" s="83"/>
      <c r="EE587" s="58"/>
      <c r="EF587" s="83"/>
      <c r="EI587" s="83"/>
      <c r="EK587" s="58"/>
      <c r="EL587" s="83"/>
      <c r="EO587" s="58"/>
      <c r="EP587" s="83"/>
      <c r="EQ587" s="58"/>
      <c r="ER587" s="83"/>
      <c r="ES587" s="58"/>
      <c r="ET587" s="83"/>
      <c r="EU587" s="58"/>
    </row>
    <row r="588" spans="1:151">
      <c r="A588" s="87" t="s">
        <v>322</v>
      </c>
      <c r="B588" s="7" t="s">
        <v>193</v>
      </c>
      <c r="C588" s="7" t="s">
        <v>516</v>
      </c>
      <c r="D588" s="147" t="s">
        <v>64</v>
      </c>
      <c r="E588" s="148"/>
      <c r="F588" s="148" t="s">
        <v>286</v>
      </c>
      <c r="G588" s="78">
        <v>8.7550000000000008</v>
      </c>
      <c r="H588" s="148"/>
      <c r="I588" s="148">
        <v>1360</v>
      </c>
      <c r="J588" s="158">
        <v>3.7673130193905817</v>
      </c>
      <c r="K588" s="148">
        <v>1</v>
      </c>
      <c r="L588" s="148">
        <v>3</v>
      </c>
      <c r="M588" s="147">
        <v>1</v>
      </c>
      <c r="N588" s="148">
        <v>0</v>
      </c>
      <c r="O588" s="148">
        <v>0</v>
      </c>
      <c r="P588" s="148">
        <v>1</v>
      </c>
      <c r="Q588" s="149">
        <v>0</v>
      </c>
      <c r="R588" s="87">
        <v>2</v>
      </c>
      <c r="S588" s="147" t="s">
        <v>283</v>
      </c>
      <c r="T588" s="148"/>
      <c r="U588" s="147">
        <v>1</v>
      </c>
      <c r="V588" s="148">
        <v>3</v>
      </c>
      <c r="W588" s="148">
        <v>1</v>
      </c>
      <c r="X588" s="149">
        <v>2</v>
      </c>
      <c r="Y588" s="147">
        <v>2</v>
      </c>
      <c r="Z588" s="148"/>
      <c r="AA588" s="148"/>
      <c r="AB588" s="148"/>
      <c r="AC588" s="148"/>
      <c r="AD588" s="148">
        <v>8</v>
      </c>
      <c r="AE588" s="148">
        <v>187</v>
      </c>
      <c r="AF588" s="148"/>
      <c r="AG588" s="148"/>
      <c r="AH588" s="148">
        <v>14</v>
      </c>
      <c r="AI588" s="148">
        <v>134</v>
      </c>
      <c r="AJ588" s="148">
        <v>0</v>
      </c>
      <c r="AK588" s="147">
        <v>0</v>
      </c>
      <c r="AL588" s="148">
        <v>0</v>
      </c>
      <c r="AM588" s="148">
        <v>0</v>
      </c>
      <c r="AN588" s="148">
        <v>0</v>
      </c>
      <c r="AO588" s="149">
        <v>0</v>
      </c>
      <c r="AP588" s="169" t="s">
        <v>284</v>
      </c>
      <c r="AQ588" s="170" t="s">
        <v>284</v>
      </c>
      <c r="AR588" s="170" t="s">
        <v>284</v>
      </c>
      <c r="AS588" s="170" t="s">
        <v>284</v>
      </c>
      <c r="AT588" s="170" t="s">
        <v>284</v>
      </c>
      <c r="AU588" s="170" t="s">
        <v>284</v>
      </c>
      <c r="AV588" s="170" t="s">
        <v>284</v>
      </c>
      <c r="AW588" s="170" t="s">
        <v>284</v>
      </c>
      <c r="AX588" s="147">
        <v>0</v>
      </c>
      <c r="AY588" s="148">
        <v>0</v>
      </c>
      <c r="AZ588" s="148">
        <v>0</v>
      </c>
      <c r="BA588" s="148">
        <v>0</v>
      </c>
      <c r="BB588" s="149">
        <v>0</v>
      </c>
      <c r="BC588" s="87">
        <v>123</v>
      </c>
      <c r="BD588" s="148"/>
      <c r="BE588" s="148"/>
      <c r="BF588" s="148"/>
      <c r="BG588" s="148"/>
      <c r="BH588" s="148"/>
      <c r="BI588" s="148"/>
      <c r="BJ588" s="148"/>
      <c r="BK588" s="148"/>
      <c r="BL588" s="148"/>
      <c r="BM588" s="148"/>
      <c r="BN588" s="148"/>
      <c r="BO588" s="148"/>
      <c r="BP588" s="148"/>
      <c r="BQ588" s="148"/>
      <c r="BR588" s="148"/>
      <c r="BS588" s="149"/>
      <c r="BT588" s="147"/>
      <c r="BU588" s="148"/>
      <c r="BV588" s="148"/>
      <c r="BW588" s="148"/>
      <c r="BX588" s="148"/>
      <c r="BY588" s="148"/>
      <c r="BZ588" s="148"/>
      <c r="CA588" s="148"/>
      <c r="CB588" s="148"/>
      <c r="CC588" s="148"/>
      <c r="CD588" s="148"/>
      <c r="CE588" s="147"/>
      <c r="CF588" s="148"/>
      <c r="CG588" s="148"/>
      <c r="CH588" s="148"/>
      <c r="CI588" s="148"/>
      <c r="CJ588" s="148"/>
      <c r="CK588" s="149"/>
      <c r="CL588" s="147"/>
      <c r="CM588" s="148"/>
      <c r="CN588" s="148"/>
      <c r="CO588" s="149"/>
      <c r="CP588" s="147"/>
      <c r="CQ588" s="148"/>
      <c r="CR588" s="149"/>
      <c r="CS588" s="147"/>
      <c r="CT588" s="148"/>
      <c r="CU588" s="148"/>
      <c r="CV588" s="148"/>
      <c r="CW588" s="148"/>
      <c r="CX588" s="148"/>
      <c r="CY588" s="147"/>
      <c r="CZ588" s="148"/>
      <c r="DA588" s="148"/>
      <c r="DB588" s="148"/>
      <c r="DC588" s="148"/>
      <c r="DD588" s="148"/>
      <c r="DE588" s="148"/>
      <c r="DF588" s="148"/>
      <c r="DG588" s="149"/>
      <c r="DH588" s="147"/>
      <c r="DI588" s="148"/>
      <c r="DJ588" s="148"/>
      <c r="DK588" s="148"/>
      <c r="DL588" s="148"/>
      <c r="DM588" s="148"/>
      <c r="DN588" s="148"/>
      <c r="DO588" s="148"/>
      <c r="DP588" s="148"/>
      <c r="DQ588" s="147"/>
      <c r="DR588" s="148"/>
      <c r="DS588" s="148"/>
      <c r="DT588" s="148"/>
      <c r="DU588" s="148"/>
      <c r="DV588" s="148"/>
      <c r="DW588" s="148"/>
      <c r="DX588" s="148"/>
      <c r="DY588" s="148"/>
      <c r="DZ588" s="148"/>
      <c r="EA588" s="148"/>
      <c r="EB588" s="148"/>
      <c r="EC588" s="148"/>
      <c r="ED588" s="148"/>
      <c r="EE588" s="149"/>
      <c r="EF588" s="147"/>
      <c r="EG588" s="148"/>
      <c r="EH588" s="148"/>
      <c r="EI588" s="147"/>
      <c r="EJ588" s="148"/>
      <c r="EK588" s="149"/>
      <c r="EL588" s="147"/>
      <c r="EM588" s="148"/>
      <c r="EN588" s="148"/>
      <c r="EO588" s="149"/>
      <c r="EP588" s="147"/>
      <c r="EQ588" s="149"/>
      <c r="ER588" s="147"/>
      <c r="ES588" s="149"/>
      <c r="ET588" s="147"/>
      <c r="EU588" s="149"/>
    </row>
    <row r="589" spans="1:151">
      <c r="A589" s="42" t="s">
        <v>322</v>
      </c>
      <c r="B589" s="173" t="s">
        <v>193</v>
      </c>
      <c r="C589" s="173" t="s">
        <v>516</v>
      </c>
      <c r="D589" s="83" t="s">
        <v>66</v>
      </c>
      <c r="E589" s="49" t="s">
        <v>0</v>
      </c>
      <c r="F589" s="49" t="s">
        <v>287</v>
      </c>
      <c r="G589" s="70">
        <v>8.7550000000000008</v>
      </c>
      <c r="I589" s="49">
        <v>635</v>
      </c>
      <c r="J589" s="159">
        <v>1.7255434782608696</v>
      </c>
      <c r="K589" s="49">
        <v>1</v>
      </c>
      <c r="L589" s="49">
        <v>3</v>
      </c>
      <c r="M589" s="83">
        <v>1</v>
      </c>
      <c r="N589" s="49">
        <v>1</v>
      </c>
      <c r="O589" s="49">
        <v>0</v>
      </c>
      <c r="P589" s="49">
        <v>0</v>
      </c>
      <c r="Q589" s="58">
        <v>0</v>
      </c>
      <c r="R589" s="42">
        <v>2</v>
      </c>
      <c r="S589" s="83">
        <v>1</v>
      </c>
      <c r="U589" s="83">
        <v>1</v>
      </c>
      <c r="V589" s="49">
        <v>2</v>
      </c>
      <c r="W589" s="49">
        <v>1</v>
      </c>
      <c r="X589" s="58">
        <v>2</v>
      </c>
      <c r="Y589" s="83">
        <v>3</v>
      </c>
      <c r="AD589" s="49">
        <v>2</v>
      </c>
      <c r="AE589" s="49">
        <v>105</v>
      </c>
      <c r="AH589" s="49">
        <v>7</v>
      </c>
      <c r="AI589" s="49">
        <v>13</v>
      </c>
      <c r="AJ589" s="49">
        <v>0</v>
      </c>
      <c r="AK589" s="83">
        <v>0</v>
      </c>
      <c r="AL589" s="49">
        <v>0</v>
      </c>
      <c r="AM589" s="49">
        <v>0</v>
      </c>
      <c r="AN589" s="49">
        <v>0</v>
      </c>
      <c r="AO589" s="58">
        <v>0</v>
      </c>
      <c r="AP589" s="174" t="s">
        <v>284</v>
      </c>
      <c r="AQ589" s="175" t="s">
        <v>284</v>
      </c>
      <c r="AR589" s="175" t="s">
        <v>284</v>
      </c>
      <c r="AS589" s="175" t="s">
        <v>284</v>
      </c>
      <c r="AT589" s="175" t="s">
        <v>284</v>
      </c>
      <c r="AU589" s="175" t="s">
        <v>284</v>
      </c>
      <c r="AV589" s="175" t="s">
        <v>284</v>
      </c>
      <c r="AW589" s="175" t="s">
        <v>284</v>
      </c>
      <c r="AX589" s="83">
        <v>0</v>
      </c>
      <c r="AY589" s="49">
        <v>0</v>
      </c>
      <c r="AZ589" s="49">
        <v>0</v>
      </c>
      <c r="BA589" s="49">
        <v>0</v>
      </c>
      <c r="BB589" s="58">
        <v>0</v>
      </c>
      <c r="BC589" s="42">
        <v>146</v>
      </c>
      <c r="BE589" s="49"/>
      <c r="BS589" s="58"/>
      <c r="BT589" s="83"/>
      <c r="CE589" s="83"/>
      <c r="CK589" s="58"/>
      <c r="CL589" s="83"/>
      <c r="CO589" s="58"/>
      <c r="CP589" s="83"/>
      <c r="CR589" s="58"/>
      <c r="CS589" s="83"/>
      <c r="CY589" s="83"/>
      <c r="DG589" s="58"/>
      <c r="DH589" s="83"/>
      <c r="DQ589" s="83"/>
      <c r="EE589" s="58"/>
      <c r="EF589" s="83"/>
      <c r="EI589" s="83"/>
      <c r="EK589" s="58"/>
      <c r="EL589" s="83"/>
      <c r="EO589" s="58"/>
      <c r="EP589" s="83"/>
      <c r="EQ589" s="58"/>
      <c r="ER589" s="83"/>
      <c r="ES589" s="58"/>
      <c r="ET589" s="83"/>
      <c r="EU589" s="58"/>
    </row>
    <row r="590" spans="1:151">
      <c r="A590" s="42" t="s">
        <v>322</v>
      </c>
      <c r="B590" s="173" t="s">
        <v>193</v>
      </c>
      <c r="C590" s="173" t="s">
        <v>516</v>
      </c>
      <c r="D590" s="83" t="s">
        <v>66</v>
      </c>
      <c r="E590" s="49" t="s">
        <v>1</v>
      </c>
      <c r="F590" s="49" t="s">
        <v>286</v>
      </c>
      <c r="G590" s="70">
        <v>8.7550000000000008</v>
      </c>
      <c r="I590" s="49">
        <v>1381</v>
      </c>
      <c r="J590" s="159">
        <v>3.6342105263157896</v>
      </c>
      <c r="K590" s="49">
        <v>2</v>
      </c>
      <c r="L590" s="49">
        <v>3</v>
      </c>
      <c r="M590" s="83">
        <v>1</v>
      </c>
      <c r="N590" s="49">
        <v>0</v>
      </c>
      <c r="O590" s="49">
        <v>1</v>
      </c>
      <c r="P590" s="49">
        <v>1</v>
      </c>
      <c r="Q590" s="58">
        <v>0</v>
      </c>
      <c r="R590" s="42">
        <v>3</v>
      </c>
      <c r="S590" s="83">
        <v>1</v>
      </c>
      <c r="U590" s="83">
        <v>1</v>
      </c>
      <c r="V590" s="49">
        <v>2</v>
      </c>
      <c r="W590" s="49">
        <v>1</v>
      </c>
      <c r="X590" s="58">
        <v>2</v>
      </c>
      <c r="Y590" s="83">
        <v>2</v>
      </c>
      <c r="AA590" s="49">
        <v>19</v>
      </c>
      <c r="AD590" s="49">
        <v>7</v>
      </c>
      <c r="AE590" s="49">
        <v>26</v>
      </c>
      <c r="AG590" s="49">
        <v>45</v>
      </c>
      <c r="AH590" s="49">
        <v>15</v>
      </c>
      <c r="AI590" s="49">
        <v>101</v>
      </c>
      <c r="AJ590" s="49">
        <v>0</v>
      </c>
      <c r="AK590" s="83">
        <v>0</v>
      </c>
      <c r="AL590" s="49">
        <v>1</v>
      </c>
      <c r="AM590" s="49">
        <v>0</v>
      </c>
      <c r="AN590" s="49">
        <v>0</v>
      </c>
      <c r="AO590" s="58">
        <v>0</v>
      </c>
      <c r="AP590" s="174">
        <v>0</v>
      </c>
      <c r="AQ590" s="175">
        <v>161</v>
      </c>
      <c r="AR590" s="175" t="s">
        <v>284</v>
      </c>
      <c r="AS590" s="175" t="s">
        <v>284</v>
      </c>
      <c r="AT590" s="175" t="s">
        <v>284</v>
      </c>
      <c r="AU590" s="175" t="s">
        <v>284</v>
      </c>
      <c r="AV590" s="175" t="s">
        <v>284</v>
      </c>
      <c r="AW590" s="175" t="s">
        <v>284</v>
      </c>
      <c r="AX590" s="83">
        <v>0</v>
      </c>
      <c r="AY590" s="49">
        <v>0</v>
      </c>
      <c r="AZ590" s="49">
        <v>0</v>
      </c>
      <c r="BA590" s="49">
        <v>0</v>
      </c>
      <c r="BB590" s="58">
        <v>0</v>
      </c>
      <c r="BC590" s="42">
        <v>146</v>
      </c>
      <c r="BE590" s="49"/>
      <c r="BS590" s="58"/>
      <c r="BT590" s="83"/>
      <c r="CE590" s="83"/>
      <c r="CK590" s="58"/>
      <c r="CL590" s="83"/>
      <c r="CO590" s="58"/>
      <c r="CP590" s="83"/>
      <c r="CR590" s="58"/>
      <c r="CS590" s="83"/>
      <c r="CY590" s="83"/>
      <c r="DG590" s="58"/>
      <c r="DH590" s="83"/>
      <c r="DQ590" s="83"/>
      <c r="EE590" s="58"/>
      <c r="EF590" s="83"/>
      <c r="EI590" s="83"/>
      <c r="EK590" s="58"/>
      <c r="EL590" s="83"/>
      <c r="EO590" s="58"/>
      <c r="EP590" s="83"/>
      <c r="EQ590" s="58"/>
      <c r="ER590" s="83"/>
      <c r="ES590" s="58"/>
      <c r="ET590" s="83"/>
      <c r="EU590" s="58"/>
    </row>
    <row r="591" spans="1:151">
      <c r="A591" s="42" t="s">
        <v>322</v>
      </c>
      <c r="B591" s="173" t="s">
        <v>193</v>
      </c>
      <c r="C591" s="173" t="s">
        <v>516</v>
      </c>
      <c r="D591" s="83" t="s">
        <v>67</v>
      </c>
      <c r="F591" s="49" t="s">
        <v>286</v>
      </c>
      <c r="G591" s="70">
        <v>8.7550000000000008</v>
      </c>
      <c r="I591" s="49">
        <v>1777</v>
      </c>
      <c r="J591" s="159">
        <v>3.6339468302658489</v>
      </c>
      <c r="K591" s="49">
        <v>1</v>
      </c>
      <c r="L591" s="49">
        <v>2</v>
      </c>
      <c r="M591" s="83">
        <v>1</v>
      </c>
      <c r="N591" s="49">
        <v>0</v>
      </c>
      <c r="O591" s="49">
        <v>1</v>
      </c>
      <c r="P591" s="49">
        <v>1</v>
      </c>
      <c r="Q591" s="58">
        <v>0</v>
      </c>
      <c r="R591" s="42">
        <v>3</v>
      </c>
      <c r="S591" s="83" t="s">
        <v>284</v>
      </c>
      <c r="U591" s="83">
        <v>1</v>
      </c>
      <c r="V591" s="49">
        <v>2</v>
      </c>
      <c r="W591" s="49">
        <v>1</v>
      </c>
      <c r="X591" s="58">
        <v>2</v>
      </c>
      <c r="Y591" s="83">
        <v>2</v>
      </c>
      <c r="AD591" s="49">
        <v>7</v>
      </c>
      <c r="AE591" s="49">
        <v>41</v>
      </c>
      <c r="AH591" s="49">
        <v>15</v>
      </c>
      <c r="AI591" s="49">
        <v>113</v>
      </c>
      <c r="AJ591" s="49">
        <v>0</v>
      </c>
      <c r="AK591" s="83">
        <v>0</v>
      </c>
      <c r="AL591" s="49">
        <v>0</v>
      </c>
      <c r="AM591" s="49">
        <v>1</v>
      </c>
      <c r="AN591" s="49">
        <v>0</v>
      </c>
      <c r="AO591" s="58">
        <v>0</v>
      </c>
      <c r="AP591" s="174" t="s">
        <v>284</v>
      </c>
      <c r="AQ591" s="175" t="s">
        <v>284</v>
      </c>
      <c r="AR591" s="175" t="s">
        <v>501</v>
      </c>
      <c r="AS591" s="175" t="s">
        <v>501</v>
      </c>
      <c r="AT591" s="175" t="s">
        <v>284</v>
      </c>
      <c r="AU591" s="175" t="s">
        <v>284</v>
      </c>
      <c r="AV591" s="175" t="s">
        <v>284</v>
      </c>
      <c r="AW591" s="175" t="s">
        <v>284</v>
      </c>
      <c r="AX591" s="83">
        <v>0</v>
      </c>
      <c r="AY591" s="49">
        <v>0</v>
      </c>
      <c r="AZ591" s="49">
        <v>0</v>
      </c>
      <c r="BA591" s="49">
        <v>0</v>
      </c>
      <c r="BB591" s="58">
        <v>0</v>
      </c>
      <c r="BC591" s="42">
        <v>130</v>
      </c>
      <c r="BE591" s="49"/>
      <c r="BS591" s="58"/>
      <c r="BT591" s="83"/>
      <c r="CE591" s="83"/>
      <c r="CK591" s="58"/>
      <c r="CL591" s="83"/>
      <c r="CO591" s="58"/>
      <c r="CP591" s="83"/>
      <c r="CR591" s="58"/>
      <c r="CS591" s="83"/>
      <c r="CY591" s="83"/>
      <c r="DG591" s="58"/>
      <c r="DH591" s="83"/>
      <c r="DQ591" s="83"/>
      <c r="EE591" s="58"/>
      <c r="EF591" s="83"/>
      <c r="EI591" s="83"/>
      <c r="EK591" s="58"/>
      <c r="EL591" s="83"/>
      <c r="EO591" s="58"/>
      <c r="EP591" s="83"/>
      <c r="EQ591" s="58"/>
      <c r="ER591" s="83"/>
      <c r="ES591" s="58"/>
      <c r="ET591" s="83"/>
      <c r="EU591" s="58"/>
    </row>
    <row r="592" spans="1:151">
      <c r="A592" s="42" t="s">
        <v>322</v>
      </c>
      <c r="B592" s="173" t="s">
        <v>193</v>
      </c>
      <c r="C592" s="173" t="s">
        <v>516</v>
      </c>
      <c r="D592" s="83" t="s">
        <v>68</v>
      </c>
      <c r="F592" s="49" t="s">
        <v>286</v>
      </c>
      <c r="G592" s="70">
        <v>8.7550000000000008</v>
      </c>
      <c r="I592" s="49">
        <v>2088</v>
      </c>
      <c r="J592" s="159">
        <v>1.9405204460966543</v>
      </c>
      <c r="K592" s="49">
        <v>1</v>
      </c>
      <c r="L592" s="49">
        <v>3</v>
      </c>
      <c r="M592" s="83">
        <v>0</v>
      </c>
      <c r="N592" s="49">
        <v>2</v>
      </c>
      <c r="O592" s="49">
        <v>1</v>
      </c>
      <c r="P592" s="49">
        <v>1</v>
      </c>
      <c r="Q592" s="58">
        <v>0</v>
      </c>
      <c r="R592" s="42">
        <v>4</v>
      </c>
      <c r="S592" s="83">
        <v>1</v>
      </c>
      <c r="U592" s="83">
        <v>2</v>
      </c>
      <c r="V592" s="49">
        <v>3</v>
      </c>
      <c r="W592" s="49">
        <v>1</v>
      </c>
      <c r="X592" s="58">
        <v>2</v>
      </c>
      <c r="Y592" s="83">
        <v>3</v>
      </c>
      <c r="AD592" s="49">
        <v>5</v>
      </c>
      <c r="AE592" s="49">
        <v>66</v>
      </c>
      <c r="AF592" s="49">
        <v>4</v>
      </c>
      <c r="AG592" s="49">
        <v>115</v>
      </c>
      <c r="AH592" s="49">
        <v>25</v>
      </c>
      <c r="AI592" s="49">
        <v>828</v>
      </c>
      <c r="AJ592" s="49">
        <v>0</v>
      </c>
      <c r="AK592" s="83">
        <v>0</v>
      </c>
      <c r="AL592" s="49">
        <v>0</v>
      </c>
      <c r="AM592" s="49">
        <v>1</v>
      </c>
      <c r="AN592" s="49">
        <v>0</v>
      </c>
      <c r="AO592" s="58">
        <v>0</v>
      </c>
      <c r="AP592" s="174" t="s">
        <v>284</v>
      </c>
      <c r="AQ592" s="175" t="s">
        <v>284</v>
      </c>
      <c r="AR592" s="175">
        <v>0</v>
      </c>
      <c r="AS592" s="175">
        <v>293</v>
      </c>
      <c r="AT592" s="175" t="s">
        <v>284</v>
      </c>
      <c r="AU592" s="175" t="s">
        <v>284</v>
      </c>
      <c r="AV592" s="175" t="s">
        <v>284</v>
      </c>
      <c r="AW592" s="175" t="s">
        <v>284</v>
      </c>
      <c r="AX592" s="83">
        <v>0</v>
      </c>
      <c r="AY592" s="49">
        <v>0</v>
      </c>
      <c r="AZ592" s="49">
        <v>0</v>
      </c>
      <c r="BA592" s="49">
        <v>0</v>
      </c>
      <c r="BB592" s="58">
        <v>0</v>
      </c>
      <c r="BC592" s="42">
        <v>170</v>
      </c>
      <c r="BD592" s="49">
        <v>58.1</v>
      </c>
      <c r="BE592" s="49">
        <v>58.28</v>
      </c>
      <c r="BS592" s="58"/>
      <c r="BT592" s="83">
        <v>61.43</v>
      </c>
      <c r="BU592" s="49">
        <v>58.91</v>
      </c>
      <c r="CE592" s="83"/>
      <c r="CK592" s="58"/>
      <c r="CL592" s="83">
        <v>44.54</v>
      </c>
      <c r="CO592" s="58"/>
      <c r="CP592" s="83"/>
      <c r="CR592" s="58"/>
      <c r="CS592" s="83"/>
      <c r="CY592" s="83"/>
      <c r="DG592" s="58"/>
      <c r="DH592" s="83"/>
      <c r="DQ592" s="83"/>
      <c r="EE592" s="58"/>
      <c r="EF592" s="83"/>
      <c r="EI592" s="83"/>
      <c r="EK592" s="58"/>
      <c r="EL592" s="83"/>
      <c r="EO592" s="58"/>
      <c r="EP592" s="83"/>
      <c r="EQ592" s="58"/>
      <c r="ER592" s="83"/>
      <c r="ES592" s="58"/>
      <c r="ET592" s="83"/>
      <c r="EU592" s="58"/>
    </row>
    <row r="593" spans="1:151">
      <c r="A593" s="42" t="s">
        <v>322</v>
      </c>
      <c r="B593" s="173" t="s">
        <v>193</v>
      </c>
      <c r="C593" s="173" t="s">
        <v>516</v>
      </c>
      <c r="D593" s="83" t="s">
        <v>69</v>
      </c>
      <c r="F593" s="49" t="s">
        <v>286</v>
      </c>
      <c r="G593" s="70">
        <v>8.7550000000000008</v>
      </c>
      <c r="I593" s="49">
        <v>1129</v>
      </c>
      <c r="J593" s="159">
        <v>2.0452898550724639</v>
      </c>
      <c r="K593" s="49">
        <v>1</v>
      </c>
      <c r="L593" s="49">
        <v>1</v>
      </c>
      <c r="M593" s="83">
        <v>1</v>
      </c>
      <c r="N593" s="49">
        <v>0</v>
      </c>
      <c r="O593" s="49">
        <v>0</v>
      </c>
      <c r="P593" s="49">
        <v>0</v>
      </c>
      <c r="Q593" s="58">
        <v>0</v>
      </c>
      <c r="R593" s="42">
        <v>1</v>
      </c>
      <c r="S593" s="83">
        <v>1</v>
      </c>
      <c r="U593" s="83">
        <v>4</v>
      </c>
      <c r="V593" s="49">
        <v>2</v>
      </c>
      <c r="W593" s="49">
        <v>2</v>
      </c>
      <c r="X593" s="58"/>
      <c r="Y593" s="83">
        <v>5</v>
      </c>
      <c r="Z593" s="49">
        <v>2</v>
      </c>
      <c r="AA593" s="49">
        <v>6</v>
      </c>
      <c r="AD593" s="49">
        <v>7</v>
      </c>
      <c r="AE593" s="49">
        <v>42</v>
      </c>
      <c r="AG593" s="49">
        <v>7</v>
      </c>
      <c r="AH593" s="49">
        <v>12</v>
      </c>
      <c r="AI593" s="49">
        <v>147</v>
      </c>
      <c r="AJ593" s="49">
        <v>0</v>
      </c>
      <c r="AK593" s="83">
        <v>0</v>
      </c>
      <c r="AL593" s="49">
        <v>1</v>
      </c>
      <c r="AM593" s="49">
        <v>0</v>
      </c>
      <c r="AN593" s="49">
        <v>0</v>
      </c>
      <c r="AO593" s="58">
        <v>0</v>
      </c>
      <c r="AP593" s="174">
        <v>0</v>
      </c>
      <c r="AQ593" s="175">
        <v>282</v>
      </c>
      <c r="AR593" s="175">
        <v>0</v>
      </c>
      <c r="AS593" s="175">
        <v>0</v>
      </c>
      <c r="AT593" s="175" t="s">
        <v>284</v>
      </c>
      <c r="AU593" s="175" t="s">
        <v>284</v>
      </c>
      <c r="AV593" s="175" t="s">
        <v>284</v>
      </c>
      <c r="AW593" s="175" t="s">
        <v>284</v>
      </c>
      <c r="AX593" s="83">
        <v>0</v>
      </c>
      <c r="AY593" s="49">
        <v>0</v>
      </c>
      <c r="AZ593" s="49">
        <v>0</v>
      </c>
      <c r="BA593" s="49">
        <v>0</v>
      </c>
      <c r="BB593" s="58">
        <v>0</v>
      </c>
      <c r="BC593" s="42">
        <v>118</v>
      </c>
      <c r="BD593" s="49">
        <v>57.21</v>
      </c>
      <c r="BE593" s="49">
        <v>60.5</v>
      </c>
      <c r="BF593" s="49">
        <v>58.14</v>
      </c>
      <c r="BS593" s="58"/>
      <c r="BT593" s="83">
        <v>61.26</v>
      </c>
      <c r="BU593" s="49">
        <v>58.11</v>
      </c>
      <c r="CE593" s="83"/>
      <c r="CK593" s="58"/>
      <c r="CL593" s="83">
        <v>48.44</v>
      </c>
      <c r="CO593" s="58"/>
      <c r="CP593" s="83"/>
      <c r="CR593" s="58"/>
      <c r="CS593" s="83"/>
      <c r="CY593" s="83"/>
      <c r="DG593" s="58"/>
      <c r="DH593" s="83"/>
      <c r="DQ593" s="83"/>
      <c r="EE593" s="58"/>
      <c r="EF593" s="83"/>
      <c r="EI593" s="83"/>
      <c r="EK593" s="58"/>
      <c r="EL593" s="83"/>
      <c r="EO593" s="58"/>
      <c r="EP593" s="83"/>
      <c r="EQ593" s="58"/>
      <c r="ER593" s="83"/>
      <c r="ES593" s="58"/>
      <c r="ET593" s="83"/>
      <c r="EU593" s="58"/>
    </row>
    <row r="594" spans="1:151">
      <c r="A594" s="42" t="s">
        <v>322</v>
      </c>
      <c r="B594" s="173" t="s">
        <v>193</v>
      </c>
      <c r="C594" s="173" t="s">
        <v>516</v>
      </c>
      <c r="D594" s="83" t="s">
        <v>74</v>
      </c>
      <c r="F594" s="49" t="s">
        <v>286</v>
      </c>
      <c r="G594" s="70">
        <v>8.7550000000000008</v>
      </c>
      <c r="I594" s="49">
        <v>1742</v>
      </c>
      <c r="J594" s="159">
        <v>3.262172284644195</v>
      </c>
      <c r="K594" s="49">
        <v>1</v>
      </c>
      <c r="L594" s="49">
        <v>3</v>
      </c>
      <c r="M594" s="83">
        <v>1</v>
      </c>
      <c r="N594" s="49">
        <v>0</v>
      </c>
      <c r="O594" s="49">
        <v>1</v>
      </c>
      <c r="P594" s="49">
        <v>1</v>
      </c>
      <c r="Q594" s="58">
        <v>0</v>
      </c>
      <c r="R594" s="42">
        <v>3</v>
      </c>
      <c r="S594" s="83" t="s">
        <v>283</v>
      </c>
      <c r="U594" s="83">
        <v>1</v>
      </c>
      <c r="V594" s="49">
        <v>3</v>
      </c>
      <c r="W594" s="49">
        <v>1</v>
      </c>
      <c r="X594" s="58">
        <v>2</v>
      </c>
      <c r="Y594" s="83">
        <v>3</v>
      </c>
      <c r="AA594" s="49">
        <v>9</v>
      </c>
      <c r="AD594" s="49">
        <v>6</v>
      </c>
      <c r="AE594" s="49">
        <v>99</v>
      </c>
      <c r="AF594" s="49">
        <v>7</v>
      </c>
      <c r="AG594" s="49">
        <v>15</v>
      </c>
      <c r="AH594" s="49">
        <v>38</v>
      </c>
      <c r="AI594" s="49">
        <v>121</v>
      </c>
      <c r="AJ594" s="49">
        <v>0</v>
      </c>
      <c r="AK594" s="83">
        <v>0</v>
      </c>
      <c r="AL594" s="49">
        <v>0</v>
      </c>
      <c r="AM594" s="49">
        <v>0</v>
      </c>
      <c r="AN594" s="49">
        <v>0</v>
      </c>
      <c r="AO594" s="58">
        <v>0</v>
      </c>
      <c r="AP594" s="174" t="s">
        <v>284</v>
      </c>
      <c r="AQ594" s="175" t="s">
        <v>284</v>
      </c>
      <c r="AR594" s="175" t="s">
        <v>284</v>
      </c>
      <c r="AS594" s="175" t="s">
        <v>284</v>
      </c>
      <c r="AT594" s="175" t="s">
        <v>284</v>
      </c>
      <c r="AU594" s="175" t="s">
        <v>284</v>
      </c>
      <c r="AV594" s="175" t="s">
        <v>284</v>
      </c>
      <c r="AW594" s="175" t="s">
        <v>284</v>
      </c>
      <c r="AX594" s="83">
        <v>0</v>
      </c>
      <c r="AY594" s="49">
        <v>0</v>
      </c>
      <c r="AZ594" s="49">
        <v>0</v>
      </c>
      <c r="BA594" s="49">
        <v>0</v>
      </c>
      <c r="BB594" s="58">
        <v>0</v>
      </c>
      <c r="BC594" s="42">
        <v>121</v>
      </c>
      <c r="BE594" s="49"/>
      <c r="BS594" s="58"/>
      <c r="BT594" s="83"/>
      <c r="CE594" s="83"/>
      <c r="CK594" s="58"/>
      <c r="CL594" s="83"/>
      <c r="CO594" s="58"/>
      <c r="CP594" s="83"/>
      <c r="CR594" s="58"/>
      <c r="CS594" s="83"/>
      <c r="CY594" s="83"/>
      <c r="DG594" s="58"/>
      <c r="DH594" s="83"/>
      <c r="DQ594" s="83"/>
      <c r="EE594" s="58"/>
      <c r="EF594" s="83"/>
      <c r="EI594" s="83"/>
      <c r="EK594" s="58"/>
      <c r="EL594" s="83"/>
      <c r="EO594" s="58"/>
      <c r="EP594" s="83"/>
      <c r="EQ594" s="58"/>
      <c r="ER594" s="83"/>
      <c r="ES594" s="58"/>
      <c r="ET594" s="83"/>
      <c r="EU594" s="58"/>
    </row>
    <row r="595" spans="1:151">
      <c r="A595" s="42" t="s">
        <v>322</v>
      </c>
      <c r="B595" s="173" t="s">
        <v>193</v>
      </c>
      <c r="C595" s="173" t="s">
        <v>516</v>
      </c>
      <c r="D595" s="83" t="s">
        <v>75</v>
      </c>
      <c r="F595" s="49" t="s">
        <v>286</v>
      </c>
      <c r="G595" s="70">
        <v>8.7550000000000008</v>
      </c>
      <c r="I595" s="49">
        <v>1246</v>
      </c>
      <c r="J595" s="159">
        <v>2.6342494714587739</v>
      </c>
      <c r="K595" s="49">
        <v>1</v>
      </c>
      <c r="L595" s="49">
        <v>2</v>
      </c>
      <c r="M595" s="83">
        <v>1</v>
      </c>
      <c r="N595" s="49">
        <v>0</v>
      </c>
      <c r="O595" s="49">
        <v>1</v>
      </c>
      <c r="P595" s="49">
        <v>1</v>
      </c>
      <c r="Q595" s="58">
        <v>0</v>
      </c>
      <c r="R595" s="42">
        <v>3</v>
      </c>
      <c r="S595" s="83" t="s">
        <v>284</v>
      </c>
      <c r="U595" s="83">
        <v>1</v>
      </c>
      <c r="V595" s="49">
        <v>2</v>
      </c>
      <c r="W595" s="49">
        <v>1</v>
      </c>
      <c r="X595" s="58">
        <v>2</v>
      </c>
      <c r="Y595" s="83">
        <v>1</v>
      </c>
      <c r="AD595" s="49">
        <v>6</v>
      </c>
      <c r="AE595" s="49">
        <v>38</v>
      </c>
      <c r="AH595" s="49">
        <v>11</v>
      </c>
      <c r="AI595" s="49">
        <v>92</v>
      </c>
      <c r="AJ595" s="49">
        <v>0</v>
      </c>
      <c r="AK595" s="83">
        <v>0</v>
      </c>
      <c r="AL595" s="49">
        <v>0</v>
      </c>
      <c r="AM595" s="49">
        <v>0</v>
      </c>
      <c r="AN595" s="49">
        <v>0</v>
      </c>
      <c r="AO595" s="58">
        <v>0</v>
      </c>
      <c r="AP595" s="174" t="s">
        <v>284</v>
      </c>
      <c r="AQ595" s="175" t="s">
        <v>284</v>
      </c>
      <c r="AR595" s="175" t="s">
        <v>284</v>
      </c>
      <c r="AS595" s="175" t="s">
        <v>284</v>
      </c>
      <c r="AT595" s="175" t="s">
        <v>284</v>
      </c>
      <c r="AU595" s="175" t="s">
        <v>284</v>
      </c>
      <c r="AV595" s="175" t="s">
        <v>284</v>
      </c>
      <c r="AW595" s="175" t="s">
        <v>284</v>
      </c>
      <c r="AX595" s="83">
        <v>0</v>
      </c>
      <c r="AY595" s="49">
        <v>0</v>
      </c>
      <c r="AZ595" s="49">
        <v>0</v>
      </c>
      <c r="BA595" s="49">
        <v>0</v>
      </c>
      <c r="BB595" s="58">
        <v>0</v>
      </c>
      <c r="BC595" s="42">
        <v>142</v>
      </c>
      <c r="BE595" s="49"/>
      <c r="BS595" s="58"/>
      <c r="BT595" s="83"/>
      <c r="CE595" s="83"/>
      <c r="CK595" s="58"/>
      <c r="CL595" s="83"/>
      <c r="CO595" s="58"/>
      <c r="CP595" s="83"/>
      <c r="CR595" s="58"/>
      <c r="CS595" s="83"/>
      <c r="CY595" s="83"/>
      <c r="DG595" s="58"/>
      <c r="DH595" s="83"/>
      <c r="DQ595" s="83"/>
      <c r="EE595" s="58"/>
      <c r="EF595" s="83"/>
      <c r="EI595" s="83"/>
      <c r="EK595" s="58"/>
      <c r="EL595" s="83"/>
      <c r="EO595" s="58"/>
      <c r="EP595" s="83"/>
      <c r="EQ595" s="58"/>
      <c r="ER595" s="83"/>
      <c r="ES595" s="58"/>
      <c r="ET595" s="83"/>
      <c r="EU595" s="58"/>
    </row>
    <row r="596" spans="1:151">
      <c r="A596" s="42" t="s">
        <v>322</v>
      </c>
      <c r="B596" s="173" t="s">
        <v>193</v>
      </c>
      <c r="C596" s="173" t="s">
        <v>516</v>
      </c>
      <c r="D596" s="83" t="s">
        <v>76</v>
      </c>
      <c r="F596" s="49" t="s">
        <v>286</v>
      </c>
      <c r="G596" s="70">
        <v>8.7550000000000008</v>
      </c>
      <c r="I596" s="49">
        <v>1945</v>
      </c>
      <c r="J596" s="159">
        <v>4.5127610208816709</v>
      </c>
      <c r="K596" s="49">
        <v>2</v>
      </c>
      <c r="L596" s="49">
        <v>3</v>
      </c>
      <c r="M596" s="83">
        <v>0</v>
      </c>
      <c r="N596" s="49">
        <v>0</v>
      </c>
      <c r="O596" s="49">
        <v>0</v>
      </c>
      <c r="P596" s="49">
        <v>1</v>
      </c>
      <c r="Q596" s="58">
        <v>0</v>
      </c>
      <c r="R596" s="42">
        <v>1</v>
      </c>
      <c r="S596" s="83">
        <v>1</v>
      </c>
      <c r="U596" s="83">
        <v>1</v>
      </c>
      <c r="V596" s="49">
        <v>3</v>
      </c>
      <c r="W596" s="49">
        <v>1</v>
      </c>
      <c r="X596" s="58">
        <v>2</v>
      </c>
      <c r="Y596" s="83">
        <v>2</v>
      </c>
      <c r="AH596" s="49">
        <v>7</v>
      </c>
      <c r="AI596" s="49">
        <v>285</v>
      </c>
      <c r="AJ596" s="49">
        <v>0</v>
      </c>
      <c r="AK596" s="83">
        <v>0</v>
      </c>
      <c r="AL596" s="49">
        <v>0</v>
      </c>
      <c r="AM596" s="49">
        <v>1</v>
      </c>
      <c r="AN596" s="49">
        <v>0</v>
      </c>
      <c r="AO596" s="58">
        <v>0</v>
      </c>
      <c r="AP596" s="174" t="s">
        <v>284</v>
      </c>
      <c r="AQ596" s="175" t="s">
        <v>284</v>
      </c>
      <c r="AR596" s="175">
        <v>159</v>
      </c>
      <c r="AS596" s="175">
        <v>467</v>
      </c>
      <c r="AT596" s="175" t="s">
        <v>284</v>
      </c>
      <c r="AU596" s="175" t="s">
        <v>284</v>
      </c>
      <c r="AV596" s="175" t="s">
        <v>284</v>
      </c>
      <c r="AW596" s="175" t="s">
        <v>284</v>
      </c>
      <c r="AX596" s="83">
        <v>0</v>
      </c>
      <c r="AY596" s="49">
        <v>0</v>
      </c>
      <c r="AZ596" s="49">
        <v>0</v>
      </c>
      <c r="BA596" s="49">
        <v>0</v>
      </c>
      <c r="BB596" s="58">
        <v>0</v>
      </c>
      <c r="BC596" s="42">
        <v>84</v>
      </c>
      <c r="BD596" s="49">
        <v>59.44</v>
      </c>
      <c r="BE596" s="49">
        <v>59.59</v>
      </c>
      <c r="BS596" s="58"/>
      <c r="BT596" s="83">
        <v>61.28</v>
      </c>
      <c r="CE596" s="83"/>
      <c r="CK596" s="58"/>
      <c r="CL596" s="83"/>
      <c r="CO596" s="58"/>
      <c r="CP596" s="83">
        <v>51.01</v>
      </c>
      <c r="CR596" s="58"/>
      <c r="CS596" s="83"/>
      <c r="CY596" s="83"/>
      <c r="DG596" s="58"/>
      <c r="DH596" s="83"/>
      <c r="DQ596" s="83"/>
      <c r="EE596" s="58"/>
      <c r="EF596" s="83"/>
      <c r="EI596" s="83"/>
      <c r="EK596" s="58"/>
      <c r="EL596" s="83"/>
      <c r="EO596" s="58"/>
      <c r="EP596" s="83"/>
      <c r="EQ596" s="58"/>
      <c r="ER596" s="83"/>
      <c r="ES596" s="58"/>
      <c r="ET596" s="83"/>
      <c r="EU596" s="58"/>
    </row>
    <row r="597" spans="1:151">
      <c r="A597" s="42" t="s">
        <v>322</v>
      </c>
      <c r="B597" s="173" t="s">
        <v>193</v>
      </c>
      <c r="C597" s="173" t="s">
        <v>516</v>
      </c>
      <c r="D597" s="83" t="s">
        <v>73</v>
      </c>
      <c r="F597" s="49" t="s">
        <v>286</v>
      </c>
      <c r="G597" s="70">
        <v>8.7550000000000008</v>
      </c>
      <c r="I597" s="49">
        <v>1765</v>
      </c>
      <c r="J597" s="159">
        <v>7.9864253393665159</v>
      </c>
      <c r="K597" s="49">
        <v>1</v>
      </c>
      <c r="L597" s="49">
        <v>2</v>
      </c>
      <c r="M597" s="83">
        <v>1</v>
      </c>
      <c r="N597" s="49">
        <v>0</v>
      </c>
      <c r="O597" s="49">
        <v>0</v>
      </c>
      <c r="P597" s="49">
        <v>1</v>
      </c>
      <c r="Q597" s="58">
        <v>0</v>
      </c>
      <c r="R597" s="42">
        <v>2</v>
      </c>
      <c r="S597" s="83" t="s">
        <v>284</v>
      </c>
      <c r="U597" s="83">
        <v>1</v>
      </c>
      <c r="V597" s="49">
        <v>2</v>
      </c>
      <c r="W597" s="49">
        <v>1</v>
      </c>
      <c r="X597" s="58">
        <v>2</v>
      </c>
      <c r="Y597" s="83">
        <v>1</v>
      </c>
      <c r="Z597" s="49">
        <v>5</v>
      </c>
      <c r="AA597" s="49">
        <v>8</v>
      </c>
      <c r="AD597" s="49">
        <v>7</v>
      </c>
      <c r="AE597" s="49">
        <v>69</v>
      </c>
      <c r="AH597" s="49">
        <v>1</v>
      </c>
      <c r="AI597" s="49">
        <v>39</v>
      </c>
      <c r="AJ597" s="49">
        <v>0</v>
      </c>
      <c r="AK597" s="83">
        <v>0</v>
      </c>
      <c r="AL597" s="49">
        <v>0</v>
      </c>
      <c r="AM597" s="49">
        <v>0</v>
      </c>
      <c r="AN597" s="49">
        <v>0</v>
      </c>
      <c r="AO597" s="58">
        <v>0</v>
      </c>
      <c r="AP597" s="174" t="s">
        <v>284</v>
      </c>
      <c r="AQ597" s="175" t="s">
        <v>284</v>
      </c>
      <c r="AR597" s="175" t="s">
        <v>284</v>
      </c>
      <c r="AS597" s="175" t="s">
        <v>284</v>
      </c>
      <c r="AT597" s="175" t="s">
        <v>284</v>
      </c>
      <c r="AU597" s="175" t="s">
        <v>284</v>
      </c>
      <c r="AV597" s="175" t="s">
        <v>284</v>
      </c>
      <c r="AW597" s="175" t="s">
        <v>284</v>
      </c>
      <c r="AX597" s="83">
        <v>0</v>
      </c>
      <c r="AY597" s="49">
        <v>0</v>
      </c>
      <c r="AZ597" s="49">
        <v>0</v>
      </c>
      <c r="BA597" s="49">
        <v>0</v>
      </c>
      <c r="BB597" s="58">
        <v>0</v>
      </c>
      <c r="BC597" s="42">
        <v>128</v>
      </c>
      <c r="BD597" s="49">
        <v>62.28</v>
      </c>
      <c r="BE597" s="49">
        <v>59.14</v>
      </c>
      <c r="BF597" s="49">
        <v>59.7</v>
      </c>
      <c r="BG597" s="49">
        <v>59.1</v>
      </c>
      <c r="BS597" s="58"/>
      <c r="BT597" s="83">
        <v>60.6</v>
      </c>
      <c r="CE597" s="83"/>
      <c r="CK597" s="58"/>
      <c r="CL597" s="83">
        <v>50.13</v>
      </c>
      <c r="CO597" s="58"/>
      <c r="CP597" s="83"/>
      <c r="CR597" s="58"/>
      <c r="CS597" s="83"/>
      <c r="CY597" s="83"/>
      <c r="DG597" s="58"/>
      <c r="DH597" s="83"/>
      <c r="DQ597" s="83"/>
      <c r="EE597" s="58"/>
      <c r="EF597" s="83"/>
      <c r="EI597" s="83"/>
      <c r="EK597" s="58"/>
      <c r="EL597" s="83"/>
      <c r="EO597" s="58"/>
      <c r="EP597" s="83"/>
      <c r="EQ597" s="58"/>
      <c r="ER597" s="83"/>
      <c r="ES597" s="58"/>
      <c r="ET597" s="83"/>
      <c r="EU597" s="58"/>
    </row>
    <row r="598" spans="1:151">
      <c r="A598" s="42" t="s">
        <v>322</v>
      </c>
      <c r="B598" s="173" t="s">
        <v>193</v>
      </c>
      <c r="C598" s="173" t="s">
        <v>516</v>
      </c>
      <c r="D598" s="83" t="s">
        <v>194</v>
      </c>
      <c r="F598" s="49" t="s">
        <v>286</v>
      </c>
      <c r="G598" s="70">
        <v>8.7550000000000008</v>
      </c>
      <c r="I598" s="49">
        <v>1908</v>
      </c>
      <c r="J598" s="159">
        <v>5.8888888888888893</v>
      </c>
      <c r="K598" s="49">
        <v>1</v>
      </c>
      <c r="L598" s="49">
        <v>3</v>
      </c>
      <c r="M598" s="83">
        <v>0</v>
      </c>
      <c r="N598" s="49">
        <v>1</v>
      </c>
      <c r="O598" s="49">
        <v>0</v>
      </c>
      <c r="P598" s="49">
        <v>1</v>
      </c>
      <c r="Q598" s="58">
        <v>0</v>
      </c>
      <c r="R598" s="42">
        <v>2</v>
      </c>
      <c r="S598" s="83" t="s">
        <v>283</v>
      </c>
      <c r="T598" s="49">
        <v>13</v>
      </c>
      <c r="U598" s="83">
        <v>1</v>
      </c>
      <c r="V598" s="49">
        <v>3</v>
      </c>
      <c r="W598" s="49">
        <v>1</v>
      </c>
      <c r="X598" s="58">
        <v>2</v>
      </c>
      <c r="Y598" s="83">
        <v>2</v>
      </c>
      <c r="AD598" s="49">
        <v>10</v>
      </c>
      <c r="AE598" s="49">
        <v>103</v>
      </c>
      <c r="AG598" s="49">
        <v>448</v>
      </c>
      <c r="AH598" s="49">
        <v>12</v>
      </c>
      <c r="AI598" s="49">
        <v>166</v>
      </c>
      <c r="AJ598" s="49">
        <v>1</v>
      </c>
      <c r="AK598" s="83">
        <v>0</v>
      </c>
      <c r="AL598" s="49">
        <v>0</v>
      </c>
      <c r="AM598" s="49">
        <v>1</v>
      </c>
      <c r="AN598" s="49">
        <v>0</v>
      </c>
      <c r="AO598" s="58">
        <v>0</v>
      </c>
      <c r="AP598" s="174">
        <v>0</v>
      </c>
      <c r="AQ598" s="175">
        <v>0</v>
      </c>
      <c r="AR598" s="175">
        <v>0</v>
      </c>
      <c r="AS598" s="175">
        <v>907</v>
      </c>
      <c r="AT598" s="175">
        <v>0</v>
      </c>
      <c r="AU598" s="175">
        <v>0</v>
      </c>
      <c r="AV598" s="175">
        <v>0</v>
      </c>
      <c r="AW598" s="175">
        <v>0</v>
      </c>
      <c r="AX598" s="83">
        <v>0</v>
      </c>
      <c r="AY598" s="49">
        <v>0</v>
      </c>
      <c r="AZ598" s="49">
        <v>0</v>
      </c>
      <c r="BA598" s="49">
        <v>0</v>
      </c>
      <c r="BB598" s="58">
        <v>0</v>
      </c>
      <c r="BC598" s="42">
        <v>129</v>
      </c>
      <c r="BE598" s="49"/>
      <c r="BS598" s="58"/>
      <c r="BT598" s="83"/>
      <c r="CE598" s="83"/>
      <c r="CK598" s="58"/>
      <c r="CL598" s="83"/>
      <c r="CO598" s="58"/>
      <c r="CP598" s="83"/>
      <c r="CR598" s="58"/>
      <c r="CS598" s="83"/>
      <c r="CY598" s="83"/>
      <c r="DG598" s="58"/>
      <c r="DH598" s="83"/>
      <c r="DQ598" s="83"/>
      <c r="EE598" s="58"/>
      <c r="EF598" s="83"/>
      <c r="EI598" s="83"/>
      <c r="EK598" s="58"/>
      <c r="EL598" s="83"/>
      <c r="EO598" s="58"/>
      <c r="EP598" s="83"/>
      <c r="EQ598" s="58"/>
      <c r="ER598" s="83"/>
      <c r="ES598" s="58"/>
      <c r="ET598" s="83"/>
      <c r="EU598" s="58"/>
    </row>
    <row r="599" spans="1:151">
      <c r="A599" s="42" t="s">
        <v>322</v>
      </c>
      <c r="B599" s="173" t="s">
        <v>193</v>
      </c>
      <c r="C599" s="173" t="s">
        <v>516</v>
      </c>
      <c r="D599" s="83" t="s">
        <v>131</v>
      </c>
      <c r="F599" s="49" t="s">
        <v>286</v>
      </c>
      <c r="G599" s="70">
        <v>8.7550000000000008</v>
      </c>
      <c r="I599" s="49">
        <v>1768</v>
      </c>
      <c r="J599" s="159">
        <v>3.645360824742268</v>
      </c>
      <c r="K599" s="49">
        <v>1</v>
      </c>
      <c r="L599" s="49">
        <v>3</v>
      </c>
      <c r="M599" s="83">
        <v>1</v>
      </c>
      <c r="N599" s="49">
        <v>0</v>
      </c>
      <c r="O599" s="49">
        <v>0</v>
      </c>
      <c r="P599" s="49">
        <v>1</v>
      </c>
      <c r="Q599" s="58">
        <v>0</v>
      </c>
      <c r="R599" s="42">
        <v>2</v>
      </c>
      <c r="S599" s="83" t="s">
        <v>283</v>
      </c>
      <c r="T599" s="49">
        <v>7</v>
      </c>
      <c r="U599" s="83">
        <v>2</v>
      </c>
      <c r="V599" s="49">
        <v>2</v>
      </c>
      <c r="W599" s="49">
        <v>3</v>
      </c>
      <c r="X599" s="58">
        <v>2</v>
      </c>
      <c r="Y599" s="83">
        <v>5</v>
      </c>
      <c r="AD599" s="49">
        <v>9</v>
      </c>
      <c r="AE599" s="49">
        <v>21</v>
      </c>
      <c r="AG599" s="49">
        <v>12</v>
      </c>
      <c r="AH599" s="49">
        <v>72</v>
      </c>
      <c r="AI599" s="49">
        <v>496</v>
      </c>
      <c r="AJ599" s="49">
        <v>0</v>
      </c>
      <c r="AK599" s="83">
        <v>0</v>
      </c>
      <c r="AL599" s="49">
        <v>1</v>
      </c>
      <c r="AM599" s="49">
        <v>1</v>
      </c>
      <c r="AN599" s="49">
        <v>0</v>
      </c>
      <c r="AO599" s="58">
        <v>0</v>
      </c>
      <c r="AP599" s="174">
        <v>0</v>
      </c>
      <c r="AQ599" s="175">
        <v>208</v>
      </c>
      <c r="AR599" s="175">
        <v>165</v>
      </c>
      <c r="AS599" s="175">
        <v>675</v>
      </c>
      <c r="AT599" s="175">
        <v>0</v>
      </c>
      <c r="AU599" s="175">
        <v>0</v>
      </c>
      <c r="AV599" s="175">
        <v>0</v>
      </c>
      <c r="AW599" s="175">
        <v>0</v>
      </c>
      <c r="AX599" s="83">
        <v>0</v>
      </c>
      <c r="AY599" s="49">
        <v>0</v>
      </c>
      <c r="AZ599" s="49">
        <v>0</v>
      </c>
      <c r="BA599" s="49">
        <v>0</v>
      </c>
      <c r="BB599" s="58">
        <v>0</v>
      </c>
      <c r="BC599" s="42">
        <v>114</v>
      </c>
      <c r="BE599" s="49"/>
      <c r="BS599" s="58"/>
      <c r="BT599" s="83"/>
      <c r="CE599" s="83"/>
      <c r="CK599" s="58"/>
      <c r="CL599" s="83"/>
      <c r="CO599" s="58"/>
      <c r="CP599" s="83"/>
      <c r="CR599" s="58"/>
      <c r="CS599" s="83"/>
      <c r="CY599" s="83"/>
      <c r="DG599" s="58"/>
      <c r="DH599" s="83"/>
      <c r="DQ599" s="83"/>
      <c r="EE599" s="58"/>
      <c r="EF599" s="83"/>
      <c r="EI599" s="83"/>
      <c r="EK599" s="58"/>
      <c r="EL599" s="83"/>
      <c r="EO599" s="58"/>
      <c r="EP599" s="83"/>
      <c r="EQ599" s="58"/>
      <c r="ER599" s="83"/>
      <c r="ES599" s="58"/>
      <c r="ET599" s="83"/>
      <c r="EU599" s="58"/>
    </row>
    <row r="600" spans="1:151">
      <c r="A600" s="42" t="s">
        <v>322</v>
      </c>
      <c r="B600" s="173" t="s">
        <v>193</v>
      </c>
      <c r="C600" s="173" t="s">
        <v>516</v>
      </c>
      <c r="D600" s="83" t="s">
        <v>178</v>
      </c>
      <c r="F600" s="49" t="s">
        <v>286</v>
      </c>
      <c r="G600" s="70">
        <v>8.7550000000000008</v>
      </c>
      <c r="I600" s="49">
        <v>1602</v>
      </c>
      <c r="J600" s="159">
        <v>3.0867052023121389</v>
      </c>
      <c r="K600" s="49">
        <v>1</v>
      </c>
      <c r="L600" s="49">
        <v>2</v>
      </c>
      <c r="M600" s="83">
        <v>1</v>
      </c>
      <c r="N600" s="49">
        <v>0</v>
      </c>
      <c r="O600" s="49">
        <v>0</v>
      </c>
      <c r="P600" s="49">
        <v>1</v>
      </c>
      <c r="Q600" s="58">
        <v>0</v>
      </c>
      <c r="R600" s="42">
        <v>2</v>
      </c>
      <c r="S600" s="83" t="s">
        <v>283</v>
      </c>
      <c r="T600" s="49">
        <v>5</v>
      </c>
      <c r="U600" s="83">
        <v>3</v>
      </c>
      <c r="V600" s="49">
        <v>2</v>
      </c>
      <c r="W600" s="49">
        <v>1</v>
      </c>
      <c r="X600" s="58">
        <v>2</v>
      </c>
      <c r="Y600" s="83">
        <v>1</v>
      </c>
      <c r="AD600" s="49">
        <v>6</v>
      </c>
      <c r="AE600" s="49">
        <v>28</v>
      </c>
      <c r="AG600" s="49">
        <v>118</v>
      </c>
      <c r="AH600" s="49">
        <v>5</v>
      </c>
      <c r="AI600" s="49">
        <v>77</v>
      </c>
      <c r="AJ600" s="49">
        <v>0</v>
      </c>
      <c r="AK600" s="83">
        <v>0</v>
      </c>
      <c r="AL600" s="49">
        <v>1</v>
      </c>
      <c r="AM600" s="49">
        <v>1</v>
      </c>
      <c r="AN600" s="49">
        <v>0</v>
      </c>
      <c r="AO600" s="58">
        <v>0</v>
      </c>
      <c r="AP600" s="174">
        <v>0</v>
      </c>
      <c r="AQ600" s="175">
        <v>300</v>
      </c>
      <c r="AR600" s="175">
        <v>155</v>
      </c>
      <c r="AS600" s="175">
        <v>574</v>
      </c>
      <c r="AT600" s="175">
        <v>0</v>
      </c>
      <c r="AU600" s="175">
        <v>0</v>
      </c>
      <c r="AV600" s="175">
        <v>0</v>
      </c>
      <c r="AW600" s="175">
        <v>0</v>
      </c>
      <c r="AX600" s="83">
        <v>0</v>
      </c>
      <c r="AY600" s="49">
        <v>0</v>
      </c>
      <c r="AZ600" s="49">
        <v>0</v>
      </c>
      <c r="BA600" s="49">
        <v>0</v>
      </c>
      <c r="BB600" s="58">
        <v>0</v>
      </c>
      <c r="BC600" s="42">
        <v>111</v>
      </c>
      <c r="BE600" s="49"/>
      <c r="BS600" s="58"/>
      <c r="BT600" s="83"/>
      <c r="CE600" s="83"/>
      <c r="CK600" s="58"/>
      <c r="CL600" s="83"/>
      <c r="CO600" s="58"/>
      <c r="CP600" s="83"/>
      <c r="CR600" s="58"/>
      <c r="CS600" s="83"/>
      <c r="CY600" s="83"/>
      <c r="DG600" s="58"/>
      <c r="DH600" s="83"/>
      <c r="DQ600" s="83"/>
      <c r="EE600" s="58"/>
      <c r="EF600" s="83"/>
      <c r="EI600" s="83"/>
      <c r="EK600" s="58"/>
      <c r="EL600" s="83"/>
      <c r="EO600" s="58"/>
      <c r="EP600" s="83"/>
      <c r="EQ600" s="58"/>
      <c r="ER600" s="83"/>
      <c r="ES600" s="58"/>
      <c r="ET600" s="83"/>
      <c r="EU600" s="58"/>
    </row>
    <row r="601" spans="1:151">
      <c r="A601" s="42" t="s">
        <v>322</v>
      </c>
      <c r="B601" s="173" t="s">
        <v>193</v>
      </c>
      <c r="C601" s="173" t="s">
        <v>516</v>
      </c>
      <c r="D601" s="83" t="s">
        <v>195</v>
      </c>
      <c r="E601" s="49" t="s">
        <v>1</v>
      </c>
      <c r="F601" s="49" t="s">
        <v>287</v>
      </c>
      <c r="G601" s="70">
        <v>8.7550000000000008</v>
      </c>
      <c r="I601" s="49">
        <v>978</v>
      </c>
      <c r="J601" s="159">
        <v>1.6920415224913494</v>
      </c>
      <c r="K601" s="49">
        <v>1</v>
      </c>
      <c r="L601" s="49">
        <v>2</v>
      </c>
      <c r="M601" s="83">
        <v>1</v>
      </c>
      <c r="N601" s="49">
        <v>0</v>
      </c>
      <c r="O601" s="49">
        <v>0</v>
      </c>
      <c r="P601" s="49">
        <v>1</v>
      </c>
      <c r="Q601" s="58">
        <v>0</v>
      </c>
      <c r="R601" s="42">
        <v>2</v>
      </c>
      <c r="S601" s="83">
        <v>1</v>
      </c>
      <c r="U601" s="83">
        <v>2</v>
      </c>
      <c r="V601" s="49">
        <v>3</v>
      </c>
      <c r="W601" s="49">
        <v>1</v>
      </c>
      <c r="X601" s="58">
        <v>2</v>
      </c>
      <c r="Y601" s="83">
        <v>2</v>
      </c>
      <c r="AH601" s="49">
        <v>48</v>
      </c>
      <c r="AI601" s="49">
        <v>58</v>
      </c>
      <c r="AJ601" s="49">
        <v>0</v>
      </c>
      <c r="AK601" s="83">
        <v>0</v>
      </c>
      <c r="AL601" s="49">
        <v>0</v>
      </c>
      <c r="AM601" s="49">
        <v>0</v>
      </c>
      <c r="AN601" s="49">
        <v>0</v>
      </c>
      <c r="AO601" s="58">
        <v>0</v>
      </c>
      <c r="AP601" s="174">
        <v>0</v>
      </c>
      <c r="AQ601" s="175">
        <v>0</v>
      </c>
      <c r="AR601" s="175">
        <v>0</v>
      </c>
      <c r="AS601" s="175">
        <v>0</v>
      </c>
      <c r="AT601" s="175">
        <v>0</v>
      </c>
      <c r="AU601" s="175">
        <v>0</v>
      </c>
      <c r="AV601" s="175">
        <v>0</v>
      </c>
      <c r="AW601" s="175">
        <v>0</v>
      </c>
      <c r="AX601" s="83">
        <v>0</v>
      </c>
      <c r="AY601" s="49">
        <v>0</v>
      </c>
      <c r="AZ601" s="49">
        <v>0</v>
      </c>
      <c r="BA601" s="49">
        <v>0</v>
      </c>
      <c r="BB601" s="58">
        <v>0</v>
      </c>
      <c r="BC601" s="42">
        <v>126</v>
      </c>
      <c r="BD601" s="49">
        <v>60.64</v>
      </c>
      <c r="BE601" s="49">
        <v>62.01</v>
      </c>
      <c r="BS601" s="58"/>
      <c r="BT601" s="83">
        <v>60.88</v>
      </c>
      <c r="BU601" s="49">
        <v>60.41</v>
      </c>
      <c r="BV601" s="49">
        <v>58.26</v>
      </c>
      <c r="CE601" s="83"/>
      <c r="CK601" s="58"/>
      <c r="CL601" s="83">
        <v>49.45</v>
      </c>
      <c r="CO601" s="58"/>
      <c r="CP601" s="83"/>
      <c r="CR601" s="58"/>
      <c r="CS601" s="83"/>
      <c r="CY601" s="83"/>
      <c r="DG601" s="58"/>
      <c r="DH601" s="83"/>
      <c r="DQ601" s="83"/>
      <c r="EE601" s="58"/>
      <c r="EF601" s="83"/>
      <c r="EI601" s="83"/>
      <c r="EK601" s="58"/>
      <c r="EL601" s="83"/>
      <c r="EO601" s="58"/>
      <c r="EP601" s="83"/>
      <c r="EQ601" s="58"/>
      <c r="ER601" s="83"/>
      <c r="ES601" s="58"/>
      <c r="ET601" s="83"/>
      <c r="EU601" s="58"/>
    </row>
    <row r="602" spans="1:151">
      <c r="A602" s="42" t="s">
        <v>322</v>
      </c>
      <c r="B602" s="173" t="s">
        <v>193</v>
      </c>
      <c r="C602" s="173" t="s">
        <v>516</v>
      </c>
      <c r="D602" s="83" t="s">
        <v>81</v>
      </c>
      <c r="F602" s="49" t="s">
        <v>286</v>
      </c>
      <c r="G602" s="70">
        <v>8.7550000000000008</v>
      </c>
      <c r="I602" s="49">
        <v>2449</v>
      </c>
      <c r="J602" s="159">
        <v>6.2</v>
      </c>
      <c r="K602" s="49">
        <v>2</v>
      </c>
      <c r="L602" s="49">
        <v>3</v>
      </c>
      <c r="M602" s="83">
        <v>0</v>
      </c>
      <c r="N602" s="49">
        <v>0</v>
      </c>
      <c r="O602" s="49">
        <v>0</v>
      </c>
      <c r="P602" s="49">
        <v>1</v>
      </c>
      <c r="Q602" s="58">
        <v>0</v>
      </c>
      <c r="R602" s="42">
        <v>1</v>
      </c>
      <c r="S602" s="83">
        <v>1</v>
      </c>
      <c r="U602" s="83">
        <v>0</v>
      </c>
      <c r="V602" s="49">
        <v>0</v>
      </c>
      <c r="W602" s="49">
        <v>0</v>
      </c>
      <c r="X602" s="58"/>
      <c r="Y602" s="83">
        <v>1</v>
      </c>
      <c r="AA602" s="49">
        <v>13</v>
      </c>
      <c r="AD602" s="49">
        <v>11</v>
      </c>
      <c r="AE602" s="49">
        <v>78</v>
      </c>
      <c r="AF602" s="49">
        <v>13</v>
      </c>
      <c r="AG602" s="49">
        <v>159</v>
      </c>
      <c r="AI602" s="49">
        <v>50</v>
      </c>
      <c r="AJ602" s="49">
        <v>0</v>
      </c>
      <c r="AK602" s="83">
        <v>0</v>
      </c>
      <c r="AL602" s="49">
        <v>0</v>
      </c>
      <c r="AM602" s="49">
        <v>1</v>
      </c>
      <c r="AN602" s="49">
        <v>0</v>
      </c>
      <c r="AO602" s="58">
        <v>0</v>
      </c>
      <c r="AP602" s="174" t="s">
        <v>284</v>
      </c>
      <c r="AQ602" s="175" t="s">
        <v>284</v>
      </c>
      <c r="AR602" s="175">
        <v>0</v>
      </c>
      <c r="AS602" s="175">
        <v>463</v>
      </c>
      <c r="AT602" s="175" t="s">
        <v>284</v>
      </c>
      <c r="AU602" s="175" t="s">
        <v>284</v>
      </c>
      <c r="AV602" s="175" t="s">
        <v>284</v>
      </c>
      <c r="AW602" s="175" t="s">
        <v>284</v>
      </c>
      <c r="AX602" s="83">
        <v>0</v>
      </c>
      <c r="AY602" s="49">
        <v>0</v>
      </c>
      <c r="AZ602" s="49">
        <v>0</v>
      </c>
      <c r="BA602" s="49">
        <v>0</v>
      </c>
      <c r="BB602" s="58">
        <v>0</v>
      </c>
      <c r="BC602" s="42">
        <v>110</v>
      </c>
      <c r="BD602" s="49">
        <v>57.72</v>
      </c>
      <c r="BE602" s="49">
        <v>60.93</v>
      </c>
      <c r="BF602" s="49">
        <v>59.88</v>
      </c>
      <c r="BS602" s="58"/>
      <c r="BT602" s="83">
        <v>58.54</v>
      </c>
      <c r="CE602" s="83"/>
      <c r="CK602" s="58"/>
      <c r="CL602" s="83">
        <v>42.82</v>
      </c>
      <c r="CO602" s="58"/>
      <c r="CP602" s="83"/>
      <c r="CR602" s="58"/>
      <c r="CS602" s="83"/>
      <c r="CY602" s="83"/>
      <c r="DG602" s="58"/>
      <c r="DH602" s="83"/>
      <c r="DQ602" s="83"/>
      <c r="EE602" s="58"/>
      <c r="EF602" s="83"/>
      <c r="EI602" s="83"/>
      <c r="EK602" s="58"/>
      <c r="EL602" s="83"/>
      <c r="EO602" s="58"/>
      <c r="EP602" s="83"/>
      <c r="EQ602" s="58"/>
      <c r="ER602" s="83"/>
      <c r="ES602" s="58"/>
      <c r="ET602" s="83"/>
      <c r="EU602" s="58"/>
    </row>
    <row r="603" spans="1:151">
      <c r="A603" s="42" t="s">
        <v>322</v>
      </c>
      <c r="B603" s="173" t="s">
        <v>193</v>
      </c>
      <c r="C603" s="173" t="s">
        <v>516</v>
      </c>
      <c r="D603" s="83" t="s">
        <v>87</v>
      </c>
      <c r="F603" s="49" t="s">
        <v>286</v>
      </c>
      <c r="G603" s="70">
        <v>8.7550000000000008</v>
      </c>
      <c r="I603" s="49">
        <v>1385</v>
      </c>
      <c r="J603" s="159">
        <v>2.1674491392801252</v>
      </c>
      <c r="K603" s="49">
        <v>1</v>
      </c>
      <c r="L603" s="49">
        <v>1</v>
      </c>
      <c r="M603" s="83">
        <v>1</v>
      </c>
      <c r="N603" s="49">
        <v>0</v>
      </c>
      <c r="O603" s="49">
        <v>0</v>
      </c>
      <c r="P603" s="49">
        <v>1</v>
      </c>
      <c r="Q603" s="58">
        <v>0</v>
      </c>
      <c r="R603" s="42">
        <v>2</v>
      </c>
      <c r="S603" s="83">
        <v>1</v>
      </c>
      <c r="U603" s="83">
        <v>4</v>
      </c>
      <c r="V603" s="49">
        <v>3</v>
      </c>
      <c r="W603" s="49">
        <v>1</v>
      </c>
      <c r="X603" s="58">
        <v>2</v>
      </c>
      <c r="Y603" s="83">
        <v>1</v>
      </c>
      <c r="Z603" s="49">
        <v>5</v>
      </c>
      <c r="AA603" s="49">
        <v>9</v>
      </c>
      <c r="AF603" s="49">
        <v>11</v>
      </c>
      <c r="AG603" s="49">
        <v>49</v>
      </c>
      <c r="AH603" s="49">
        <v>4</v>
      </c>
      <c r="AI603" s="49">
        <v>24</v>
      </c>
      <c r="AJ603" s="49">
        <v>1</v>
      </c>
      <c r="AK603" s="83">
        <v>0</v>
      </c>
      <c r="AL603" s="49">
        <v>1</v>
      </c>
      <c r="AM603" s="49">
        <v>0</v>
      </c>
      <c r="AN603" s="49">
        <v>0</v>
      </c>
      <c r="AO603" s="58">
        <v>0</v>
      </c>
      <c r="AP603" s="174">
        <v>0</v>
      </c>
      <c r="AQ603" s="175">
        <v>440</v>
      </c>
      <c r="AR603" s="175">
        <v>0</v>
      </c>
      <c r="AS603" s="175">
        <v>0</v>
      </c>
      <c r="AT603" s="175">
        <v>0</v>
      </c>
      <c r="AU603" s="175">
        <v>0</v>
      </c>
      <c r="AV603" s="175">
        <v>0</v>
      </c>
      <c r="AW603" s="175">
        <v>0</v>
      </c>
      <c r="AX603" s="83">
        <v>0</v>
      </c>
      <c r="AY603" s="49">
        <v>0</v>
      </c>
      <c r="AZ603" s="49">
        <v>0</v>
      </c>
      <c r="BA603" s="49">
        <v>0</v>
      </c>
      <c r="BB603" s="58">
        <v>0</v>
      </c>
      <c r="BC603" s="42">
        <v>164</v>
      </c>
      <c r="BD603" s="49">
        <v>59.02</v>
      </c>
      <c r="BE603" s="49"/>
      <c r="BS603" s="58"/>
      <c r="BT603" s="83">
        <v>57.72</v>
      </c>
      <c r="BU603" s="49">
        <v>60.23</v>
      </c>
      <c r="CE603" s="83"/>
      <c r="CK603" s="58"/>
      <c r="CL603" s="83">
        <v>44.32</v>
      </c>
      <c r="CO603" s="58"/>
      <c r="CP603" s="83"/>
      <c r="CR603" s="58"/>
      <c r="CS603" s="83"/>
      <c r="CY603" s="83"/>
      <c r="DG603" s="58"/>
      <c r="DH603" s="83"/>
      <c r="DQ603" s="83"/>
      <c r="EE603" s="58"/>
      <c r="EF603" s="83"/>
      <c r="EI603" s="83"/>
      <c r="EK603" s="58"/>
      <c r="EL603" s="83"/>
      <c r="EO603" s="58"/>
      <c r="EP603" s="83"/>
      <c r="EQ603" s="58"/>
      <c r="ER603" s="83"/>
      <c r="ES603" s="58"/>
      <c r="ET603" s="83"/>
      <c r="EU603" s="58"/>
    </row>
    <row r="604" spans="1:151">
      <c r="A604" s="42" t="s">
        <v>322</v>
      </c>
      <c r="B604" s="173" t="s">
        <v>193</v>
      </c>
      <c r="C604" s="173" t="s">
        <v>516</v>
      </c>
      <c r="D604" s="83" t="s">
        <v>88</v>
      </c>
      <c r="F604" s="49" t="s">
        <v>286</v>
      </c>
      <c r="G604" s="70">
        <v>8.7550000000000008</v>
      </c>
      <c r="I604" s="49">
        <v>1025</v>
      </c>
      <c r="J604" s="159">
        <v>1.9523809523809523</v>
      </c>
      <c r="K604" s="49">
        <v>1</v>
      </c>
      <c r="L604" s="49">
        <v>1</v>
      </c>
      <c r="M604" s="83">
        <v>1</v>
      </c>
      <c r="N604" s="49">
        <v>0</v>
      </c>
      <c r="O604" s="49">
        <v>0</v>
      </c>
      <c r="P604" s="49">
        <v>1</v>
      </c>
      <c r="Q604" s="58">
        <v>0</v>
      </c>
      <c r="R604" s="42">
        <v>2</v>
      </c>
      <c r="S604" s="83">
        <v>1</v>
      </c>
      <c r="U604" s="83">
        <v>2</v>
      </c>
      <c r="V604" s="49">
        <v>2</v>
      </c>
      <c r="W604" s="49">
        <v>1</v>
      </c>
      <c r="X604" s="58">
        <v>2</v>
      </c>
      <c r="Y604" s="83">
        <v>2</v>
      </c>
      <c r="Z604" s="49">
        <v>3</v>
      </c>
      <c r="AA604" s="49">
        <v>8</v>
      </c>
      <c r="AD604" s="49">
        <v>6</v>
      </c>
      <c r="AE604" s="49">
        <v>12</v>
      </c>
      <c r="AG604" s="49">
        <v>7</v>
      </c>
      <c r="AH604" s="49">
        <v>20</v>
      </c>
      <c r="AI604" s="49">
        <v>40</v>
      </c>
      <c r="AJ604" s="49">
        <v>0</v>
      </c>
      <c r="AK604" s="83">
        <v>0</v>
      </c>
      <c r="AL604" s="49">
        <v>1</v>
      </c>
      <c r="AM604" s="49">
        <v>0</v>
      </c>
      <c r="AN604" s="49">
        <v>0</v>
      </c>
      <c r="AO604" s="58">
        <v>0</v>
      </c>
      <c r="AP604" s="174">
        <v>0</v>
      </c>
      <c r="AQ604" s="175">
        <v>533</v>
      </c>
      <c r="AR604" s="175">
        <v>0</v>
      </c>
      <c r="AS604" s="175">
        <v>0</v>
      </c>
      <c r="AT604" s="175">
        <v>0</v>
      </c>
      <c r="AU604" s="175">
        <v>0</v>
      </c>
      <c r="AV604" s="175">
        <v>0</v>
      </c>
      <c r="AW604" s="175">
        <v>0</v>
      </c>
      <c r="AX604" s="83">
        <v>0</v>
      </c>
      <c r="AY604" s="49">
        <v>0</v>
      </c>
      <c r="AZ604" s="49">
        <v>0</v>
      </c>
      <c r="BA604" s="49">
        <v>0</v>
      </c>
      <c r="BB604" s="58">
        <v>0</v>
      </c>
      <c r="BC604" s="42">
        <v>86</v>
      </c>
      <c r="BD604" s="49">
        <v>61.74</v>
      </c>
      <c r="BE604" s="49">
        <v>60.8</v>
      </c>
      <c r="BF604" s="49">
        <v>56.83</v>
      </c>
      <c r="BS604" s="58"/>
      <c r="BT604" s="83">
        <v>59.55</v>
      </c>
      <c r="CE604" s="83"/>
      <c r="CK604" s="58"/>
      <c r="CL604" s="83">
        <v>49.09</v>
      </c>
      <c r="CO604" s="58"/>
      <c r="CP604" s="83"/>
      <c r="CR604" s="58"/>
      <c r="CS604" s="83"/>
      <c r="CY604" s="83"/>
      <c r="DG604" s="58"/>
      <c r="DH604" s="83"/>
      <c r="DQ604" s="83"/>
      <c r="EE604" s="58"/>
      <c r="EF604" s="83"/>
      <c r="EI604" s="83"/>
      <c r="EK604" s="58"/>
      <c r="EL604" s="83"/>
      <c r="EO604" s="58"/>
      <c r="EP604" s="83"/>
      <c r="EQ604" s="58"/>
      <c r="ER604" s="83"/>
      <c r="ES604" s="58"/>
      <c r="ET604" s="83"/>
      <c r="EU604" s="58"/>
    </row>
    <row r="605" spans="1:151">
      <c r="A605" s="42" t="s">
        <v>322</v>
      </c>
      <c r="B605" s="173" t="s">
        <v>193</v>
      </c>
      <c r="C605" s="173" t="s">
        <v>516</v>
      </c>
      <c r="D605" s="83" t="s">
        <v>111</v>
      </c>
      <c r="E605" s="49" t="s">
        <v>0</v>
      </c>
      <c r="F605" s="49" t="s">
        <v>287</v>
      </c>
      <c r="G605" s="70">
        <v>8.7550000000000008</v>
      </c>
      <c r="I605" s="49">
        <v>260</v>
      </c>
      <c r="J605" s="159">
        <v>1.2560386473429952</v>
      </c>
      <c r="K605" s="49">
        <v>1</v>
      </c>
      <c r="L605" s="49">
        <v>1</v>
      </c>
      <c r="M605" s="83">
        <v>1</v>
      </c>
      <c r="N605" s="49">
        <v>0</v>
      </c>
      <c r="O605" s="49">
        <v>0</v>
      </c>
      <c r="P605" s="49">
        <v>0</v>
      </c>
      <c r="Q605" s="58">
        <v>0</v>
      </c>
      <c r="R605" s="42">
        <v>1</v>
      </c>
      <c r="S605" s="83">
        <v>1</v>
      </c>
      <c r="U605" s="83">
        <v>0</v>
      </c>
      <c r="V605" s="49">
        <v>0</v>
      </c>
      <c r="W605" s="49">
        <v>0</v>
      </c>
      <c r="X605" s="58"/>
      <c r="Y605" s="83">
        <v>0</v>
      </c>
      <c r="AJ605" s="49">
        <v>0</v>
      </c>
      <c r="AK605" s="83">
        <v>0</v>
      </c>
      <c r="AL605" s="49">
        <v>0</v>
      </c>
      <c r="AM605" s="49">
        <v>0</v>
      </c>
      <c r="AN605" s="49">
        <v>0</v>
      </c>
      <c r="AO605" s="58">
        <v>0</v>
      </c>
      <c r="AP605" s="174" t="s">
        <v>284</v>
      </c>
      <c r="AQ605" s="175" t="s">
        <v>284</v>
      </c>
      <c r="AR605" s="175" t="s">
        <v>284</v>
      </c>
      <c r="AS605" s="175" t="s">
        <v>284</v>
      </c>
      <c r="AT605" s="175" t="s">
        <v>284</v>
      </c>
      <c r="AU605" s="175" t="s">
        <v>284</v>
      </c>
      <c r="AV605" s="175" t="s">
        <v>284</v>
      </c>
      <c r="AW605" s="175" t="s">
        <v>284</v>
      </c>
      <c r="AX605" s="83">
        <v>0</v>
      </c>
      <c r="AY605" s="49">
        <v>0</v>
      </c>
      <c r="AZ605" s="49">
        <v>0</v>
      </c>
      <c r="BA605" s="49">
        <v>0</v>
      </c>
      <c r="BB605" s="58">
        <v>0</v>
      </c>
      <c r="BC605" s="42">
        <v>117</v>
      </c>
      <c r="BE605" s="49"/>
      <c r="BS605" s="58"/>
      <c r="BT605" s="83"/>
      <c r="CE605" s="83"/>
      <c r="CK605" s="58"/>
      <c r="CL605" s="83"/>
      <c r="CO605" s="58"/>
      <c r="CP605" s="83"/>
      <c r="CR605" s="58"/>
      <c r="CS605" s="83"/>
      <c r="CY605" s="83"/>
      <c r="DG605" s="58"/>
      <c r="DH605" s="83"/>
      <c r="DQ605" s="83"/>
      <c r="EE605" s="58"/>
      <c r="EF605" s="83"/>
      <c r="EI605" s="83"/>
      <c r="EK605" s="58"/>
      <c r="EL605" s="83"/>
      <c r="EO605" s="58"/>
      <c r="EP605" s="83"/>
      <c r="EQ605" s="58"/>
      <c r="ER605" s="83"/>
      <c r="ES605" s="58"/>
      <c r="ET605" s="83"/>
      <c r="EU605" s="58"/>
    </row>
    <row r="606" spans="1:151">
      <c r="A606" s="42" t="s">
        <v>322</v>
      </c>
      <c r="B606" s="173" t="s">
        <v>193</v>
      </c>
      <c r="C606" s="173" t="s">
        <v>516</v>
      </c>
      <c r="D606" s="83" t="s">
        <v>92</v>
      </c>
      <c r="F606" s="49" t="s">
        <v>286</v>
      </c>
      <c r="G606" s="70">
        <v>8.7550000000000008</v>
      </c>
      <c r="I606" s="49">
        <v>1928</v>
      </c>
      <c r="J606" s="159">
        <v>4.0847457627118642</v>
      </c>
      <c r="K606" s="49">
        <v>1</v>
      </c>
      <c r="L606" s="49">
        <v>2</v>
      </c>
      <c r="M606" s="83">
        <v>1</v>
      </c>
      <c r="N606" s="49">
        <v>0</v>
      </c>
      <c r="O606" s="49">
        <v>0</v>
      </c>
      <c r="P606" s="49">
        <v>1</v>
      </c>
      <c r="Q606" s="58">
        <v>0</v>
      </c>
      <c r="R606" s="42">
        <v>2</v>
      </c>
      <c r="S606" s="83">
        <v>1</v>
      </c>
      <c r="U606" s="83">
        <v>1</v>
      </c>
      <c r="V606" s="49">
        <v>3</v>
      </c>
      <c r="W606" s="49">
        <v>1</v>
      </c>
      <c r="X606" s="58">
        <v>2</v>
      </c>
      <c r="Y606" s="83">
        <v>5</v>
      </c>
      <c r="AD606" s="49">
        <v>9</v>
      </c>
      <c r="AE606" s="49">
        <v>130</v>
      </c>
      <c r="AF606" s="49">
        <v>8</v>
      </c>
      <c r="AG606" s="49">
        <v>320</v>
      </c>
      <c r="AH606" s="49">
        <v>16</v>
      </c>
      <c r="AI606" s="49">
        <v>79</v>
      </c>
      <c r="AJ606" s="49">
        <v>0</v>
      </c>
      <c r="AK606" s="83">
        <v>0</v>
      </c>
      <c r="AL606" s="49">
        <v>1</v>
      </c>
      <c r="AM606" s="49">
        <v>0</v>
      </c>
      <c r="AN606" s="49">
        <v>0</v>
      </c>
      <c r="AO606" s="58">
        <v>0</v>
      </c>
      <c r="AP606" s="174">
        <v>322</v>
      </c>
      <c r="AQ606" s="175">
        <v>362</v>
      </c>
      <c r="AR606" s="175">
        <v>0</v>
      </c>
      <c r="AS606" s="175">
        <v>0</v>
      </c>
      <c r="AT606" s="175">
        <v>0</v>
      </c>
      <c r="AU606" s="175">
        <v>0</v>
      </c>
      <c r="AV606" s="175">
        <v>0</v>
      </c>
      <c r="AW606" s="175">
        <v>0</v>
      </c>
      <c r="AX606" s="83">
        <v>0</v>
      </c>
      <c r="AY606" s="49">
        <v>0</v>
      </c>
      <c r="AZ606" s="49">
        <v>0</v>
      </c>
      <c r="BA606" s="49">
        <v>0</v>
      </c>
      <c r="BB606" s="58">
        <v>0</v>
      </c>
      <c r="BC606" s="42">
        <v>119</v>
      </c>
      <c r="BE606" s="49"/>
      <c r="BS606" s="58"/>
      <c r="BT606" s="83"/>
      <c r="CE606" s="83"/>
      <c r="CK606" s="58"/>
      <c r="CL606" s="83"/>
      <c r="CO606" s="58"/>
      <c r="CP606" s="83"/>
      <c r="CR606" s="58"/>
      <c r="CS606" s="83"/>
      <c r="CY606" s="83"/>
      <c r="DG606" s="58"/>
      <c r="DH606" s="83"/>
      <c r="DQ606" s="83"/>
      <c r="EE606" s="58"/>
      <c r="EF606" s="83"/>
      <c r="EI606" s="83"/>
      <c r="EK606" s="58"/>
      <c r="EL606" s="83"/>
      <c r="EO606" s="58"/>
      <c r="EP606" s="83"/>
      <c r="EQ606" s="58"/>
      <c r="ER606" s="83"/>
      <c r="ES606" s="58"/>
      <c r="ET606" s="83"/>
      <c r="EU606" s="58"/>
    </row>
    <row r="607" spans="1:151">
      <c r="A607" s="42" t="s">
        <v>322</v>
      </c>
      <c r="B607" s="173" t="s">
        <v>193</v>
      </c>
      <c r="C607" s="173" t="s">
        <v>516</v>
      </c>
      <c r="D607" s="83" t="s">
        <v>93</v>
      </c>
      <c r="E607" s="49" t="s">
        <v>0</v>
      </c>
      <c r="F607" s="49" t="s">
        <v>287</v>
      </c>
      <c r="G607" s="70">
        <v>8.7550000000000008</v>
      </c>
      <c r="I607" s="49">
        <v>585</v>
      </c>
      <c r="J607" s="159">
        <v>5.85</v>
      </c>
      <c r="K607" s="49">
        <v>1</v>
      </c>
      <c r="L607" s="49">
        <v>2</v>
      </c>
      <c r="M607" s="83">
        <v>0</v>
      </c>
      <c r="N607" s="49">
        <v>0</v>
      </c>
      <c r="O607" s="49">
        <v>0</v>
      </c>
      <c r="P607" s="49">
        <v>0</v>
      </c>
      <c r="Q607" s="58">
        <v>0</v>
      </c>
      <c r="R607" s="42">
        <v>0</v>
      </c>
      <c r="S607" s="83" t="s">
        <v>283</v>
      </c>
      <c r="U607" s="83">
        <v>0</v>
      </c>
      <c r="V607" s="49">
        <v>0</v>
      </c>
      <c r="W607" s="49">
        <v>0</v>
      </c>
      <c r="X607" s="58"/>
      <c r="Y607" s="83">
        <v>1</v>
      </c>
      <c r="AD607" s="49">
        <v>7</v>
      </c>
      <c r="AE607" s="49">
        <v>9</v>
      </c>
      <c r="AF607" s="49">
        <v>2</v>
      </c>
      <c r="AG607" s="49">
        <v>12</v>
      </c>
      <c r="AI607" s="49">
        <v>26</v>
      </c>
      <c r="AJ607" s="49">
        <v>0</v>
      </c>
      <c r="AK607" s="83">
        <v>0</v>
      </c>
      <c r="AL607" s="49">
        <v>0</v>
      </c>
      <c r="AM607" s="49">
        <v>0</v>
      </c>
      <c r="AN607" s="49">
        <v>0</v>
      </c>
      <c r="AO607" s="58">
        <v>0</v>
      </c>
      <c r="AP607" s="174" t="s">
        <v>284</v>
      </c>
      <c r="AQ607" s="175" t="s">
        <v>284</v>
      </c>
      <c r="AR607" s="175" t="s">
        <v>284</v>
      </c>
      <c r="AS607" s="175" t="s">
        <v>284</v>
      </c>
      <c r="AT607" s="175" t="s">
        <v>284</v>
      </c>
      <c r="AU607" s="175" t="s">
        <v>284</v>
      </c>
      <c r="AV607" s="175" t="s">
        <v>284</v>
      </c>
      <c r="AW607" s="175" t="s">
        <v>284</v>
      </c>
      <c r="AX607" s="83">
        <v>0</v>
      </c>
      <c r="AY607" s="49">
        <v>0</v>
      </c>
      <c r="AZ607" s="49">
        <v>0</v>
      </c>
      <c r="BA607" s="49">
        <v>1</v>
      </c>
      <c r="BB607" s="58">
        <v>1</v>
      </c>
      <c r="BC607" s="42">
        <v>123</v>
      </c>
      <c r="BE607" s="49"/>
      <c r="BS607" s="58"/>
      <c r="BT607" s="83"/>
      <c r="CE607" s="83"/>
      <c r="CK607" s="58"/>
      <c r="CL607" s="83"/>
      <c r="CO607" s="58"/>
      <c r="CP607" s="83"/>
      <c r="CR607" s="58"/>
      <c r="CS607" s="83"/>
      <c r="CY607" s="83"/>
      <c r="DG607" s="58"/>
      <c r="DH607" s="83"/>
      <c r="DQ607" s="83"/>
      <c r="EE607" s="58"/>
      <c r="EF607" s="83"/>
      <c r="EI607" s="83"/>
      <c r="EK607" s="58"/>
      <c r="EL607" s="83"/>
      <c r="EO607" s="58"/>
      <c r="EP607" s="83"/>
      <c r="EQ607" s="58"/>
      <c r="ER607" s="83"/>
      <c r="ES607" s="58"/>
      <c r="ET607" s="83"/>
      <c r="EU607" s="58"/>
    </row>
    <row r="608" spans="1:151">
      <c r="A608" s="42" t="s">
        <v>322</v>
      </c>
      <c r="B608" s="173" t="s">
        <v>193</v>
      </c>
      <c r="C608" s="173" t="s">
        <v>516</v>
      </c>
      <c r="D608" s="83" t="s">
        <v>93</v>
      </c>
      <c r="E608" s="49" t="s">
        <v>1</v>
      </c>
      <c r="F608" s="49" t="s">
        <v>287</v>
      </c>
      <c r="G608" s="70">
        <v>8.7550000000000008</v>
      </c>
      <c r="I608" s="49">
        <v>900</v>
      </c>
      <c r="J608" s="159">
        <v>5.6962025316455698</v>
      </c>
      <c r="K608" s="49">
        <v>1</v>
      </c>
      <c r="L608" s="49">
        <v>2</v>
      </c>
      <c r="M608" s="83">
        <v>1</v>
      </c>
      <c r="N608" s="49">
        <v>0</v>
      </c>
      <c r="O608" s="49">
        <v>0</v>
      </c>
      <c r="P608" s="49">
        <v>0</v>
      </c>
      <c r="Q608" s="58">
        <v>0</v>
      </c>
      <c r="R608" s="42">
        <v>1</v>
      </c>
      <c r="S608" s="83" t="s">
        <v>284</v>
      </c>
      <c r="U608" s="83">
        <v>2</v>
      </c>
      <c r="V608" s="49">
        <v>2</v>
      </c>
      <c r="W608" s="49">
        <v>1</v>
      </c>
      <c r="X608" s="58">
        <v>2</v>
      </c>
      <c r="Y608" s="83">
        <v>1</v>
      </c>
      <c r="AD608" s="49">
        <v>4</v>
      </c>
      <c r="AE608" s="49">
        <v>40</v>
      </c>
      <c r="AH608" s="49">
        <v>11</v>
      </c>
      <c r="AI608" s="49">
        <v>50</v>
      </c>
      <c r="AJ608" s="49">
        <v>0</v>
      </c>
      <c r="AK608" s="83">
        <v>0</v>
      </c>
      <c r="AL608" s="49">
        <v>0</v>
      </c>
      <c r="AM608" s="49">
        <v>0</v>
      </c>
      <c r="AN608" s="49">
        <v>0</v>
      </c>
      <c r="AO608" s="58">
        <v>0</v>
      </c>
      <c r="AP608" s="174" t="s">
        <v>284</v>
      </c>
      <c r="AQ608" s="175" t="s">
        <v>284</v>
      </c>
      <c r="AR608" s="175" t="s">
        <v>284</v>
      </c>
      <c r="AS608" s="175" t="s">
        <v>284</v>
      </c>
      <c r="AT608" s="175" t="s">
        <v>284</v>
      </c>
      <c r="AU608" s="175" t="s">
        <v>284</v>
      </c>
      <c r="AV608" s="175" t="s">
        <v>284</v>
      </c>
      <c r="AW608" s="175" t="s">
        <v>284</v>
      </c>
      <c r="AX608" s="83">
        <v>0</v>
      </c>
      <c r="AY608" s="49">
        <v>0</v>
      </c>
      <c r="AZ608" s="49">
        <v>0</v>
      </c>
      <c r="BA608" s="49">
        <v>0</v>
      </c>
      <c r="BB608" s="58">
        <v>0</v>
      </c>
      <c r="BC608" s="42">
        <v>123</v>
      </c>
      <c r="BE608" s="49"/>
      <c r="BS608" s="58"/>
      <c r="BT608" s="83"/>
      <c r="CE608" s="83"/>
      <c r="CK608" s="58"/>
      <c r="CL608" s="83"/>
      <c r="CO608" s="58"/>
      <c r="CP608" s="83"/>
      <c r="CR608" s="58"/>
      <c r="CS608" s="83"/>
      <c r="CY608" s="83"/>
      <c r="DG608" s="58"/>
      <c r="DH608" s="83"/>
      <c r="DQ608" s="83"/>
      <c r="EE608" s="58"/>
      <c r="EF608" s="83"/>
      <c r="EI608" s="83"/>
      <c r="EK608" s="58"/>
      <c r="EL608" s="83"/>
      <c r="EO608" s="58"/>
      <c r="EP608" s="83"/>
      <c r="EQ608" s="58"/>
      <c r="ER608" s="83"/>
      <c r="ES608" s="58"/>
      <c r="ET608" s="83"/>
      <c r="EU608" s="58"/>
    </row>
    <row r="609" spans="1:151">
      <c r="A609" s="42" t="s">
        <v>322</v>
      </c>
      <c r="B609" s="173" t="s">
        <v>193</v>
      </c>
      <c r="C609" s="173" t="s">
        <v>516</v>
      </c>
      <c r="D609" s="83" t="s">
        <v>112</v>
      </c>
      <c r="F609" s="49" t="s">
        <v>287</v>
      </c>
      <c r="G609" s="70">
        <v>8.7550000000000008</v>
      </c>
      <c r="I609" s="49">
        <v>530</v>
      </c>
      <c r="J609" s="159">
        <v>4.274193548387097</v>
      </c>
      <c r="K609" s="49">
        <v>1</v>
      </c>
      <c r="L609" s="49">
        <v>2</v>
      </c>
      <c r="M609" s="83">
        <v>1</v>
      </c>
      <c r="N609" s="49">
        <v>0</v>
      </c>
      <c r="O609" s="49">
        <v>0</v>
      </c>
      <c r="P609" s="49">
        <v>1</v>
      </c>
      <c r="Q609" s="58">
        <v>0</v>
      </c>
      <c r="R609" s="42">
        <v>2</v>
      </c>
      <c r="S609" s="83">
        <v>1</v>
      </c>
      <c r="U609" s="83">
        <v>1</v>
      </c>
      <c r="V609" s="49">
        <v>2</v>
      </c>
      <c r="W609" s="49">
        <v>4</v>
      </c>
      <c r="X609" s="58"/>
      <c r="Y609" s="83">
        <v>2</v>
      </c>
      <c r="AA609" s="49">
        <v>5</v>
      </c>
      <c r="AD609" s="49">
        <v>2</v>
      </c>
      <c r="AE609" s="49">
        <v>5</v>
      </c>
      <c r="AH609" s="49">
        <v>11</v>
      </c>
      <c r="AI609" s="49">
        <v>33</v>
      </c>
      <c r="AJ609" s="49">
        <v>0</v>
      </c>
      <c r="AK609" s="83">
        <v>0</v>
      </c>
      <c r="AL609" s="49">
        <v>0</v>
      </c>
      <c r="AM609" s="49">
        <v>0</v>
      </c>
      <c r="AN609" s="49">
        <v>0</v>
      </c>
      <c r="AO609" s="58">
        <v>0</v>
      </c>
      <c r="AP609" s="174" t="s">
        <v>284</v>
      </c>
      <c r="AQ609" s="175" t="s">
        <v>284</v>
      </c>
      <c r="AR609" s="175" t="s">
        <v>284</v>
      </c>
      <c r="AS609" s="175" t="s">
        <v>284</v>
      </c>
      <c r="AT609" s="175" t="s">
        <v>284</v>
      </c>
      <c r="AU609" s="175" t="s">
        <v>284</v>
      </c>
      <c r="AV609" s="175" t="s">
        <v>284</v>
      </c>
      <c r="AW609" s="175" t="s">
        <v>284</v>
      </c>
      <c r="AX609" s="83">
        <v>0</v>
      </c>
      <c r="AY609" s="49">
        <v>0</v>
      </c>
      <c r="AZ609" s="49">
        <v>0</v>
      </c>
      <c r="BA609" s="49">
        <v>0</v>
      </c>
      <c r="BB609" s="58">
        <v>0</v>
      </c>
      <c r="BC609" s="42">
        <v>99</v>
      </c>
      <c r="BE609" s="49"/>
      <c r="BS609" s="58"/>
      <c r="BT609" s="83"/>
      <c r="CE609" s="83"/>
      <c r="CK609" s="58"/>
      <c r="CL609" s="83"/>
      <c r="CO609" s="58"/>
      <c r="CP609" s="83"/>
      <c r="CR609" s="58"/>
      <c r="CS609" s="83"/>
      <c r="CY609" s="83"/>
      <c r="DG609" s="58"/>
      <c r="DH609" s="83"/>
      <c r="DQ609" s="83"/>
      <c r="EE609" s="58"/>
      <c r="EF609" s="83"/>
      <c r="EI609" s="83"/>
      <c r="EK609" s="58"/>
      <c r="EL609" s="83"/>
      <c r="EO609" s="58"/>
      <c r="EP609" s="83"/>
      <c r="EQ609" s="58"/>
      <c r="ER609" s="83"/>
      <c r="ES609" s="58"/>
      <c r="ET609" s="83"/>
      <c r="EU609" s="58"/>
    </row>
    <row r="610" spans="1:151">
      <c r="A610" s="42" t="s">
        <v>322</v>
      </c>
      <c r="B610" s="173" t="s">
        <v>193</v>
      </c>
      <c r="C610" s="173" t="s">
        <v>516</v>
      </c>
      <c r="D610" s="83" t="s">
        <v>196</v>
      </c>
      <c r="F610" s="49" t="s">
        <v>287</v>
      </c>
      <c r="G610" s="70">
        <v>8.7550000000000008</v>
      </c>
      <c r="M610" s="83"/>
      <c r="Q610" s="58"/>
      <c r="R610" s="42">
        <v>0</v>
      </c>
      <c r="S610" s="83"/>
      <c r="U610" s="83"/>
      <c r="W610" s="49">
        <v>4</v>
      </c>
      <c r="X610" s="58"/>
      <c r="Y610" s="83"/>
      <c r="AJ610" s="49">
        <v>0</v>
      </c>
      <c r="AK610" s="83"/>
      <c r="AO610" s="58"/>
      <c r="AP610" s="174"/>
      <c r="AQ610" s="175"/>
      <c r="AR610" s="175"/>
      <c r="AS610" s="175"/>
      <c r="AT610" s="175"/>
      <c r="AU610" s="175"/>
      <c r="AV610" s="175"/>
      <c r="AW610" s="175"/>
      <c r="AX610" s="83"/>
      <c r="BB610" s="58"/>
      <c r="BC610" s="42"/>
      <c r="BD610" s="49">
        <v>60.02</v>
      </c>
      <c r="BE610" s="49"/>
      <c r="BS610" s="58"/>
      <c r="BT610" s="83"/>
      <c r="CE610" s="83">
        <v>57.22</v>
      </c>
      <c r="CK610" s="58"/>
      <c r="CL610" s="83"/>
      <c r="CO610" s="58"/>
      <c r="CP610" s="83"/>
      <c r="CR610" s="58"/>
      <c r="CS610" s="83"/>
      <c r="CY610" s="83"/>
      <c r="DG610" s="58"/>
      <c r="DH610" s="83"/>
      <c r="DQ610" s="83"/>
      <c r="EE610" s="58"/>
      <c r="EF610" s="83"/>
      <c r="EI610" s="83"/>
      <c r="EK610" s="58"/>
      <c r="EL610" s="83"/>
      <c r="EO610" s="58"/>
      <c r="EP610" s="83"/>
      <c r="EQ610" s="58"/>
      <c r="ER610" s="83"/>
      <c r="ES610" s="58"/>
      <c r="ET610" s="83"/>
      <c r="EU610" s="58"/>
    </row>
    <row r="611" spans="1:151" ht="17" thickBot="1">
      <c r="A611" s="55" t="s">
        <v>322</v>
      </c>
      <c r="B611" s="47" t="s">
        <v>193</v>
      </c>
      <c r="C611" s="47" t="s">
        <v>516</v>
      </c>
      <c r="D611" s="84" t="s">
        <v>197</v>
      </c>
      <c r="E611" s="57"/>
      <c r="F611" s="57" t="s">
        <v>287</v>
      </c>
      <c r="G611" s="79">
        <v>8.7550000000000008</v>
      </c>
      <c r="H611" s="57"/>
      <c r="I611" s="57"/>
      <c r="J611" s="75"/>
      <c r="K611" s="57"/>
      <c r="L611" s="57"/>
      <c r="M611" s="84"/>
      <c r="N611" s="57"/>
      <c r="O611" s="57"/>
      <c r="P611" s="57"/>
      <c r="Q611" s="56"/>
      <c r="R611" s="55">
        <v>0</v>
      </c>
      <c r="S611" s="84"/>
      <c r="T611" s="57"/>
      <c r="U611" s="84"/>
      <c r="V611" s="57"/>
      <c r="W611" s="57">
        <v>4</v>
      </c>
      <c r="X611" s="56"/>
      <c r="Y611" s="84"/>
      <c r="Z611" s="57"/>
      <c r="AA611" s="57"/>
      <c r="AB611" s="57"/>
      <c r="AC611" s="57"/>
      <c r="AD611" s="57"/>
      <c r="AE611" s="57"/>
      <c r="AF611" s="57"/>
      <c r="AG611" s="57"/>
      <c r="AH611" s="57"/>
      <c r="AI611" s="57"/>
      <c r="AJ611" s="57">
        <v>0</v>
      </c>
      <c r="AK611" s="84"/>
      <c r="AL611" s="57"/>
      <c r="AM611" s="57"/>
      <c r="AN611" s="57"/>
      <c r="AO611" s="56"/>
      <c r="AP611" s="178"/>
      <c r="AQ611" s="179"/>
      <c r="AR611" s="179"/>
      <c r="AS611" s="179"/>
      <c r="AT611" s="179"/>
      <c r="AU611" s="179"/>
      <c r="AV611" s="179"/>
      <c r="AW611" s="179"/>
      <c r="AX611" s="84"/>
      <c r="AY611" s="57"/>
      <c r="AZ611" s="57"/>
      <c r="BA611" s="57"/>
      <c r="BB611" s="56"/>
      <c r="BC611" s="55"/>
      <c r="BD611" s="57">
        <v>56.88</v>
      </c>
      <c r="BE611" s="57"/>
      <c r="BF611" s="57"/>
      <c r="BG611" s="57"/>
      <c r="BH611" s="57"/>
      <c r="BI611" s="57"/>
      <c r="BJ611" s="57"/>
      <c r="BK611" s="57"/>
      <c r="BL611" s="57"/>
      <c r="BM611" s="57"/>
      <c r="BN611" s="57"/>
      <c r="BO611" s="57"/>
      <c r="BP611" s="57"/>
      <c r="BQ611" s="57"/>
      <c r="BR611" s="57"/>
      <c r="BS611" s="56"/>
      <c r="BT611" s="84"/>
      <c r="BU611" s="57"/>
      <c r="BV611" s="57"/>
      <c r="BW611" s="57"/>
      <c r="BX611" s="57"/>
      <c r="BY611" s="57"/>
      <c r="BZ611" s="57"/>
      <c r="CA611" s="57"/>
      <c r="CB611" s="57"/>
      <c r="CC611" s="57"/>
      <c r="CD611" s="57"/>
      <c r="CE611" s="84"/>
      <c r="CF611" s="57"/>
      <c r="CG611" s="57"/>
      <c r="CH611" s="57"/>
      <c r="CI611" s="57"/>
      <c r="CJ611" s="57"/>
      <c r="CK611" s="56"/>
      <c r="CL611" s="84"/>
      <c r="CM611" s="57"/>
      <c r="CN611" s="57"/>
      <c r="CO611" s="56"/>
      <c r="CP611" s="84"/>
      <c r="CQ611" s="57"/>
      <c r="CR611" s="56"/>
      <c r="CS611" s="84"/>
      <c r="CT611" s="57"/>
      <c r="CU611" s="57"/>
      <c r="CV611" s="57"/>
      <c r="CW611" s="57"/>
      <c r="CX611" s="57"/>
      <c r="CY611" s="84"/>
      <c r="CZ611" s="57"/>
      <c r="DA611" s="57"/>
      <c r="DB611" s="57"/>
      <c r="DC611" s="57"/>
      <c r="DD611" s="57"/>
      <c r="DE611" s="57"/>
      <c r="DF611" s="57"/>
      <c r="DG611" s="56"/>
      <c r="DH611" s="84"/>
      <c r="DI611" s="57"/>
      <c r="DJ611" s="57"/>
      <c r="DK611" s="57"/>
      <c r="DL611" s="57"/>
      <c r="DM611" s="57"/>
      <c r="DN611" s="57"/>
      <c r="DO611" s="57"/>
      <c r="DP611" s="57"/>
      <c r="DQ611" s="84"/>
      <c r="DR611" s="57"/>
      <c r="DS611" s="57"/>
      <c r="DT611" s="57"/>
      <c r="DU611" s="57"/>
      <c r="DV611" s="57"/>
      <c r="DW611" s="57"/>
      <c r="DX611" s="57"/>
      <c r="DY611" s="57"/>
      <c r="DZ611" s="57"/>
      <c r="EA611" s="57"/>
      <c r="EB611" s="57"/>
      <c r="EC611" s="57"/>
      <c r="ED611" s="57"/>
      <c r="EE611" s="56"/>
      <c r="EF611" s="84"/>
      <c r="EG611" s="57"/>
      <c r="EH611" s="57"/>
      <c r="EI611" s="84"/>
      <c r="EJ611" s="57"/>
      <c r="EK611" s="56"/>
      <c r="EL611" s="84"/>
      <c r="EM611" s="57"/>
      <c r="EN611" s="57"/>
      <c r="EO611" s="56"/>
      <c r="EP611" s="84"/>
      <c r="EQ611" s="56"/>
      <c r="ER611" s="84"/>
      <c r="ES611" s="56"/>
      <c r="ET611" s="84"/>
      <c r="EU611" s="56"/>
    </row>
    <row r="612" spans="1:151">
      <c r="A612" s="83" t="s">
        <v>322</v>
      </c>
      <c r="B612" s="173" t="s">
        <v>198</v>
      </c>
      <c r="C612" s="173" t="s">
        <v>516</v>
      </c>
      <c r="D612" s="83" t="s">
        <v>65</v>
      </c>
      <c r="F612" s="49" t="s">
        <v>286</v>
      </c>
      <c r="G612" s="70">
        <v>8.7550000000000008</v>
      </c>
      <c r="I612" s="49">
        <v>1280</v>
      </c>
      <c r="J612" s="159">
        <v>3.1604938271604937</v>
      </c>
      <c r="K612" s="49">
        <v>1</v>
      </c>
      <c r="L612" s="49">
        <v>3</v>
      </c>
      <c r="M612" s="83">
        <v>1</v>
      </c>
      <c r="N612" s="49">
        <v>0</v>
      </c>
      <c r="O612" s="49">
        <v>0</v>
      </c>
      <c r="P612" s="49">
        <v>1</v>
      </c>
      <c r="Q612" s="58">
        <v>0</v>
      </c>
      <c r="R612" s="42">
        <v>2</v>
      </c>
      <c r="S612" s="83">
        <v>1</v>
      </c>
      <c r="U612" s="83">
        <v>1</v>
      </c>
      <c r="V612" s="49">
        <v>3</v>
      </c>
      <c r="W612" s="49">
        <v>1</v>
      </c>
      <c r="X612" s="58">
        <v>2</v>
      </c>
      <c r="Y612" s="83">
        <v>2</v>
      </c>
      <c r="Z612" s="49">
        <v>3</v>
      </c>
      <c r="AA612" s="49">
        <v>6</v>
      </c>
      <c r="AD612" s="49">
        <v>11</v>
      </c>
      <c r="AE612" s="49">
        <v>24</v>
      </c>
      <c r="AH612" s="49">
        <v>10</v>
      </c>
      <c r="AI612" s="49">
        <v>194</v>
      </c>
      <c r="AJ612" s="49">
        <v>0</v>
      </c>
      <c r="AK612" s="83">
        <v>0</v>
      </c>
      <c r="AL612" s="49">
        <v>1</v>
      </c>
      <c r="AM612" s="49">
        <v>0</v>
      </c>
      <c r="AN612" s="49">
        <v>0</v>
      </c>
      <c r="AO612" s="58">
        <v>0</v>
      </c>
      <c r="AP612" s="174">
        <v>0</v>
      </c>
      <c r="AQ612" s="175">
        <v>677</v>
      </c>
      <c r="AR612" s="175" t="s">
        <v>284</v>
      </c>
      <c r="AS612" s="175" t="s">
        <v>284</v>
      </c>
      <c r="AT612" s="175" t="s">
        <v>284</v>
      </c>
      <c r="AU612" s="175" t="s">
        <v>284</v>
      </c>
      <c r="AV612" s="175" t="s">
        <v>284</v>
      </c>
      <c r="AW612" s="175" t="s">
        <v>284</v>
      </c>
      <c r="AX612" s="83">
        <v>0</v>
      </c>
      <c r="AY612" s="49">
        <v>0</v>
      </c>
      <c r="AZ612" s="49">
        <v>0</v>
      </c>
      <c r="BA612" s="49">
        <v>0</v>
      </c>
      <c r="BB612" s="58">
        <v>0</v>
      </c>
      <c r="BC612" s="42">
        <v>123</v>
      </c>
      <c r="BE612" s="49"/>
      <c r="BS612" s="58"/>
      <c r="BT612" s="83"/>
      <c r="CE612" s="83"/>
      <c r="CK612" s="58"/>
      <c r="CL612" s="83"/>
      <c r="CO612" s="58"/>
      <c r="CP612" s="83"/>
      <c r="CR612" s="58"/>
      <c r="CS612" s="83"/>
      <c r="CY612" s="83"/>
      <c r="DG612" s="58"/>
      <c r="DH612" s="83"/>
      <c r="DQ612" s="83"/>
      <c r="EE612" s="58"/>
      <c r="EF612" s="83"/>
      <c r="EI612" s="83"/>
      <c r="EK612" s="58"/>
      <c r="EL612" s="83"/>
      <c r="EO612" s="58"/>
      <c r="EP612" s="83"/>
      <c r="EQ612" s="58"/>
      <c r="ER612" s="83"/>
      <c r="ES612" s="58"/>
      <c r="ET612" s="83"/>
      <c r="EU612" s="58"/>
    </row>
    <row r="613" spans="1:151">
      <c r="A613" s="83" t="s">
        <v>322</v>
      </c>
      <c r="B613" s="173" t="s">
        <v>198</v>
      </c>
      <c r="C613" s="173" t="s">
        <v>516</v>
      </c>
      <c r="D613" s="83" t="s">
        <v>66</v>
      </c>
      <c r="F613" s="49" t="s">
        <v>286</v>
      </c>
      <c r="G613" s="70">
        <v>8.7550000000000008</v>
      </c>
      <c r="I613" s="49">
        <v>1653</v>
      </c>
      <c r="J613" s="159">
        <v>6.2851711026615966</v>
      </c>
      <c r="K613" s="49">
        <v>1</v>
      </c>
      <c r="L613" s="49">
        <v>2</v>
      </c>
      <c r="M613" s="83">
        <v>0</v>
      </c>
      <c r="N613" s="49">
        <v>0</v>
      </c>
      <c r="O613" s="49">
        <v>0</v>
      </c>
      <c r="P613" s="49">
        <v>1</v>
      </c>
      <c r="Q613" s="58">
        <v>0</v>
      </c>
      <c r="R613" s="42">
        <v>1</v>
      </c>
      <c r="S613" s="83">
        <v>1</v>
      </c>
      <c r="U613" s="83">
        <v>1</v>
      </c>
      <c r="V613" s="49">
        <v>3</v>
      </c>
      <c r="W613" s="49">
        <v>1</v>
      </c>
      <c r="X613" s="58">
        <v>2</v>
      </c>
      <c r="Y613" s="83">
        <v>5</v>
      </c>
      <c r="AA613" s="49">
        <v>6</v>
      </c>
      <c r="AD613" s="49">
        <v>4</v>
      </c>
      <c r="AE613" s="49">
        <v>139</v>
      </c>
      <c r="AF613" s="49">
        <v>10</v>
      </c>
      <c r="AG613" s="49">
        <v>379</v>
      </c>
      <c r="AH613" s="49">
        <v>48</v>
      </c>
      <c r="AI613" s="49">
        <v>426</v>
      </c>
      <c r="AJ613" s="49">
        <v>0</v>
      </c>
      <c r="AK613" s="83">
        <v>0</v>
      </c>
      <c r="AL613" s="49">
        <v>0</v>
      </c>
      <c r="AM613" s="49">
        <v>0</v>
      </c>
      <c r="AN613" s="49">
        <v>0</v>
      </c>
      <c r="AO613" s="58">
        <v>0</v>
      </c>
      <c r="AP613" s="174" t="s">
        <v>284</v>
      </c>
      <c r="AQ613" s="175" t="s">
        <v>284</v>
      </c>
      <c r="AR613" s="175" t="s">
        <v>284</v>
      </c>
      <c r="AS613" s="175" t="s">
        <v>284</v>
      </c>
      <c r="AT613" s="175" t="s">
        <v>284</v>
      </c>
      <c r="AU613" s="175" t="s">
        <v>284</v>
      </c>
      <c r="AV613" s="175" t="s">
        <v>284</v>
      </c>
      <c r="AW613" s="175" t="s">
        <v>284</v>
      </c>
      <c r="AX613" s="83">
        <v>0</v>
      </c>
      <c r="AY613" s="49">
        <v>0</v>
      </c>
      <c r="AZ613" s="49">
        <v>0</v>
      </c>
      <c r="BA613" s="49">
        <v>0</v>
      </c>
      <c r="BB613" s="58">
        <v>0</v>
      </c>
      <c r="BC613" s="42">
        <v>150</v>
      </c>
      <c r="BD613" s="49">
        <v>58.39</v>
      </c>
      <c r="BE613" s="49">
        <v>60.67</v>
      </c>
      <c r="BS613" s="58"/>
      <c r="BT613" s="83">
        <v>61.56</v>
      </c>
      <c r="BU613" s="49">
        <v>59.55</v>
      </c>
      <c r="CE613" s="83"/>
      <c r="CK613" s="58"/>
      <c r="CL613" s="83"/>
      <c r="CO613" s="58"/>
      <c r="CP613" s="83"/>
      <c r="CR613" s="58"/>
      <c r="CS613" s="83"/>
      <c r="CY613" s="83"/>
      <c r="DG613" s="58"/>
      <c r="DH613" s="83"/>
      <c r="DQ613" s="83"/>
      <c r="EE613" s="58"/>
      <c r="EF613" s="83"/>
      <c r="EI613" s="83"/>
      <c r="EK613" s="58"/>
      <c r="EL613" s="83"/>
      <c r="EO613" s="58"/>
      <c r="EP613" s="83"/>
      <c r="EQ613" s="58"/>
      <c r="ER613" s="83"/>
      <c r="ES613" s="58"/>
      <c r="ET613" s="83"/>
      <c r="EU613" s="58"/>
    </row>
    <row r="614" spans="1:151">
      <c r="A614" s="83" t="s">
        <v>322</v>
      </c>
      <c r="B614" s="173" t="s">
        <v>198</v>
      </c>
      <c r="C614" s="173" t="s">
        <v>516</v>
      </c>
      <c r="D614" s="83" t="s">
        <v>67</v>
      </c>
      <c r="F614" s="49" t="s">
        <v>286</v>
      </c>
      <c r="G614" s="70">
        <v>8.7550000000000008</v>
      </c>
      <c r="I614" s="49">
        <v>2099</v>
      </c>
      <c r="J614" s="159">
        <v>3.8726937269372694</v>
      </c>
      <c r="K614" s="49">
        <v>1</v>
      </c>
      <c r="L614" s="49">
        <v>1</v>
      </c>
      <c r="M614" s="83">
        <v>1</v>
      </c>
      <c r="N614" s="49">
        <v>0</v>
      </c>
      <c r="O614" s="49">
        <v>0</v>
      </c>
      <c r="P614" s="49">
        <v>1</v>
      </c>
      <c r="Q614" s="58">
        <v>0</v>
      </c>
      <c r="R614" s="42">
        <v>2</v>
      </c>
      <c r="S614" s="83">
        <v>1</v>
      </c>
      <c r="U614" s="83">
        <v>2</v>
      </c>
      <c r="V614" s="49">
        <v>1</v>
      </c>
      <c r="W614" s="49">
        <v>1</v>
      </c>
      <c r="X614" s="58">
        <v>2</v>
      </c>
      <c r="Y614" s="83">
        <v>3</v>
      </c>
      <c r="AD614" s="49">
        <v>5</v>
      </c>
      <c r="AE614" s="49">
        <v>14</v>
      </c>
      <c r="AF614" s="49">
        <v>4</v>
      </c>
      <c r="AG614" s="49">
        <v>37</v>
      </c>
      <c r="AH614" s="49">
        <v>27</v>
      </c>
      <c r="AI614" s="49">
        <v>112</v>
      </c>
      <c r="AJ614" s="49">
        <v>0</v>
      </c>
      <c r="AK614" s="83">
        <v>0</v>
      </c>
      <c r="AL614" s="49">
        <v>0</v>
      </c>
      <c r="AM614" s="49">
        <v>0</v>
      </c>
      <c r="AN614" s="49">
        <v>0</v>
      </c>
      <c r="AO614" s="58">
        <v>0</v>
      </c>
      <c r="AP614" s="174" t="s">
        <v>284</v>
      </c>
      <c r="AQ614" s="175" t="s">
        <v>284</v>
      </c>
      <c r="AR614" s="175" t="s">
        <v>284</v>
      </c>
      <c r="AS614" s="175" t="s">
        <v>284</v>
      </c>
      <c r="AT614" s="175" t="s">
        <v>284</v>
      </c>
      <c r="AU614" s="175" t="s">
        <v>284</v>
      </c>
      <c r="AV614" s="175" t="s">
        <v>284</v>
      </c>
      <c r="AW614" s="175" t="s">
        <v>284</v>
      </c>
      <c r="AX614" s="83">
        <v>0</v>
      </c>
      <c r="AY614" s="49">
        <v>0</v>
      </c>
      <c r="AZ614" s="49">
        <v>0</v>
      </c>
      <c r="BA614" s="49">
        <v>0</v>
      </c>
      <c r="BB614" s="58">
        <v>0</v>
      </c>
      <c r="BC614" s="42">
        <v>155</v>
      </c>
      <c r="BE614" s="49"/>
      <c r="BS614" s="58"/>
      <c r="BT614" s="83"/>
      <c r="CE614" s="83"/>
      <c r="CK614" s="58"/>
      <c r="CL614" s="83"/>
      <c r="CO614" s="58"/>
      <c r="CP614" s="83"/>
      <c r="CR614" s="58"/>
      <c r="CS614" s="83"/>
      <c r="CY614" s="83"/>
      <c r="DG614" s="58"/>
      <c r="DH614" s="83"/>
      <c r="DQ614" s="83"/>
      <c r="EE614" s="58"/>
      <c r="EF614" s="83"/>
      <c r="EI614" s="83"/>
      <c r="EK614" s="58"/>
      <c r="EL614" s="83"/>
      <c r="EO614" s="58"/>
      <c r="EP614" s="83"/>
      <c r="EQ614" s="58"/>
      <c r="ER614" s="83"/>
      <c r="ES614" s="58"/>
      <c r="ET614" s="83"/>
      <c r="EU614" s="58"/>
    </row>
    <row r="615" spans="1:151">
      <c r="A615" s="83" t="s">
        <v>322</v>
      </c>
      <c r="B615" s="173" t="s">
        <v>198</v>
      </c>
      <c r="C615" s="173" t="s">
        <v>516</v>
      </c>
      <c r="D615" s="83" t="s">
        <v>68</v>
      </c>
      <c r="F615" s="49" t="s">
        <v>286</v>
      </c>
      <c r="G615" s="70">
        <v>8.7550000000000008</v>
      </c>
      <c r="I615" s="49">
        <v>1105</v>
      </c>
      <c r="J615" s="159">
        <v>3.3689024390243905</v>
      </c>
      <c r="K615" s="49">
        <v>1</v>
      </c>
      <c r="L615" s="49">
        <v>3</v>
      </c>
      <c r="M615" s="83">
        <v>1</v>
      </c>
      <c r="N615" s="49">
        <v>1</v>
      </c>
      <c r="O615" s="49">
        <v>0</v>
      </c>
      <c r="P615" s="49">
        <v>1</v>
      </c>
      <c r="Q615" s="58">
        <v>0</v>
      </c>
      <c r="R615" s="42">
        <v>3</v>
      </c>
      <c r="S615" s="83" t="s">
        <v>283</v>
      </c>
      <c r="T615" s="49">
        <v>12</v>
      </c>
      <c r="U615" s="83">
        <v>2</v>
      </c>
      <c r="V615" s="49">
        <v>3</v>
      </c>
      <c r="W615" s="49">
        <v>3</v>
      </c>
      <c r="X615" s="58">
        <v>1</v>
      </c>
      <c r="Y615" s="83">
        <v>2</v>
      </c>
      <c r="AE615" s="49">
        <v>4</v>
      </c>
      <c r="AF615" s="49">
        <v>14</v>
      </c>
      <c r="AG615" s="49">
        <v>158</v>
      </c>
      <c r="AH615" s="49">
        <v>15</v>
      </c>
      <c r="AI615" s="49">
        <v>289</v>
      </c>
      <c r="AJ615" s="49">
        <v>0</v>
      </c>
      <c r="AK615" s="83">
        <v>0</v>
      </c>
      <c r="AL615" s="49">
        <v>0</v>
      </c>
      <c r="AM615" s="49">
        <v>1</v>
      </c>
      <c r="AN615" s="49">
        <v>0</v>
      </c>
      <c r="AO615" s="58">
        <v>0</v>
      </c>
      <c r="AP615" s="174">
        <v>0</v>
      </c>
      <c r="AQ615" s="175">
        <v>0</v>
      </c>
      <c r="AR615" s="175">
        <v>0</v>
      </c>
      <c r="AS615" s="175">
        <v>361</v>
      </c>
      <c r="AT615" s="175">
        <v>0</v>
      </c>
      <c r="AU615" s="175">
        <v>0</v>
      </c>
      <c r="AV615" s="175">
        <v>0</v>
      </c>
      <c r="AW615" s="175">
        <v>0</v>
      </c>
      <c r="AX615" s="83">
        <v>0</v>
      </c>
      <c r="AY615" s="49">
        <v>0</v>
      </c>
      <c r="AZ615" s="49">
        <v>0</v>
      </c>
      <c r="BA615" s="49">
        <v>0</v>
      </c>
      <c r="BB615" s="58">
        <v>0</v>
      </c>
      <c r="BC615" s="42">
        <v>115</v>
      </c>
      <c r="BE615" s="49"/>
      <c r="BS615" s="58"/>
      <c r="BT615" s="83"/>
      <c r="CE615" s="83"/>
      <c r="CK615" s="58"/>
      <c r="CL615" s="83"/>
      <c r="CO615" s="58"/>
      <c r="CP615" s="83"/>
      <c r="CR615" s="58"/>
      <c r="CS615" s="83"/>
      <c r="CY615" s="83"/>
      <c r="DG615" s="58"/>
      <c r="DH615" s="83"/>
      <c r="DQ615" s="83"/>
      <c r="EE615" s="58"/>
      <c r="EF615" s="83"/>
      <c r="EI615" s="83"/>
      <c r="EK615" s="58"/>
      <c r="EL615" s="83"/>
      <c r="EO615" s="58"/>
      <c r="EP615" s="83"/>
      <c r="EQ615" s="58"/>
      <c r="ER615" s="83"/>
      <c r="ES615" s="58"/>
      <c r="ET615" s="83"/>
      <c r="EU615" s="58"/>
    </row>
    <row r="616" spans="1:151">
      <c r="A616" s="83" t="s">
        <v>322</v>
      </c>
      <c r="B616" s="173" t="s">
        <v>198</v>
      </c>
      <c r="C616" s="173" t="s">
        <v>516</v>
      </c>
      <c r="D616" s="83" t="s">
        <v>69</v>
      </c>
      <c r="F616" s="49" t="s">
        <v>286</v>
      </c>
      <c r="G616" s="70">
        <v>8.7550000000000008</v>
      </c>
      <c r="I616" s="49">
        <v>1223</v>
      </c>
      <c r="J616" s="159">
        <v>2.5426195426195428</v>
      </c>
      <c r="K616" s="49">
        <v>1</v>
      </c>
      <c r="M616" s="83">
        <v>1</v>
      </c>
      <c r="N616" s="49">
        <v>0</v>
      </c>
      <c r="O616" s="49">
        <v>0</v>
      </c>
      <c r="P616" s="49">
        <v>1</v>
      </c>
      <c r="Q616" s="58">
        <v>0</v>
      </c>
      <c r="R616" s="42">
        <v>2</v>
      </c>
      <c r="S616" s="83">
        <v>1</v>
      </c>
      <c r="U616" s="83">
        <v>1</v>
      </c>
      <c r="V616" s="49">
        <v>2</v>
      </c>
      <c r="W616" s="49">
        <v>1</v>
      </c>
      <c r="X616" s="58">
        <v>2</v>
      </c>
      <c r="Y616" s="83">
        <v>3</v>
      </c>
      <c r="AD616" s="49">
        <v>4</v>
      </c>
      <c r="AE616" s="49">
        <v>48</v>
      </c>
      <c r="AF616" s="49">
        <v>7</v>
      </c>
      <c r="AG616" s="49">
        <v>18</v>
      </c>
      <c r="AH616" s="49">
        <v>8</v>
      </c>
      <c r="AI616" s="49">
        <v>241</v>
      </c>
      <c r="AJ616" s="49">
        <v>0</v>
      </c>
      <c r="AK616" s="83">
        <v>0</v>
      </c>
      <c r="AL616" s="49">
        <v>1</v>
      </c>
      <c r="AM616" s="49">
        <v>0</v>
      </c>
      <c r="AN616" s="49">
        <v>0</v>
      </c>
      <c r="AO616" s="58">
        <v>0</v>
      </c>
      <c r="AP616" s="174">
        <v>0</v>
      </c>
      <c r="AQ616" s="175">
        <v>661</v>
      </c>
      <c r="AR616" s="175">
        <v>0</v>
      </c>
      <c r="AS616" s="175">
        <v>0</v>
      </c>
      <c r="AT616" s="175">
        <v>0</v>
      </c>
      <c r="AU616" s="175">
        <v>0</v>
      </c>
      <c r="AV616" s="175">
        <v>0</v>
      </c>
      <c r="AW616" s="175">
        <v>0</v>
      </c>
      <c r="AX616" s="83">
        <v>0</v>
      </c>
      <c r="AY616" s="49">
        <v>0</v>
      </c>
      <c r="AZ616" s="49">
        <v>0</v>
      </c>
      <c r="BA616" s="49">
        <v>0</v>
      </c>
      <c r="BB616" s="58">
        <v>0</v>
      </c>
      <c r="BC616" s="42">
        <v>155</v>
      </c>
      <c r="BE616" s="49"/>
      <c r="BS616" s="58"/>
      <c r="BT616" s="83"/>
      <c r="CE616" s="83"/>
      <c r="CK616" s="58"/>
      <c r="CL616" s="83"/>
      <c r="CO616" s="58"/>
      <c r="CP616" s="83"/>
      <c r="CR616" s="58"/>
      <c r="CS616" s="83"/>
      <c r="CY616" s="83"/>
      <c r="DG616" s="58"/>
      <c r="DH616" s="83"/>
      <c r="DQ616" s="83"/>
      <c r="EE616" s="58"/>
      <c r="EF616" s="83"/>
      <c r="EI616" s="83"/>
      <c r="EK616" s="58"/>
      <c r="EL616" s="83"/>
      <c r="EO616" s="58"/>
      <c r="EP616" s="83"/>
      <c r="EQ616" s="58"/>
      <c r="ER616" s="83"/>
      <c r="ES616" s="58"/>
      <c r="ET616" s="83"/>
      <c r="EU616" s="58"/>
    </row>
    <row r="617" spans="1:151">
      <c r="A617" s="83" t="s">
        <v>322</v>
      </c>
      <c r="B617" s="173" t="s">
        <v>198</v>
      </c>
      <c r="C617" s="173" t="s">
        <v>516</v>
      </c>
      <c r="D617" s="83" t="s">
        <v>75</v>
      </c>
      <c r="F617" s="49" t="s">
        <v>287</v>
      </c>
      <c r="G617" s="70">
        <v>8.7550000000000008</v>
      </c>
      <c r="I617" s="49">
        <v>881</v>
      </c>
      <c r="J617" s="159">
        <v>3.2509225092250924</v>
      </c>
      <c r="K617" s="49">
        <v>1</v>
      </c>
      <c r="L617" s="49">
        <v>2</v>
      </c>
      <c r="M617" s="83">
        <v>1</v>
      </c>
      <c r="N617" s="49">
        <v>0</v>
      </c>
      <c r="O617" s="49">
        <v>0</v>
      </c>
      <c r="P617" s="49">
        <v>1</v>
      </c>
      <c r="Q617" s="58">
        <v>0</v>
      </c>
      <c r="R617" s="42">
        <v>2</v>
      </c>
      <c r="S617" s="83">
        <v>1</v>
      </c>
      <c r="U617" s="83">
        <v>1</v>
      </c>
      <c r="V617" s="49">
        <v>3</v>
      </c>
      <c r="W617" s="49">
        <v>1</v>
      </c>
      <c r="X617" s="58">
        <v>2</v>
      </c>
      <c r="Y617" s="83">
        <v>3</v>
      </c>
      <c r="Z617" s="49">
        <v>4</v>
      </c>
      <c r="AA617" s="49">
        <v>11</v>
      </c>
      <c r="AD617" s="49">
        <v>6</v>
      </c>
      <c r="AE617" s="49">
        <v>63</v>
      </c>
      <c r="AF617" s="49">
        <v>3</v>
      </c>
      <c r="AG617" s="49">
        <v>13</v>
      </c>
      <c r="AH617" s="49">
        <v>7</v>
      </c>
      <c r="AI617" s="49">
        <v>247</v>
      </c>
      <c r="AJ617" s="49">
        <v>0</v>
      </c>
      <c r="AK617" s="83">
        <v>0</v>
      </c>
      <c r="AL617" s="49">
        <v>0</v>
      </c>
      <c r="AM617" s="49">
        <v>0</v>
      </c>
      <c r="AN617" s="49">
        <v>0</v>
      </c>
      <c r="AO617" s="58">
        <v>0</v>
      </c>
      <c r="AP617" s="174" t="s">
        <v>284</v>
      </c>
      <c r="AQ617" s="175" t="s">
        <v>284</v>
      </c>
      <c r="AR617" s="175" t="s">
        <v>284</v>
      </c>
      <c r="AS617" s="175" t="s">
        <v>284</v>
      </c>
      <c r="AT617" s="175" t="s">
        <v>284</v>
      </c>
      <c r="AU617" s="175" t="s">
        <v>284</v>
      </c>
      <c r="AV617" s="175" t="s">
        <v>284</v>
      </c>
      <c r="AW617" s="175" t="s">
        <v>284</v>
      </c>
      <c r="AX617" s="83">
        <v>0</v>
      </c>
      <c r="AY617" s="49">
        <v>0</v>
      </c>
      <c r="AZ617" s="49">
        <v>0</v>
      </c>
      <c r="BA617" s="49">
        <v>0</v>
      </c>
      <c r="BB617" s="58">
        <v>0</v>
      </c>
      <c r="BC617" s="42">
        <v>138</v>
      </c>
      <c r="BE617" s="49"/>
      <c r="BS617" s="58"/>
      <c r="BT617" s="83"/>
      <c r="CE617" s="83"/>
      <c r="CK617" s="58"/>
      <c r="CL617" s="83"/>
      <c r="CO617" s="58"/>
      <c r="CP617" s="83"/>
      <c r="CR617" s="58"/>
      <c r="CS617" s="83"/>
      <c r="CY617" s="83"/>
      <c r="DG617" s="58"/>
      <c r="DH617" s="83"/>
      <c r="DQ617" s="83"/>
      <c r="EE617" s="58"/>
      <c r="EF617" s="83"/>
      <c r="EI617" s="83"/>
      <c r="EK617" s="58"/>
      <c r="EL617" s="83"/>
      <c r="EO617" s="58"/>
      <c r="EP617" s="83"/>
      <c r="EQ617" s="58"/>
      <c r="ER617" s="83"/>
      <c r="ES617" s="58"/>
      <c r="ET617" s="83"/>
      <c r="EU617" s="58"/>
    </row>
    <row r="618" spans="1:151">
      <c r="A618" s="83" t="s">
        <v>322</v>
      </c>
      <c r="B618" s="173" t="s">
        <v>198</v>
      </c>
      <c r="C618" s="173" t="s">
        <v>516</v>
      </c>
      <c r="D618" s="83" t="s">
        <v>76</v>
      </c>
      <c r="E618" s="49" t="s">
        <v>0</v>
      </c>
      <c r="F618" s="49" t="s">
        <v>286</v>
      </c>
      <c r="G618" s="70">
        <v>8.7550000000000008</v>
      </c>
      <c r="I618" s="49">
        <v>1017</v>
      </c>
      <c r="J618" s="159">
        <v>1.1716589861751152</v>
      </c>
      <c r="K618" s="49">
        <v>1</v>
      </c>
      <c r="L618" s="49">
        <v>3</v>
      </c>
      <c r="M618" s="83">
        <v>1</v>
      </c>
      <c r="N618" s="49">
        <v>0</v>
      </c>
      <c r="O618" s="49">
        <v>0</v>
      </c>
      <c r="P618" s="49">
        <v>1</v>
      </c>
      <c r="Q618" s="58">
        <v>0</v>
      </c>
      <c r="R618" s="42">
        <v>2</v>
      </c>
      <c r="S618" s="83">
        <v>1</v>
      </c>
      <c r="U618" s="83">
        <v>1</v>
      </c>
      <c r="V618" s="49">
        <v>3</v>
      </c>
      <c r="W618" s="49">
        <v>1</v>
      </c>
      <c r="X618" s="58">
        <v>2</v>
      </c>
      <c r="Y618" s="83">
        <v>2</v>
      </c>
      <c r="Z618" s="49">
        <v>9</v>
      </c>
      <c r="AA618" s="49">
        <v>9</v>
      </c>
      <c r="AB618" s="49">
        <v>9</v>
      </c>
      <c r="AC618" s="49">
        <v>9</v>
      </c>
      <c r="AD618" s="49">
        <v>4</v>
      </c>
      <c r="AE618" s="49">
        <v>13</v>
      </c>
      <c r="AH618" s="49">
        <v>28</v>
      </c>
      <c r="AI618" s="49">
        <v>129</v>
      </c>
      <c r="AJ618" s="49">
        <v>0</v>
      </c>
      <c r="AK618" s="83">
        <v>0</v>
      </c>
      <c r="AL618" s="49">
        <v>0</v>
      </c>
      <c r="AM618" s="49">
        <v>0</v>
      </c>
      <c r="AN618" s="49">
        <v>0</v>
      </c>
      <c r="AO618" s="58">
        <v>0</v>
      </c>
      <c r="AP618" s="174" t="s">
        <v>284</v>
      </c>
      <c r="AQ618" s="175" t="s">
        <v>284</v>
      </c>
      <c r="AR618" s="175" t="s">
        <v>284</v>
      </c>
      <c r="AS618" s="175" t="s">
        <v>284</v>
      </c>
      <c r="AT618" s="175" t="s">
        <v>284</v>
      </c>
      <c r="AU618" s="175" t="s">
        <v>284</v>
      </c>
      <c r="AV618" s="175" t="s">
        <v>284</v>
      </c>
      <c r="AW618" s="175" t="s">
        <v>284</v>
      </c>
      <c r="AX618" s="83">
        <v>0</v>
      </c>
      <c r="AY618" s="49">
        <v>0</v>
      </c>
      <c r="AZ618" s="49">
        <v>0</v>
      </c>
      <c r="BA618" s="49">
        <v>0</v>
      </c>
      <c r="BB618" s="58">
        <v>0</v>
      </c>
      <c r="BC618" s="42">
        <v>161</v>
      </c>
      <c r="BD618" s="49">
        <v>60.38</v>
      </c>
      <c r="BE618" s="49"/>
      <c r="BH618" s="49">
        <v>60.38</v>
      </c>
      <c r="BS618" s="58"/>
      <c r="BT618" s="83">
        <v>61.43</v>
      </c>
      <c r="BU618" s="49">
        <v>56.05</v>
      </c>
      <c r="CE618" s="83"/>
      <c r="CK618" s="58"/>
      <c r="CL618" s="83">
        <v>49.66</v>
      </c>
      <c r="CO618" s="58"/>
      <c r="CP618" s="83"/>
      <c r="CR618" s="58"/>
      <c r="CS618" s="83"/>
      <c r="CY618" s="83"/>
      <c r="DG618" s="58"/>
      <c r="DH618" s="83"/>
      <c r="DQ618" s="83"/>
      <c r="EE618" s="58"/>
      <c r="EF618" s="83"/>
      <c r="EI618" s="83"/>
      <c r="EK618" s="58"/>
      <c r="EL618" s="83"/>
      <c r="EO618" s="58"/>
      <c r="EP618" s="83"/>
      <c r="EQ618" s="58"/>
      <c r="ER618" s="83"/>
      <c r="ES618" s="58"/>
      <c r="ET618" s="83"/>
      <c r="EU618" s="58"/>
    </row>
    <row r="619" spans="1:151">
      <c r="A619" s="83" t="s">
        <v>322</v>
      </c>
      <c r="B619" s="173" t="s">
        <v>198</v>
      </c>
      <c r="C619" s="173" t="s">
        <v>516</v>
      </c>
      <c r="D619" s="83" t="s">
        <v>76</v>
      </c>
      <c r="E619" s="49" t="s">
        <v>1</v>
      </c>
      <c r="F619" s="49" t="s">
        <v>286</v>
      </c>
      <c r="G619" s="70">
        <v>8.7550000000000008</v>
      </c>
      <c r="I619" s="49">
        <v>1038</v>
      </c>
      <c r="J619" s="159">
        <v>1.1623740201567749</v>
      </c>
      <c r="K619" s="49">
        <v>1</v>
      </c>
      <c r="L619" s="49">
        <v>2</v>
      </c>
      <c r="M619" s="83">
        <v>1</v>
      </c>
      <c r="N619" s="49">
        <v>0</v>
      </c>
      <c r="O619" s="49">
        <v>0</v>
      </c>
      <c r="P619" s="49">
        <v>1</v>
      </c>
      <c r="Q619" s="58">
        <v>0</v>
      </c>
      <c r="R619" s="42">
        <v>2</v>
      </c>
      <c r="S619" s="83">
        <v>1</v>
      </c>
      <c r="U619" s="83">
        <v>1</v>
      </c>
      <c r="V619" s="49">
        <v>3</v>
      </c>
      <c r="W619" s="49">
        <v>1</v>
      </c>
      <c r="X619" s="58">
        <v>2</v>
      </c>
      <c r="Y619" s="83">
        <v>3</v>
      </c>
      <c r="Z619" s="49">
        <v>4</v>
      </c>
      <c r="AA619" s="49">
        <v>5</v>
      </c>
      <c r="AD619" s="49">
        <v>15</v>
      </c>
      <c r="AE619" s="49">
        <v>47</v>
      </c>
      <c r="AF619" s="49">
        <v>9</v>
      </c>
      <c r="AG619" s="49">
        <v>113</v>
      </c>
      <c r="AH619" s="49">
        <v>36</v>
      </c>
      <c r="AI619" s="49">
        <v>109</v>
      </c>
      <c r="AJ619" s="49">
        <v>0</v>
      </c>
      <c r="AK619" s="83">
        <v>0</v>
      </c>
      <c r="AL619" s="49">
        <v>0</v>
      </c>
      <c r="AM619" s="49">
        <v>0</v>
      </c>
      <c r="AN619" s="49">
        <v>0</v>
      </c>
      <c r="AO619" s="58">
        <v>0</v>
      </c>
      <c r="AP619" s="174" t="s">
        <v>284</v>
      </c>
      <c r="AQ619" s="175" t="s">
        <v>284</v>
      </c>
      <c r="AR619" s="175" t="s">
        <v>284</v>
      </c>
      <c r="AS619" s="175" t="s">
        <v>284</v>
      </c>
      <c r="AT619" s="175" t="s">
        <v>284</v>
      </c>
      <c r="AU619" s="175" t="s">
        <v>284</v>
      </c>
      <c r="AV619" s="175" t="s">
        <v>284</v>
      </c>
      <c r="AW619" s="175" t="s">
        <v>284</v>
      </c>
      <c r="AX619" s="83">
        <v>0</v>
      </c>
      <c r="AY619" s="49">
        <v>0</v>
      </c>
      <c r="AZ619" s="49">
        <v>0</v>
      </c>
      <c r="BA619" s="49">
        <v>0</v>
      </c>
      <c r="BB619" s="58">
        <v>0</v>
      </c>
      <c r="BC619" s="42">
        <v>161</v>
      </c>
      <c r="BE619" s="49"/>
      <c r="BS619" s="58"/>
      <c r="BT619" s="83">
        <v>56.32</v>
      </c>
      <c r="BU619" s="49">
        <v>62.78</v>
      </c>
      <c r="CE619" s="83"/>
      <c r="CK619" s="58"/>
      <c r="CL619" s="83"/>
      <c r="CO619" s="58"/>
      <c r="CP619" s="83"/>
      <c r="CR619" s="58"/>
      <c r="CS619" s="83"/>
      <c r="CY619" s="83"/>
      <c r="DG619" s="58"/>
      <c r="DH619" s="83"/>
      <c r="DQ619" s="83"/>
      <c r="EE619" s="58"/>
      <c r="EF619" s="83"/>
      <c r="EI619" s="83"/>
      <c r="EK619" s="58"/>
      <c r="EL619" s="83"/>
      <c r="EO619" s="58"/>
      <c r="EP619" s="83"/>
      <c r="EQ619" s="58"/>
      <c r="ER619" s="83"/>
      <c r="ES619" s="58"/>
      <c r="ET619" s="83"/>
      <c r="EU619" s="58"/>
    </row>
    <row r="620" spans="1:151">
      <c r="A620" s="83" t="s">
        <v>322</v>
      </c>
      <c r="B620" s="173" t="s">
        <v>198</v>
      </c>
      <c r="C620" s="173" t="s">
        <v>516</v>
      </c>
      <c r="D620" s="83" t="s">
        <v>73</v>
      </c>
      <c r="E620" s="49" t="s">
        <v>0</v>
      </c>
      <c r="F620" s="49" t="s">
        <v>287</v>
      </c>
      <c r="G620" s="70">
        <v>8.7550000000000008</v>
      </c>
      <c r="I620" s="49">
        <v>588</v>
      </c>
      <c r="J620" s="159">
        <v>1.0652173913043479</v>
      </c>
      <c r="K620" s="49">
        <v>1</v>
      </c>
      <c r="L620" s="49">
        <v>2</v>
      </c>
      <c r="M620" s="83">
        <v>1</v>
      </c>
      <c r="N620" s="49">
        <v>0</v>
      </c>
      <c r="O620" s="49">
        <v>0</v>
      </c>
      <c r="P620" s="49">
        <v>1</v>
      </c>
      <c r="Q620" s="58">
        <v>0</v>
      </c>
      <c r="R620" s="42">
        <v>2</v>
      </c>
      <c r="S620" s="83">
        <v>1</v>
      </c>
      <c r="U620" s="83">
        <v>2</v>
      </c>
      <c r="V620" s="49">
        <v>2</v>
      </c>
      <c r="W620" s="49">
        <v>1</v>
      </c>
      <c r="X620" s="58">
        <v>2</v>
      </c>
      <c r="Y620" s="83">
        <v>0</v>
      </c>
      <c r="AJ620" s="49">
        <v>0</v>
      </c>
      <c r="AK620" s="83">
        <v>0</v>
      </c>
      <c r="AL620" s="49">
        <v>0</v>
      </c>
      <c r="AM620" s="49">
        <v>0</v>
      </c>
      <c r="AN620" s="49">
        <v>0</v>
      </c>
      <c r="AO620" s="58">
        <v>0</v>
      </c>
      <c r="AP620" s="174" t="s">
        <v>284</v>
      </c>
      <c r="AQ620" s="175" t="s">
        <v>284</v>
      </c>
      <c r="AR620" s="175" t="s">
        <v>284</v>
      </c>
      <c r="AS620" s="175" t="s">
        <v>284</v>
      </c>
      <c r="AT620" s="175" t="s">
        <v>284</v>
      </c>
      <c r="AU620" s="175" t="s">
        <v>284</v>
      </c>
      <c r="AV620" s="175" t="s">
        <v>284</v>
      </c>
      <c r="AW620" s="175" t="s">
        <v>284</v>
      </c>
      <c r="AX620" s="83">
        <v>0</v>
      </c>
      <c r="AY620" s="49">
        <v>0</v>
      </c>
      <c r="AZ620" s="49">
        <v>0</v>
      </c>
      <c r="BA620" s="49">
        <v>0</v>
      </c>
      <c r="BB620" s="58">
        <v>0</v>
      </c>
      <c r="BC620" s="42">
        <v>162</v>
      </c>
      <c r="BD620" s="49">
        <v>58.61</v>
      </c>
      <c r="BE620" s="49"/>
      <c r="BS620" s="58"/>
      <c r="BT620" s="83">
        <v>57.97</v>
      </c>
      <c r="CE620" s="83">
        <v>62.54</v>
      </c>
      <c r="CK620" s="58"/>
      <c r="CL620" s="83"/>
      <c r="CO620" s="58"/>
      <c r="CP620" s="83"/>
      <c r="CR620" s="58"/>
      <c r="CS620" s="83"/>
      <c r="CY620" s="83"/>
      <c r="DG620" s="58"/>
      <c r="DH620" s="83"/>
      <c r="DQ620" s="83"/>
      <c r="EE620" s="58"/>
      <c r="EF620" s="83"/>
      <c r="EI620" s="83"/>
      <c r="EK620" s="58"/>
      <c r="EL620" s="83"/>
      <c r="EO620" s="58"/>
      <c r="EP620" s="83"/>
      <c r="EQ620" s="58"/>
      <c r="ER620" s="83"/>
      <c r="ES620" s="58"/>
      <c r="ET620" s="83"/>
      <c r="EU620" s="58"/>
    </row>
    <row r="621" spans="1:151">
      <c r="A621" s="83" t="s">
        <v>322</v>
      </c>
      <c r="B621" s="173" t="s">
        <v>198</v>
      </c>
      <c r="C621" s="173" t="s">
        <v>516</v>
      </c>
      <c r="D621" s="83" t="s">
        <v>73</v>
      </c>
      <c r="E621" s="49" t="s">
        <v>1</v>
      </c>
      <c r="F621" s="49" t="s">
        <v>286</v>
      </c>
      <c r="G621" s="70">
        <v>8.7550000000000008</v>
      </c>
      <c r="I621" s="49">
        <v>2402</v>
      </c>
      <c r="J621" s="159">
        <v>2.7295454545454545</v>
      </c>
      <c r="K621" s="49">
        <v>1</v>
      </c>
      <c r="L621" s="49">
        <v>2</v>
      </c>
      <c r="M621" s="83">
        <v>1</v>
      </c>
      <c r="N621" s="49">
        <v>0</v>
      </c>
      <c r="O621" s="49">
        <v>0</v>
      </c>
      <c r="P621" s="49">
        <v>1</v>
      </c>
      <c r="Q621" s="58">
        <v>0</v>
      </c>
      <c r="R621" s="42">
        <v>2</v>
      </c>
      <c r="S621" s="83">
        <v>1</v>
      </c>
      <c r="U621" s="83">
        <v>0</v>
      </c>
      <c r="V621" s="49">
        <v>0</v>
      </c>
      <c r="W621" s="49">
        <v>0</v>
      </c>
      <c r="X621" s="58"/>
      <c r="Y621" s="83">
        <v>5</v>
      </c>
      <c r="AD621" s="49">
        <v>6</v>
      </c>
      <c r="AE621" s="49">
        <v>40</v>
      </c>
      <c r="AH621" s="49">
        <v>30</v>
      </c>
      <c r="AI621" s="49">
        <v>235</v>
      </c>
      <c r="AJ621" s="49">
        <v>0</v>
      </c>
      <c r="AK621" s="83">
        <v>0</v>
      </c>
      <c r="AL621" s="49">
        <v>1</v>
      </c>
      <c r="AM621" s="49">
        <v>0</v>
      </c>
      <c r="AN621" s="49">
        <v>0</v>
      </c>
      <c r="AO621" s="58">
        <v>0</v>
      </c>
      <c r="AP621" s="174">
        <v>0</v>
      </c>
      <c r="AQ621" s="175">
        <v>346</v>
      </c>
      <c r="AR621" s="175" t="s">
        <v>284</v>
      </c>
      <c r="AS621" s="175" t="s">
        <v>284</v>
      </c>
      <c r="AT621" s="175" t="s">
        <v>284</v>
      </c>
      <c r="AU621" s="175" t="s">
        <v>284</v>
      </c>
      <c r="AV621" s="175" t="s">
        <v>284</v>
      </c>
      <c r="AW621" s="175" t="s">
        <v>284</v>
      </c>
      <c r="AX621" s="83">
        <v>0</v>
      </c>
      <c r="AY621" s="49">
        <v>0</v>
      </c>
      <c r="AZ621" s="49">
        <v>0</v>
      </c>
      <c r="BA621" s="49">
        <v>0</v>
      </c>
      <c r="BB621" s="58">
        <v>0</v>
      </c>
      <c r="BC621" s="42">
        <v>162</v>
      </c>
      <c r="BD621" s="49">
        <v>58.57</v>
      </c>
      <c r="BE621" s="49"/>
      <c r="BS621" s="58"/>
      <c r="BT621" s="83">
        <v>59.25</v>
      </c>
      <c r="CE621" s="83">
        <v>52.76</v>
      </c>
      <c r="CK621" s="58"/>
      <c r="CL621" s="83"/>
      <c r="CO621" s="58"/>
      <c r="CP621" s="83"/>
      <c r="CR621" s="58"/>
      <c r="CS621" s="83"/>
      <c r="CY621" s="83"/>
      <c r="DG621" s="58"/>
      <c r="DH621" s="83"/>
      <c r="DQ621" s="83"/>
      <c r="EE621" s="58"/>
      <c r="EF621" s="83"/>
      <c r="EI621" s="83"/>
      <c r="EK621" s="58"/>
      <c r="EL621" s="83"/>
      <c r="EO621" s="58"/>
      <c r="EP621" s="83"/>
      <c r="EQ621" s="58"/>
      <c r="ER621" s="83"/>
      <c r="ES621" s="58"/>
      <c r="ET621" s="83"/>
      <c r="EU621" s="58"/>
    </row>
    <row r="622" spans="1:151">
      <c r="A622" s="83" t="s">
        <v>322</v>
      </c>
      <c r="B622" s="173" t="s">
        <v>198</v>
      </c>
      <c r="C622" s="173" t="s">
        <v>516</v>
      </c>
      <c r="D622" s="83" t="s">
        <v>81</v>
      </c>
      <c r="F622" s="49" t="s">
        <v>286</v>
      </c>
      <c r="G622" s="70">
        <v>8.7550000000000008</v>
      </c>
      <c r="I622" s="49">
        <v>1759</v>
      </c>
      <c r="J622" s="159">
        <v>4.2590799031476996</v>
      </c>
      <c r="K622" s="49">
        <v>1</v>
      </c>
      <c r="L622" s="49">
        <v>2</v>
      </c>
      <c r="M622" s="83">
        <v>1</v>
      </c>
      <c r="N622" s="49">
        <v>0</v>
      </c>
      <c r="O622" s="49">
        <v>0</v>
      </c>
      <c r="P622" s="49">
        <v>0</v>
      </c>
      <c r="Q622" s="58">
        <v>0</v>
      </c>
      <c r="R622" s="42">
        <v>1</v>
      </c>
      <c r="S622" s="83">
        <v>1</v>
      </c>
      <c r="U622" s="83">
        <v>0</v>
      </c>
      <c r="V622" s="49">
        <v>0</v>
      </c>
      <c r="W622" s="49">
        <v>0</v>
      </c>
      <c r="X622" s="58"/>
      <c r="Y622" s="83">
        <v>5</v>
      </c>
      <c r="AD622" s="49">
        <v>7</v>
      </c>
      <c r="AE622" s="49">
        <v>18</v>
      </c>
      <c r="AF622" s="49">
        <v>8</v>
      </c>
      <c r="AG622" s="49">
        <v>32</v>
      </c>
      <c r="AH622" s="49">
        <v>12</v>
      </c>
      <c r="AI622" s="49">
        <v>258</v>
      </c>
      <c r="AJ622" s="49">
        <v>0</v>
      </c>
      <c r="AK622" s="83">
        <v>0</v>
      </c>
      <c r="AL622" s="49">
        <v>0</v>
      </c>
      <c r="AM622" s="49">
        <v>0</v>
      </c>
      <c r="AN622" s="49">
        <v>0</v>
      </c>
      <c r="AO622" s="58">
        <v>0</v>
      </c>
      <c r="AP622" s="174" t="s">
        <v>284</v>
      </c>
      <c r="AQ622" s="175" t="s">
        <v>284</v>
      </c>
      <c r="AR622" s="175" t="s">
        <v>284</v>
      </c>
      <c r="AS622" s="175" t="s">
        <v>284</v>
      </c>
      <c r="AT622" s="175" t="s">
        <v>284</v>
      </c>
      <c r="AU622" s="175" t="s">
        <v>284</v>
      </c>
      <c r="AV622" s="175" t="s">
        <v>284</v>
      </c>
      <c r="AW622" s="175" t="s">
        <v>284</v>
      </c>
      <c r="AX622" s="83">
        <v>0</v>
      </c>
      <c r="AY622" s="49">
        <v>0</v>
      </c>
      <c r="AZ622" s="49">
        <v>0</v>
      </c>
      <c r="BA622" s="49">
        <v>0</v>
      </c>
      <c r="BB622" s="58">
        <v>0</v>
      </c>
      <c r="BC622" s="42">
        <v>185</v>
      </c>
      <c r="BD622" s="49">
        <v>57.82</v>
      </c>
      <c r="BE622" s="49">
        <v>57.51</v>
      </c>
      <c r="BS622" s="58"/>
      <c r="BT622" s="83">
        <v>59.63</v>
      </c>
      <c r="CE622" s="83"/>
      <c r="CK622" s="58"/>
      <c r="CL622" s="83">
        <v>49.8</v>
      </c>
      <c r="CO622" s="58"/>
      <c r="CP622" s="83"/>
      <c r="CR622" s="58"/>
      <c r="CS622" s="83"/>
      <c r="CY622" s="83"/>
      <c r="DG622" s="58"/>
      <c r="DH622" s="83"/>
      <c r="DQ622" s="83"/>
      <c r="EE622" s="58"/>
      <c r="EF622" s="83"/>
      <c r="EI622" s="83"/>
      <c r="EK622" s="58"/>
      <c r="EL622" s="83"/>
      <c r="EO622" s="58"/>
      <c r="EP622" s="83"/>
      <c r="EQ622" s="58"/>
      <c r="ER622" s="83"/>
      <c r="ES622" s="58"/>
      <c r="ET622" s="83"/>
      <c r="EU622" s="58"/>
    </row>
    <row r="623" spans="1:151">
      <c r="A623" s="83" t="s">
        <v>322</v>
      </c>
      <c r="B623" s="173" t="s">
        <v>198</v>
      </c>
      <c r="C623" s="173" t="s">
        <v>516</v>
      </c>
      <c r="D623" s="83" t="s">
        <v>87</v>
      </c>
      <c r="F623" s="49" t="s">
        <v>286</v>
      </c>
      <c r="G623" s="70">
        <v>8.7550000000000008</v>
      </c>
      <c r="I623" s="49">
        <v>1963</v>
      </c>
      <c r="J623" s="159">
        <v>4.6849642004773271</v>
      </c>
      <c r="K623" s="49">
        <v>1</v>
      </c>
      <c r="L623" s="49">
        <v>3</v>
      </c>
      <c r="M623" s="83">
        <v>1</v>
      </c>
      <c r="N623" s="49">
        <v>0</v>
      </c>
      <c r="O623" s="49">
        <v>0</v>
      </c>
      <c r="P623" s="49">
        <v>1</v>
      </c>
      <c r="Q623" s="58">
        <v>0</v>
      </c>
      <c r="R623" s="42">
        <v>2</v>
      </c>
      <c r="S623" s="83" t="s">
        <v>283</v>
      </c>
      <c r="T623" s="49">
        <v>10</v>
      </c>
      <c r="U623" s="83">
        <v>3</v>
      </c>
      <c r="V623" s="49">
        <v>2</v>
      </c>
      <c r="W623" s="49">
        <v>1</v>
      </c>
      <c r="X623" s="58">
        <v>2</v>
      </c>
      <c r="Y623" s="83">
        <v>1</v>
      </c>
      <c r="AD623" s="49">
        <v>8</v>
      </c>
      <c r="AE623" s="49">
        <v>43</v>
      </c>
      <c r="AF623" s="49">
        <v>5</v>
      </c>
      <c r="AG623" s="49">
        <v>158</v>
      </c>
      <c r="AH623" s="49">
        <v>17</v>
      </c>
      <c r="AI623" s="49">
        <v>83</v>
      </c>
      <c r="AJ623" s="49">
        <v>0</v>
      </c>
      <c r="AK623" s="83">
        <v>0</v>
      </c>
      <c r="AL623" s="49">
        <v>0</v>
      </c>
      <c r="AM623" s="49">
        <v>1</v>
      </c>
      <c r="AN623" s="49">
        <v>0</v>
      </c>
      <c r="AO623" s="58">
        <v>0</v>
      </c>
      <c r="AP623" s="174">
        <v>0</v>
      </c>
      <c r="AQ623" s="175">
        <v>0</v>
      </c>
      <c r="AR623" s="175">
        <v>244</v>
      </c>
      <c r="AS623" s="175">
        <v>280</v>
      </c>
      <c r="AT623" s="175">
        <v>0</v>
      </c>
      <c r="AU623" s="175">
        <v>0</v>
      </c>
      <c r="AV623" s="175">
        <v>0</v>
      </c>
      <c r="AW623" s="175">
        <v>0</v>
      </c>
      <c r="AX623" s="83">
        <v>0</v>
      </c>
      <c r="AY623" s="49">
        <v>0</v>
      </c>
      <c r="AZ623" s="49">
        <v>0</v>
      </c>
      <c r="BA623" s="49">
        <v>0</v>
      </c>
      <c r="BB623" s="58">
        <v>0</v>
      </c>
      <c r="BC623" s="42">
        <v>105</v>
      </c>
      <c r="BE623" s="49"/>
      <c r="BS623" s="58"/>
      <c r="BT623" s="83"/>
      <c r="CE623" s="83"/>
      <c r="CK623" s="58"/>
      <c r="CL623" s="83"/>
      <c r="CO623" s="58"/>
      <c r="CP623" s="83"/>
      <c r="CR623" s="58"/>
      <c r="CS623" s="83"/>
      <c r="CY623" s="83"/>
      <c r="DG623" s="58"/>
      <c r="DH623" s="83"/>
      <c r="DQ623" s="83"/>
      <c r="EE623" s="58"/>
      <c r="EF623" s="83"/>
      <c r="EI623" s="83"/>
      <c r="EK623" s="58"/>
      <c r="EL623" s="83"/>
      <c r="EO623" s="58"/>
      <c r="EP623" s="83"/>
      <c r="EQ623" s="58"/>
      <c r="ER623" s="83"/>
      <c r="ES623" s="58"/>
      <c r="ET623" s="83"/>
      <c r="EU623" s="58"/>
    </row>
    <row r="624" spans="1:151">
      <c r="A624" s="83" t="s">
        <v>322</v>
      </c>
      <c r="B624" s="173" t="s">
        <v>198</v>
      </c>
      <c r="C624" s="173" t="s">
        <v>516</v>
      </c>
      <c r="D624" s="83" t="s">
        <v>174</v>
      </c>
      <c r="F624" s="49" t="s">
        <v>286</v>
      </c>
      <c r="G624" s="70">
        <v>8.7550000000000008</v>
      </c>
      <c r="I624" s="49">
        <v>2309</v>
      </c>
      <c r="J624" s="159">
        <v>6.1409574468085104</v>
      </c>
      <c r="K624" s="49">
        <v>1</v>
      </c>
      <c r="L624" s="49">
        <v>2</v>
      </c>
      <c r="M624" s="83">
        <v>1</v>
      </c>
      <c r="N624" s="49">
        <v>0</v>
      </c>
      <c r="O624" s="49">
        <v>0</v>
      </c>
      <c r="P624" s="49">
        <v>1</v>
      </c>
      <c r="Q624" s="58">
        <v>0</v>
      </c>
      <c r="R624" s="42">
        <v>2</v>
      </c>
      <c r="S624" s="83" t="s">
        <v>283</v>
      </c>
      <c r="U624" s="83">
        <v>1</v>
      </c>
      <c r="V624" s="49">
        <v>2</v>
      </c>
      <c r="W624" s="49">
        <v>1</v>
      </c>
      <c r="X624" s="58">
        <v>2</v>
      </c>
      <c r="Y624" s="83">
        <v>1</v>
      </c>
      <c r="AD624" s="49">
        <v>11</v>
      </c>
      <c r="AE624" s="49">
        <v>17</v>
      </c>
      <c r="AF624" s="49">
        <v>10</v>
      </c>
      <c r="AG624" s="49">
        <v>31</v>
      </c>
      <c r="AH624" s="49">
        <v>61</v>
      </c>
      <c r="AI624" s="49">
        <v>62</v>
      </c>
      <c r="AJ624" s="49">
        <v>0</v>
      </c>
      <c r="AK624" s="83">
        <v>0</v>
      </c>
      <c r="AL624" s="49">
        <v>1</v>
      </c>
      <c r="AM624" s="49">
        <v>1</v>
      </c>
      <c r="AN624" s="49">
        <v>0</v>
      </c>
      <c r="AO624" s="58">
        <v>0</v>
      </c>
      <c r="AP624" s="174">
        <v>418</v>
      </c>
      <c r="AQ624" s="175">
        <v>434</v>
      </c>
      <c r="AR624" s="175">
        <v>237</v>
      </c>
      <c r="AS624" s="175">
        <v>367</v>
      </c>
      <c r="AT624" s="175">
        <v>0</v>
      </c>
      <c r="AU624" s="175">
        <v>0</v>
      </c>
      <c r="AV624" s="175">
        <v>0</v>
      </c>
      <c r="AW624" s="175">
        <v>0</v>
      </c>
      <c r="AX624" s="83">
        <v>0</v>
      </c>
      <c r="AY624" s="49">
        <v>0</v>
      </c>
      <c r="AZ624" s="49">
        <v>0</v>
      </c>
      <c r="BA624" s="49">
        <v>0</v>
      </c>
      <c r="BB624" s="58">
        <v>0</v>
      </c>
      <c r="BC624" s="42">
        <v>123</v>
      </c>
      <c r="BE624" s="49"/>
      <c r="BS624" s="58"/>
      <c r="BT624" s="83"/>
      <c r="CE624" s="83"/>
      <c r="CK624" s="58"/>
      <c r="CL624" s="83"/>
      <c r="CO624" s="58"/>
      <c r="CP624" s="83"/>
      <c r="CR624" s="58"/>
      <c r="CS624" s="83"/>
      <c r="CY624" s="83"/>
      <c r="DG624" s="58"/>
      <c r="DH624" s="83"/>
      <c r="DQ624" s="83"/>
      <c r="EE624" s="58"/>
      <c r="EF624" s="83"/>
      <c r="EI624" s="83"/>
      <c r="EK624" s="58"/>
      <c r="EL624" s="83"/>
      <c r="EO624" s="58"/>
      <c r="EP624" s="83"/>
      <c r="EQ624" s="58"/>
      <c r="ER624" s="83"/>
      <c r="ES624" s="58"/>
      <c r="ET624" s="83"/>
      <c r="EU624" s="58"/>
    </row>
    <row r="625" spans="1:151">
      <c r="A625" s="83" t="s">
        <v>322</v>
      </c>
      <c r="B625" s="173" t="s">
        <v>198</v>
      </c>
      <c r="C625" s="173" t="s">
        <v>516</v>
      </c>
      <c r="D625" s="83" t="s">
        <v>199</v>
      </c>
      <c r="F625" s="49" t="s">
        <v>287</v>
      </c>
      <c r="G625" s="70">
        <v>8.7550000000000008</v>
      </c>
      <c r="I625" s="49">
        <v>995</v>
      </c>
      <c r="J625" s="159">
        <v>1.4984939759036144</v>
      </c>
      <c r="K625" s="49">
        <v>1</v>
      </c>
      <c r="L625" s="49">
        <v>3</v>
      </c>
      <c r="M625" s="83">
        <v>0</v>
      </c>
      <c r="N625" s="49">
        <v>0</v>
      </c>
      <c r="O625" s="49">
        <v>0</v>
      </c>
      <c r="P625" s="49">
        <v>1</v>
      </c>
      <c r="Q625" s="58">
        <v>0</v>
      </c>
      <c r="R625" s="42">
        <v>1</v>
      </c>
      <c r="S625" s="83">
        <v>1</v>
      </c>
      <c r="U625" s="83">
        <v>1</v>
      </c>
      <c r="V625" s="49">
        <v>3</v>
      </c>
      <c r="W625" s="49">
        <v>1</v>
      </c>
      <c r="X625" s="58">
        <v>2</v>
      </c>
      <c r="Y625" s="83">
        <v>4</v>
      </c>
      <c r="AA625" s="49">
        <v>7</v>
      </c>
      <c r="AE625" s="49">
        <v>9</v>
      </c>
      <c r="AH625" s="49">
        <v>20</v>
      </c>
      <c r="AI625" s="49">
        <v>267</v>
      </c>
      <c r="AJ625" s="49">
        <v>0</v>
      </c>
      <c r="AK625" s="83">
        <v>0</v>
      </c>
      <c r="AL625" s="49">
        <v>1</v>
      </c>
      <c r="AM625" s="49">
        <v>0</v>
      </c>
      <c r="AN625" s="49">
        <v>0</v>
      </c>
      <c r="AO625" s="58">
        <v>0</v>
      </c>
      <c r="AP625" s="174">
        <v>0</v>
      </c>
      <c r="AQ625" s="175">
        <v>388</v>
      </c>
      <c r="AR625" s="175">
        <v>0</v>
      </c>
      <c r="AS625" s="175">
        <v>0</v>
      </c>
      <c r="AT625" s="175">
        <v>0</v>
      </c>
      <c r="AU625" s="175">
        <v>0</v>
      </c>
      <c r="AV625" s="175">
        <v>0</v>
      </c>
      <c r="AW625" s="175">
        <v>0</v>
      </c>
      <c r="AX625" s="83">
        <v>0</v>
      </c>
      <c r="AY625" s="49">
        <v>0</v>
      </c>
      <c r="AZ625" s="49">
        <v>0</v>
      </c>
      <c r="BA625" s="49">
        <v>0</v>
      </c>
      <c r="BB625" s="58">
        <v>0</v>
      </c>
      <c r="BC625" s="42">
        <v>125</v>
      </c>
      <c r="BE625" s="49"/>
      <c r="BS625" s="58"/>
      <c r="BT625" s="83"/>
      <c r="CE625" s="83"/>
      <c r="CK625" s="58"/>
      <c r="CL625" s="83"/>
      <c r="CO625" s="58"/>
      <c r="CP625" s="83"/>
      <c r="CR625" s="58"/>
      <c r="CS625" s="83"/>
      <c r="CY625" s="83"/>
      <c r="DG625" s="58"/>
      <c r="DH625" s="83"/>
      <c r="DQ625" s="83"/>
      <c r="EE625" s="58"/>
      <c r="EF625" s="83"/>
      <c r="EI625" s="83"/>
      <c r="EK625" s="58"/>
      <c r="EL625" s="83"/>
      <c r="EO625" s="58"/>
      <c r="EP625" s="83"/>
      <c r="EQ625" s="58"/>
      <c r="ER625" s="83"/>
      <c r="ES625" s="58"/>
      <c r="ET625" s="83"/>
      <c r="EU625" s="58"/>
    </row>
    <row r="626" spans="1:151">
      <c r="A626" s="83" t="s">
        <v>322</v>
      </c>
      <c r="B626" s="173" t="s">
        <v>198</v>
      </c>
      <c r="C626" s="173" t="s">
        <v>516</v>
      </c>
      <c r="D626" s="83" t="s">
        <v>200</v>
      </c>
      <c r="F626" s="49" t="s">
        <v>286</v>
      </c>
      <c r="G626" s="70">
        <v>8.7550000000000008</v>
      </c>
      <c r="I626" s="49">
        <v>2240</v>
      </c>
      <c r="J626" s="159">
        <v>4.117647058823529</v>
      </c>
      <c r="K626" s="49">
        <v>1</v>
      </c>
      <c r="L626" s="49">
        <v>3</v>
      </c>
      <c r="M626" s="83">
        <v>1</v>
      </c>
      <c r="N626" s="49">
        <v>0</v>
      </c>
      <c r="O626" s="49">
        <v>0</v>
      </c>
      <c r="P626" s="49">
        <v>1</v>
      </c>
      <c r="Q626" s="58">
        <v>0</v>
      </c>
      <c r="R626" s="42">
        <v>2</v>
      </c>
      <c r="S626" s="83" t="s">
        <v>283</v>
      </c>
      <c r="T626" s="49">
        <v>13</v>
      </c>
      <c r="U626" s="83">
        <v>1</v>
      </c>
      <c r="V626" s="49">
        <v>2</v>
      </c>
      <c r="W626" s="49">
        <v>1</v>
      </c>
      <c r="X626" s="58">
        <v>2</v>
      </c>
      <c r="Y626" s="83">
        <v>1</v>
      </c>
      <c r="AD626" s="49">
        <v>6</v>
      </c>
      <c r="AE626" s="49">
        <v>14</v>
      </c>
      <c r="AF626" s="49">
        <v>7</v>
      </c>
      <c r="AG626" s="49">
        <v>32</v>
      </c>
      <c r="AH626" s="49">
        <v>15</v>
      </c>
      <c r="AI626" s="49">
        <v>231</v>
      </c>
      <c r="AJ626" s="49">
        <v>0</v>
      </c>
      <c r="AK626" s="83">
        <v>0</v>
      </c>
      <c r="AL626" s="49">
        <v>0</v>
      </c>
      <c r="AM626" s="49">
        <v>1</v>
      </c>
      <c r="AN626" s="49">
        <v>0</v>
      </c>
      <c r="AO626" s="58">
        <v>0</v>
      </c>
      <c r="AP626" s="174">
        <v>0</v>
      </c>
      <c r="AQ626" s="175">
        <v>0</v>
      </c>
      <c r="AR626" s="175">
        <v>191</v>
      </c>
      <c r="AS626" s="175">
        <v>862</v>
      </c>
      <c r="AT626" s="175">
        <v>0</v>
      </c>
      <c r="AU626" s="175">
        <v>0</v>
      </c>
      <c r="AV626" s="175">
        <v>0</v>
      </c>
      <c r="AW626" s="175">
        <v>0</v>
      </c>
      <c r="AX626" s="83">
        <v>0</v>
      </c>
      <c r="AY626" s="49">
        <v>0</v>
      </c>
      <c r="AZ626" s="49">
        <v>0</v>
      </c>
      <c r="BA626" s="49">
        <v>0</v>
      </c>
      <c r="BB626" s="58">
        <v>0</v>
      </c>
      <c r="BC626" s="42">
        <v>145</v>
      </c>
      <c r="BE626" s="49"/>
      <c r="BS626" s="58"/>
      <c r="BT626" s="83"/>
      <c r="CE626" s="83"/>
      <c r="CK626" s="58"/>
      <c r="CL626" s="83"/>
      <c r="CO626" s="58"/>
      <c r="CP626" s="83"/>
      <c r="CR626" s="58"/>
      <c r="CS626" s="83"/>
      <c r="CY626" s="83"/>
      <c r="DG626" s="58"/>
      <c r="DH626" s="83"/>
      <c r="DQ626" s="83"/>
      <c r="EE626" s="58"/>
      <c r="EF626" s="83"/>
      <c r="EI626" s="83"/>
      <c r="EK626" s="58"/>
      <c r="EL626" s="83"/>
      <c r="EO626" s="58"/>
      <c r="EP626" s="83"/>
      <c r="EQ626" s="58"/>
      <c r="ER626" s="83"/>
      <c r="ES626" s="58"/>
      <c r="ET626" s="83"/>
      <c r="EU626" s="58"/>
    </row>
    <row r="627" spans="1:151">
      <c r="A627" s="83" t="s">
        <v>322</v>
      </c>
      <c r="B627" s="173" t="s">
        <v>198</v>
      </c>
      <c r="C627" s="173" t="s">
        <v>516</v>
      </c>
      <c r="D627" s="83" t="s">
        <v>201</v>
      </c>
      <c r="F627" s="49" t="s">
        <v>286</v>
      </c>
      <c r="G627" s="70">
        <v>8.7550000000000008</v>
      </c>
      <c r="I627" s="49">
        <v>1213</v>
      </c>
      <c r="J627" s="159">
        <v>1.3015021459227467</v>
      </c>
      <c r="K627" s="49">
        <v>1</v>
      </c>
      <c r="L627" s="49">
        <v>1</v>
      </c>
      <c r="M627" s="83">
        <v>0</v>
      </c>
      <c r="N627" s="49">
        <v>0</v>
      </c>
      <c r="O627" s="49">
        <v>1</v>
      </c>
      <c r="P627" s="49">
        <v>1</v>
      </c>
      <c r="Q627" s="58">
        <v>0</v>
      </c>
      <c r="R627" s="42">
        <v>2</v>
      </c>
      <c r="S627" s="83" t="s">
        <v>283</v>
      </c>
      <c r="T627" s="49">
        <v>10</v>
      </c>
      <c r="U627" s="83">
        <v>1</v>
      </c>
      <c r="V627" s="49">
        <v>2</v>
      </c>
      <c r="W627" s="49">
        <v>1</v>
      </c>
      <c r="X627" s="58">
        <v>2</v>
      </c>
      <c r="Y627" s="83">
        <v>1</v>
      </c>
      <c r="AA627" s="49">
        <v>21</v>
      </c>
      <c r="AD627" s="49">
        <v>26</v>
      </c>
      <c r="AE627" s="49">
        <v>55</v>
      </c>
      <c r="AH627" s="49">
        <v>21</v>
      </c>
      <c r="AI627" s="49">
        <v>262</v>
      </c>
      <c r="AJ627" s="49">
        <v>0</v>
      </c>
      <c r="AK627" s="83">
        <v>0</v>
      </c>
      <c r="AL627" s="49">
        <v>0</v>
      </c>
      <c r="AM627" s="49">
        <v>1</v>
      </c>
      <c r="AN627" s="49">
        <v>0</v>
      </c>
      <c r="AO627" s="58">
        <v>0</v>
      </c>
      <c r="AP627" s="174">
        <v>0</v>
      </c>
      <c r="AQ627" s="175">
        <v>0</v>
      </c>
      <c r="AR627" s="175">
        <v>71</v>
      </c>
      <c r="AS627" s="175">
        <v>658</v>
      </c>
      <c r="AT627" s="175">
        <v>0</v>
      </c>
      <c r="AU627" s="175">
        <v>0</v>
      </c>
      <c r="AV627" s="175">
        <v>0</v>
      </c>
      <c r="AW627" s="175">
        <v>0</v>
      </c>
      <c r="AX627" s="83">
        <v>0</v>
      </c>
      <c r="AY627" s="49">
        <v>0</v>
      </c>
      <c r="AZ627" s="49">
        <v>0</v>
      </c>
      <c r="BA627" s="49">
        <v>0</v>
      </c>
      <c r="BB627" s="58">
        <v>0</v>
      </c>
      <c r="BC627" s="42">
        <v>137</v>
      </c>
      <c r="BE627" s="49"/>
      <c r="BS627" s="58"/>
      <c r="BT627" s="83"/>
      <c r="CE627" s="83"/>
      <c r="CK627" s="58"/>
      <c r="CL627" s="83"/>
      <c r="CO627" s="58"/>
      <c r="CP627" s="83"/>
      <c r="CR627" s="58"/>
      <c r="CS627" s="83"/>
      <c r="CY627" s="83"/>
      <c r="DG627" s="58"/>
      <c r="DH627" s="83"/>
      <c r="DQ627" s="83"/>
      <c r="EE627" s="58"/>
      <c r="EF627" s="83"/>
      <c r="EI627" s="83"/>
      <c r="EK627" s="58"/>
      <c r="EL627" s="83"/>
      <c r="EO627" s="58"/>
      <c r="EP627" s="83"/>
      <c r="EQ627" s="58"/>
      <c r="ER627" s="83"/>
      <c r="ES627" s="58"/>
      <c r="ET627" s="83"/>
      <c r="EU627" s="58"/>
    </row>
    <row r="628" spans="1:151">
      <c r="A628" s="83" t="s">
        <v>322</v>
      </c>
      <c r="B628" s="173" t="s">
        <v>198</v>
      </c>
      <c r="C628" s="173" t="s">
        <v>516</v>
      </c>
      <c r="D628" s="83" t="s">
        <v>202</v>
      </c>
      <c r="F628" s="49" t="s">
        <v>286</v>
      </c>
      <c r="G628" s="70">
        <v>8.7550000000000008</v>
      </c>
      <c r="I628" s="49">
        <v>1500</v>
      </c>
      <c r="J628" s="159">
        <v>1.7201834862385321</v>
      </c>
      <c r="K628" s="49">
        <v>1</v>
      </c>
      <c r="L628" s="49">
        <v>1</v>
      </c>
      <c r="M628" s="83">
        <v>1</v>
      </c>
      <c r="N628" s="49">
        <v>0</v>
      </c>
      <c r="O628" s="49">
        <v>1</v>
      </c>
      <c r="P628" s="49">
        <v>1</v>
      </c>
      <c r="Q628" s="58">
        <v>0</v>
      </c>
      <c r="R628" s="42">
        <v>3</v>
      </c>
      <c r="S628" s="83">
        <v>1</v>
      </c>
      <c r="U628" s="83">
        <v>1</v>
      </c>
      <c r="V628" s="49">
        <v>3</v>
      </c>
      <c r="W628" s="49">
        <v>1</v>
      </c>
      <c r="X628" s="58"/>
      <c r="Y628" s="83">
        <v>0</v>
      </c>
      <c r="AJ628" s="49">
        <v>0</v>
      </c>
      <c r="AK628" s="83">
        <v>0</v>
      </c>
      <c r="AL628" s="49">
        <v>1</v>
      </c>
      <c r="AM628" s="49">
        <v>0</v>
      </c>
      <c r="AN628" s="49">
        <v>0</v>
      </c>
      <c r="AO628" s="58">
        <v>0</v>
      </c>
      <c r="AP628" s="174">
        <v>0</v>
      </c>
      <c r="AQ628" s="175">
        <v>411</v>
      </c>
      <c r="AR628" s="175">
        <v>0</v>
      </c>
      <c r="AS628" s="175">
        <v>0</v>
      </c>
      <c r="AT628" s="175">
        <v>0</v>
      </c>
      <c r="AU628" s="175">
        <v>0</v>
      </c>
      <c r="AV628" s="175">
        <v>0</v>
      </c>
      <c r="AW628" s="175">
        <v>0</v>
      </c>
      <c r="AX628" s="83">
        <v>0</v>
      </c>
      <c r="AY628" s="49">
        <v>0</v>
      </c>
      <c r="AZ628" s="49">
        <v>0</v>
      </c>
      <c r="BA628" s="49">
        <v>0</v>
      </c>
      <c r="BB628" s="58">
        <v>0</v>
      </c>
      <c r="BC628" s="42">
        <v>123</v>
      </c>
      <c r="BE628" s="49"/>
      <c r="BS628" s="58"/>
      <c r="BT628" s="83"/>
      <c r="CE628" s="83"/>
      <c r="CK628" s="58"/>
      <c r="CL628" s="83"/>
      <c r="CO628" s="58"/>
      <c r="CP628" s="83"/>
      <c r="CR628" s="58"/>
      <c r="CS628" s="83"/>
      <c r="CY628" s="83"/>
      <c r="DG628" s="58"/>
      <c r="DH628" s="83"/>
      <c r="DQ628" s="83"/>
      <c r="EE628" s="58"/>
      <c r="EF628" s="83"/>
      <c r="EI628" s="83"/>
      <c r="EK628" s="58"/>
      <c r="EL628" s="83"/>
      <c r="EO628" s="58"/>
      <c r="EP628" s="83"/>
      <c r="EQ628" s="58"/>
      <c r="ER628" s="83"/>
      <c r="ES628" s="58"/>
      <c r="ET628" s="83"/>
      <c r="EU628" s="58"/>
    </row>
    <row r="629" spans="1:151">
      <c r="A629" s="83" t="s">
        <v>322</v>
      </c>
      <c r="B629" s="173" t="s">
        <v>198</v>
      </c>
      <c r="C629" s="173" t="s">
        <v>516</v>
      </c>
      <c r="D629" s="83" t="s">
        <v>203</v>
      </c>
      <c r="F629" s="49" t="s">
        <v>286</v>
      </c>
      <c r="G629" s="70">
        <v>8.7550000000000008</v>
      </c>
      <c r="I629" s="49">
        <v>1846</v>
      </c>
      <c r="J629" s="159">
        <v>3.598440545808967</v>
      </c>
      <c r="K629" s="49">
        <v>1</v>
      </c>
      <c r="L629" s="49">
        <v>3</v>
      </c>
      <c r="M629" s="83">
        <v>0</v>
      </c>
      <c r="N629" s="49">
        <v>1</v>
      </c>
      <c r="O629" s="49">
        <v>0</v>
      </c>
      <c r="P629" s="49">
        <v>1</v>
      </c>
      <c r="Q629" s="58">
        <v>0</v>
      </c>
      <c r="R629" s="42">
        <v>2</v>
      </c>
      <c r="S629" s="83" t="s">
        <v>283</v>
      </c>
      <c r="T629" s="49">
        <v>15</v>
      </c>
      <c r="U629" s="83">
        <v>1</v>
      </c>
      <c r="V629" s="49">
        <v>3</v>
      </c>
      <c r="W629" s="49">
        <v>2</v>
      </c>
      <c r="X629" s="58"/>
      <c r="Y629" s="83">
        <v>1</v>
      </c>
      <c r="AD629" s="49">
        <v>19</v>
      </c>
      <c r="AE629" s="49">
        <v>74</v>
      </c>
      <c r="AH629" s="49">
        <v>82</v>
      </c>
      <c r="AI629" s="49">
        <v>217</v>
      </c>
      <c r="AJ629" s="49">
        <v>0</v>
      </c>
      <c r="AK629" s="83">
        <v>0</v>
      </c>
      <c r="AL629" s="49">
        <v>0</v>
      </c>
      <c r="AM629" s="49">
        <v>1</v>
      </c>
      <c r="AN629" s="49">
        <v>0</v>
      </c>
      <c r="AO629" s="58">
        <v>0</v>
      </c>
      <c r="AP629" s="174">
        <v>0</v>
      </c>
      <c r="AQ629" s="175">
        <v>0</v>
      </c>
      <c r="AR629" s="175">
        <v>84</v>
      </c>
      <c r="AS629" s="175">
        <v>705</v>
      </c>
      <c r="AT629" s="175">
        <v>0</v>
      </c>
      <c r="AU629" s="175">
        <v>0</v>
      </c>
      <c r="AV629" s="175">
        <v>0</v>
      </c>
      <c r="AW629" s="175">
        <v>0</v>
      </c>
      <c r="AX629" s="83">
        <v>0</v>
      </c>
      <c r="AY629" s="49">
        <v>1</v>
      </c>
      <c r="AZ629" s="49">
        <v>0</v>
      </c>
      <c r="BA629" s="49">
        <v>0</v>
      </c>
      <c r="BB629" s="58">
        <v>1</v>
      </c>
      <c r="BC629" s="42">
        <v>143</v>
      </c>
      <c r="BE629" s="49"/>
      <c r="BS629" s="58"/>
      <c r="BT629" s="83"/>
      <c r="CE629" s="83"/>
      <c r="CK629" s="58"/>
      <c r="CL629" s="83"/>
      <c r="CO629" s="58"/>
      <c r="CP629" s="83"/>
      <c r="CR629" s="58"/>
      <c r="CS629" s="83"/>
      <c r="CY629" s="83"/>
      <c r="DG629" s="58"/>
      <c r="DH629" s="83"/>
      <c r="DQ629" s="83"/>
      <c r="EE629" s="58"/>
      <c r="EF629" s="83"/>
      <c r="EI629" s="83"/>
      <c r="EK629" s="58"/>
      <c r="EL629" s="83"/>
      <c r="EO629" s="58"/>
      <c r="EP629" s="83"/>
      <c r="EQ629" s="58"/>
      <c r="ER629" s="83"/>
      <c r="ES629" s="58"/>
      <c r="ET629" s="83"/>
      <c r="EU629" s="58"/>
    </row>
    <row r="630" spans="1:151" ht="17" thickBot="1">
      <c r="A630" s="83" t="s">
        <v>322</v>
      </c>
      <c r="B630" s="173" t="s">
        <v>198</v>
      </c>
      <c r="C630" s="173" t="s">
        <v>516</v>
      </c>
      <c r="D630" s="83" t="s">
        <v>204</v>
      </c>
      <c r="F630" s="49" t="s">
        <v>286</v>
      </c>
      <c r="G630" s="70">
        <v>8.7550000000000008</v>
      </c>
      <c r="I630" s="49">
        <v>2073</v>
      </c>
      <c r="J630" s="159">
        <v>4.2919254658385091</v>
      </c>
      <c r="K630" s="49">
        <v>1</v>
      </c>
      <c r="L630" s="49">
        <v>3</v>
      </c>
      <c r="M630" s="83">
        <v>1</v>
      </c>
      <c r="N630" s="49">
        <v>0</v>
      </c>
      <c r="O630" s="49">
        <v>0</v>
      </c>
      <c r="P630" s="49">
        <v>1</v>
      </c>
      <c r="Q630" s="58">
        <v>0</v>
      </c>
      <c r="R630" s="42">
        <v>2</v>
      </c>
      <c r="S630" s="83">
        <v>1</v>
      </c>
      <c r="U630" s="83">
        <v>1</v>
      </c>
      <c r="V630" s="49">
        <v>3</v>
      </c>
      <c r="W630" s="49">
        <v>1</v>
      </c>
      <c r="X630" s="58">
        <v>2</v>
      </c>
      <c r="Y630" s="83">
        <v>1</v>
      </c>
      <c r="AD630" s="49">
        <v>9</v>
      </c>
      <c r="AE630" s="49">
        <v>22</v>
      </c>
      <c r="AH630" s="49">
        <v>11</v>
      </c>
      <c r="AI630" s="49">
        <v>61</v>
      </c>
      <c r="AJ630" s="49">
        <v>0</v>
      </c>
      <c r="AK630" s="83">
        <v>0</v>
      </c>
      <c r="AL630" s="49">
        <v>1</v>
      </c>
      <c r="AM630" s="49">
        <v>0</v>
      </c>
      <c r="AN630" s="49">
        <v>0</v>
      </c>
      <c r="AO630" s="58">
        <v>0</v>
      </c>
      <c r="AP630" s="174">
        <v>0</v>
      </c>
      <c r="AQ630" s="175">
        <v>474</v>
      </c>
      <c r="AR630" s="175">
        <v>0</v>
      </c>
      <c r="AS630" s="175">
        <v>0</v>
      </c>
      <c r="AT630" s="175">
        <v>0</v>
      </c>
      <c r="AU630" s="175">
        <v>0</v>
      </c>
      <c r="AV630" s="175">
        <v>0</v>
      </c>
      <c r="AW630" s="175">
        <v>0</v>
      </c>
      <c r="AX630" s="83">
        <v>0</v>
      </c>
      <c r="AY630" s="49">
        <v>0</v>
      </c>
      <c r="AZ630" s="49">
        <v>0</v>
      </c>
      <c r="BA630" s="49">
        <v>0</v>
      </c>
      <c r="BB630" s="58">
        <v>0</v>
      </c>
      <c r="BC630" s="42">
        <v>146</v>
      </c>
      <c r="BE630" s="49"/>
      <c r="BS630" s="58"/>
      <c r="BT630" s="83"/>
      <c r="CE630" s="83"/>
      <c r="CK630" s="58"/>
      <c r="CL630" s="83"/>
      <c r="CO630" s="58"/>
      <c r="CP630" s="83"/>
      <c r="CR630" s="58"/>
      <c r="CS630" s="83"/>
      <c r="CY630" s="83"/>
      <c r="DG630" s="58"/>
      <c r="DH630" s="83"/>
      <c r="DQ630" s="83"/>
      <c r="EE630" s="58"/>
      <c r="EF630" s="83"/>
      <c r="EI630" s="83"/>
      <c r="EK630" s="58"/>
      <c r="EL630" s="83"/>
      <c r="EO630" s="58"/>
      <c r="EP630" s="83"/>
      <c r="EQ630" s="58"/>
      <c r="ER630" s="83"/>
      <c r="ES630" s="58"/>
      <c r="ET630" s="83"/>
      <c r="EU630" s="58"/>
    </row>
    <row r="631" spans="1:151">
      <c r="A631" s="87" t="s">
        <v>322</v>
      </c>
      <c r="B631" s="7" t="s">
        <v>205</v>
      </c>
      <c r="C631" s="7" t="s">
        <v>516</v>
      </c>
      <c r="D631" s="147" t="s">
        <v>64</v>
      </c>
      <c r="E631" s="148"/>
      <c r="F631" s="148" t="s">
        <v>286</v>
      </c>
      <c r="G631" s="78">
        <v>8.7550000000000008</v>
      </c>
      <c r="H631" s="148"/>
      <c r="I631" s="148">
        <v>1776</v>
      </c>
      <c r="J631" s="158">
        <v>5.333333333333333</v>
      </c>
      <c r="K631" s="148">
        <v>2</v>
      </c>
      <c r="L631" s="148">
        <v>2</v>
      </c>
      <c r="M631" s="147">
        <v>0</v>
      </c>
      <c r="N631" s="148">
        <v>2</v>
      </c>
      <c r="O631" s="148">
        <v>0</v>
      </c>
      <c r="P631" s="148">
        <v>0</v>
      </c>
      <c r="Q631" s="149">
        <v>0</v>
      </c>
      <c r="R631" s="87">
        <v>2</v>
      </c>
      <c r="S631" s="147">
        <v>1</v>
      </c>
      <c r="T631" s="148"/>
      <c r="U631" s="147">
        <v>0</v>
      </c>
      <c r="V631" s="148">
        <v>0</v>
      </c>
      <c r="W631" s="148">
        <v>0</v>
      </c>
      <c r="X631" s="149"/>
      <c r="Y631" s="147">
        <v>15</v>
      </c>
      <c r="Z631" s="148"/>
      <c r="AA631" s="148">
        <v>4</v>
      </c>
      <c r="AB631" s="148"/>
      <c r="AC631" s="148"/>
      <c r="AD631" s="148">
        <v>13</v>
      </c>
      <c r="AE631" s="148">
        <v>20</v>
      </c>
      <c r="AF631" s="148">
        <v>98</v>
      </c>
      <c r="AG631" s="148">
        <v>665</v>
      </c>
      <c r="AH631" s="148">
        <v>46</v>
      </c>
      <c r="AI631" s="148">
        <v>143</v>
      </c>
      <c r="AJ631" s="148">
        <v>0</v>
      </c>
      <c r="AK631" s="147">
        <v>0</v>
      </c>
      <c r="AL631" s="148">
        <v>0</v>
      </c>
      <c r="AM631" s="148">
        <v>0</v>
      </c>
      <c r="AN631" s="148">
        <v>0</v>
      </c>
      <c r="AO631" s="149">
        <v>0</v>
      </c>
      <c r="AP631" s="169" t="s">
        <v>284</v>
      </c>
      <c r="AQ631" s="170" t="s">
        <v>284</v>
      </c>
      <c r="AR631" s="170" t="s">
        <v>284</v>
      </c>
      <c r="AS631" s="170" t="s">
        <v>284</v>
      </c>
      <c r="AT631" s="170" t="s">
        <v>284</v>
      </c>
      <c r="AU631" s="170" t="s">
        <v>284</v>
      </c>
      <c r="AV631" s="170" t="s">
        <v>284</v>
      </c>
      <c r="AW631" s="170" t="s">
        <v>284</v>
      </c>
      <c r="AX631" s="147">
        <v>0</v>
      </c>
      <c r="AY631" s="148">
        <v>0</v>
      </c>
      <c r="AZ631" s="148">
        <v>0</v>
      </c>
      <c r="BA631" s="148">
        <v>0</v>
      </c>
      <c r="BB631" s="149">
        <v>0</v>
      </c>
      <c r="BC631" s="87">
        <v>194</v>
      </c>
      <c r="BD631" s="148"/>
      <c r="BE631" s="148"/>
      <c r="BF631" s="148"/>
      <c r="BG631" s="148"/>
      <c r="BH631" s="148"/>
      <c r="BI631" s="148"/>
      <c r="BJ631" s="148"/>
      <c r="BK631" s="148"/>
      <c r="BL631" s="148"/>
      <c r="BM631" s="148"/>
      <c r="BN631" s="148"/>
      <c r="BO631" s="148"/>
      <c r="BP631" s="148"/>
      <c r="BQ631" s="148"/>
      <c r="BR631" s="148"/>
      <c r="BS631" s="149"/>
      <c r="BT631" s="147"/>
      <c r="BU631" s="148"/>
      <c r="BV631" s="148"/>
      <c r="BW631" s="148"/>
      <c r="BX631" s="148"/>
      <c r="BY631" s="148"/>
      <c r="BZ631" s="148"/>
      <c r="CA631" s="148"/>
      <c r="CB631" s="148"/>
      <c r="CC631" s="148"/>
      <c r="CD631" s="148"/>
      <c r="CE631" s="147"/>
      <c r="CF631" s="148"/>
      <c r="CG631" s="148"/>
      <c r="CH631" s="148"/>
      <c r="CI631" s="148"/>
      <c r="CJ631" s="148"/>
      <c r="CK631" s="149"/>
      <c r="CL631" s="147"/>
      <c r="CM631" s="148"/>
      <c r="CN631" s="148"/>
      <c r="CO631" s="149"/>
      <c r="CP631" s="147"/>
      <c r="CQ631" s="148"/>
      <c r="CR631" s="149"/>
      <c r="CS631" s="147"/>
      <c r="CT631" s="148"/>
      <c r="CU631" s="148"/>
      <c r="CV631" s="148"/>
      <c r="CW631" s="148"/>
      <c r="CX631" s="148"/>
      <c r="CY631" s="147"/>
      <c r="CZ631" s="148"/>
      <c r="DA631" s="148"/>
      <c r="DB631" s="148"/>
      <c r="DC631" s="148"/>
      <c r="DD631" s="148"/>
      <c r="DE631" s="148"/>
      <c r="DF631" s="148"/>
      <c r="DG631" s="149"/>
      <c r="DH631" s="147"/>
      <c r="DI631" s="148"/>
      <c r="DJ631" s="148"/>
      <c r="DK631" s="148"/>
      <c r="DL631" s="148"/>
      <c r="DM631" s="148"/>
      <c r="DN631" s="148"/>
      <c r="DO631" s="148"/>
      <c r="DP631" s="148"/>
      <c r="DQ631" s="147"/>
      <c r="DR631" s="148"/>
      <c r="DS631" s="148"/>
      <c r="DT631" s="148"/>
      <c r="DU631" s="148"/>
      <c r="DV631" s="148"/>
      <c r="DW631" s="148"/>
      <c r="DX631" s="148"/>
      <c r="DY631" s="148"/>
      <c r="DZ631" s="148"/>
      <c r="EA631" s="148"/>
      <c r="EB631" s="148"/>
      <c r="EC631" s="148"/>
      <c r="ED631" s="148"/>
      <c r="EE631" s="149"/>
      <c r="EF631" s="147"/>
      <c r="EG631" s="148"/>
      <c r="EH631" s="148"/>
      <c r="EI631" s="147"/>
      <c r="EJ631" s="148"/>
      <c r="EK631" s="149"/>
      <c r="EL631" s="147"/>
      <c r="EM631" s="148"/>
      <c r="EN631" s="148"/>
      <c r="EO631" s="149"/>
      <c r="EP631" s="147"/>
      <c r="EQ631" s="149"/>
      <c r="ER631" s="147"/>
      <c r="ES631" s="149"/>
      <c r="ET631" s="147"/>
      <c r="EU631" s="149"/>
    </row>
    <row r="632" spans="1:151">
      <c r="A632" s="42" t="s">
        <v>322</v>
      </c>
      <c r="B632" s="173" t="s">
        <v>205</v>
      </c>
      <c r="C632" s="173" t="s">
        <v>516</v>
      </c>
      <c r="D632" s="83" t="s">
        <v>67</v>
      </c>
      <c r="F632" s="49" t="s">
        <v>287</v>
      </c>
      <c r="G632" s="70">
        <v>8.7550000000000008</v>
      </c>
      <c r="I632" s="49">
        <v>570</v>
      </c>
      <c r="J632" s="159">
        <v>1.1176470588235294</v>
      </c>
      <c r="K632" s="49">
        <v>1</v>
      </c>
      <c r="L632" s="49">
        <v>3</v>
      </c>
      <c r="M632" s="83">
        <v>1</v>
      </c>
      <c r="N632" s="49">
        <v>0</v>
      </c>
      <c r="O632" s="49">
        <v>0</v>
      </c>
      <c r="P632" s="49">
        <v>1</v>
      </c>
      <c r="Q632" s="58">
        <v>0</v>
      </c>
      <c r="R632" s="42">
        <v>2</v>
      </c>
      <c r="S632" s="83">
        <v>0</v>
      </c>
      <c r="U632" s="83">
        <v>2</v>
      </c>
      <c r="V632" s="49">
        <v>3</v>
      </c>
      <c r="W632" s="49">
        <v>3</v>
      </c>
      <c r="X632" s="58">
        <v>2</v>
      </c>
      <c r="Y632" s="83">
        <v>6</v>
      </c>
      <c r="AA632" s="49">
        <v>4</v>
      </c>
      <c r="AD632" s="49">
        <v>5</v>
      </c>
      <c r="AE632" s="49">
        <v>89</v>
      </c>
      <c r="AF632" s="49">
        <v>11</v>
      </c>
      <c r="AG632" s="49">
        <v>18</v>
      </c>
      <c r="AH632" s="49">
        <v>16</v>
      </c>
      <c r="AI632" s="49">
        <v>93</v>
      </c>
      <c r="AJ632" s="49">
        <v>0</v>
      </c>
      <c r="AK632" s="83">
        <v>0</v>
      </c>
      <c r="AL632" s="49">
        <v>0</v>
      </c>
      <c r="AM632" s="49">
        <v>1</v>
      </c>
      <c r="AN632" s="49">
        <v>0</v>
      </c>
      <c r="AO632" s="58">
        <v>0</v>
      </c>
      <c r="AP632" s="174">
        <v>0</v>
      </c>
      <c r="AQ632" s="175">
        <v>0</v>
      </c>
      <c r="AR632" s="175">
        <v>61</v>
      </c>
      <c r="AS632" s="175">
        <v>140</v>
      </c>
      <c r="AT632" s="175">
        <v>0</v>
      </c>
      <c r="AU632" s="175">
        <v>0</v>
      </c>
      <c r="AV632" s="175">
        <v>0</v>
      </c>
      <c r="AW632" s="175">
        <v>0</v>
      </c>
      <c r="AX632" s="83">
        <v>0</v>
      </c>
      <c r="AY632" s="49">
        <v>0</v>
      </c>
      <c r="AZ632" s="49">
        <v>0</v>
      </c>
      <c r="BA632" s="49">
        <v>0</v>
      </c>
      <c r="BB632" s="58">
        <v>0</v>
      </c>
      <c r="BC632" s="42">
        <v>112</v>
      </c>
      <c r="BD632" s="49">
        <v>60.59</v>
      </c>
      <c r="BE632" s="49"/>
      <c r="BS632" s="58"/>
      <c r="BT632" s="83">
        <v>63.18</v>
      </c>
      <c r="CE632" s="83">
        <v>57.63</v>
      </c>
      <c r="CK632" s="58"/>
      <c r="CL632" s="83"/>
      <c r="CO632" s="58"/>
      <c r="CP632" s="83"/>
      <c r="CR632" s="58"/>
      <c r="CS632" s="83"/>
      <c r="CY632" s="83"/>
      <c r="DG632" s="58"/>
      <c r="DH632" s="83"/>
      <c r="DQ632" s="83"/>
      <c r="EE632" s="58"/>
      <c r="EF632" s="83"/>
      <c r="EI632" s="83"/>
      <c r="EK632" s="58"/>
      <c r="EL632" s="83"/>
      <c r="EO632" s="58"/>
      <c r="EP632" s="83"/>
      <c r="EQ632" s="58"/>
      <c r="ER632" s="83"/>
      <c r="ES632" s="58"/>
      <c r="ET632" s="83"/>
      <c r="EU632" s="58"/>
    </row>
    <row r="633" spans="1:151">
      <c r="A633" s="42" t="s">
        <v>322</v>
      </c>
      <c r="B633" s="173" t="s">
        <v>205</v>
      </c>
      <c r="C633" s="173" t="s">
        <v>516</v>
      </c>
      <c r="D633" s="83" t="s">
        <v>69</v>
      </c>
      <c r="F633" s="49" t="s">
        <v>286</v>
      </c>
      <c r="G633" s="70">
        <v>8.7550000000000008</v>
      </c>
      <c r="I633" s="49">
        <v>1945</v>
      </c>
      <c r="J633" s="159">
        <v>3.0775316455696204</v>
      </c>
      <c r="K633" s="49">
        <v>1</v>
      </c>
      <c r="L633" s="49">
        <v>3</v>
      </c>
      <c r="M633" s="83">
        <v>1</v>
      </c>
      <c r="N633" s="49">
        <v>0</v>
      </c>
      <c r="O633" s="49">
        <v>0</v>
      </c>
      <c r="P633" s="49">
        <v>1</v>
      </c>
      <c r="Q633" s="58">
        <v>1</v>
      </c>
      <c r="R633" s="42">
        <v>3</v>
      </c>
      <c r="S633" s="83">
        <v>1</v>
      </c>
      <c r="U633" s="83">
        <v>3</v>
      </c>
      <c r="V633" s="49">
        <v>2</v>
      </c>
      <c r="W633" s="49">
        <v>1</v>
      </c>
      <c r="X633" s="58">
        <v>2</v>
      </c>
      <c r="Y633" s="83">
        <v>1</v>
      </c>
      <c r="AA633" s="49">
        <v>7</v>
      </c>
      <c r="AD633" s="49">
        <v>5</v>
      </c>
      <c r="AE633" s="49">
        <v>40</v>
      </c>
      <c r="AG633" s="49">
        <v>7</v>
      </c>
      <c r="AH633" s="49">
        <v>19</v>
      </c>
      <c r="AI633" s="49">
        <v>130</v>
      </c>
      <c r="AJ633" s="49">
        <v>0</v>
      </c>
      <c r="AK633" s="83">
        <v>0</v>
      </c>
      <c r="AL633" s="49">
        <v>1</v>
      </c>
      <c r="AM633" s="49">
        <v>1</v>
      </c>
      <c r="AN633" s="49">
        <v>0</v>
      </c>
      <c r="AO633" s="58">
        <v>0</v>
      </c>
      <c r="AP633" s="174">
        <v>0</v>
      </c>
      <c r="AQ633" s="175">
        <v>448</v>
      </c>
      <c r="AR633" s="175">
        <v>31</v>
      </c>
      <c r="AS633" s="175">
        <v>70</v>
      </c>
      <c r="AT633" s="175">
        <v>0</v>
      </c>
      <c r="AU633" s="175">
        <v>0</v>
      </c>
      <c r="AV633" s="175">
        <v>0</v>
      </c>
      <c r="AW633" s="175">
        <v>0</v>
      </c>
      <c r="AX633" s="83">
        <v>0</v>
      </c>
      <c r="AY633" s="49">
        <v>0</v>
      </c>
      <c r="AZ633" s="49">
        <v>0</v>
      </c>
      <c r="BA633" s="49">
        <v>0</v>
      </c>
      <c r="BB633" s="58">
        <v>0</v>
      </c>
      <c r="BC633" s="42">
        <v>127</v>
      </c>
      <c r="BD633" s="49">
        <v>56.86</v>
      </c>
      <c r="BE633" s="49"/>
      <c r="BS633" s="58"/>
      <c r="BT633" s="83">
        <v>56.49</v>
      </c>
      <c r="BU633" s="49">
        <v>60.03</v>
      </c>
      <c r="CE633" s="83"/>
      <c r="CK633" s="58"/>
      <c r="CL633" s="83"/>
      <c r="CO633" s="58"/>
      <c r="CP633" s="83"/>
      <c r="CR633" s="58"/>
      <c r="CS633" s="83"/>
      <c r="CY633" s="83"/>
      <c r="DG633" s="58"/>
      <c r="DH633" s="83"/>
      <c r="DQ633" s="83"/>
      <c r="EE633" s="58"/>
      <c r="EF633" s="83"/>
      <c r="EI633" s="83"/>
      <c r="EK633" s="58"/>
      <c r="EL633" s="83"/>
      <c r="EO633" s="58"/>
      <c r="EP633" s="83"/>
      <c r="EQ633" s="58"/>
      <c r="ER633" s="83"/>
      <c r="ES633" s="58"/>
      <c r="ET633" s="83"/>
      <c r="EU633" s="58"/>
    </row>
    <row r="634" spans="1:151">
      <c r="A634" s="42" t="s">
        <v>322</v>
      </c>
      <c r="B634" s="173" t="s">
        <v>205</v>
      </c>
      <c r="C634" s="173" t="s">
        <v>516</v>
      </c>
      <c r="D634" s="83" t="s">
        <v>74</v>
      </c>
      <c r="F634" s="49" t="s">
        <v>286</v>
      </c>
      <c r="G634" s="70">
        <v>8.7550000000000008</v>
      </c>
      <c r="I634" s="49">
        <v>1503</v>
      </c>
      <c r="J634" s="159">
        <v>5.0949152542372884</v>
      </c>
      <c r="K634" s="49">
        <v>1</v>
      </c>
      <c r="L634" s="49">
        <v>3</v>
      </c>
      <c r="M634" s="83">
        <v>1</v>
      </c>
      <c r="N634" s="49">
        <v>0</v>
      </c>
      <c r="O634" s="49">
        <v>0</v>
      </c>
      <c r="P634" s="49">
        <v>1</v>
      </c>
      <c r="Q634" s="58">
        <v>0</v>
      </c>
      <c r="R634" s="42">
        <v>2</v>
      </c>
      <c r="S634" s="83" t="s">
        <v>284</v>
      </c>
      <c r="U634" s="83">
        <v>1</v>
      </c>
      <c r="V634" s="49">
        <v>3</v>
      </c>
      <c r="W634" s="49">
        <v>1</v>
      </c>
      <c r="X634" s="58">
        <v>2</v>
      </c>
      <c r="Y634" s="83">
        <v>5</v>
      </c>
      <c r="AA634" s="49">
        <v>3</v>
      </c>
      <c r="AD634" s="49">
        <v>3</v>
      </c>
      <c r="AE634" s="49">
        <v>14</v>
      </c>
      <c r="AF634" s="49">
        <v>28</v>
      </c>
      <c r="AG634" s="49">
        <v>664</v>
      </c>
      <c r="AH634" s="49">
        <v>21</v>
      </c>
      <c r="AI634" s="49">
        <v>190</v>
      </c>
      <c r="AJ634" s="49">
        <v>0</v>
      </c>
      <c r="AK634" s="83">
        <v>0</v>
      </c>
      <c r="AL634" s="49">
        <v>0</v>
      </c>
      <c r="AM634" s="49">
        <v>1</v>
      </c>
      <c r="AN634" s="49">
        <v>0</v>
      </c>
      <c r="AO634" s="58">
        <v>0</v>
      </c>
      <c r="AP634" s="174">
        <v>0</v>
      </c>
      <c r="AQ634" s="175">
        <v>0</v>
      </c>
      <c r="AR634" s="175">
        <v>0</v>
      </c>
      <c r="AS634" s="175">
        <v>405</v>
      </c>
      <c r="AT634" s="175">
        <v>0</v>
      </c>
      <c r="AU634" s="175">
        <v>0</v>
      </c>
      <c r="AV634" s="175">
        <v>0</v>
      </c>
      <c r="AW634" s="175">
        <v>0</v>
      </c>
      <c r="AX634" s="83">
        <v>0</v>
      </c>
      <c r="AY634" s="49">
        <v>0</v>
      </c>
      <c r="AZ634" s="49">
        <v>0</v>
      </c>
      <c r="BA634" s="49">
        <v>0</v>
      </c>
      <c r="BB634" s="58">
        <v>0</v>
      </c>
      <c r="BC634" s="42">
        <v>106</v>
      </c>
      <c r="BD634" s="49">
        <v>60.7</v>
      </c>
      <c r="BE634" s="49">
        <v>62.37</v>
      </c>
      <c r="BS634" s="58"/>
      <c r="BT634" s="83"/>
      <c r="CE634" s="83">
        <v>60.97</v>
      </c>
      <c r="CK634" s="58"/>
      <c r="CL634" s="83"/>
      <c r="CO634" s="58"/>
      <c r="CP634" s="83"/>
      <c r="CR634" s="58"/>
      <c r="CS634" s="83"/>
      <c r="CY634" s="83"/>
      <c r="DG634" s="58"/>
      <c r="DH634" s="83"/>
      <c r="DQ634" s="83"/>
      <c r="EE634" s="58"/>
      <c r="EF634" s="83"/>
      <c r="EI634" s="83"/>
      <c r="EK634" s="58"/>
      <c r="EL634" s="83"/>
      <c r="EO634" s="58"/>
      <c r="EP634" s="83"/>
      <c r="EQ634" s="58"/>
      <c r="ER634" s="83"/>
      <c r="ES634" s="58"/>
      <c r="ET634" s="83"/>
      <c r="EU634" s="58"/>
    </row>
    <row r="635" spans="1:151">
      <c r="A635" s="42" t="s">
        <v>322</v>
      </c>
      <c r="B635" s="173" t="s">
        <v>205</v>
      </c>
      <c r="C635" s="173" t="s">
        <v>516</v>
      </c>
      <c r="D635" s="83" t="s">
        <v>75</v>
      </c>
      <c r="E635" s="49" t="s">
        <v>0</v>
      </c>
      <c r="F635" s="49" t="s">
        <v>287</v>
      </c>
      <c r="G635" s="70">
        <v>8.7550000000000008</v>
      </c>
      <c r="I635" s="49">
        <v>834</v>
      </c>
      <c r="J635" s="159">
        <v>3.4320987654320989</v>
      </c>
      <c r="K635" s="49">
        <v>1</v>
      </c>
      <c r="L635" s="49">
        <v>3</v>
      </c>
      <c r="M635" s="83">
        <v>1</v>
      </c>
      <c r="N635" s="49">
        <v>0</v>
      </c>
      <c r="O635" s="49">
        <v>0</v>
      </c>
      <c r="P635" s="49">
        <v>1</v>
      </c>
      <c r="Q635" s="58">
        <v>0</v>
      </c>
      <c r="R635" s="42">
        <v>2</v>
      </c>
      <c r="S635" s="83" t="s">
        <v>284</v>
      </c>
      <c r="U635" s="83">
        <v>1</v>
      </c>
      <c r="V635" s="49">
        <v>3</v>
      </c>
      <c r="W635" s="49">
        <v>1</v>
      </c>
      <c r="X635" s="58">
        <v>2</v>
      </c>
      <c r="Y635" s="83">
        <v>5</v>
      </c>
      <c r="AD635" s="49">
        <v>9</v>
      </c>
      <c r="AE635" s="49">
        <v>54</v>
      </c>
      <c r="AH635" s="49">
        <v>12</v>
      </c>
      <c r="AI635" s="49">
        <v>351</v>
      </c>
      <c r="AJ635" s="49">
        <v>0</v>
      </c>
      <c r="AK635" s="83">
        <v>0</v>
      </c>
      <c r="AL635" s="49">
        <v>0</v>
      </c>
      <c r="AM635" s="49">
        <v>1</v>
      </c>
      <c r="AN635" s="49">
        <v>0</v>
      </c>
      <c r="AO635" s="58">
        <v>0</v>
      </c>
      <c r="AP635" s="174" t="s">
        <v>284</v>
      </c>
      <c r="AQ635" s="175" t="s">
        <v>284</v>
      </c>
      <c r="AR635" s="175" t="s">
        <v>501</v>
      </c>
      <c r="AS635" s="175" t="s">
        <v>501</v>
      </c>
      <c r="AT635" s="175" t="s">
        <v>284</v>
      </c>
      <c r="AU635" s="175" t="s">
        <v>284</v>
      </c>
      <c r="AV635" s="175" t="s">
        <v>284</v>
      </c>
      <c r="AW635" s="175" t="s">
        <v>284</v>
      </c>
      <c r="AX635" s="83">
        <v>0</v>
      </c>
      <c r="AY635" s="49">
        <v>1</v>
      </c>
      <c r="AZ635" s="49">
        <v>0</v>
      </c>
      <c r="BA635" s="49">
        <v>0</v>
      </c>
      <c r="BB635" s="58">
        <v>1</v>
      </c>
      <c r="BC635" s="42">
        <v>168</v>
      </c>
      <c r="BD635" s="49">
        <v>55.97</v>
      </c>
      <c r="BE635" s="49"/>
      <c r="BS635" s="58"/>
      <c r="BT635" s="83">
        <v>59.55</v>
      </c>
      <c r="CE635" s="83"/>
      <c r="CK635" s="58"/>
      <c r="CL635" s="83"/>
      <c r="CO635" s="58"/>
      <c r="CP635" s="83"/>
      <c r="CR635" s="58"/>
      <c r="CS635" s="83"/>
      <c r="CY635" s="83"/>
      <c r="DG635" s="58"/>
      <c r="DH635" s="83"/>
      <c r="DQ635" s="83"/>
      <c r="EE635" s="58"/>
      <c r="EF635" s="83"/>
      <c r="EI635" s="83"/>
      <c r="EK635" s="58"/>
      <c r="EL635" s="83"/>
      <c r="EO635" s="58"/>
      <c r="EP635" s="83"/>
      <c r="EQ635" s="58"/>
      <c r="ER635" s="83"/>
      <c r="ES635" s="58"/>
      <c r="ET635" s="83"/>
      <c r="EU635" s="58"/>
    </row>
    <row r="636" spans="1:151">
      <c r="A636" s="42" t="s">
        <v>322</v>
      </c>
      <c r="B636" s="173" t="s">
        <v>205</v>
      </c>
      <c r="C636" s="173" t="s">
        <v>516</v>
      </c>
      <c r="D636" s="83" t="s">
        <v>75</v>
      </c>
      <c r="E636" s="49" t="s">
        <v>1</v>
      </c>
      <c r="F636" s="49" t="s">
        <v>286</v>
      </c>
      <c r="G636" s="70">
        <v>8.7550000000000008</v>
      </c>
      <c r="I636" s="49">
        <v>1119</v>
      </c>
      <c r="J636" s="159">
        <v>2.2651821862348176</v>
      </c>
      <c r="K636" s="49">
        <v>1</v>
      </c>
      <c r="L636" s="49">
        <v>3</v>
      </c>
      <c r="M636" s="83">
        <v>1</v>
      </c>
      <c r="N636" s="49">
        <v>0</v>
      </c>
      <c r="O636" s="49">
        <v>0</v>
      </c>
      <c r="P636" s="49">
        <v>1</v>
      </c>
      <c r="Q636" s="58">
        <v>0</v>
      </c>
      <c r="R636" s="42">
        <v>2</v>
      </c>
      <c r="S636" s="83" t="s">
        <v>284</v>
      </c>
      <c r="U636" s="83">
        <v>1</v>
      </c>
      <c r="V636" s="49">
        <v>3</v>
      </c>
      <c r="W636" s="49">
        <v>1</v>
      </c>
      <c r="X636" s="58">
        <v>2</v>
      </c>
      <c r="Y636" s="83">
        <v>2</v>
      </c>
      <c r="AA636" s="49">
        <v>17</v>
      </c>
      <c r="AD636" s="49">
        <v>4</v>
      </c>
      <c r="AE636" s="49">
        <v>43</v>
      </c>
      <c r="AF636" s="49">
        <v>19</v>
      </c>
      <c r="AG636" s="49">
        <v>58</v>
      </c>
      <c r="AJ636" s="49">
        <v>0</v>
      </c>
      <c r="AK636" s="83">
        <v>0</v>
      </c>
      <c r="AL636" s="49">
        <v>0</v>
      </c>
      <c r="AM636" s="49">
        <v>0</v>
      </c>
      <c r="AN636" s="49">
        <v>0</v>
      </c>
      <c r="AO636" s="58">
        <v>0</v>
      </c>
      <c r="AP636" s="174" t="s">
        <v>284</v>
      </c>
      <c r="AQ636" s="175" t="s">
        <v>284</v>
      </c>
      <c r="AR636" s="175" t="s">
        <v>284</v>
      </c>
      <c r="AS636" s="175" t="s">
        <v>284</v>
      </c>
      <c r="AT636" s="175" t="s">
        <v>284</v>
      </c>
      <c r="AU636" s="175" t="s">
        <v>284</v>
      </c>
      <c r="AV636" s="175" t="s">
        <v>284</v>
      </c>
      <c r="AW636" s="175" t="s">
        <v>284</v>
      </c>
      <c r="AX636" s="83">
        <v>0</v>
      </c>
      <c r="AY636" s="49">
        <v>0</v>
      </c>
      <c r="AZ636" s="49">
        <v>0</v>
      </c>
      <c r="BA636" s="49">
        <v>0</v>
      </c>
      <c r="BB636" s="58">
        <v>0</v>
      </c>
      <c r="BC636" s="42">
        <v>168</v>
      </c>
      <c r="BD636" s="49">
        <v>56.21</v>
      </c>
      <c r="BE636" s="49">
        <v>58.71</v>
      </c>
      <c r="BS636" s="58"/>
      <c r="BT636" s="83">
        <v>62.86</v>
      </c>
      <c r="CE636" s="83"/>
      <c r="CK636" s="58"/>
      <c r="CL636" s="83"/>
      <c r="CO636" s="58"/>
      <c r="CP636" s="83"/>
      <c r="CR636" s="58"/>
      <c r="CS636" s="83"/>
      <c r="CY636" s="83"/>
      <c r="DG636" s="58"/>
      <c r="DH636" s="83"/>
      <c r="DQ636" s="83"/>
      <c r="EE636" s="58"/>
      <c r="EF636" s="83"/>
      <c r="EI636" s="83"/>
      <c r="EK636" s="58"/>
      <c r="EL636" s="83"/>
      <c r="EO636" s="58"/>
      <c r="EP636" s="83"/>
      <c r="EQ636" s="58"/>
      <c r="ER636" s="83"/>
      <c r="ES636" s="58"/>
      <c r="ET636" s="83"/>
      <c r="EU636" s="58"/>
    </row>
    <row r="637" spans="1:151">
      <c r="A637" s="42" t="s">
        <v>322</v>
      </c>
      <c r="B637" s="173" t="s">
        <v>205</v>
      </c>
      <c r="C637" s="173" t="s">
        <v>516</v>
      </c>
      <c r="D637" s="83" t="s">
        <v>199</v>
      </c>
      <c r="F637" s="49" t="s">
        <v>286</v>
      </c>
      <c r="G637" s="70">
        <v>8.7550000000000008</v>
      </c>
      <c r="I637" s="49">
        <v>3480</v>
      </c>
      <c r="J637" s="159">
        <v>5.4037267080745339</v>
      </c>
      <c r="K637" s="49">
        <v>1</v>
      </c>
      <c r="L637" s="49">
        <v>2</v>
      </c>
      <c r="M637" s="83">
        <v>1</v>
      </c>
      <c r="N637" s="49">
        <v>0</v>
      </c>
      <c r="O637" s="49">
        <v>0</v>
      </c>
      <c r="P637" s="49">
        <v>0</v>
      </c>
      <c r="Q637" s="58">
        <v>0</v>
      </c>
      <c r="R637" s="42">
        <v>1</v>
      </c>
      <c r="S637" s="83" t="s">
        <v>283</v>
      </c>
      <c r="T637" s="49">
        <v>11</v>
      </c>
      <c r="U637" s="83">
        <v>1</v>
      </c>
      <c r="V637" s="49">
        <v>2</v>
      </c>
      <c r="W637" s="49">
        <v>2</v>
      </c>
      <c r="X637" s="58"/>
      <c r="Y637" s="83">
        <v>2</v>
      </c>
      <c r="AA637" s="49">
        <v>9</v>
      </c>
      <c r="AD637" s="49">
        <v>15</v>
      </c>
      <c r="AE637" s="49">
        <v>209</v>
      </c>
      <c r="AG637" s="49">
        <v>19</v>
      </c>
      <c r="AH637" s="49">
        <v>26</v>
      </c>
      <c r="AI637" s="49">
        <v>726</v>
      </c>
      <c r="AJ637" s="49">
        <v>0</v>
      </c>
      <c r="AK637" s="83">
        <v>0</v>
      </c>
      <c r="AL637" s="49">
        <v>0</v>
      </c>
      <c r="AM637" s="49">
        <v>1</v>
      </c>
      <c r="AN637" s="49">
        <v>0</v>
      </c>
      <c r="AO637" s="58">
        <v>0</v>
      </c>
      <c r="AP637" s="174">
        <v>0</v>
      </c>
      <c r="AQ637" s="175">
        <v>0</v>
      </c>
      <c r="AR637" s="175">
        <v>644</v>
      </c>
      <c r="AS637" s="175">
        <v>740</v>
      </c>
      <c r="AT637" s="175">
        <v>0</v>
      </c>
      <c r="AU637" s="175">
        <v>0</v>
      </c>
      <c r="AV637" s="175">
        <v>0</v>
      </c>
      <c r="AW637" s="175">
        <v>0</v>
      </c>
      <c r="AX637" s="83">
        <v>0</v>
      </c>
      <c r="AY637" s="49">
        <v>0</v>
      </c>
      <c r="AZ637" s="49">
        <v>0</v>
      </c>
      <c r="BA637" s="49">
        <v>0</v>
      </c>
      <c r="BB637" s="58">
        <v>0</v>
      </c>
      <c r="BC637" s="42">
        <v>137</v>
      </c>
      <c r="BE637" s="49"/>
      <c r="BS637" s="58"/>
      <c r="BT637" s="83"/>
      <c r="CE637" s="83"/>
      <c r="CK637" s="58"/>
      <c r="CL637" s="83"/>
      <c r="CO637" s="58"/>
      <c r="CP637" s="83"/>
      <c r="CR637" s="58"/>
      <c r="CS637" s="83"/>
      <c r="CY637" s="83"/>
      <c r="DG637" s="58"/>
      <c r="DH637" s="83"/>
      <c r="DQ637" s="83"/>
      <c r="EE637" s="58"/>
      <c r="EF637" s="83"/>
      <c r="EI637" s="83"/>
      <c r="EK637" s="58"/>
      <c r="EL637" s="83"/>
      <c r="EO637" s="58"/>
      <c r="EP637" s="83"/>
      <c r="EQ637" s="58"/>
      <c r="ER637" s="83"/>
      <c r="ES637" s="58"/>
      <c r="ET637" s="83"/>
      <c r="EU637" s="58"/>
    </row>
    <row r="638" spans="1:151">
      <c r="A638" s="42" t="s">
        <v>322</v>
      </c>
      <c r="B638" s="173" t="s">
        <v>205</v>
      </c>
      <c r="C638" s="173" t="s">
        <v>516</v>
      </c>
      <c r="D638" s="83" t="s">
        <v>194</v>
      </c>
      <c r="F638" s="49" t="s">
        <v>286</v>
      </c>
      <c r="G638" s="70">
        <v>8.7550000000000008</v>
      </c>
      <c r="I638" s="49">
        <v>1699</v>
      </c>
      <c r="J638" s="159">
        <v>5.0565476190476186</v>
      </c>
      <c r="K638" s="49">
        <v>1</v>
      </c>
      <c r="L638" s="49">
        <v>2</v>
      </c>
      <c r="M638" s="83">
        <v>0</v>
      </c>
      <c r="N638" s="49">
        <v>1</v>
      </c>
      <c r="O638" s="49">
        <v>0</v>
      </c>
      <c r="P638" s="49">
        <v>1</v>
      </c>
      <c r="Q638" s="58">
        <v>0</v>
      </c>
      <c r="R638" s="42">
        <v>2</v>
      </c>
      <c r="S638" s="83" t="s">
        <v>283</v>
      </c>
      <c r="T638" s="49">
        <v>13</v>
      </c>
      <c r="U638" s="83">
        <v>1</v>
      </c>
      <c r="V638" s="49">
        <v>2</v>
      </c>
      <c r="W638" s="49">
        <v>1</v>
      </c>
      <c r="X638" s="58">
        <v>2</v>
      </c>
      <c r="Y638" s="83">
        <v>0</v>
      </c>
      <c r="AJ638" s="49">
        <v>0</v>
      </c>
      <c r="AK638" s="83">
        <v>0</v>
      </c>
      <c r="AL638" s="49">
        <v>0</v>
      </c>
      <c r="AM638" s="49">
        <v>1</v>
      </c>
      <c r="AN638" s="49">
        <v>0</v>
      </c>
      <c r="AO638" s="58">
        <v>0</v>
      </c>
      <c r="AP638" s="174">
        <v>0</v>
      </c>
      <c r="AQ638" s="175">
        <v>0</v>
      </c>
      <c r="AR638" s="175">
        <v>0</v>
      </c>
      <c r="AS638" s="175">
        <v>425</v>
      </c>
      <c r="AT638" s="175">
        <v>0</v>
      </c>
      <c r="AU638" s="175">
        <v>0</v>
      </c>
      <c r="AV638" s="175">
        <v>0</v>
      </c>
      <c r="AW638" s="175">
        <v>0</v>
      </c>
      <c r="AX638" s="83">
        <v>0</v>
      </c>
      <c r="AY638" s="49">
        <v>0</v>
      </c>
      <c r="AZ638" s="49">
        <v>0</v>
      </c>
      <c r="BA638" s="49">
        <v>0</v>
      </c>
      <c r="BB638" s="58">
        <v>0</v>
      </c>
      <c r="BC638" s="42">
        <v>130</v>
      </c>
      <c r="BE638" s="49"/>
      <c r="BS638" s="58"/>
      <c r="BT638" s="83"/>
      <c r="CE638" s="83"/>
      <c r="CK638" s="58"/>
      <c r="CL638" s="83"/>
      <c r="CO638" s="58"/>
      <c r="CP638" s="83"/>
      <c r="CR638" s="58"/>
      <c r="CS638" s="83"/>
      <c r="CY638" s="83"/>
      <c r="DG638" s="58"/>
      <c r="DH638" s="83"/>
      <c r="DQ638" s="83"/>
      <c r="EE638" s="58"/>
      <c r="EF638" s="83"/>
      <c r="EI638" s="83"/>
      <c r="EK638" s="58"/>
      <c r="EL638" s="83"/>
      <c r="EO638" s="58"/>
      <c r="EP638" s="83"/>
      <c r="EQ638" s="58"/>
      <c r="ER638" s="83"/>
      <c r="ES638" s="58"/>
      <c r="ET638" s="83"/>
      <c r="EU638" s="58"/>
    </row>
    <row r="639" spans="1:151">
      <c r="A639" s="42" t="s">
        <v>322</v>
      </c>
      <c r="B639" s="173" t="s">
        <v>205</v>
      </c>
      <c r="C639" s="173" t="s">
        <v>516</v>
      </c>
      <c r="D639" s="83" t="s">
        <v>206</v>
      </c>
      <c r="F639" s="49" t="s">
        <v>286</v>
      </c>
      <c r="G639" s="70">
        <v>8.7550000000000008</v>
      </c>
      <c r="I639" s="49">
        <v>1097</v>
      </c>
      <c r="J639" s="159">
        <v>2.7562814070351758</v>
      </c>
      <c r="K639" s="49">
        <v>1</v>
      </c>
      <c r="L639" s="49">
        <v>2</v>
      </c>
      <c r="M639" s="83">
        <v>1</v>
      </c>
      <c r="N639" s="49">
        <v>0</v>
      </c>
      <c r="O639" s="49">
        <v>0</v>
      </c>
      <c r="P639" s="49">
        <v>1</v>
      </c>
      <c r="Q639" s="58">
        <v>0</v>
      </c>
      <c r="R639" s="42">
        <v>2</v>
      </c>
      <c r="S639" s="83" t="s">
        <v>283</v>
      </c>
      <c r="T639" s="49">
        <v>9</v>
      </c>
      <c r="U639" s="83">
        <v>0</v>
      </c>
      <c r="V639" s="49">
        <v>0</v>
      </c>
      <c r="W639" s="49">
        <v>0</v>
      </c>
      <c r="X639" s="58"/>
      <c r="Y639" s="83">
        <v>2</v>
      </c>
      <c r="AA639" s="49">
        <v>29</v>
      </c>
      <c r="AD639" s="49">
        <v>5</v>
      </c>
      <c r="AE639" s="49">
        <v>22</v>
      </c>
      <c r="AH639" s="49">
        <v>55</v>
      </c>
      <c r="AI639" s="49">
        <v>122</v>
      </c>
      <c r="AJ639" s="49">
        <v>0</v>
      </c>
      <c r="AK639" s="83">
        <v>0</v>
      </c>
      <c r="AL639" s="49">
        <v>0</v>
      </c>
      <c r="AM639" s="49">
        <v>1</v>
      </c>
      <c r="AN639" s="49">
        <v>0</v>
      </c>
      <c r="AO639" s="58">
        <v>0</v>
      </c>
      <c r="AP639" s="174">
        <v>0</v>
      </c>
      <c r="AQ639" s="175">
        <v>0</v>
      </c>
      <c r="AR639" s="175">
        <v>452</v>
      </c>
      <c r="AS639" s="175">
        <v>614</v>
      </c>
      <c r="AT639" s="175">
        <v>0</v>
      </c>
      <c r="AU639" s="175">
        <v>0</v>
      </c>
      <c r="AV639" s="175">
        <v>0</v>
      </c>
      <c r="AW639" s="175">
        <v>0</v>
      </c>
      <c r="AX639" s="83">
        <v>0</v>
      </c>
      <c r="AY639" s="49">
        <v>0</v>
      </c>
      <c r="AZ639" s="49">
        <v>0</v>
      </c>
      <c r="BA639" s="49">
        <v>0</v>
      </c>
      <c r="BB639" s="58">
        <v>0</v>
      </c>
      <c r="BC639" s="42">
        <v>127</v>
      </c>
      <c r="BD639" s="49">
        <v>55.27</v>
      </c>
      <c r="BE639" s="49"/>
      <c r="BS639" s="58"/>
      <c r="BT639" s="83">
        <v>61.47</v>
      </c>
      <c r="CE639" s="83"/>
      <c r="CK639" s="58"/>
      <c r="CL639" s="83">
        <v>49.92</v>
      </c>
      <c r="CO639" s="58"/>
      <c r="CP639" s="83"/>
      <c r="CR639" s="58"/>
      <c r="CS639" s="83"/>
      <c r="CY639" s="83"/>
      <c r="DG639" s="58"/>
      <c r="DH639" s="83"/>
      <c r="DQ639" s="83"/>
      <c r="EE639" s="58"/>
      <c r="EF639" s="83"/>
      <c r="EI639" s="83"/>
      <c r="EK639" s="58"/>
      <c r="EL639" s="83"/>
      <c r="EO639" s="58"/>
      <c r="EP639" s="83"/>
      <c r="EQ639" s="58"/>
      <c r="ER639" s="83"/>
      <c r="ES639" s="58"/>
      <c r="ET639" s="83"/>
      <c r="EU639" s="58"/>
    </row>
    <row r="640" spans="1:151">
      <c r="A640" s="42" t="s">
        <v>322</v>
      </c>
      <c r="B640" s="173" t="s">
        <v>205</v>
      </c>
      <c r="C640" s="173" t="s">
        <v>516</v>
      </c>
      <c r="D640" s="83" t="s">
        <v>131</v>
      </c>
      <c r="F640" s="49" t="s">
        <v>286</v>
      </c>
      <c r="G640" s="70">
        <v>8.7550000000000008</v>
      </c>
      <c r="I640" s="49">
        <v>2880</v>
      </c>
      <c r="J640" s="159">
        <v>6.2068965517241379</v>
      </c>
      <c r="K640" s="49">
        <v>2</v>
      </c>
      <c r="L640" s="49">
        <v>3</v>
      </c>
      <c r="M640" s="83">
        <v>1</v>
      </c>
      <c r="N640" s="49">
        <v>0</v>
      </c>
      <c r="O640" s="49">
        <v>0</v>
      </c>
      <c r="P640" s="49">
        <v>1</v>
      </c>
      <c r="Q640" s="58">
        <v>0</v>
      </c>
      <c r="R640" s="42">
        <v>2</v>
      </c>
      <c r="S640" s="83" t="s">
        <v>283</v>
      </c>
      <c r="T640" s="49">
        <v>9</v>
      </c>
      <c r="U640" s="83">
        <v>1</v>
      </c>
      <c r="V640" s="49">
        <v>2</v>
      </c>
      <c r="W640" s="49">
        <v>1</v>
      </c>
      <c r="X640" s="58">
        <v>2</v>
      </c>
      <c r="Y640" s="83">
        <v>2</v>
      </c>
      <c r="AA640" s="49">
        <v>12</v>
      </c>
      <c r="AD640" s="49">
        <v>11</v>
      </c>
      <c r="AE640" s="49">
        <v>51</v>
      </c>
      <c r="AH640" s="49">
        <v>20</v>
      </c>
      <c r="AI640" s="49">
        <v>754</v>
      </c>
      <c r="AJ640" s="49">
        <v>0</v>
      </c>
      <c r="AK640" s="83">
        <v>0</v>
      </c>
      <c r="AL640" s="49">
        <v>1</v>
      </c>
      <c r="AM640" s="49">
        <v>0</v>
      </c>
      <c r="AN640" s="49">
        <v>0</v>
      </c>
      <c r="AO640" s="58">
        <v>0</v>
      </c>
      <c r="AP640" s="174">
        <v>0</v>
      </c>
      <c r="AQ640" s="175">
        <v>990</v>
      </c>
      <c r="AR640" s="175">
        <v>0</v>
      </c>
      <c r="AS640" s="175">
        <v>0</v>
      </c>
      <c r="AT640" s="175">
        <v>0</v>
      </c>
      <c r="AU640" s="175">
        <v>0</v>
      </c>
      <c r="AV640" s="175">
        <v>0</v>
      </c>
      <c r="AW640" s="175">
        <v>0</v>
      </c>
      <c r="AX640" s="83">
        <v>0</v>
      </c>
      <c r="AY640" s="49">
        <v>0</v>
      </c>
      <c r="AZ640" s="49">
        <v>0</v>
      </c>
      <c r="BA640" s="49">
        <v>0</v>
      </c>
      <c r="BB640" s="58">
        <v>0</v>
      </c>
      <c r="BC640" s="42">
        <v>130</v>
      </c>
      <c r="BE640" s="49"/>
      <c r="BS640" s="58"/>
      <c r="BT640" s="83"/>
      <c r="CE640" s="83"/>
      <c r="CK640" s="58"/>
      <c r="CL640" s="83"/>
      <c r="CO640" s="58"/>
      <c r="CP640" s="83"/>
      <c r="CR640" s="58"/>
      <c r="CS640" s="83"/>
      <c r="CY640" s="83"/>
      <c r="DG640" s="58"/>
      <c r="DH640" s="83"/>
      <c r="DQ640" s="83"/>
      <c r="EE640" s="58"/>
      <c r="EF640" s="83"/>
      <c r="EI640" s="83"/>
      <c r="EK640" s="58"/>
      <c r="EL640" s="83"/>
      <c r="EO640" s="58"/>
      <c r="EP640" s="83"/>
      <c r="EQ640" s="58"/>
      <c r="ER640" s="83"/>
      <c r="ES640" s="58"/>
      <c r="ET640" s="83"/>
      <c r="EU640" s="58"/>
    </row>
    <row r="641" spans="1:209">
      <c r="A641" s="42" t="s">
        <v>322</v>
      </c>
      <c r="B641" s="173" t="s">
        <v>205</v>
      </c>
      <c r="C641" s="173" t="s">
        <v>516</v>
      </c>
      <c r="D641" s="83" t="s">
        <v>201</v>
      </c>
      <c r="F641" s="49" t="s">
        <v>286</v>
      </c>
      <c r="G641" s="70">
        <v>8.7550000000000008</v>
      </c>
      <c r="I641" s="49">
        <v>2054</v>
      </c>
      <c r="J641" s="159">
        <v>8.3495934959349594</v>
      </c>
      <c r="K641" s="49">
        <v>2</v>
      </c>
      <c r="L641" s="49">
        <v>2</v>
      </c>
      <c r="M641" s="83">
        <v>1</v>
      </c>
      <c r="N641" s="49">
        <v>0</v>
      </c>
      <c r="O641" s="49">
        <v>0</v>
      </c>
      <c r="P641" s="49">
        <v>1</v>
      </c>
      <c r="Q641" s="58">
        <v>0</v>
      </c>
      <c r="R641" s="42">
        <v>2</v>
      </c>
      <c r="S641" s="83" t="s">
        <v>283</v>
      </c>
      <c r="T641" s="49">
        <v>9</v>
      </c>
      <c r="U641" s="83">
        <v>1</v>
      </c>
      <c r="V641" s="49">
        <v>3</v>
      </c>
      <c r="W641" s="49">
        <v>1</v>
      </c>
      <c r="X641" s="58">
        <v>2</v>
      </c>
      <c r="Y641" s="83">
        <v>3</v>
      </c>
      <c r="AD641" s="49">
        <v>8</v>
      </c>
      <c r="AE641" s="49">
        <v>112</v>
      </c>
      <c r="AF641" s="49">
        <v>18</v>
      </c>
      <c r="AG641" s="49">
        <v>114</v>
      </c>
      <c r="AH641" s="49">
        <v>25</v>
      </c>
      <c r="AI641" s="49">
        <v>368</v>
      </c>
      <c r="AJ641" s="49">
        <v>1</v>
      </c>
      <c r="AK641" s="83">
        <v>0</v>
      </c>
      <c r="AL641" s="49">
        <v>0</v>
      </c>
      <c r="AM641" s="49">
        <v>1</v>
      </c>
      <c r="AN641" s="49">
        <v>0</v>
      </c>
      <c r="AO641" s="58">
        <v>0</v>
      </c>
      <c r="AP641" s="174">
        <v>0</v>
      </c>
      <c r="AQ641" s="175">
        <v>0</v>
      </c>
      <c r="AR641" s="175">
        <v>67</v>
      </c>
      <c r="AS641" s="175">
        <v>104</v>
      </c>
      <c r="AT641" s="175">
        <v>0</v>
      </c>
      <c r="AU641" s="175">
        <v>0</v>
      </c>
      <c r="AV641" s="175">
        <v>0</v>
      </c>
      <c r="AW641" s="175">
        <v>0</v>
      </c>
      <c r="AX641" s="83">
        <v>0</v>
      </c>
      <c r="AY641" s="49">
        <v>0</v>
      </c>
      <c r="AZ641" s="49">
        <v>0</v>
      </c>
      <c r="BA641" s="49">
        <v>0</v>
      </c>
      <c r="BB641" s="58">
        <v>0</v>
      </c>
      <c r="BC641" s="42">
        <v>116</v>
      </c>
      <c r="BE641" s="49"/>
      <c r="BS641" s="58"/>
      <c r="BT641" s="83"/>
      <c r="CE641" s="83"/>
      <c r="CK641" s="58"/>
      <c r="CL641" s="83"/>
      <c r="CO641" s="58"/>
      <c r="CP641" s="83"/>
      <c r="CR641" s="58"/>
      <c r="CS641" s="83"/>
      <c r="CY641" s="83"/>
      <c r="DG641" s="58"/>
      <c r="DH641" s="83"/>
      <c r="DQ641" s="83"/>
      <c r="EE641" s="58"/>
      <c r="EF641" s="83"/>
      <c r="EI641" s="83"/>
      <c r="EK641" s="58"/>
      <c r="EL641" s="83"/>
      <c r="EO641" s="58"/>
      <c r="EP641" s="83"/>
      <c r="EQ641" s="58"/>
      <c r="ER641" s="83"/>
      <c r="ES641" s="58"/>
      <c r="ET641" s="83"/>
      <c r="EU641" s="58"/>
    </row>
    <row r="642" spans="1:209">
      <c r="A642" s="42" t="s">
        <v>322</v>
      </c>
      <c r="B642" s="173" t="s">
        <v>205</v>
      </c>
      <c r="C642" s="173" t="s">
        <v>516</v>
      </c>
      <c r="D642" s="83" t="s">
        <v>130</v>
      </c>
      <c r="F642" s="49" t="s">
        <v>286</v>
      </c>
      <c r="G642" s="70">
        <v>8.7550000000000008</v>
      </c>
      <c r="I642" s="49">
        <v>2960</v>
      </c>
      <c r="J642" s="159">
        <v>6.666666666666667</v>
      </c>
      <c r="K642" s="49">
        <v>2</v>
      </c>
      <c r="L642" s="49">
        <v>3</v>
      </c>
      <c r="M642" s="83">
        <v>1</v>
      </c>
      <c r="N642" s="49">
        <v>0</v>
      </c>
      <c r="O642" s="49">
        <v>0</v>
      </c>
      <c r="P642" s="49">
        <v>1</v>
      </c>
      <c r="Q642" s="58">
        <v>0</v>
      </c>
      <c r="R642" s="42">
        <v>2</v>
      </c>
      <c r="S642" s="83" t="s">
        <v>283</v>
      </c>
      <c r="T642" s="49">
        <v>19</v>
      </c>
      <c r="U642" s="83">
        <v>0</v>
      </c>
      <c r="V642" s="49">
        <v>0</v>
      </c>
      <c r="W642" s="49">
        <v>0</v>
      </c>
      <c r="X642" s="58"/>
      <c r="Y642" s="83">
        <v>2</v>
      </c>
      <c r="AD642" s="49">
        <v>6</v>
      </c>
      <c r="AE642" s="49">
        <v>271</v>
      </c>
      <c r="AH642" s="49">
        <v>14</v>
      </c>
      <c r="AI642" s="49">
        <v>921</v>
      </c>
      <c r="AJ642" s="49">
        <v>0</v>
      </c>
      <c r="AK642" s="83">
        <v>0</v>
      </c>
      <c r="AL642" s="49">
        <v>0</v>
      </c>
      <c r="AM642" s="49">
        <v>1</v>
      </c>
      <c r="AN642" s="49">
        <v>0</v>
      </c>
      <c r="AO642" s="58">
        <v>0</v>
      </c>
      <c r="AP642" s="174">
        <v>0</v>
      </c>
      <c r="AQ642" s="175">
        <v>0</v>
      </c>
      <c r="AR642" s="175">
        <v>74</v>
      </c>
      <c r="AS642" s="175">
        <v>519</v>
      </c>
      <c r="AT642" s="175">
        <v>0</v>
      </c>
      <c r="AU642" s="175">
        <v>0</v>
      </c>
      <c r="AV642" s="175">
        <v>0</v>
      </c>
      <c r="AW642" s="175">
        <v>0</v>
      </c>
      <c r="AX642" s="83">
        <v>0</v>
      </c>
      <c r="AY642" s="49">
        <v>0</v>
      </c>
      <c r="AZ642" s="49">
        <v>0</v>
      </c>
      <c r="BA642" s="49">
        <v>0</v>
      </c>
      <c r="BB642" s="58">
        <v>0</v>
      </c>
      <c r="BC642" s="42">
        <v>129</v>
      </c>
      <c r="BD642" s="49">
        <v>57.62</v>
      </c>
      <c r="BE642" s="49"/>
      <c r="BS642" s="58"/>
      <c r="BT642" s="83">
        <v>60.72</v>
      </c>
      <c r="CE642" s="83">
        <v>50.16</v>
      </c>
      <c r="CK642" s="58"/>
      <c r="CL642" s="83"/>
      <c r="CO642" s="58"/>
      <c r="CP642" s="83"/>
      <c r="CR642" s="58"/>
      <c r="CS642" s="83"/>
      <c r="CY642" s="83"/>
      <c r="DG642" s="58"/>
      <c r="DH642" s="83"/>
      <c r="DQ642" s="83"/>
      <c r="EE642" s="58"/>
      <c r="EF642" s="83"/>
      <c r="EI642" s="83"/>
      <c r="EK642" s="58"/>
      <c r="EL642" s="83"/>
      <c r="EO642" s="58"/>
      <c r="EP642" s="83"/>
      <c r="EQ642" s="58"/>
      <c r="ER642" s="83"/>
      <c r="ES642" s="58"/>
      <c r="ET642" s="83"/>
      <c r="EU642" s="58"/>
    </row>
    <row r="643" spans="1:209" ht="17" thickBot="1">
      <c r="A643" s="55" t="s">
        <v>322</v>
      </c>
      <c r="B643" s="47" t="s">
        <v>205</v>
      </c>
      <c r="C643" s="47" t="s">
        <v>516</v>
      </c>
      <c r="D643" s="84" t="s">
        <v>202</v>
      </c>
      <c r="E643" s="57"/>
      <c r="F643" s="57" t="s">
        <v>286</v>
      </c>
      <c r="G643" s="79">
        <v>8.7550000000000008</v>
      </c>
      <c r="H643" s="57"/>
      <c r="I643" s="57">
        <v>2135</v>
      </c>
      <c r="J643" s="75">
        <v>4.7762863534675617</v>
      </c>
      <c r="K643" s="57">
        <v>2</v>
      </c>
      <c r="L643" s="57">
        <v>3</v>
      </c>
      <c r="M643" s="84">
        <v>1</v>
      </c>
      <c r="N643" s="57">
        <v>0</v>
      </c>
      <c r="O643" s="57">
        <v>0</v>
      </c>
      <c r="P643" s="57">
        <v>0</v>
      </c>
      <c r="Q643" s="56">
        <v>0</v>
      </c>
      <c r="R643" s="55">
        <v>1</v>
      </c>
      <c r="S643" s="84" t="s">
        <v>283</v>
      </c>
      <c r="T643" s="57">
        <v>11</v>
      </c>
      <c r="U643" s="84">
        <v>0</v>
      </c>
      <c r="V643" s="57">
        <v>0</v>
      </c>
      <c r="W643" s="57">
        <v>0</v>
      </c>
      <c r="X643" s="56"/>
      <c r="Y643" s="84">
        <v>1</v>
      </c>
      <c r="Z643" s="57"/>
      <c r="AA643" s="57"/>
      <c r="AB643" s="57"/>
      <c r="AC643" s="57"/>
      <c r="AD643" s="57">
        <v>11</v>
      </c>
      <c r="AE643" s="57">
        <v>64</v>
      </c>
      <c r="AF643" s="57">
        <v>12</v>
      </c>
      <c r="AG643" s="57">
        <v>13</v>
      </c>
      <c r="AH643" s="57">
        <v>45</v>
      </c>
      <c r="AI643" s="57">
        <v>205</v>
      </c>
      <c r="AJ643" s="57">
        <v>0</v>
      </c>
      <c r="AK643" s="84">
        <v>0</v>
      </c>
      <c r="AL643" s="57">
        <v>0</v>
      </c>
      <c r="AM643" s="57">
        <v>1</v>
      </c>
      <c r="AN643" s="57">
        <v>0</v>
      </c>
      <c r="AO643" s="56">
        <v>0</v>
      </c>
      <c r="AP643" s="178">
        <v>0</v>
      </c>
      <c r="AQ643" s="179">
        <v>0</v>
      </c>
      <c r="AR643" s="179">
        <v>0</v>
      </c>
      <c r="AS643" s="179">
        <v>684</v>
      </c>
      <c r="AT643" s="179">
        <v>0</v>
      </c>
      <c r="AU643" s="179">
        <v>0</v>
      </c>
      <c r="AV643" s="179">
        <v>0</v>
      </c>
      <c r="AW643" s="179">
        <v>0</v>
      </c>
      <c r="AX643" s="84">
        <v>0</v>
      </c>
      <c r="AY643" s="57">
        <v>0</v>
      </c>
      <c r="AZ643" s="57">
        <v>0</v>
      </c>
      <c r="BA643" s="57">
        <v>0</v>
      </c>
      <c r="BB643" s="56">
        <v>0</v>
      </c>
      <c r="BC643" s="55">
        <v>143</v>
      </c>
      <c r="BD643" s="57"/>
      <c r="BE643" s="57"/>
      <c r="BF643" s="57"/>
      <c r="BG643" s="57"/>
      <c r="BH643" s="57"/>
      <c r="BI643" s="57"/>
      <c r="BJ643" s="57"/>
      <c r="BK643" s="57"/>
      <c r="BL643" s="57"/>
      <c r="BM643" s="57"/>
      <c r="BN643" s="57"/>
      <c r="BO643" s="57"/>
      <c r="BP643" s="57"/>
      <c r="BQ643" s="57"/>
      <c r="BR643" s="57"/>
      <c r="BS643" s="56"/>
      <c r="BT643" s="84"/>
      <c r="BU643" s="57"/>
      <c r="BV643" s="57"/>
      <c r="BW643" s="57"/>
      <c r="BX643" s="57"/>
      <c r="BY643" s="57"/>
      <c r="BZ643" s="57"/>
      <c r="CA643" s="57"/>
      <c r="CB643" s="57"/>
      <c r="CC643" s="57"/>
      <c r="CD643" s="57"/>
      <c r="CE643" s="84"/>
      <c r="CF643" s="57"/>
      <c r="CG643" s="57"/>
      <c r="CH643" s="57"/>
      <c r="CI643" s="57"/>
      <c r="CJ643" s="57"/>
      <c r="CK643" s="56"/>
      <c r="CL643" s="84"/>
      <c r="CM643" s="57"/>
      <c r="CN643" s="57"/>
      <c r="CO643" s="56"/>
      <c r="CP643" s="84"/>
      <c r="CQ643" s="57"/>
      <c r="CR643" s="56"/>
      <c r="CS643" s="84"/>
      <c r="CT643" s="57"/>
      <c r="CU643" s="57"/>
      <c r="CV643" s="57"/>
      <c r="CW643" s="57"/>
      <c r="CX643" s="57"/>
      <c r="CY643" s="84"/>
      <c r="CZ643" s="57"/>
      <c r="DA643" s="57"/>
      <c r="DB643" s="57"/>
      <c r="DC643" s="57"/>
      <c r="DD643" s="57"/>
      <c r="DE643" s="57"/>
      <c r="DF643" s="57"/>
      <c r="DG643" s="56"/>
      <c r="DH643" s="84"/>
      <c r="DI643" s="57"/>
      <c r="DJ643" s="57"/>
      <c r="DK643" s="57"/>
      <c r="DL643" s="57"/>
      <c r="DM643" s="57"/>
      <c r="DN643" s="57"/>
      <c r="DO643" s="57"/>
      <c r="DP643" s="57"/>
      <c r="DQ643" s="84"/>
      <c r="DR643" s="57"/>
      <c r="DS643" s="57"/>
      <c r="DT643" s="57"/>
      <c r="DU643" s="57"/>
      <c r="DV643" s="57"/>
      <c r="DW643" s="57"/>
      <c r="DX643" s="57"/>
      <c r="DY643" s="57"/>
      <c r="DZ643" s="57"/>
      <c r="EA643" s="57"/>
      <c r="EB643" s="57"/>
      <c r="EC643" s="57"/>
      <c r="ED643" s="57"/>
      <c r="EE643" s="56"/>
      <c r="EF643" s="84"/>
      <c r="EG643" s="57"/>
      <c r="EH643" s="57"/>
      <c r="EI643" s="84"/>
      <c r="EJ643" s="57"/>
      <c r="EK643" s="56"/>
      <c r="EL643" s="84"/>
      <c r="EM643" s="57"/>
      <c r="EN643" s="57"/>
      <c r="EO643" s="56"/>
      <c r="EP643" s="84"/>
      <c r="EQ643" s="56"/>
      <c r="ER643" s="84"/>
      <c r="ES643" s="56"/>
      <c r="ET643" s="84"/>
      <c r="EU643" s="56"/>
    </row>
    <row r="644" spans="1:209">
      <c r="A644" s="83" t="s">
        <v>322</v>
      </c>
      <c r="B644" s="173" t="s">
        <v>207</v>
      </c>
      <c r="C644" s="173" t="s">
        <v>516</v>
      </c>
      <c r="D644" s="83" t="s">
        <v>65</v>
      </c>
      <c r="F644" s="49" t="s">
        <v>286</v>
      </c>
      <c r="G644" s="70">
        <v>8.7550000000000008</v>
      </c>
      <c r="I644" s="49">
        <v>1840</v>
      </c>
      <c r="J644" s="159">
        <v>6.9696969696969697</v>
      </c>
      <c r="K644" s="49">
        <v>1</v>
      </c>
      <c r="L644" s="49">
        <v>2</v>
      </c>
      <c r="M644" s="83">
        <v>1</v>
      </c>
      <c r="N644" s="49">
        <v>0</v>
      </c>
      <c r="O644" s="49">
        <v>0</v>
      </c>
      <c r="P644" s="49">
        <v>1</v>
      </c>
      <c r="Q644" s="58">
        <v>0</v>
      </c>
      <c r="R644" s="42">
        <v>2</v>
      </c>
      <c r="S644" s="83">
        <v>1</v>
      </c>
      <c r="U644" s="83">
        <v>1</v>
      </c>
      <c r="V644" s="49">
        <v>2</v>
      </c>
      <c r="W644" s="49">
        <v>1</v>
      </c>
      <c r="X644" s="58">
        <v>2</v>
      </c>
      <c r="Y644" s="83">
        <v>5</v>
      </c>
      <c r="AD644" s="49">
        <v>7</v>
      </c>
      <c r="AE644" s="49">
        <v>33</v>
      </c>
      <c r="AF644" s="49">
        <v>5</v>
      </c>
      <c r="AG644" s="49">
        <v>170</v>
      </c>
      <c r="AH644" s="49">
        <v>20</v>
      </c>
      <c r="AI644" s="49">
        <v>26</v>
      </c>
      <c r="AJ644" s="49">
        <v>0</v>
      </c>
      <c r="AK644" s="83">
        <v>0</v>
      </c>
      <c r="AL644" s="49">
        <v>0</v>
      </c>
      <c r="AM644" s="49">
        <v>1</v>
      </c>
      <c r="AN644" s="49">
        <v>0</v>
      </c>
      <c r="AO644" s="58">
        <v>0</v>
      </c>
      <c r="AP644" s="174" t="s">
        <v>284</v>
      </c>
      <c r="AQ644" s="175" t="s">
        <v>284</v>
      </c>
      <c r="AR644" s="175" t="s">
        <v>501</v>
      </c>
      <c r="AS644" s="175" t="s">
        <v>501</v>
      </c>
      <c r="AT644" s="175" t="s">
        <v>284</v>
      </c>
      <c r="AU644" s="175" t="s">
        <v>284</v>
      </c>
      <c r="AV644" s="175" t="s">
        <v>284</v>
      </c>
      <c r="AW644" s="175" t="s">
        <v>284</v>
      </c>
      <c r="AX644" s="83">
        <v>0</v>
      </c>
      <c r="AY644" s="49">
        <v>1</v>
      </c>
      <c r="AZ644" s="49">
        <v>0</v>
      </c>
      <c r="BA644" s="49">
        <v>0</v>
      </c>
      <c r="BB644" s="58">
        <v>1</v>
      </c>
      <c r="BC644" s="42">
        <v>123</v>
      </c>
      <c r="BE644" s="49"/>
      <c r="BS644" s="58"/>
      <c r="BT644" s="83"/>
      <c r="CE644" s="83"/>
      <c r="CK644" s="58"/>
      <c r="CL644" s="83"/>
      <c r="CO644" s="58"/>
      <c r="CP644" s="83"/>
      <c r="CR644" s="58"/>
      <c r="CS644" s="83"/>
      <c r="CY644" s="83"/>
      <c r="DG644" s="58"/>
      <c r="DH644" s="83"/>
      <c r="DQ644" s="83"/>
      <c r="EE644" s="58"/>
      <c r="EF644" s="83"/>
      <c r="EI644" s="83"/>
      <c r="EK644" s="58"/>
      <c r="EL644" s="83"/>
      <c r="EO644" s="58"/>
      <c r="EP644" s="83"/>
      <c r="EQ644" s="58"/>
      <c r="ER644" s="83"/>
      <c r="ES644" s="58"/>
      <c r="ET644" s="83"/>
      <c r="EU644" s="58"/>
    </row>
    <row r="645" spans="1:209">
      <c r="A645" s="83" t="s">
        <v>322</v>
      </c>
      <c r="B645" s="173" t="s">
        <v>207</v>
      </c>
      <c r="C645" s="173" t="s">
        <v>516</v>
      </c>
      <c r="D645" s="83" t="s">
        <v>208</v>
      </c>
      <c r="F645" s="49" t="s">
        <v>286</v>
      </c>
      <c r="G645" s="70">
        <v>8.7550000000000008</v>
      </c>
      <c r="I645" s="49">
        <v>1649</v>
      </c>
      <c r="J645" s="159">
        <v>2.5927672955974841</v>
      </c>
      <c r="K645" s="49">
        <v>1</v>
      </c>
      <c r="L645" s="49">
        <v>3</v>
      </c>
      <c r="M645" s="83">
        <v>1</v>
      </c>
      <c r="N645" s="49">
        <v>0</v>
      </c>
      <c r="O645" s="49">
        <v>0</v>
      </c>
      <c r="P645" s="49">
        <v>1</v>
      </c>
      <c r="Q645" s="58">
        <v>0</v>
      </c>
      <c r="R645" s="42">
        <v>2</v>
      </c>
      <c r="S645" s="83" t="s">
        <v>283</v>
      </c>
      <c r="T645" s="49">
        <v>3</v>
      </c>
      <c r="U645" s="83">
        <v>1</v>
      </c>
      <c r="V645" s="49">
        <v>3</v>
      </c>
      <c r="W645" s="49">
        <v>1</v>
      </c>
      <c r="X645" s="58">
        <v>2</v>
      </c>
      <c r="Y645" s="83">
        <v>1</v>
      </c>
      <c r="AD645" s="49">
        <v>7</v>
      </c>
      <c r="AE645" s="49">
        <v>17</v>
      </c>
      <c r="AF645" s="49">
        <v>10</v>
      </c>
      <c r="AG645" s="49">
        <v>19</v>
      </c>
      <c r="AH645" s="49">
        <v>9</v>
      </c>
      <c r="AI645" s="49">
        <v>213</v>
      </c>
      <c r="AJ645" s="49">
        <v>0</v>
      </c>
      <c r="AK645" s="83">
        <v>0</v>
      </c>
      <c r="AL645" s="49">
        <v>0</v>
      </c>
      <c r="AM645" s="49">
        <v>1</v>
      </c>
      <c r="AN645" s="49">
        <v>0</v>
      </c>
      <c r="AO645" s="58">
        <v>0</v>
      </c>
      <c r="AP645" s="174">
        <v>0</v>
      </c>
      <c r="AQ645" s="175">
        <v>0</v>
      </c>
      <c r="AR645" s="175">
        <v>85</v>
      </c>
      <c r="AS645" s="175">
        <v>255</v>
      </c>
      <c r="AT645" s="175">
        <v>0</v>
      </c>
      <c r="AU645" s="175">
        <v>0</v>
      </c>
      <c r="AV645" s="175">
        <v>0</v>
      </c>
      <c r="AW645" s="175">
        <v>0</v>
      </c>
      <c r="AX645" s="83">
        <v>0</v>
      </c>
      <c r="AY645" s="49">
        <v>0</v>
      </c>
      <c r="AZ645" s="49">
        <v>0</v>
      </c>
      <c r="BA645" s="49">
        <v>0</v>
      </c>
      <c r="BB645" s="58">
        <v>0</v>
      </c>
      <c r="BC645" s="42">
        <v>132</v>
      </c>
      <c r="BD645" s="49">
        <v>56.71</v>
      </c>
      <c r="BE645" s="49">
        <v>56.84</v>
      </c>
      <c r="BS645" s="58"/>
      <c r="BT645" s="83">
        <v>60.84</v>
      </c>
      <c r="BU645" s="49">
        <v>58.49</v>
      </c>
      <c r="CE645" s="83"/>
      <c r="CK645" s="58"/>
      <c r="CL645" s="83">
        <v>45.42</v>
      </c>
      <c r="CO645" s="58"/>
      <c r="CP645" s="83"/>
      <c r="CR645" s="58"/>
      <c r="CS645" s="83"/>
      <c r="CY645" s="83"/>
      <c r="DG645" s="58"/>
      <c r="DH645" s="83"/>
      <c r="DQ645" s="83"/>
      <c r="EE645" s="58"/>
      <c r="EF645" s="83"/>
      <c r="EI645" s="83"/>
      <c r="EK645" s="58"/>
      <c r="EL645" s="83"/>
      <c r="EO645" s="58"/>
      <c r="EP645" s="83"/>
      <c r="EQ645" s="58"/>
      <c r="ER645" s="83"/>
      <c r="ES645" s="58"/>
      <c r="ET645" s="83"/>
      <c r="EU645" s="58"/>
    </row>
    <row r="646" spans="1:209">
      <c r="A646" s="83" t="s">
        <v>322</v>
      </c>
      <c r="B646" s="173" t="s">
        <v>207</v>
      </c>
      <c r="C646" s="173" t="s">
        <v>516</v>
      </c>
      <c r="D646" s="83" t="s">
        <v>209</v>
      </c>
      <c r="F646" s="49" t="s">
        <v>286</v>
      </c>
      <c r="G646" s="70">
        <v>8.7550000000000008</v>
      </c>
      <c r="I646" s="49">
        <v>1255</v>
      </c>
      <c r="J646" s="159">
        <v>1.7979942693409743</v>
      </c>
      <c r="K646" s="49">
        <v>1</v>
      </c>
      <c r="L646" s="49">
        <v>2</v>
      </c>
      <c r="M646" s="83">
        <v>1</v>
      </c>
      <c r="N646" s="49">
        <v>0</v>
      </c>
      <c r="O646" s="49">
        <v>0</v>
      </c>
      <c r="P646" s="49">
        <v>1</v>
      </c>
      <c r="Q646" s="58">
        <v>0</v>
      </c>
      <c r="R646" s="42">
        <v>2</v>
      </c>
      <c r="S646" s="83" t="s">
        <v>283</v>
      </c>
      <c r="T646" s="49">
        <v>9</v>
      </c>
      <c r="U646" s="83">
        <v>4</v>
      </c>
      <c r="V646" s="49">
        <v>2</v>
      </c>
      <c r="W646" s="49">
        <v>3</v>
      </c>
      <c r="X646" s="58">
        <v>2</v>
      </c>
      <c r="Y646" s="83">
        <v>1</v>
      </c>
      <c r="Z646" s="49">
        <v>5</v>
      </c>
      <c r="AA646" s="49">
        <v>7</v>
      </c>
      <c r="AD646" s="49">
        <v>9</v>
      </c>
      <c r="AE646" s="49">
        <v>40</v>
      </c>
      <c r="AH646" s="49">
        <v>19</v>
      </c>
      <c r="AI646" s="49">
        <v>99</v>
      </c>
      <c r="AJ646" s="49">
        <v>0</v>
      </c>
      <c r="AK646" s="83">
        <v>0</v>
      </c>
      <c r="AL646" s="49">
        <v>0</v>
      </c>
      <c r="AM646" s="49">
        <v>1</v>
      </c>
      <c r="AN646" s="49">
        <v>0</v>
      </c>
      <c r="AO646" s="58">
        <v>0</v>
      </c>
      <c r="AP646" s="174">
        <v>0</v>
      </c>
      <c r="AQ646" s="175">
        <v>0</v>
      </c>
      <c r="AR646" s="175">
        <v>233</v>
      </c>
      <c r="AS646" s="175">
        <v>387</v>
      </c>
      <c r="AT646" s="175">
        <v>0</v>
      </c>
      <c r="AU646" s="175">
        <v>0</v>
      </c>
      <c r="AV646" s="175">
        <v>0</v>
      </c>
      <c r="AW646" s="175">
        <v>0</v>
      </c>
      <c r="AX646" s="83">
        <v>1</v>
      </c>
      <c r="AY646" s="49">
        <v>0</v>
      </c>
      <c r="AZ646" s="49">
        <v>0</v>
      </c>
      <c r="BA646" s="49">
        <v>0</v>
      </c>
      <c r="BB646" s="58">
        <v>1</v>
      </c>
      <c r="BC646" s="42">
        <v>146</v>
      </c>
      <c r="BD646" s="49">
        <v>57.7</v>
      </c>
      <c r="BE646" s="49"/>
      <c r="BS646" s="58"/>
      <c r="BT646" s="83">
        <v>58.32</v>
      </c>
      <c r="CE646" s="83"/>
      <c r="CK646" s="58"/>
      <c r="CL646" s="83">
        <v>43.39</v>
      </c>
      <c r="CO646" s="58"/>
      <c r="CP646" s="83"/>
      <c r="CR646" s="58"/>
      <c r="CS646" s="83"/>
      <c r="CY646" s="83"/>
      <c r="DG646" s="58"/>
      <c r="DH646" s="83"/>
      <c r="DQ646" s="83"/>
      <c r="EE646" s="58"/>
      <c r="EF646" s="83"/>
      <c r="EI646" s="83"/>
      <c r="EK646" s="58"/>
      <c r="EL646" s="83"/>
      <c r="EO646" s="58"/>
      <c r="EP646" s="83"/>
      <c r="EQ646" s="58"/>
      <c r="ER646" s="83"/>
      <c r="ES646" s="58"/>
      <c r="ET646" s="83"/>
      <c r="EU646" s="58"/>
    </row>
    <row r="647" spans="1:209">
      <c r="A647" s="83" t="s">
        <v>322</v>
      </c>
      <c r="B647" s="173" t="s">
        <v>207</v>
      </c>
      <c r="C647" s="173" t="s">
        <v>516</v>
      </c>
      <c r="D647" s="83" t="s">
        <v>210</v>
      </c>
      <c r="F647" s="49" t="s">
        <v>286</v>
      </c>
      <c r="G647" s="70">
        <v>8.7550000000000008</v>
      </c>
      <c r="I647" s="49">
        <v>1715</v>
      </c>
      <c r="J647" s="159">
        <v>3.828125</v>
      </c>
      <c r="K647" s="49">
        <v>1</v>
      </c>
      <c r="L647" s="49">
        <v>3</v>
      </c>
      <c r="M647" s="83">
        <v>1</v>
      </c>
      <c r="N647" s="49">
        <v>2</v>
      </c>
      <c r="O647" s="49">
        <v>0</v>
      </c>
      <c r="P647" s="49">
        <v>1</v>
      </c>
      <c r="Q647" s="58">
        <v>0</v>
      </c>
      <c r="R647" s="42">
        <v>4</v>
      </c>
      <c r="S647" s="83" t="s">
        <v>283</v>
      </c>
      <c r="T647" s="49">
        <v>13</v>
      </c>
      <c r="U647" s="83">
        <v>1</v>
      </c>
      <c r="V647" s="49">
        <v>2</v>
      </c>
      <c r="W647" s="49">
        <v>1</v>
      </c>
      <c r="X647" s="58">
        <v>2</v>
      </c>
      <c r="Y647" s="83">
        <v>1</v>
      </c>
      <c r="AA647" s="49">
        <v>6</v>
      </c>
      <c r="AD647" s="49">
        <v>8</v>
      </c>
      <c r="AE647" s="49">
        <v>29</v>
      </c>
      <c r="AF647" s="49">
        <v>9</v>
      </c>
      <c r="AG647" s="49">
        <v>14</v>
      </c>
      <c r="AH647" s="49">
        <v>9</v>
      </c>
      <c r="AI647" s="49">
        <v>78</v>
      </c>
      <c r="AJ647" s="49">
        <v>0</v>
      </c>
      <c r="AK647" s="83">
        <v>0</v>
      </c>
      <c r="AL647" s="49">
        <v>0</v>
      </c>
      <c r="AM647" s="49">
        <v>1</v>
      </c>
      <c r="AN647" s="49">
        <v>0</v>
      </c>
      <c r="AO647" s="58">
        <v>0</v>
      </c>
      <c r="AP647" s="174">
        <v>0</v>
      </c>
      <c r="AQ647" s="175">
        <v>0</v>
      </c>
      <c r="AR647" s="175">
        <v>330</v>
      </c>
      <c r="AS647" s="175">
        <v>477</v>
      </c>
      <c r="AT647" s="175">
        <v>0</v>
      </c>
      <c r="AU647" s="175">
        <v>0</v>
      </c>
      <c r="AV647" s="175">
        <v>0</v>
      </c>
      <c r="AW647" s="175">
        <v>0</v>
      </c>
      <c r="AX647" s="83">
        <v>0</v>
      </c>
      <c r="AY647" s="49">
        <v>0</v>
      </c>
      <c r="AZ647" s="49">
        <v>0</v>
      </c>
      <c r="BA647" s="49">
        <v>0</v>
      </c>
      <c r="BB647" s="58">
        <v>0</v>
      </c>
      <c r="BC647" s="42">
        <v>127</v>
      </c>
      <c r="BE647" s="49"/>
      <c r="BS647" s="58"/>
      <c r="BT647" s="83"/>
      <c r="CE647" s="83"/>
      <c r="CK647" s="58"/>
      <c r="CL647" s="83"/>
      <c r="CO647" s="58"/>
      <c r="CP647" s="83"/>
      <c r="CR647" s="58"/>
      <c r="CS647" s="83"/>
      <c r="CY647" s="83"/>
      <c r="DG647" s="58"/>
      <c r="DH647" s="83"/>
      <c r="DQ647" s="83"/>
      <c r="EE647" s="58"/>
      <c r="EF647" s="83"/>
      <c r="EI647" s="83"/>
      <c r="EK647" s="58"/>
      <c r="EL647" s="83"/>
      <c r="EO647" s="58"/>
      <c r="EP647" s="83"/>
      <c r="EQ647" s="58"/>
      <c r="ER647" s="83"/>
      <c r="ES647" s="58"/>
      <c r="ET647" s="83"/>
      <c r="EU647" s="58"/>
    </row>
    <row r="648" spans="1:209">
      <c r="A648" s="83" t="s">
        <v>322</v>
      </c>
      <c r="B648" s="173" t="s">
        <v>207</v>
      </c>
      <c r="C648" s="173" t="s">
        <v>516</v>
      </c>
      <c r="D648" s="83" t="s">
        <v>211</v>
      </c>
      <c r="F648" s="49" t="s">
        <v>287</v>
      </c>
      <c r="G648" s="70">
        <v>8.7550000000000008</v>
      </c>
      <c r="I648" s="49">
        <v>817</v>
      </c>
      <c r="J648" s="159">
        <v>1.4283216783216783</v>
      </c>
      <c r="K648" s="49">
        <v>1</v>
      </c>
      <c r="L648" s="49">
        <v>2</v>
      </c>
      <c r="M648" s="83">
        <v>1</v>
      </c>
      <c r="N648" s="49">
        <v>0</v>
      </c>
      <c r="O648" s="49">
        <v>0</v>
      </c>
      <c r="P648" s="49">
        <v>1</v>
      </c>
      <c r="Q648" s="58">
        <v>0</v>
      </c>
      <c r="R648" s="42">
        <v>2</v>
      </c>
      <c r="S648" s="83">
        <v>1</v>
      </c>
      <c r="U648" s="83">
        <v>3</v>
      </c>
      <c r="V648" s="49">
        <v>2</v>
      </c>
      <c r="W648" s="49">
        <v>1</v>
      </c>
      <c r="X648" s="58">
        <v>2</v>
      </c>
      <c r="Y648" s="83">
        <v>1</v>
      </c>
      <c r="AA648" s="49">
        <v>7</v>
      </c>
      <c r="AD648" s="49">
        <v>18</v>
      </c>
      <c r="AE648" s="49">
        <v>113</v>
      </c>
      <c r="AJ648" s="49">
        <v>0</v>
      </c>
      <c r="AK648" s="83">
        <v>0</v>
      </c>
      <c r="AL648" s="49">
        <v>1</v>
      </c>
      <c r="AM648" s="49">
        <v>0</v>
      </c>
      <c r="AN648" s="49">
        <v>0</v>
      </c>
      <c r="AO648" s="58">
        <v>0</v>
      </c>
      <c r="AP648" s="174">
        <v>0</v>
      </c>
      <c r="AQ648" s="175">
        <v>1462</v>
      </c>
      <c r="AR648" s="175">
        <v>0</v>
      </c>
      <c r="AS648" s="175">
        <v>0</v>
      </c>
      <c r="AT648" s="175">
        <v>0</v>
      </c>
      <c r="AU648" s="175">
        <v>0</v>
      </c>
      <c r="AV648" s="175">
        <v>0</v>
      </c>
      <c r="AW648" s="175">
        <v>0</v>
      </c>
      <c r="AX648" s="83">
        <v>0</v>
      </c>
      <c r="AY648" s="49">
        <v>0</v>
      </c>
      <c r="AZ648" s="49">
        <v>0</v>
      </c>
      <c r="BA648" s="49">
        <v>0</v>
      </c>
      <c r="BB648" s="58">
        <v>0</v>
      </c>
      <c r="BC648" s="42">
        <v>156</v>
      </c>
      <c r="BE648" s="49"/>
      <c r="BS648" s="58"/>
      <c r="BT648" s="83"/>
      <c r="CE648" s="83"/>
      <c r="CK648" s="58"/>
      <c r="CL648" s="83"/>
      <c r="CO648" s="58"/>
      <c r="CP648" s="83"/>
      <c r="CR648" s="58"/>
      <c r="CS648" s="83"/>
      <c r="CY648" s="83"/>
      <c r="DG648" s="58"/>
      <c r="DH648" s="83"/>
      <c r="DQ648" s="83"/>
      <c r="EE648" s="58"/>
      <c r="EF648" s="83"/>
      <c r="EI648" s="83"/>
      <c r="EK648" s="58"/>
      <c r="EL648" s="83"/>
      <c r="EO648" s="58"/>
      <c r="EP648" s="83"/>
      <c r="EQ648" s="58"/>
      <c r="ER648" s="83"/>
      <c r="ES648" s="58"/>
      <c r="ET648" s="83"/>
      <c r="EU648" s="58"/>
    </row>
    <row r="649" spans="1:209">
      <c r="A649" s="83" t="s">
        <v>322</v>
      </c>
      <c r="B649" s="173" t="s">
        <v>207</v>
      </c>
      <c r="C649" s="173" t="s">
        <v>516</v>
      </c>
      <c r="D649" s="83" t="s">
        <v>203</v>
      </c>
      <c r="F649" s="49" t="s">
        <v>286</v>
      </c>
      <c r="G649" s="70">
        <v>8.7550000000000008</v>
      </c>
      <c r="I649" s="49">
        <v>2596</v>
      </c>
      <c r="J649" s="159">
        <v>4.9073724007561434</v>
      </c>
      <c r="K649" s="49">
        <v>2</v>
      </c>
      <c r="L649" s="49">
        <v>3</v>
      </c>
      <c r="M649" s="83">
        <v>1</v>
      </c>
      <c r="N649" s="49">
        <v>0</v>
      </c>
      <c r="O649" s="49">
        <v>0</v>
      </c>
      <c r="P649" s="49">
        <v>1</v>
      </c>
      <c r="Q649" s="58">
        <v>0</v>
      </c>
      <c r="R649" s="42">
        <v>2</v>
      </c>
      <c r="S649" s="83" t="s">
        <v>283</v>
      </c>
      <c r="T649" s="49">
        <v>8</v>
      </c>
      <c r="U649" s="83">
        <v>1</v>
      </c>
      <c r="V649" s="49">
        <v>2</v>
      </c>
      <c r="W649" s="49">
        <v>1</v>
      </c>
      <c r="X649" s="58">
        <v>2</v>
      </c>
      <c r="Y649" s="83">
        <v>1</v>
      </c>
      <c r="AD649" s="49">
        <v>6</v>
      </c>
      <c r="AE649" s="49">
        <v>27</v>
      </c>
      <c r="AF649" s="49">
        <v>6</v>
      </c>
      <c r="AG649" s="49">
        <v>59</v>
      </c>
      <c r="AH649" s="49">
        <v>12</v>
      </c>
      <c r="AI649" s="49">
        <v>448</v>
      </c>
      <c r="AJ649" s="49">
        <v>0</v>
      </c>
      <c r="AK649" s="83">
        <v>0</v>
      </c>
      <c r="AL649" s="49">
        <v>0</v>
      </c>
      <c r="AM649" s="49">
        <v>1</v>
      </c>
      <c r="AN649" s="49">
        <v>0</v>
      </c>
      <c r="AO649" s="58">
        <v>0</v>
      </c>
      <c r="AP649" s="174">
        <v>0</v>
      </c>
      <c r="AQ649" s="175">
        <v>0</v>
      </c>
      <c r="AR649" s="175">
        <v>324</v>
      </c>
      <c r="AS649" s="175">
        <v>325</v>
      </c>
      <c r="AT649" s="175">
        <v>0</v>
      </c>
      <c r="AU649" s="175">
        <v>0</v>
      </c>
      <c r="AV649" s="175">
        <v>0</v>
      </c>
      <c r="AW649" s="175">
        <v>0</v>
      </c>
      <c r="AX649" s="83">
        <v>0</v>
      </c>
      <c r="AY649" s="49">
        <v>0</v>
      </c>
      <c r="AZ649" s="49">
        <v>0</v>
      </c>
      <c r="BA649" s="49">
        <v>0</v>
      </c>
      <c r="BB649" s="58">
        <v>0</v>
      </c>
      <c r="BC649" s="42">
        <v>154</v>
      </c>
      <c r="BE649" s="49"/>
      <c r="BS649" s="58"/>
      <c r="BT649" s="83"/>
      <c r="CE649" s="83"/>
      <c r="CK649" s="58"/>
      <c r="CL649" s="83"/>
      <c r="CO649" s="58"/>
      <c r="CP649" s="83"/>
      <c r="CR649" s="58"/>
      <c r="CS649" s="83"/>
      <c r="CY649" s="83"/>
      <c r="DG649" s="58"/>
      <c r="DH649" s="83"/>
      <c r="DQ649" s="83"/>
      <c r="EE649" s="58"/>
      <c r="EF649" s="83"/>
      <c r="EI649" s="83"/>
      <c r="EK649" s="58"/>
      <c r="EL649" s="83"/>
      <c r="EO649" s="58"/>
      <c r="EP649" s="83"/>
      <c r="EQ649" s="58"/>
      <c r="ER649" s="83"/>
      <c r="ES649" s="58"/>
      <c r="ET649" s="83"/>
      <c r="EU649" s="58"/>
    </row>
    <row r="650" spans="1:209">
      <c r="A650" s="83" t="s">
        <v>322</v>
      </c>
      <c r="B650" s="173" t="s">
        <v>207</v>
      </c>
      <c r="C650" s="173" t="s">
        <v>516</v>
      </c>
      <c r="D650" s="83" t="s">
        <v>212</v>
      </c>
      <c r="F650" s="49" t="s">
        <v>286</v>
      </c>
      <c r="G650" s="70">
        <v>8.7550000000000008</v>
      </c>
      <c r="I650" s="49">
        <v>1116</v>
      </c>
      <c r="J650" s="159">
        <v>1.8756302521008403</v>
      </c>
      <c r="K650" s="49">
        <v>1</v>
      </c>
      <c r="L650" s="49">
        <v>2</v>
      </c>
      <c r="M650" s="83">
        <v>0</v>
      </c>
      <c r="N650" s="49">
        <v>0</v>
      </c>
      <c r="O650" s="49">
        <v>0</v>
      </c>
      <c r="P650" s="49">
        <v>1</v>
      </c>
      <c r="Q650" s="58">
        <v>0</v>
      </c>
      <c r="R650" s="42">
        <v>1</v>
      </c>
      <c r="S650" s="83">
        <v>1</v>
      </c>
      <c r="U650" s="83">
        <v>1</v>
      </c>
      <c r="V650" s="49">
        <v>2</v>
      </c>
      <c r="W650" s="49">
        <v>1</v>
      </c>
      <c r="X650" s="58">
        <v>2</v>
      </c>
      <c r="Y650" s="83">
        <v>1</v>
      </c>
      <c r="AD650" s="49">
        <v>5</v>
      </c>
      <c r="AE650" s="49">
        <v>14</v>
      </c>
      <c r="AG650" s="49">
        <v>8</v>
      </c>
      <c r="AH650" s="49">
        <v>15</v>
      </c>
      <c r="AI650" s="49">
        <v>53</v>
      </c>
      <c r="AJ650" s="49">
        <v>0</v>
      </c>
      <c r="AK650" s="83">
        <v>0</v>
      </c>
      <c r="AL650" s="49">
        <v>1</v>
      </c>
      <c r="AM650" s="49">
        <v>0</v>
      </c>
      <c r="AN650" s="49">
        <v>0</v>
      </c>
      <c r="AO650" s="58">
        <v>0</v>
      </c>
      <c r="AP650" s="174">
        <v>439</v>
      </c>
      <c r="AQ650" s="175">
        <v>1041</v>
      </c>
      <c r="AR650" s="175">
        <v>0</v>
      </c>
      <c r="AS650" s="175">
        <v>0</v>
      </c>
      <c r="AT650" s="175">
        <v>0</v>
      </c>
      <c r="AU650" s="175">
        <v>0</v>
      </c>
      <c r="AV650" s="175">
        <v>0</v>
      </c>
      <c r="AW650" s="175">
        <v>0</v>
      </c>
      <c r="AX650" s="83">
        <v>0</v>
      </c>
      <c r="AY650" s="49">
        <v>0</v>
      </c>
      <c r="AZ650" s="49">
        <v>0</v>
      </c>
      <c r="BA650" s="49">
        <v>0</v>
      </c>
      <c r="BB650" s="58">
        <v>0</v>
      </c>
      <c r="BC650" s="42">
        <v>137</v>
      </c>
      <c r="BD650" s="49">
        <v>56.67</v>
      </c>
      <c r="BE650" s="49"/>
      <c r="BS650" s="58"/>
      <c r="BT650" s="83">
        <v>59.33</v>
      </c>
      <c r="CE650" s="83"/>
      <c r="CK650" s="58"/>
      <c r="CL650" s="83">
        <v>43.57</v>
      </c>
      <c r="CO650" s="58"/>
      <c r="CP650" s="83"/>
      <c r="CR650" s="58"/>
      <c r="CS650" s="83"/>
      <c r="CY650" s="83"/>
      <c r="DG650" s="58"/>
      <c r="DH650" s="83"/>
      <c r="DQ650" s="83"/>
      <c r="EE650" s="58"/>
      <c r="EF650" s="83"/>
      <c r="EI650" s="83"/>
      <c r="EK650" s="58"/>
      <c r="EL650" s="83"/>
      <c r="EO650" s="58"/>
      <c r="EP650" s="83"/>
      <c r="EQ650" s="58"/>
      <c r="ER650" s="83"/>
      <c r="ES650" s="58"/>
      <c r="ET650" s="83"/>
      <c r="EU650" s="58"/>
    </row>
    <row r="651" spans="1:209">
      <c r="A651" s="83" t="s">
        <v>322</v>
      </c>
      <c r="B651" s="173" t="s">
        <v>207</v>
      </c>
      <c r="C651" s="173" t="s">
        <v>516</v>
      </c>
      <c r="D651" s="83" t="s">
        <v>213</v>
      </c>
      <c r="E651" s="49" t="s">
        <v>1</v>
      </c>
      <c r="F651" s="49" t="s">
        <v>286</v>
      </c>
      <c r="G651" s="70">
        <v>8.7550000000000008</v>
      </c>
      <c r="I651" s="49">
        <v>2517</v>
      </c>
      <c r="J651" s="159">
        <v>6.606299212598425</v>
      </c>
      <c r="K651" s="49">
        <v>1</v>
      </c>
      <c r="L651" s="49">
        <v>2</v>
      </c>
      <c r="M651" s="83">
        <v>1</v>
      </c>
      <c r="N651" s="49">
        <v>1</v>
      </c>
      <c r="O651" s="49">
        <v>0</v>
      </c>
      <c r="P651" s="49">
        <v>1</v>
      </c>
      <c r="Q651" s="58">
        <v>0</v>
      </c>
      <c r="R651" s="42">
        <v>3</v>
      </c>
      <c r="S651" s="83" t="s">
        <v>283</v>
      </c>
      <c r="T651" s="49">
        <v>6</v>
      </c>
      <c r="U651" s="83">
        <v>1</v>
      </c>
      <c r="V651" s="49">
        <v>2</v>
      </c>
      <c r="W651" s="49">
        <v>1</v>
      </c>
      <c r="X651" s="58">
        <v>2</v>
      </c>
      <c r="Y651" s="83">
        <v>5</v>
      </c>
      <c r="AA651" s="49">
        <v>8</v>
      </c>
      <c r="AD651" s="49">
        <v>8</v>
      </c>
      <c r="AE651" s="49">
        <v>69</v>
      </c>
      <c r="AF651" s="49">
        <v>12</v>
      </c>
      <c r="AG651" s="49">
        <v>143</v>
      </c>
      <c r="AH651" s="49">
        <v>14</v>
      </c>
      <c r="AI651" s="49">
        <v>1461</v>
      </c>
      <c r="AJ651" s="49">
        <v>0</v>
      </c>
      <c r="AK651" s="83">
        <v>0</v>
      </c>
      <c r="AL651" s="49">
        <v>0</v>
      </c>
      <c r="AM651" s="49">
        <v>0</v>
      </c>
      <c r="AN651" s="49">
        <v>0</v>
      </c>
      <c r="AO651" s="58">
        <v>0</v>
      </c>
      <c r="AP651" s="174">
        <v>0</v>
      </c>
      <c r="AQ651" s="175">
        <v>0</v>
      </c>
      <c r="AR651" s="175">
        <v>0</v>
      </c>
      <c r="AS651" s="175">
        <v>0</v>
      </c>
      <c r="AT651" s="175">
        <v>0</v>
      </c>
      <c r="AU651" s="175">
        <v>0</v>
      </c>
      <c r="AV651" s="175">
        <v>0</v>
      </c>
      <c r="AW651" s="175">
        <v>0</v>
      </c>
      <c r="AX651" s="83">
        <v>0</v>
      </c>
      <c r="AY651" s="49">
        <v>0</v>
      </c>
      <c r="AZ651" s="49">
        <v>0</v>
      </c>
      <c r="BA651" s="49">
        <v>0</v>
      </c>
      <c r="BB651" s="58">
        <v>0</v>
      </c>
      <c r="BC651" s="42">
        <v>135</v>
      </c>
      <c r="BD651" s="49">
        <v>59.15</v>
      </c>
      <c r="BE651" s="49">
        <v>59.67</v>
      </c>
      <c r="BF651" s="49">
        <v>59.97</v>
      </c>
      <c r="BS651" s="58"/>
      <c r="BT651" s="83">
        <v>59.99</v>
      </c>
      <c r="CE651" s="83"/>
      <c r="CK651" s="58"/>
      <c r="CL651" s="83"/>
      <c r="CO651" s="58"/>
      <c r="CP651" s="83"/>
      <c r="CR651" s="58"/>
      <c r="CS651" s="83"/>
      <c r="CY651" s="83"/>
      <c r="DG651" s="58"/>
      <c r="DH651" s="83"/>
      <c r="DQ651" s="83"/>
      <c r="EE651" s="58"/>
      <c r="EF651" s="83"/>
      <c r="EI651" s="83"/>
      <c r="EK651" s="58"/>
      <c r="EL651" s="83"/>
      <c r="EO651" s="58"/>
      <c r="EP651" s="83"/>
      <c r="EQ651" s="58"/>
      <c r="ER651" s="83"/>
      <c r="ES651" s="58"/>
      <c r="ET651" s="83"/>
      <c r="EU651" s="58"/>
    </row>
    <row r="652" spans="1:209">
      <c r="A652" s="83" t="s">
        <v>322</v>
      </c>
      <c r="B652" s="173" t="s">
        <v>207</v>
      </c>
      <c r="C652" s="173" t="s">
        <v>516</v>
      </c>
      <c r="D652" s="83" t="s">
        <v>64</v>
      </c>
      <c r="E652" s="49" t="s">
        <v>0</v>
      </c>
      <c r="F652" s="49" t="s">
        <v>287</v>
      </c>
      <c r="G652" s="70">
        <v>8.7550000000000008</v>
      </c>
      <c r="I652" s="49">
        <v>788</v>
      </c>
      <c r="J652" s="159">
        <v>7.0990990990990994</v>
      </c>
      <c r="K652" s="49">
        <v>1</v>
      </c>
      <c r="L652" s="49">
        <v>2</v>
      </c>
      <c r="M652" s="83">
        <v>1</v>
      </c>
      <c r="N652" s="49">
        <v>0</v>
      </c>
      <c r="O652" s="49">
        <v>0</v>
      </c>
      <c r="P652" s="49">
        <v>0</v>
      </c>
      <c r="Q652" s="58">
        <v>0</v>
      </c>
      <c r="R652" s="42">
        <v>1</v>
      </c>
      <c r="S652" s="83">
        <v>1</v>
      </c>
      <c r="T652" s="49">
        <v>3</v>
      </c>
      <c r="U652" s="83">
        <v>0</v>
      </c>
      <c r="V652" s="49">
        <v>0</v>
      </c>
      <c r="W652" s="49">
        <v>0</v>
      </c>
      <c r="X652" s="58"/>
      <c r="Y652" s="83">
        <v>1</v>
      </c>
      <c r="Z652" s="49">
        <v>0</v>
      </c>
      <c r="AA652" s="49">
        <v>0</v>
      </c>
      <c r="AB652" s="49">
        <v>0</v>
      </c>
      <c r="AC652" s="49">
        <v>0</v>
      </c>
      <c r="AD652" s="49">
        <v>9</v>
      </c>
      <c r="AE652" s="49">
        <v>224</v>
      </c>
      <c r="AF652" s="49">
        <v>0</v>
      </c>
      <c r="AG652" s="49">
        <v>0</v>
      </c>
      <c r="AH652" s="49">
        <v>0</v>
      </c>
      <c r="AI652" s="49">
        <v>0</v>
      </c>
      <c r="AJ652" s="49">
        <v>0</v>
      </c>
      <c r="AK652" s="83">
        <v>0</v>
      </c>
      <c r="AL652" s="49">
        <v>0</v>
      </c>
      <c r="AM652" s="49">
        <v>0</v>
      </c>
      <c r="AN652" s="49">
        <v>0</v>
      </c>
      <c r="AO652" s="58">
        <v>0</v>
      </c>
      <c r="AP652" s="174">
        <v>0</v>
      </c>
      <c r="AQ652" s="175">
        <v>0</v>
      </c>
      <c r="AR652" s="175">
        <v>0</v>
      </c>
      <c r="AS652" s="175">
        <v>0</v>
      </c>
      <c r="AT652" s="175">
        <v>0</v>
      </c>
      <c r="AU652" s="175">
        <v>0</v>
      </c>
      <c r="AV652" s="175">
        <v>0</v>
      </c>
      <c r="AW652" s="175">
        <v>0</v>
      </c>
      <c r="AX652" s="83">
        <v>0</v>
      </c>
      <c r="AY652" s="49">
        <v>0</v>
      </c>
      <c r="AZ652" s="49">
        <v>0</v>
      </c>
      <c r="BA652" s="49">
        <v>0</v>
      </c>
      <c r="BB652" s="58">
        <v>0</v>
      </c>
      <c r="BC652" s="42">
        <v>98</v>
      </c>
      <c r="BE652" s="49"/>
      <c r="BS652" s="58"/>
      <c r="BT652" s="83"/>
      <c r="CE652" s="83"/>
      <c r="CK652" s="58"/>
      <c r="CL652" s="83"/>
      <c r="CO652" s="58"/>
      <c r="CP652" s="83"/>
      <c r="CR652" s="58"/>
      <c r="CS652" s="83"/>
      <c r="CY652" s="83"/>
      <c r="DG652" s="58"/>
      <c r="DH652" s="83"/>
      <c r="DQ652" s="83"/>
      <c r="EE652" s="58"/>
      <c r="EF652" s="83"/>
      <c r="EI652" s="83"/>
      <c r="EK652" s="58"/>
      <c r="EL652" s="83"/>
      <c r="EO652" s="58"/>
      <c r="EP652" s="83"/>
      <c r="EQ652" s="58"/>
      <c r="ER652" s="83"/>
      <c r="ES652" s="58"/>
      <c r="ET652" s="83"/>
      <c r="EU652" s="58"/>
    </row>
    <row r="653" spans="1:209">
      <c r="A653" s="83" t="s">
        <v>322</v>
      </c>
      <c r="B653" s="173" t="s">
        <v>207</v>
      </c>
      <c r="C653" s="173" t="s">
        <v>516</v>
      </c>
      <c r="D653" s="83" t="s">
        <v>64</v>
      </c>
      <c r="E653" s="49" t="s">
        <v>1</v>
      </c>
      <c r="F653" s="49" t="s">
        <v>286</v>
      </c>
      <c r="G653" s="70">
        <v>8.7550000000000008</v>
      </c>
      <c r="I653" s="49">
        <v>1049</v>
      </c>
      <c r="J653" s="159">
        <v>3.6297577854671279</v>
      </c>
      <c r="K653" s="49">
        <v>1</v>
      </c>
      <c r="L653" s="49">
        <v>2</v>
      </c>
      <c r="M653" s="83">
        <v>0</v>
      </c>
      <c r="N653" s="49">
        <v>0</v>
      </c>
      <c r="O653" s="49">
        <v>1</v>
      </c>
      <c r="P653" s="49">
        <v>1</v>
      </c>
      <c r="Q653" s="58">
        <v>0</v>
      </c>
      <c r="R653" s="42">
        <v>2</v>
      </c>
      <c r="S653" s="83">
        <v>1</v>
      </c>
      <c r="U653" s="83">
        <v>1</v>
      </c>
      <c r="V653" s="49">
        <v>2</v>
      </c>
      <c r="W653" s="49">
        <v>1</v>
      </c>
      <c r="X653" s="58">
        <v>2</v>
      </c>
      <c r="Y653" s="83">
        <v>2</v>
      </c>
      <c r="Z653" s="49">
        <v>0</v>
      </c>
      <c r="AA653" s="49">
        <v>0</v>
      </c>
      <c r="AB653" s="49">
        <v>0</v>
      </c>
      <c r="AC653" s="49">
        <v>0</v>
      </c>
      <c r="AD653" s="49">
        <v>0</v>
      </c>
      <c r="AE653" s="49">
        <v>0</v>
      </c>
      <c r="AF653" s="49">
        <v>0</v>
      </c>
      <c r="AG653" s="49">
        <v>0</v>
      </c>
      <c r="AH653" s="49">
        <v>53</v>
      </c>
      <c r="AI653" s="49">
        <v>124</v>
      </c>
      <c r="AJ653" s="49">
        <v>0</v>
      </c>
      <c r="AK653" s="83">
        <v>0</v>
      </c>
      <c r="AL653" s="49">
        <v>1</v>
      </c>
      <c r="AM653" s="49">
        <v>0</v>
      </c>
      <c r="AN653" s="49">
        <v>0</v>
      </c>
      <c r="AO653" s="58">
        <v>0</v>
      </c>
      <c r="AP653" s="174">
        <v>0</v>
      </c>
      <c r="AQ653" s="175">
        <v>446</v>
      </c>
      <c r="AR653" s="175">
        <v>0</v>
      </c>
      <c r="AS653" s="175">
        <v>0</v>
      </c>
      <c r="AT653" s="175">
        <v>0</v>
      </c>
      <c r="AU653" s="175">
        <v>0</v>
      </c>
      <c r="AV653" s="175">
        <v>0</v>
      </c>
      <c r="AW653" s="175">
        <v>0</v>
      </c>
      <c r="AX653" s="83">
        <v>0</v>
      </c>
      <c r="AY653" s="49">
        <v>0</v>
      </c>
      <c r="AZ653" s="49">
        <v>0</v>
      </c>
      <c r="BA653" s="49">
        <v>0</v>
      </c>
      <c r="BB653" s="58">
        <v>0</v>
      </c>
      <c r="BC653" s="42">
        <v>98</v>
      </c>
      <c r="BD653" s="49">
        <v>58.607369383549262</v>
      </c>
      <c r="BE653" s="151">
        <v>58.607369383549262</v>
      </c>
      <c r="BI653" s="70"/>
      <c r="BS653" s="58"/>
      <c r="BT653" s="174">
        <v>63.005067294490964</v>
      </c>
      <c r="BV653" s="151"/>
      <c r="BW653" s="151"/>
      <c r="BX653" s="151"/>
      <c r="BY653" s="151"/>
      <c r="CA653" s="159"/>
      <c r="CB653" s="159"/>
      <c r="CC653" s="159"/>
      <c r="CD653" s="159"/>
      <c r="CE653" s="83"/>
      <c r="CK653" s="58"/>
      <c r="CL653" s="83"/>
      <c r="CO653" s="58"/>
      <c r="CP653" s="83"/>
      <c r="CR653" s="58"/>
      <c r="CS653" s="83"/>
      <c r="CY653" s="83"/>
      <c r="DG653" s="58"/>
      <c r="DH653" s="83"/>
      <c r="DQ653" s="83"/>
      <c r="EE653" s="58"/>
      <c r="EF653" s="83"/>
      <c r="EI653" s="89">
        <v>57.13</v>
      </c>
      <c r="EK653" s="58"/>
      <c r="EL653" s="89">
        <v>63.62</v>
      </c>
      <c r="EO653" s="58"/>
      <c r="EP653" s="83"/>
      <c r="EQ653" s="58"/>
      <c r="ER653" s="89">
        <v>50.77</v>
      </c>
      <c r="ES653" s="58"/>
      <c r="ET653" s="83"/>
      <c r="EU653" s="58"/>
      <c r="HA653" s="159"/>
    </row>
    <row r="654" spans="1:209">
      <c r="A654" s="83" t="s">
        <v>322</v>
      </c>
      <c r="B654" s="173" t="s">
        <v>207</v>
      </c>
      <c r="C654" s="173" t="s">
        <v>516</v>
      </c>
      <c r="D654" s="83" t="s">
        <v>66</v>
      </c>
      <c r="E654" s="49" t="s">
        <v>0</v>
      </c>
      <c r="F654" s="49" t="s">
        <v>287</v>
      </c>
      <c r="G654" s="70">
        <v>8.7550000000000008</v>
      </c>
      <c r="I654" s="49">
        <v>747</v>
      </c>
      <c r="J654" s="159">
        <v>2.884169884169884</v>
      </c>
      <c r="K654" s="49">
        <v>1</v>
      </c>
      <c r="L654" s="49">
        <v>3</v>
      </c>
      <c r="M654" s="83">
        <v>1</v>
      </c>
      <c r="N654" s="49">
        <v>0</v>
      </c>
      <c r="O654" s="49">
        <v>0</v>
      </c>
      <c r="P654" s="49">
        <v>1</v>
      </c>
      <c r="Q654" s="58">
        <v>0</v>
      </c>
      <c r="R654" s="42">
        <v>2</v>
      </c>
      <c r="S654" s="83" t="s">
        <v>284</v>
      </c>
      <c r="U654" s="83">
        <v>3</v>
      </c>
      <c r="V654" s="49">
        <v>2</v>
      </c>
      <c r="W654" s="49">
        <v>3</v>
      </c>
      <c r="X654" s="58">
        <v>2</v>
      </c>
      <c r="Y654" s="83">
        <v>2</v>
      </c>
      <c r="AD654" s="49">
        <v>3</v>
      </c>
      <c r="AE654" s="49">
        <v>41</v>
      </c>
      <c r="AF654" s="49">
        <v>4</v>
      </c>
      <c r="AG654" s="49">
        <v>10</v>
      </c>
      <c r="AH654" s="49">
        <v>6</v>
      </c>
      <c r="AI654" s="49">
        <v>71</v>
      </c>
      <c r="AJ654" s="49">
        <v>0</v>
      </c>
      <c r="AK654" s="83">
        <v>0</v>
      </c>
      <c r="AL654" s="49">
        <v>0</v>
      </c>
      <c r="AM654" s="49">
        <v>0</v>
      </c>
      <c r="AN654" s="49">
        <v>0</v>
      </c>
      <c r="AO654" s="58">
        <v>0</v>
      </c>
      <c r="AP654" s="174" t="s">
        <v>284</v>
      </c>
      <c r="AQ654" s="175" t="s">
        <v>284</v>
      </c>
      <c r="AR654" s="175" t="s">
        <v>284</v>
      </c>
      <c r="AS654" s="175" t="s">
        <v>284</v>
      </c>
      <c r="AT654" s="175" t="s">
        <v>284</v>
      </c>
      <c r="AU654" s="175" t="s">
        <v>284</v>
      </c>
      <c r="AV654" s="175" t="s">
        <v>284</v>
      </c>
      <c r="AW654" s="175" t="s">
        <v>284</v>
      </c>
      <c r="AX654" s="83">
        <v>0</v>
      </c>
      <c r="AY654" s="49">
        <v>0</v>
      </c>
      <c r="AZ654" s="49">
        <v>0</v>
      </c>
      <c r="BA654" s="49">
        <v>0</v>
      </c>
      <c r="BB654" s="58">
        <v>0</v>
      </c>
      <c r="BC654" s="42">
        <v>134</v>
      </c>
      <c r="BE654" s="49"/>
      <c r="BS654" s="58"/>
      <c r="BT654" s="83"/>
      <c r="CE654" s="83"/>
      <c r="CK654" s="58"/>
      <c r="CL654" s="83"/>
      <c r="CO654" s="58"/>
      <c r="CP654" s="83"/>
      <c r="CR654" s="58"/>
      <c r="CS654" s="83"/>
      <c r="CY654" s="83"/>
      <c r="DG654" s="58"/>
      <c r="DH654" s="83"/>
      <c r="DQ654" s="83"/>
      <c r="EE654" s="58"/>
      <c r="EF654" s="83"/>
      <c r="EI654" s="83"/>
      <c r="EK654" s="58"/>
      <c r="EL654" s="83"/>
      <c r="EO654" s="58"/>
      <c r="EP654" s="83"/>
      <c r="EQ654" s="58"/>
      <c r="ER654" s="83"/>
      <c r="ES654" s="58"/>
      <c r="ET654" s="83"/>
      <c r="EU654" s="58"/>
    </row>
    <row r="655" spans="1:209">
      <c r="A655" s="83" t="s">
        <v>322</v>
      </c>
      <c r="B655" s="173" t="s">
        <v>207</v>
      </c>
      <c r="C655" s="173" t="s">
        <v>516</v>
      </c>
      <c r="D655" s="83" t="s">
        <v>66</v>
      </c>
      <c r="E655" s="49" t="s">
        <v>1</v>
      </c>
      <c r="F655" s="49" t="s">
        <v>287</v>
      </c>
      <c r="G655" s="70">
        <v>8.7550000000000008</v>
      </c>
      <c r="I655" s="49">
        <v>330</v>
      </c>
      <c r="J655" s="159">
        <v>3.6666666666666665</v>
      </c>
      <c r="K655" s="49">
        <v>1</v>
      </c>
      <c r="L655" s="49">
        <v>2</v>
      </c>
      <c r="M655" s="83">
        <v>1</v>
      </c>
      <c r="N655" s="49">
        <v>0</v>
      </c>
      <c r="O655" s="49">
        <v>0</v>
      </c>
      <c r="P655" s="49">
        <v>1</v>
      </c>
      <c r="Q655" s="58">
        <v>0</v>
      </c>
      <c r="R655" s="42">
        <v>2</v>
      </c>
      <c r="S655" s="83" t="s">
        <v>284</v>
      </c>
      <c r="U655" s="83">
        <v>0</v>
      </c>
      <c r="V655" s="49">
        <v>0</v>
      </c>
      <c r="W655" s="49">
        <v>0</v>
      </c>
      <c r="X655" s="58"/>
      <c r="Y655" s="83">
        <v>1</v>
      </c>
      <c r="AE655" s="49">
        <v>14</v>
      </c>
      <c r="AJ655" s="49">
        <v>0</v>
      </c>
      <c r="AK655" s="83">
        <v>0</v>
      </c>
      <c r="AL655" s="49">
        <v>0</v>
      </c>
      <c r="AM655" s="49">
        <v>0</v>
      </c>
      <c r="AN655" s="49">
        <v>0</v>
      </c>
      <c r="AO655" s="58">
        <v>0</v>
      </c>
      <c r="AP655" s="174" t="s">
        <v>284</v>
      </c>
      <c r="AQ655" s="175" t="s">
        <v>284</v>
      </c>
      <c r="AR655" s="175" t="s">
        <v>284</v>
      </c>
      <c r="AS655" s="175" t="s">
        <v>284</v>
      </c>
      <c r="AT655" s="175" t="s">
        <v>284</v>
      </c>
      <c r="AU655" s="175" t="s">
        <v>284</v>
      </c>
      <c r="AV655" s="175" t="s">
        <v>284</v>
      </c>
      <c r="AW655" s="175" t="s">
        <v>284</v>
      </c>
      <c r="AX655" s="83">
        <v>0</v>
      </c>
      <c r="AY655" s="49">
        <v>0</v>
      </c>
      <c r="AZ655" s="49">
        <v>0</v>
      </c>
      <c r="BA655" s="49">
        <v>0</v>
      </c>
      <c r="BB655" s="58">
        <v>0</v>
      </c>
      <c r="BC655" s="42">
        <v>134</v>
      </c>
      <c r="BE655" s="49"/>
      <c r="BS655" s="58"/>
      <c r="BT655" s="83"/>
      <c r="CE655" s="83"/>
      <c r="CK655" s="58"/>
      <c r="CL655" s="83"/>
      <c r="CO655" s="58"/>
      <c r="CP655" s="83"/>
      <c r="CR655" s="58"/>
      <c r="CS655" s="83"/>
      <c r="CY655" s="83"/>
      <c r="DG655" s="58"/>
      <c r="DH655" s="83"/>
      <c r="DQ655" s="83"/>
      <c r="EE655" s="58"/>
      <c r="EF655" s="83"/>
      <c r="EI655" s="83"/>
      <c r="EK655" s="58"/>
      <c r="EL655" s="83"/>
      <c r="EO655" s="58"/>
      <c r="EP655" s="83"/>
      <c r="EQ655" s="58"/>
      <c r="ER655" s="83"/>
      <c r="ES655" s="58"/>
      <c r="ET655" s="83"/>
      <c r="EU655" s="58"/>
    </row>
    <row r="656" spans="1:209">
      <c r="A656" s="83" t="s">
        <v>322</v>
      </c>
      <c r="B656" s="173" t="s">
        <v>207</v>
      </c>
      <c r="C656" s="173" t="s">
        <v>516</v>
      </c>
      <c r="D656" s="83" t="s">
        <v>67</v>
      </c>
      <c r="F656" s="49" t="s">
        <v>286</v>
      </c>
      <c r="G656" s="70">
        <v>8.7550000000000008</v>
      </c>
      <c r="I656" s="49">
        <v>1605</v>
      </c>
      <c r="J656" s="159">
        <v>2.7342419080068141</v>
      </c>
      <c r="K656" s="49">
        <v>4</v>
      </c>
      <c r="L656" s="49">
        <v>4</v>
      </c>
      <c r="M656" s="83">
        <v>0</v>
      </c>
      <c r="N656" s="49">
        <v>2</v>
      </c>
      <c r="O656" s="49">
        <v>0</v>
      </c>
      <c r="P656" s="49">
        <v>1</v>
      </c>
      <c r="Q656" s="58">
        <v>0</v>
      </c>
      <c r="R656" s="42">
        <v>3</v>
      </c>
      <c r="S656" s="83" t="s">
        <v>283</v>
      </c>
      <c r="U656" s="83">
        <v>1</v>
      </c>
      <c r="V656" s="49">
        <v>4</v>
      </c>
      <c r="W656" s="49">
        <v>1</v>
      </c>
      <c r="X656" s="58">
        <v>2</v>
      </c>
      <c r="Y656" s="83">
        <v>0</v>
      </c>
      <c r="AD656" s="49">
        <v>8</v>
      </c>
      <c r="AE656" s="49">
        <v>118</v>
      </c>
      <c r="AH656" s="49">
        <v>16</v>
      </c>
      <c r="AI656" s="49">
        <v>438</v>
      </c>
      <c r="AJ656" s="49">
        <v>0</v>
      </c>
      <c r="AK656" s="83">
        <v>0</v>
      </c>
      <c r="AL656" s="49">
        <v>0</v>
      </c>
      <c r="AM656" s="49">
        <v>0</v>
      </c>
      <c r="AN656" s="49">
        <v>0</v>
      </c>
      <c r="AO656" s="58">
        <v>0</v>
      </c>
      <c r="AP656" s="174" t="s">
        <v>284</v>
      </c>
      <c r="AQ656" s="175" t="s">
        <v>284</v>
      </c>
      <c r="AR656" s="175" t="s">
        <v>284</v>
      </c>
      <c r="AS656" s="175" t="s">
        <v>284</v>
      </c>
      <c r="AT656" s="175" t="s">
        <v>284</v>
      </c>
      <c r="AU656" s="175" t="s">
        <v>284</v>
      </c>
      <c r="AV656" s="175" t="s">
        <v>284</v>
      </c>
      <c r="AW656" s="175" t="s">
        <v>284</v>
      </c>
      <c r="AX656" s="83">
        <v>0</v>
      </c>
      <c r="AY656" s="49">
        <v>0</v>
      </c>
      <c r="AZ656" s="49">
        <v>0</v>
      </c>
      <c r="BA656" s="49">
        <v>0</v>
      </c>
      <c r="BB656" s="58">
        <v>0</v>
      </c>
      <c r="BC656" s="42">
        <v>114</v>
      </c>
      <c r="BE656" s="49"/>
      <c r="BS656" s="58"/>
      <c r="BT656" s="83"/>
      <c r="CE656" s="83"/>
      <c r="CK656" s="58"/>
      <c r="CL656" s="83"/>
      <c r="CO656" s="58"/>
      <c r="CP656" s="83"/>
      <c r="CR656" s="58"/>
      <c r="CS656" s="83"/>
      <c r="CY656" s="83"/>
      <c r="DG656" s="58"/>
      <c r="DH656" s="83"/>
      <c r="DQ656" s="83"/>
      <c r="EE656" s="58"/>
      <c r="EF656" s="83"/>
      <c r="EI656" s="83"/>
      <c r="EK656" s="58"/>
      <c r="EL656" s="83"/>
      <c r="EO656" s="58"/>
      <c r="EP656" s="83"/>
      <c r="EQ656" s="58"/>
      <c r="ER656" s="83"/>
      <c r="ES656" s="58"/>
      <c r="ET656" s="83"/>
      <c r="EU656" s="58"/>
    </row>
    <row r="657" spans="1:151">
      <c r="A657" s="83" t="s">
        <v>322</v>
      </c>
      <c r="B657" s="173" t="s">
        <v>207</v>
      </c>
      <c r="C657" s="173" t="s">
        <v>516</v>
      </c>
      <c r="D657" s="83" t="s">
        <v>68</v>
      </c>
      <c r="F657" s="49" t="s">
        <v>286</v>
      </c>
      <c r="G657" s="70">
        <v>8.7550000000000008</v>
      </c>
      <c r="I657" s="49">
        <v>1456</v>
      </c>
      <c r="J657" s="159">
        <v>5.578544061302682</v>
      </c>
      <c r="K657" s="49">
        <v>2</v>
      </c>
      <c r="L657" s="49">
        <v>3</v>
      </c>
      <c r="M657" s="83">
        <v>0</v>
      </c>
      <c r="N657" s="49">
        <v>0</v>
      </c>
      <c r="O657" s="49">
        <v>0</v>
      </c>
      <c r="P657" s="49">
        <v>1</v>
      </c>
      <c r="Q657" s="58">
        <v>0</v>
      </c>
      <c r="R657" s="42">
        <v>1</v>
      </c>
      <c r="S657" s="83" t="s">
        <v>283</v>
      </c>
      <c r="T657" s="49">
        <v>7</v>
      </c>
      <c r="U657" s="83">
        <v>1</v>
      </c>
      <c r="V657" s="49">
        <v>2</v>
      </c>
      <c r="W657" s="49">
        <v>1</v>
      </c>
      <c r="X657" s="58">
        <v>2</v>
      </c>
      <c r="Y657" s="83">
        <v>2</v>
      </c>
      <c r="AD657" s="49">
        <v>3</v>
      </c>
      <c r="AE657" s="49">
        <v>17</v>
      </c>
      <c r="AF657" s="49">
        <v>4</v>
      </c>
      <c r="AG657" s="49">
        <v>230</v>
      </c>
      <c r="AJ657" s="49">
        <v>0</v>
      </c>
      <c r="AK657" s="83">
        <v>0</v>
      </c>
      <c r="AL657" s="49">
        <v>1</v>
      </c>
      <c r="AM657" s="49">
        <v>0</v>
      </c>
      <c r="AN657" s="49">
        <v>0</v>
      </c>
      <c r="AO657" s="58">
        <v>0</v>
      </c>
      <c r="AP657" s="174">
        <v>0</v>
      </c>
      <c r="AQ657" s="175">
        <v>106</v>
      </c>
      <c r="AR657" s="175">
        <v>0</v>
      </c>
      <c r="AS657" s="175">
        <v>0</v>
      </c>
      <c r="AT657" s="175">
        <v>0</v>
      </c>
      <c r="AU657" s="175">
        <v>0</v>
      </c>
      <c r="AV657" s="175">
        <v>0</v>
      </c>
      <c r="AW657" s="175">
        <v>0</v>
      </c>
      <c r="AX657" s="83">
        <v>0</v>
      </c>
      <c r="AY657" s="49">
        <v>0</v>
      </c>
      <c r="AZ657" s="49">
        <v>0</v>
      </c>
      <c r="BA657" s="49">
        <v>0</v>
      </c>
      <c r="BB657" s="58">
        <v>0</v>
      </c>
      <c r="BC657" s="42">
        <v>118</v>
      </c>
      <c r="BE657" s="49"/>
      <c r="BS657" s="58"/>
      <c r="BT657" s="83"/>
      <c r="CE657" s="83"/>
      <c r="CK657" s="58"/>
      <c r="CL657" s="83"/>
      <c r="CO657" s="58"/>
      <c r="CP657" s="83"/>
      <c r="CR657" s="58"/>
      <c r="CS657" s="83"/>
      <c r="CY657" s="83"/>
      <c r="DG657" s="58"/>
      <c r="DH657" s="83"/>
      <c r="DQ657" s="83"/>
      <c r="EE657" s="58"/>
      <c r="EF657" s="83"/>
      <c r="EI657" s="83"/>
      <c r="EK657" s="58"/>
      <c r="EL657" s="83"/>
      <c r="EO657" s="58"/>
      <c r="EP657" s="83"/>
      <c r="EQ657" s="58"/>
      <c r="ER657" s="83"/>
      <c r="ES657" s="58"/>
      <c r="ET657" s="83"/>
      <c r="EU657" s="58"/>
    </row>
    <row r="658" spans="1:151">
      <c r="A658" s="83" t="s">
        <v>322</v>
      </c>
      <c r="B658" s="173" t="s">
        <v>207</v>
      </c>
      <c r="C658" s="173" t="s">
        <v>516</v>
      </c>
      <c r="D658" s="83" t="s">
        <v>69</v>
      </c>
      <c r="F658" s="49" t="s">
        <v>287</v>
      </c>
      <c r="G658" s="70">
        <v>8.7550000000000008</v>
      </c>
      <c r="I658" s="49">
        <v>817</v>
      </c>
      <c r="J658" s="159">
        <v>4.2774869109947646</v>
      </c>
      <c r="K658" s="49">
        <v>1</v>
      </c>
      <c r="L658" s="49">
        <v>2</v>
      </c>
      <c r="M658" s="83">
        <v>1</v>
      </c>
      <c r="N658" s="49">
        <v>0</v>
      </c>
      <c r="O658" s="49">
        <v>0</v>
      </c>
      <c r="P658" s="49">
        <v>1</v>
      </c>
      <c r="Q658" s="58">
        <v>0</v>
      </c>
      <c r="R658" s="42">
        <v>2</v>
      </c>
      <c r="S658" s="83" t="s">
        <v>283</v>
      </c>
      <c r="T658" s="49">
        <v>0</v>
      </c>
      <c r="U658" s="83">
        <v>0</v>
      </c>
      <c r="V658" s="49">
        <v>0</v>
      </c>
      <c r="W658" s="49">
        <v>0</v>
      </c>
      <c r="X658" s="58"/>
      <c r="Y658" s="83">
        <v>1</v>
      </c>
      <c r="AI658" s="49">
        <v>11</v>
      </c>
      <c r="AJ658" s="49">
        <v>0</v>
      </c>
      <c r="AK658" s="83">
        <v>0</v>
      </c>
      <c r="AL658" s="49">
        <v>1</v>
      </c>
      <c r="AM658" s="49">
        <v>0</v>
      </c>
      <c r="AN658" s="49">
        <v>0</v>
      </c>
      <c r="AO658" s="58">
        <v>0</v>
      </c>
      <c r="AP658" s="174">
        <v>0</v>
      </c>
      <c r="AQ658" s="175">
        <v>142</v>
      </c>
      <c r="AR658" s="175">
        <v>0</v>
      </c>
      <c r="AS658" s="175">
        <v>0</v>
      </c>
      <c r="AT658" s="175">
        <v>0</v>
      </c>
      <c r="AU658" s="175">
        <v>0</v>
      </c>
      <c r="AV658" s="175">
        <v>0</v>
      </c>
      <c r="AW658" s="175">
        <v>0</v>
      </c>
      <c r="AX658" s="83">
        <v>0</v>
      </c>
      <c r="AY658" s="49">
        <v>0</v>
      </c>
      <c r="AZ658" s="49">
        <v>0</v>
      </c>
      <c r="BA658" s="49">
        <v>0</v>
      </c>
      <c r="BB658" s="58">
        <v>0</v>
      </c>
      <c r="BC658" s="42">
        <v>108</v>
      </c>
      <c r="BE658" s="49"/>
      <c r="BS658" s="58"/>
      <c r="BT658" s="83"/>
      <c r="CE658" s="83"/>
      <c r="CK658" s="58"/>
      <c r="CL658" s="83"/>
      <c r="CO658" s="58"/>
      <c r="CP658" s="83"/>
      <c r="CR658" s="58"/>
      <c r="CS658" s="83"/>
      <c r="CY658" s="83"/>
      <c r="DG658" s="58"/>
      <c r="DH658" s="83"/>
      <c r="DQ658" s="83"/>
      <c r="EE658" s="58"/>
      <c r="EF658" s="83"/>
      <c r="EI658" s="83"/>
      <c r="EK658" s="58"/>
      <c r="EL658" s="83"/>
      <c r="EO658" s="58"/>
      <c r="EP658" s="83"/>
      <c r="EQ658" s="58"/>
      <c r="ER658" s="83"/>
      <c r="ES658" s="58"/>
      <c r="ET658" s="83"/>
      <c r="EU658" s="58"/>
    </row>
    <row r="659" spans="1:151">
      <c r="A659" s="83" t="s">
        <v>322</v>
      </c>
      <c r="B659" s="173" t="s">
        <v>207</v>
      </c>
      <c r="C659" s="173" t="s">
        <v>516</v>
      </c>
      <c r="D659" s="83" t="s">
        <v>74</v>
      </c>
      <c r="F659" s="49" t="s">
        <v>286</v>
      </c>
      <c r="G659" s="70">
        <v>8.7550000000000008</v>
      </c>
      <c r="I659" s="49">
        <v>1129</v>
      </c>
      <c r="J659" s="159">
        <v>2.675355450236967</v>
      </c>
      <c r="K659" s="49">
        <v>1</v>
      </c>
      <c r="L659" s="49">
        <v>2</v>
      </c>
      <c r="M659" s="83">
        <v>0</v>
      </c>
      <c r="N659" s="49">
        <v>1</v>
      </c>
      <c r="O659" s="49">
        <v>0</v>
      </c>
      <c r="P659" s="49">
        <v>1</v>
      </c>
      <c r="Q659" s="58">
        <v>0</v>
      </c>
      <c r="R659" s="42">
        <v>2</v>
      </c>
      <c r="S659" s="83" t="s">
        <v>283</v>
      </c>
      <c r="T659" s="49">
        <v>6</v>
      </c>
      <c r="U659" s="83">
        <v>1</v>
      </c>
      <c r="V659" s="49">
        <v>4</v>
      </c>
      <c r="W659" s="49">
        <v>1</v>
      </c>
      <c r="X659" s="58">
        <v>2</v>
      </c>
      <c r="Y659" s="83">
        <v>1</v>
      </c>
      <c r="Z659" s="49">
        <v>4</v>
      </c>
      <c r="AA659" s="49">
        <v>5</v>
      </c>
      <c r="AD659" s="49">
        <v>4</v>
      </c>
      <c r="AE659" s="49">
        <v>34</v>
      </c>
      <c r="AH659" s="49">
        <v>5</v>
      </c>
      <c r="AI659" s="49">
        <v>69</v>
      </c>
      <c r="AJ659" s="49">
        <v>1</v>
      </c>
      <c r="AK659" s="83">
        <v>0</v>
      </c>
      <c r="AL659" s="49">
        <v>0</v>
      </c>
      <c r="AM659" s="49">
        <v>1</v>
      </c>
      <c r="AN659" s="49">
        <v>0</v>
      </c>
      <c r="AO659" s="58">
        <v>0</v>
      </c>
      <c r="AP659" s="174">
        <v>0</v>
      </c>
      <c r="AQ659" s="175">
        <v>0</v>
      </c>
      <c r="AR659" s="175">
        <v>0</v>
      </c>
      <c r="AS659" s="175">
        <v>411</v>
      </c>
      <c r="AT659" s="175">
        <v>0</v>
      </c>
      <c r="AU659" s="175">
        <v>0</v>
      </c>
      <c r="AV659" s="175">
        <v>0</v>
      </c>
      <c r="AW659" s="175">
        <v>0</v>
      </c>
      <c r="AX659" s="83">
        <v>0</v>
      </c>
      <c r="AY659" s="49">
        <v>0</v>
      </c>
      <c r="AZ659" s="49">
        <v>0</v>
      </c>
      <c r="BA659" s="49">
        <v>0</v>
      </c>
      <c r="BB659" s="58">
        <v>0</v>
      </c>
      <c r="BC659" s="42">
        <v>109</v>
      </c>
      <c r="BD659" s="49">
        <v>55.06</v>
      </c>
      <c r="BE659" s="49"/>
      <c r="BS659" s="58"/>
      <c r="BT659" s="83">
        <v>60.4</v>
      </c>
      <c r="CE659" s="83"/>
      <c r="CK659" s="58"/>
      <c r="CL659" s="83">
        <v>45.22</v>
      </c>
      <c r="CO659" s="58"/>
      <c r="CP659" s="83"/>
      <c r="CR659" s="58"/>
      <c r="CS659" s="83"/>
      <c r="CY659" s="83"/>
      <c r="DG659" s="58"/>
      <c r="DH659" s="83"/>
      <c r="DQ659" s="83"/>
      <c r="EE659" s="58"/>
      <c r="EF659" s="83"/>
      <c r="EI659" s="83"/>
      <c r="EK659" s="58"/>
      <c r="EL659" s="83"/>
      <c r="EO659" s="58"/>
      <c r="EP659" s="83"/>
      <c r="EQ659" s="58"/>
      <c r="ER659" s="83"/>
      <c r="ES659" s="58"/>
      <c r="ET659" s="83"/>
      <c r="EU659" s="58"/>
    </row>
    <row r="660" spans="1:151">
      <c r="A660" s="83" t="s">
        <v>322</v>
      </c>
      <c r="B660" s="173" t="s">
        <v>207</v>
      </c>
      <c r="C660" s="173" t="s">
        <v>516</v>
      </c>
      <c r="D660" s="83" t="s">
        <v>75</v>
      </c>
      <c r="F660" s="49" t="s">
        <v>286</v>
      </c>
      <c r="G660" s="70">
        <v>8.7550000000000008</v>
      </c>
      <c r="I660" s="49">
        <v>1961</v>
      </c>
      <c r="J660" s="159">
        <v>3.3069139966273187</v>
      </c>
      <c r="K660" s="49">
        <v>1</v>
      </c>
      <c r="L660" s="49">
        <v>3</v>
      </c>
      <c r="M660" s="83">
        <v>1</v>
      </c>
      <c r="N660" s="49">
        <v>0</v>
      </c>
      <c r="O660" s="49">
        <v>0</v>
      </c>
      <c r="P660" s="49">
        <v>1</v>
      </c>
      <c r="Q660" s="58">
        <v>0</v>
      </c>
      <c r="R660" s="42">
        <v>2</v>
      </c>
      <c r="S660" s="83" t="s">
        <v>283</v>
      </c>
      <c r="T660" s="49">
        <v>9</v>
      </c>
      <c r="U660" s="83">
        <v>1</v>
      </c>
      <c r="V660" s="49">
        <v>3</v>
      </c>
      <c r="W660" s="49">
        <v>1</v>
      </c>
      <c r="X660" s="58">
        <v>2</v>
      </c>
      <c r="Y660" s="83">
        <v>1</v>
      </c>
      <c r="AA660" s="49">
        <v>10</v>
      </c>
      <c r="AD660" s="49">
        <v>7</v>
      </c>
      <c r="AE660" s="49">
        <v>182</v>
      </c>
      <c r="AH660" s="49">
        <v>11</v>
      </c>
      <c r="AI660" s="49">
        <v>279</v>
      </c>
      <c r="AJ660" s="49">
        <v>0</v>
      </c>
      <c r="AK660" s="83">
        <v>0</v>
      </c>
      <c r="AL660" s="49">
        <v>0</v>
      </c>
      <c r="AM660" s="49">
        <v>1</v>
      </c>
      <c r="AN660" s="49">
        <v>0</v>
      </c>
      <c r="AO660" s="58">
        <v>0</v>
      </c>
      <c r="AP660" s="174">
        <v>0</v>
      </c>
      <c r="AQ660" s="175">
        <v>0</v>
      </c>
      <c r="AR660" s="175">
        <v>34</v>
      </c>
      <c r="AS660" s="175">
        <v>523</v>
      </c>
      <c r="AT660" s="175">
        <v>0</v>
      </c>
      <c r="AU660" s="175">
        <v>0</v>
      </c>
      <c r="AV660" s="175">
        <v>0</v>
      </c>
      <c r="AW660" s="175">
        <v>0</v>
      </c>
      <c r="AX660" s="83">
        <v>0</v>
      </c>
      <c r="AY660" s="49">
        <v>0</v>
      </c>
      <c r="AZ660" s="49">
        <v>0</v>
      </c>
      <c r="BA660" s="49">
        <v>0</v>
      </c>
      <c r="BB660" s="58">
        <v>0</v>
      </c>
      <c r="BC660" s="42">
        <v>103</v>
      </c>
      <c r="BE660" s="49"/>
      <c r="BS660" s="58"/>
      <c r="BT660" s="83"/>
      <c r="CE660" s="83"/>
      <c r="CK660" s="58"/>
      <c r="CL660" s="83"/>
      <c r="CO660" s="58"/>
      <c r="CP660" s="83"/>
      <c r="CR660" s="58"/>
      <c r="CS660" s="83"/>
      <c r="CY660" s="83"/>
      <c r="DG660" s="58"/>
      <c r="DH660" s="83"/>
      <c r="DQ660" s="83"/>
      <c r="EE660" s="58"/>
      <c r="EF660" s="83"/>
      <c r="EI660" s="83"/>
      <c r="EK660" s="58"/>
      <c r="EL660" s="83"/>
      <c r="EO660" s="58"/>
      <c r="EP660" s="83"/>
      <c r="EQ660" s="58"/>
      <c r="ER660" s="83"/>
      <c r="ES660" s="58"/>
      <c r="ET660" s="83"/>
      <c r="EU660" s="58"/>
    </row>
    <row r="661" spans="1:151">
      <c r="A661" s="83" t="s">
        <v>322</v>
      </c>
      <c r="B661" s="173" t="s">
        <v>207</v>
      </c>
      <c r="C661" s="173" t="s">
        <v>516</v>
      </c>
      <c r="D661" s="83" t="s">
        <v>76</v>
      </c>
      <c r="F661" s="49" t="s">
        <v>286</v>
      </c>
      <c r="G661" s="70">
        <v>8.7550000000000008</v>
      </c>
      <c r="I661" s="49">
        <v>1123</v>
      </c>
      <c r="J661" s="159">
        <v>1.8083735909822867</v>
      </c>
      <c r="K661" s="49">
        <v>1</v>
      </c>
      <c r="L661" s="49">
        <v>2</v>
      </c>
      <c r="M661" s="83">
        <v>1</v>
      </c>
      <c r="N661" s="49">
        <v>1</v>
      </c>
      <c r="O661" s="49">
        <v>0</v>
      </c>
      <c r="P661" s="49">
        <v>1</v>
      </c>
      <c r="Q661" s="58">
        <v>0</v>
      </c>
      <c r="R661" s="42">
        <v>3</v>
      </c>
      <c r="S661" s="83" t="s">
        <v>283</v>
      </c>
      <c r="T661" s="49">
        <v>8</v>
      </c>
      <c r="U661" s="83">
        <v>2</v>
      </c>
      <c r="V661" s="49">
        <v>2</v>
      </c>
      <c r="W661" s="49">
        <v>1</v>
      </c>
      <c r="X661" s="58">
        <v>2</v>
      </c>
      <c r="Y661" s="83">
        <v>2</v>
      </c>
      <c r="AD661" s="49">
        <v>3</v>
      </c>
      <c r="AE661" s="49">
        <v>15</v>
      </c>
      <c r="AF661" s="49">
        <v>7</v>
      </c>
      <c r="AG661" s="49">
        <v>27</v>
      </c>
      <c r="AH661" s="49">
        <v>7</v>
      </c>
      <c r="AI661" s="49">
        <v>207</v>
      </c>
      <c r="AJ661" s="49">
        <v>0</v>
      </c>
      <c r="AK661" s="83">
        <v>0</v>
      </c>
      <c r="AL661" s="49">
        <v>1</v>
      </c>
      <c r="AM661" s="49">
        <v>0</v>
      </c>
      <c r="AN661" s="49">
        <v>0</v>
      </c>
      <c r="AO661" s="58">
        <v>0</v>
      </c>
      <c r="AP661" s="174">
        <v>0</v>
      </c>
      <c r="AQ661" s="175">
        <v>282</v>
      </c>
      <c r="AR661" s="175">
        <v>0</v>
      </c>
      <c r="AS661" s="175">
        <v>0</v>
      </c>
      <c r="AT661" s="175">
        <v>0</v>
      </c>
      <c r="AU661" s="175">
        <v>0</v>
      </c>
      <c r="AV661" s="175">
        <v>0</v>
      </c>
      <c r="AW661" s="175">
        <v>0</v>
      </c>
      <c r="AX661" s="83">
        <v>0</v>
      </c>
      <c r="AY661" s="49">
        <v>0</v>
      </c>
      <c r="AZ661" s="49">
        <v>0</v>
      </c>
      <c r="BA661" s="49">
        <v>0</v>
      </c>
      <c r="BB661" s="58">
        <v>0</v>
      </c>
      <c r="BC661" s="42">
        <v>100</v>
      </c>
      <c r="BE661" s="49"/>
      <c r="BS661" s="58"/>
      <c r="BT661" s="83">
        <v>58.23</v>
      </c>
      <c r="BU661" s="49">
        <v>60.99</v>
      </c>
      <c r="BV661" s="49">
        <v>58.28</v>
      </c>
      <c r="CE661" s="83"/>
      <c r="CK661" s="58"/>
      <c r="CL661" s="83">
        <v>45.54</v>
      </c>
      <c r="CO661" s="58"/>
      <c r="CP661" s="83"/>
      <c r="CR661" s="58"/>
      <c r="CS661" s="83"/>
      <c r="CY661" s="83"/>
      <c r="DG661" s="58"/>
      <c r="DH661" s="83"/>
      <c r="DQ661" s="83"/>
      <c r="EE661" s="58"/>
      <c r="EF661" s="83"/>
      <c r="EI661" s="83"/>
      <c r="EK661" s="58"/>
      <c r="EL661" s="83"/>
      <c r="EO661" s="58"/>
      <c r="EP661" s="83"/>
      <c r="EQ661" s="58"/>
      <c r="ER661" s="83"/>
      <c r="ES661" s="58"/>
      <c r="ET661" s="83"/>
      <c r="EU661" s="58"/>
    </row>
    <row r="662" spans="1:151">
      <c r="A662" s="83" t="s">
        <v>322</v>
      </c>
      <c r="B662" s="173" t="s">
        <v>207</v>
      </c>
      <c r="C662" s="173" t="s">
        <v>516</v>
      </c>
      <c r="D662" s="83" t="s">
        <v>73</v>
      </c>
      <c r="E662" s="49" t="s">
        <v>0</v>
      </c>
      <c r="F662" s="49" t="s">
        <v>286</v>
      </c>
      <c r="G662" s="70">
        <v>8.7550000000000008</v>
      </c>
      <c r="I662" s="49">
        <v>1471</v>
      </c>
      <c r="J662" s="159">
        <v>3.1165254237288136</v>
      </c>
      <c r="K662" s="49">
        <v>4</v>
      </c>
      <c r="L662" s="49">
        <v>3</v>
      </c>
      <c r="M662" s="83">
        <v>0</v>
      </c>
      <c r="N662" s="49">
        <v>1</v>
      </c>
      <c r="O662" s="49">
        <v>0</v>
      </c>
      <c r="P662" s="49">
        <v>1</v>
      </c>
      <c r="Q662" s="58">
        <v>0</v>
      </c>
      <c r="R662" s="42">
        <v>2</v>
      </c>
      <c r="S662" s="83">
        <v>1</v>
      </c>
      <c r="U662" s="83">
        <v>1</v>
      </c>
      <c r="V662" s="49">
        <v>3</v>
      </c>
      <c r="W662" s="49">
        <v>1</v>
      </c>
      <c r="X662" s="58">
        <v>2</v>
      </c>
      <c r="Y662" s="83">
        <v>15</v>
      </c>
      <c r="AD662" s="49">
        <v>6</v>
      </c>
      <c r="AE662" s="49">
        <v>20</v>
      </c>
      <c r="AH662" s="49">
        <v>11</v>
      </c>
      <c r="AI662" s="49">
        <v>716</v>
      </c>
      <c r="AJ662" s="49">
        <v>0</v>
      </c>
      <c r="AK662" s="83">
        <v>0</v>
      </c>
      <c r="AL662" s="49">
        <v>0</v>
      </c>
      <c r="AM662" s="49">
        <v>0</v>
      </c>
      <c r="AN662" s="49">
        <v>0</v>
      </c>
      <c r="AO662" s="58">
        <v>0</v>
      </c>
      <c r="AP662" s="174" t="s">
        <v>284</v>
      </c>
      <c r="AQ662" s="175" t="s">
        <v>284</v>
      </c>
      <c r="AR662" s="175" t="s">
        <v>284</v>
      </c>
      <c r="AS662" s="175" t="s">
        <v>284</v>
      </c>
      <c r="AT662" s="175" t="s">
        <v>284</v>
      </c>
      <c r="AU662" s="175" t="s">
        <v>284</v>
      </c>
      <c r="AV662" s="175" t="s">
        <v>284</v>
      </c>
      <c r="AW662" s="175" t="s">
        <v>284</v>
      </c>
      <c r="AX662" s="83">
        <v>0</v>
      </c>
      <c r="AY662" s="49">
        <v>0</v>
      </c>
      <c r="AZ662" s="49">
        <v>0</v>
      </c>
      <c r="BA662" s="49">
        <v>0</v>
      </c>
      <c r="BB662" s="58">
        <v>0</v>
      </c>
      <c r="BC662" s="42">
        <v>126</v>
      </c>
      <c r="BD662" s="49">
        <v>59.57</v>
      </c>
      <c r="BE662" s="49"/>
      <c r="BS662" s="58"/>
      <c r="BT662" s="83"/>
      <c r="CE662" s="83"/>
      <c r="CK662" s="58"/>
      <c r="CL662" s="83"/>
      <c r="CO662" s="58"/>
      <c r="CP662" s="83">
        <v>47.67</v>
      </c>
      <c r="CR662" s="58"/>
      <c r="CS662" s="83"/>
      <c r="CY662" s="83"/>
      <c r="DG662" s="58"/>
      <c r="DH662" s="83"/>
      <c r="DQ662" s="83"/>
      <c r="EE662" s="58"/>
      <c r="EF662" s="83"/>
      <c r="EI662" s="83"/>
      <c r="EK662" s="58"/>
      <c r="EL662" s="83"/>
      <c r="EO662" s="58"/>
      <c r="EP662" s="83"/>
      <c r="EQ662" s="58"/>
      <c r="ER662" s="83"/>
      <c r="ES662" s="58"/>
      <c r="ET662" s="83"/>
      <c r="EU662" s="58"/>
    </row>
    <row r="663" spans="1:151" ht="17" thickBot="1">
      <c r="A663" s="83" t="s">
        <v>322</v>
      </c>
      <c r="B663" s="173" t="s">
        <v>207</v>
      </c>
      <c r="C663" s="173" t="s">
        <v>516</v>
      </c>
      <c r="D663" s="83" t="s">
        <v>73</v>
      </c>
      <c r="E663" s="49" t="s">
        <v>1</v>
      </c>
      <c r="F663" s="49" t="s">
        <v>287</v>
      </c>
      <c r="G663" s="70">
        <v>8.7550000000000008</v>
      </c>
      <c r="I663" s="49">
        <v>874</v>
      </c>
      <c r="J663" s="159">
        <v>5.3950617283950617</v>
      </c>
      <c r="K663" s="49">
        <v>4</v>
      </c>
      <c r="L663" s="49">
        <v>3</v>
      </c>
      <c r="M663" s="83">
        <v>0</v>
      </c>
      <c r="N663" s="49">
        <v>2</v>
      </c>
      <c r="O663" s="49">
        <v>0</v>
      </c>
      <c r="P663" s="49">
        <v>1</v>
      </c>
      <c r="Q663" s="58">
        <v>0</v>
      </c>
      <c r="R663" s="42">
        <v>3</v>
      </c>
      <c r="S663" s="83">
        <v>1</v>
      </c>
      <c r="U663" s="83">
        <v>1</v>
      </c>
      <c r="V663" s="49">
        <v>3</v>
      </c>
      <c r="W663" s="49">
        <v>1</v>
      </c>
      <c r="X663" s="58">
        <v>2</v>
      </c>
      <c r="Y663" s="83">
        <v>2</v>
      </c>
      <c r="AD663" s="49">
        <v>2</v>
      </c>
      <c r="AE663" s="49">
        <v>31</v>
      </c>
      <c r="AF663" s="49">
        <v>9</v>
      </c>
      <c r="AG663" s="49">
        <v>76</v>
      </c>
      <c r="AJ663" s="49">
        <v>0</v>
      </c>
      <c r="AK663" s="83">
        <v>0</v>
      </c>
      <c r="AL663" s="49">
        <v>0</v>
      </c>
      <c r="AM663" s="49">
        <v>0</v>
      </c>
      <c r="AN663" s="49">
        <v>0</v>
      </c>
      <c r="AO663" s="58">
        <v>0</v>
      </c>
      <c r="AP663" s="174" t="s">
        <v>284</v>
      </c>
      <c r="AQ663" s="175" t="s">
        <v>284</v>
      </c>
      <c r="AR663" s="175" t="s">
        <v>284</v>
      </c>
      <c r="AS663" s="175" t="s">
        <v>284</v>
      </c>
      <c r="AT663" s="175" t="s">
        <v>284</v>
      </c>
      <c r="AU663" s="175" t="s">
        <v>284</v>
      </c>
      <c r="AV663" s="175" t="s">
        <v>284</v>
      </c>
      <c r="AW663" s="175" t="s">
        <v>284</v>
      </c>
      <c r="AX663" s="83">
        <v>0</v>
      </c>
      <c r="AY663" s="49">
        <v>0</v>
      </c>
      <c r="AZ663" s="49">
        <v>0</v>
      </c>
      <c r="BA663" s="49">
        <v>0</v>
      </c>
      <c r="BB663" s="58">
        <v>0</v>
      </c>
      <c r="BC663" s="42">
        <v>126</v>
      </c>
      <c r="BD663" s="49">
        <v>58.79</v>
      </c>
      <c r="BE663" s="49"/>
      <c r="BS663" s="58"/>
      <c r="BT663" s="83"/>
      <c r="CE663" s="83"/>
      <c r="CK663" s="58"/>
      <c r="CL663" s="83">
        <v>46.62</v>
      </c>
      <c r="CO663" s="58"/>
      <c r="CP663" s="83"/>
      <c r="CR663" s="58"/>
      <c r="CS663" s="83"/>
      <c r="CY663" s="83"/>
      <c r="DG663" s="58"/>
      <c r="DH663" s="83"/>
      <c r="DQ663" s="83"/>
      <c r="EE663" s="58"/>
      <c r="EF663" s="83"/>
      <c r="EI663" s="83"/>
      <c r="EK663" s="58"/>
      <c r="EL663" s="83"/>
      <c r="EO663" s="58"/>
      <c r="EP663" s="83"/>
      <c r="EQ663" s="58"/>
      <c r="ER663" s="83"/>
      <c r="ES663" s="58"/>
      <c r="ET663" s="83"/>
      <c r="EU663" s="58"/>
    </row>
    <row r="664" spans="1:151">
      <c r="A664" s="87" t="s">
        <v>323</v>
      </c>
      <c r="B664" s="7" t="s">
        <v>214</v>
      </c>
      <c r="C664" s="7" t="s">
        <v>517</v>
      </c>
      <c r="D664" s="147" t="s">
        <v>64</v>
      </c>
      <c r="E664" s="148"/>
      <c r="F664" s="148" t="s">
        <v>287</v>
      </c>
      <c r="G664" s="73">
        <v>12.331666666666667</v>
      </c>
      <c r="H664" s="148">
        <v>4456</v>
      </c>
      <c r="I664" s="148">
        <v>228</v>
      </c>
      <c r="J664" s="148">
        <v>2.85</v>
      </c>
      <c r="K664" s="148">
        <v>1</v>
      </c>
      <c r="L664" s="148">
        <v>3</v>
      </c>
      <c r="M664" s="147">
        <v>0</v>
      </c>
      <c r="N664" s="148">
        <v>0</v>
      </c>
      <c r="O664" s="148">
        <v>0</v>
      </c>
      <c r="P664" s="148">
        <v>0</v>
      </c>
      <c r="Q664" s="149">
        <v>0</v>
      </c>
      <c r="R664" s="87">
        <v>0</v>
      </c>
      <c r="S664" s="147" t="s">
        <v>283</v>
      </c>
      <c r="T664" s="148"/>
      <c r="U664" s="147">
        <v>0</v>
      </c>
      <c r="V664" s="148">
        <v>0</v>
      </c>
      <c r="W664" s="148">
        <v>0</v>
      </c>
      <c r="X664" s="149"/>
      <c r="Y664" s="147">
        <v>2</v>
      </c>
      <c r="Z664" s="148"/>
      <c r="AA664" s="148"/>
      <c r="AB664" s="148"/>
      <c r="AC664" s="148"/>
      <c r="AD664" s="148"/>
      <c r="AE664" s="148"/>
      <c r="AF664" s="148"/>
      <c r="AG664" s="148"/>
      <c r="AH664" s="148">
        <v>4</v>
      </c>
      <c r="AI664" s="148">
        <v>23</v>
      </c>
      <c r="AJ664" s="148">
        <v>0</v>
      </c>
      <c r="AK664" s="147">
        <v>0</v>
      </c>
      <c r="AL664" s="148">
        <v>0</v>
      </c>
      <c r="AM664" s="148">
        <v>0</v>
      </c>
      <c r="AN664" s="148">
        <v>0</v>
      </c>
      <c r="AO664" s="149">
        <v>0</v>
      </c>
      <c r="AP664" s="169">
        <v>0</v>
      </c>
      <c r="AQ664" s="170">
        <v>0</v>
      </c>
      <c r="AR664" s="170">
        <v>0</v>
      </c>
      <c r="AS664" s="170">
        <v>0</v>
      </c>
      <c r="AT664" s="170">
        <v>0</v>
      </c>
      <c r="AU664" s="170">
        <v>0</v>
      </c>
      <c r="AV664" s="170">
        <v>0</v>
      </c>
      <c r="AW664" s="170">
        <v>0</v>
      </c>
      <c r="AX664" s="147">
        <v>0</v>
      </c>
      <c r="AY664" s="148">
        <v>0</v>
      </c>
      <c r="AZ664" s="148">
        <v>0</v>
      </c>
      <c r="BA664" s="148">
        <v>0</v>
      </c>
      <c r="BB664" s="149">
        <v>0</v>
      </c>
      <c r="BC664" s="87">
        <v>67</v>
      </c>
      <c r="BD664" s="148"/>
      <c r="BE664" s="158"/>
      <c r="BF664" s="148"/>
      <c r="BG664" s="148"/>
      <c r="BH664" s="148"/>
      <c r="BI664" s="148"/>
      <c r="BJ664" s="148"/>
      <c r="BK664" s="148"/>
      <c r="BL664" s="148"/>
      <c r="BM664" s="148"/>
      <c r="BN664" s="148"/>
      <c r="BO664" s="148"/>
      <c r="BP664" s="148"/>
      <c r="BQ664" s="148"/>
      <c r="BR664" s="148"/>
      <c r="BS664" s="149"/>
      <c r="BT664" s="147"/>
      <c r="BU664" s="148"/>
      <c r="BV664" s="148"/>
      <c r="BW664" s="148"/>
      <c r="BX664" s="148"/>
      <c r="BY664" s="148"/>
      <c r="BZ664" s="148"/>
      <c r="CA664" s="148"/>
      <c r="CB664" s="148"/>
      <c r="CC664" s="148"/>
      <c r="CD664" s="148"/>
      <c r="CE664" s="147"/>
      <c r="CF664" s="148"/>
      <c r="CG664" s="148"/>
      <c r="CH664" s="148"/>
      <c r="CI664" s="148"/>
      <c r="CJ664" s="148"/>
      <c r="CK664" s="149"/>
      <c r="CL664" s="147"/>
      <c r="CM664" s="148"/>
      <c r="CN664" s="148"/>
      <c r="CO664" s="149"/>
      <c r="CP664" s="147"/>
      <c r="CQ664" s="148"/>
      <c r="CR664" s="149"/>
      <c r="CS664" s="147"/>
      <c r="CT664" s="148"/>
      <c r="CU664" s="148"/>
      <c r="CV664" s="148"/>
      <c r="CW664" s="148"/>
      <c r="CX664" s="148"/>
      <c r="CY664" s="147"/>
      <c r="CZ664" s="148"/>
      <c r="DA664" s="148"/>
      <c r="DB664" s="148"/>
      <c r="DC664" s="148"/>
      <c r="DD664" s="148"/>
      <c r="DE664" s="148"/>
      <c r="DF664" s="148"/>
      <c r="DG664" s="149"/>
      <c r="DH664" s="147"/>
      <c r="DI664" s="148"/>
      <c r="DJ664" s="148"/>
      <c r="DK664" s="148"/>
      <c r="DL664" s="148"/>
      <c r="DM664" s="148"/>
      <c r="DN664" s="148"/>
      <c r="DO664" s="148"/>
      <c r="DP664" s="148"/>
      <c r="DQ664" s="147"/>
      <c r="DR664" s="148"/>
      <c r="DS664" s="148"/>
      <c r="DT664" s="148"/>
      <c r="DU664" s="148"/>
      <c r="DV664" s="148"/>
      <c r="DW664" s="148"/>
      <c r="DX664" s="148"/>
      <c r="DY664" s="148"/>
      <c r="DZ664" s="148"/>
      <c r="EA664" s="148"/>
      <c r="EB664" s="148"/>
      <c r="EC664" s="148"/>
      <c r="ED664" s="148"/>
      <c r="EE664" s="149"/>
      <c r="EF664" s="147"/>
      <c r="EG664" s="148"/>
      <c r="EH664" s="148"/>
      <c r="EI664" s="147"/>
      <c r="EJ664" s="148"/>
      <c r="EK664" s="149"/>
      <c r="EL664" s="147"/>
      <c r="EM664" s="148"/>
      <c r="EN664" s="148"/>
      <c r="EO664" s="149"/>
      <c r="EP664" s="147"/>
      <c r="EQ664" s="149"/>
      <c r="ER664" s="147"/>
      <c r="ES664" s="149"/>
      <c r="ET664" s="147"/>
      <c r="EU664" s="149"/>
    </row>
    <row r="665" spans="1:151">
      <c r="A665" s="42" t="s">
        <v>323</v>
      </c>
      <c r="B665" s="173" t="s">
        <v>214</v>
      </c>
      <c r="C665" s="173" t="s">
        <v>517</v>
      </c>
      <c r="D665" s="83" t="s">
        <v>65</v>
      </c>
      <c r="F665" s="49" t="s">
        <v>287</v>
      </c>
      <c r="G665" s="60">
        <v>12.331666666666667</v>
      </c>
      <c r="H665" s="49">
        <v>4456</v>
      </c>
      <c r="I665" s="49">
        <v>709</v>
      </c>
      <c r="J665" s="49">
        <v>7.7912087912087911</v>
      </c>
      <c r="K665" s="49">
        <v>2</v>
      </c>
      <c r="L665" s="49">
        <v>3</v>
      </c>
      <c r="M665" s="83">
        <v>0</v>
      </c>
      <c r="N665" s="49">
        <v>0</v>
      </c>
      <c r="O665" s="49">
        <v>0</v>
      </c>
      <c r="P665" s="49">
        <v>0</v>
      </c>
      <c r="Q665" s="58">
        <v>0</v>
      </c>
      <c r="R665" s="42">
        <v>0</v>
      </c>
      <c r="S665" s="83">
        <v>1</v>
      </c>
      <c r="U665" s="83">
        <v>0</v>
      </c>
      <c r="V665" s="49">
        <v>0</v>
      </c>
      <c r="W665" s="49">
        <v>0</v>
      </c>
      <c r="X665" s="58"/>
      <c r="Y665" s="83">
        <v>1</v>
      </c>
      <c r="AE665" s="49">
        <v>10</v>
      </c>
      <c r="AI665" s="49">
        <v>37</v>
      </c>
      <c r="AJ665" s="49">
        <v>0</v>
      </c>
      <c r="AK665" s="83">
        <v>0</v>
      </c>
      <c r="AL665" s="49">
        <v>0</v>
      </c>
      <c r="AM665" s="49">
        <v>0</v>
      </c>
      <c r="AN665" s="49">
        <v>0</v>
      </c>
      <c r="AO665" s="58">
        <v>0</v>
      </c>
      <c r="AP665" s="174">
        <v>0</v>
      </c>
      <c r="AQ665" s="175">
        <v>0</v>
      </c>
      <c r="AR665" s="175">
        <v>0</v>
      </c>
      <c r="AS665" s="175">
        <v>0</v>
      </c>
      <c r="AT665" s="175">
        <v>0</v>
      </c>
      <c r="AU665" s="175">
        <v>0</v>
      </c>
      <c r="AV665" s="175">
        <v>0</v>
      </c>
      <c r="AW665" s="175">
        <v>0</v>
      </c>
      <c r="AX665" s="83">
        <v>0</v>
      </c>
      <c r="AY665" s="49">
        <v>0</v>
      </c>
      <c r="AZ665" s="49">
        <v>0</v>
      </c>
      <c r="BA665" s="49">
        <v>0</v>
      </c>
      <c r="BB665" s="58">
        <v>0</v>
      </c>
      <c r="BC665" s="42">
        <v>65</v>
      </c>
      <c r="BS665" s="58"/>
      <c r="BT665" s="83"/>
      <c r="CE665" s="83"/>
      <c r="CK665" s="58"/>
      <c r="CL665" s="83"/>
      <c r="CO665" s="58"/>
      <c r="CP665" s="83"/>
      <c r="CR665" s="58"/>
      <c r="CS665" s="83"/>
      <c r="CY665" s="83"/>
      <c r="DG665" s="58"/>
      <c r="DH665" s="83"/>
      <c r="DQ665" s="83"/>
      <c r="EE665" s="58"/>
      <c r="EF665" s="83"/>
      <c r="EI665" s="83"/>
      <c r="EK665" s="58"/>
      <c r="EL665" s="83"/>
      <c r="EO665" s="58"/>
      <c r="EP665" s="83"/>
      <c r="EQ665" s="58"/>
      <c r="ER665" s="83"/>
      <c r="ES665" s="58"/>
      <c r="ET665" s="83"/>
      <c r="EU665" s="58"/>
    </row>
    <row r="666" spans="1:151">
      <c r="A666" s="42" t="s">
        <v>323</v>
      </c>
      <c r="B666" s="173" t="s">
        <v>214</v>
      </c>
      <c r="C666" s="173" t="s">
        <v>517</v>
      </c>
      <c r="D666" s="83" t="s">
        <v>215</v>
      </c>
      <c r="F666" s="49" t="s">
        <v>287</v>
      </c>
      <c r="G666" s="60">
        <v>12.331666666666667</v>
      </c>
      <c r="I666" s="49">
        <v>344</v>
      </c>
      <c r="J666" s="49">
        <v>8.3902439024390247</v>
      </c>
      <c r="K666" s="49">
        <v>2</v>
      </c>
      <c r="L666" s="49">
        <v>3</v>
      </c>
      <c r="M666" s="83">
        <v>0</v>
      </c>
      <c r="N666" s="49">
        <v>0</v>
      </c>
      <c r="O666" s="49">
        <v>0</v>
      </c>
      <c r="P666" s="49">
        <v>0</v>
      </c>
      <c r="Q666" s="58">
        <v>0</v>
      </c>
      <c r="R666" s="42">
        <v>0</v>
      </c>
      <c r="S666" s="83">
        <v>0</v>
      </c>
      <c r="U666" s="83">
        <v>0</v>
      </c>
      <c r="V666" s="49">
        <v>0</v>
      </c>
      <c r="W666" s="49">
        <v>0</v>
      </c>
      <c r="X666" s="58"/>
      <c r="Y666" s="83">
        <v>0</v>
      </c>
      <c r="AJ666" s="49">
        <v>0</v>
      </c>
      <c r="AK666" s="83">
        <v>0</v>
      </c>
      <c r="AL666" s="49">
        <v>0</v>
      </c>
      <c r="AM666" s="49">
        <v>1</v>
      </c>
      <c r="AN666" s="49">
        <v>0</v>
      </c>
      <c r="AO666" s="58">
        <v>0</v>
      </c>
      <c r="AP666" s="174">
        <v>0</v>
      </c>
      <c r="AQ666" s="175">
        <v>0</v>
      </c>
      <c r="AR666" s="175">
        <v>0</v>
      </c>
      <c r="AS666" s="175">
        <v>85</v>
      </c>
      <c r="AT666" s="175">
        <v>0</v>
      </c>
      <c r="AU666" s="175">
        <v>0</v>
      </c>
      <c r="AV666" s="175">
        <v>0</v>
      </c>
      <c r="AW666" s="175">
        <v>0</v>
      </c>
      <c r="AX666" s="83">
        <v>0</v>
      </c>
      <c r="AY666" s="49">
        <v>0</v>
      </c>
      <c r="AZ666" s="49">
        <v>0</v>
      </c>
      <c r="BA666" s="49">
        <v>0</v>
      </c>
      <c r="BB666" s="58">
        <v>0</v>
      </c>
      <c r="BC666" s="42">
        <v>51</v>
      </c>
      <c r="BD666" s="49">
        <v>61.36</v>
      </c>
      <c r="BS666" s="58"/>
      <c r="BT666" s="83"/>
      <c r="CE666" s="83"/>
      <c r="CK666" s="58"/>
      <c r="CL666" s="83"/>
      <c r="CO666" s="58"/>
      <c r="CP666" s="83"/>
      <c r="CR666" s="58"/>
      <c r="CS666" s="83"/>
      <c r="CY666" s="83"/>
      <c r="DG666" s="58"/>
      <c r="DH666" s="83"/>
      <c r="DQ666" s="83"/>
      <c r="EE666" s="58"/>
      <c r="EF666" s="83"/>
      <c r="EI666" s="83"/>
      <c r="EK666" s="58"/>
      <c r="EL666" s="83"/>
      <c r="EO666" s="58"/>
      <c r="EP666" s="83"/>
      <c r="EQ666" s="58"/>
      <c r="ER666" s="83"/>
      <c r="ES666" s="58"/>
      <c r="ET666" s="83"/>
      <c r="EU666" s="58"/>
    </row>
    <row r="667" spans="1:151" ht="17" thickBot="1">
      <c r="A667" s="55" t="s">
        <v>323</v>
      </c>
      <c r="B667" s="47" t="s">
        <v>214</v>
      </c>
      <c r="C667" s="47" t="s">
        <v>517</v>
      </c>
      <c r="D667" s="84" t="s">
        <v>216</v>
      </c>
      <c r="E667" s="57"/>
      <c r="F667" s="57" t="s">
        <v>287</v>
      </c>
      <c r="G667" s="74">
        <v>12.331666666666667</v>
      </c>
      <c r="H667" s="57"/>
      <c r="I667" s="57">
        <v>252</v>
      </c>
      <c r="J667" s="57">
        <v>4.2711864406779663</v>
      </c>
      <c r="K667" s="57">
        <v>2</v>
      </c>
      <c r="L667" s="57">
        <v>3</v>
      </c>
      <c r="M667" s="84">
        <v>0</v>
      </c>
      <c r="N667" s="57">
        <v>0</v>
      </c>
      <c r="O667" s="57">
        <v>0</v>
      </c>
      <c r="P667" s="57">
        <v>0</v>
      </c>
      <c r="Q667" s="56">
        <v>0</v>
      </c>
      <c r="R667" s="55">
        <v>0</v>
      </c>
      <c r="S667" s="84">
        <v>0</v>
      </c>
      <c r="T667" s="57"/>
      <c r="U667" s="84">
        <v>0</v>
      </c>
      <c r="V667" s="57">
        <v>0</v>
      </c>
      <c r="W667" s="57">
        <v>0</v>
      </c>
      <c r="X667" s="56"/>
      <c r="Y667" s="84">
        <v>0</v>
      </c>
      <c r="Z667" s="57"/>
      <c r="AA667" s="57"/>
      <c r="AB667" s="57"/>
      <c r="AC667" s="57"/>
      <c r="AD667" s="57"/>
      <c r="AE667" s="57"/>
      <c r="AF667" s="57"/>
      <c r="AG667" s="57"/>
      <c r="AH667" s="57"/>
      <c r="AI667" s="57"/>
      <c r="AJ667" s="57">
        <v>0</v>
      </c>
      <c r="AK667" s="84">
        <v>0</v>
      </c>
      <c r="AL667" s="57">
        <v>0</v>
      </c>
      <c r="AM667" s="57">
        <v>1</v>
      </c>
      <c r="AN667" s="57">
        <v>0</v>
      </c>
      <c r="AO667" s="56">
        <v>0</v>
      </c>
      <c r="AP667" s="178">
        <v>0</v>
      </c>
      <c r="AQ667" s="179">
        <v>0</v>
      </c>
      <c r="AR667" s="179">
        <v>0</v>
      </c>
      <c r="AS667" s="179">
        <v>52</v>
      </c>
      <c r="AT667" s="179">
        <v>0</v>
      </c>
      <c r="AU667" s="179">
        <v>0</v>
      </c>
      <c r="AV667" s="179">
        <v>0</v>
      </c>
      <c r="AW667" s="179">
        <v>0</v>
      </c>
      <c r="AX667" s="84">
        <v>0</v>
      </c>
      <c r="AY667" s="57">
        <v>0</v>
      </c>
      <c r="AZ667" s="57">
        <v>0</v>
      </c>
      <c r="BA667" s="57">
        <v>0</v>
      </c>
      <c r="BB667" s="56">
        <v>0</v>
      </c>
      <c r="BC667" s="55">
        <v>37</v>
      </c>
      <c r="BD667" s="57">
        <v>62.04</v>
      </c>
      <c r="BE667" s="75"/>
      <c r="BF667" s="57"/>
      <c r="BG667" s="57"/>
      <c r="BH667" s="57"/>
      <c r="BI667" s="57"/>
      <c r="BJ667" s="57"/>
      <c r="BK667" s="57"/>
      <c r="BL667" s="57"/>
      <c r="BM667" s="57"/>
      <c r="BN667" s="57"/>
      <c r="BO667" s="57"/>
      <c r="BP667" s="57"/>
      <c r="BQ667" s="57"/>
      <c r="BR667" s="57"/>
      <c r="BS667" s="56"/>
      <c r="BT667" s="84"/>
      <c r="BU667" s="57"/>
      <c r="BV667" s="57"/>
      <c r="BW667" s="57"/>
      <c r="BX667" s="57"/>
      <c r="BY667" s="57"/>
      <c r="BZ667" s="57"/>
      <c r="CA667" s="57"/>
      <c r="CB667" s="57"/>
      <c r="CC667" s="57"/>
      <c r="CD667" s="57"/>
      <c r="CE667" s="84"/>
      <c r="CF667" s="57"/>
      <c r="CG667" s="57"/>
      <c r="CH667" s="57"/>
      <c r="CI667" s="57"/>
      <c r="CJ667" s="57"/>
      <c r="CK667" s="56"/>
      <c r="CL667" s="84"/>
      <c r="CM667" s="57"/>
      <c r="CN667" s="57"/>
      <c r="CO667" s="56"/>
      <c r="CP667" s="84"/>
      <c r="CQ667" s="57"/>
      <c r="CR667" s="56"/>
      <c r="CS667" s="84"/>
      <c r="CT667" s="57"/>
      <c r="CU667" s="57"/>
      <c r="CV667" s="57"/>
      <c r="CW667" s="57"/>
      <c r="CX667" s="57"/>
      <c r="CY667" s="84"/>
      <c r="CZ667" s="57"/>
      <c r="DA667" s="57"/>
      <c r="DB667" s="57"/>
      <c r="DC667" s="57"/>
      <c r="DD667" s="57"/>
      <c r="DE667" s="57"/>
      <c r="DF667" s="57"/>
      <c r="DG667" s="56"/>
      <c r="DH667" s="84"/>
      <c r="DI667" s="57"/>
      <c r="DJ667" s="57"/>
      <c r="DK667" s="57"/>
      <c r="DL667" s="57"/>
      <c r="DM667" s="57"/>
      <c r="DN667" s="57"/>
      <c r="DO667" s="57"/>
      <c r="DP667" s="57"/>
      <c r="DQ667" s="84"/>
      <c r="DR667" s="57"/>
      <c r="DS667" s="57"/>
      <c r="DT667" s="57"/>
      <c r="DU667" s="57"/>
      <c r="DV667" s="57"/>
      <c r="DW667" s="57"/>
      <c r="DX667" s="57"/>
      <c r="DY667" s="57"/>
      <c r="DZ667" s="57"/>
      <c r="EA667" s="57"/>
      <c r="EB667" s="57"/>
      <c r="EC667" s="57"/>
      <c r="ED667" s="57"/>
      <c r="EE667" s="56"/>
      <c r="EF667" s="84"/>
      <c r="EG667" s="57"/>
      <c r="EH667" s="57"/>
      <c r="EI667" s="84"/>
      <c r="EJ667" s="57"/>
      <c r="EK667" s="56"/>
      <c r="EL667" s="84"/>
      <c r="EM667" s="57"/>
      <c r="EN667" s="57"/>
      <c r="EO667" s="56"/>
      <c r="EP667" s="84"/>
      <c r="EQ667" s="56"/>
      <c r="ER667" s="84"/>
      <c r="ES667" s="56"/>
      <c r="ET667" s="84"/>
      <c r="EU667" s="56"/>
    </row>
    <row r="668" spans="1:151">
      <c r="A668" s="83" t="s">
        <v>323</v>
      </c>
      <c r="B668" s="173" t="s">
        <v>217</v>
      </c>
      <c r="C668" s="173" t="s">
        <v>517</v>
      </c>
      <c r="D668" s="83" t="s">
        <v>64</v>
      </c>
      <c r="E668" s="49" t="s">
        <v>0</v>
      </c>
      <c r="F668" s="49" t="s">
        <v>287</v>
      </c>
      <c r="G668" s="60">
        <v>12.331666666666667</v>
      </c>
      <c r="H668" s="49">
        <v>4456</v>
      </c>
      <c r="I668" s="49">
        <v>380</v>
      </c>
      <c r="J668" s="49">
        <v>8.8372093023255811</v>
      </c>
      <c r="K668" s="49">
        <v>2</v>
      </c>
      <c r="L668" s="49">
        <v>3</v>
      </c>
      <c r="M668" s="83">
        <v>1</v>
      </c>
      <c r="N668" s="49">
        <v>0</v>
      </c>
      <c r="O668" s="49">
        <v>0</v>
      </c>
      <c r="P668" s="49">
        <v>0</v>
      </c>
      <c r="Q668" s="58">
        <v>0</v>
      </c>
      <c r="R668" s="42">
        <v>1</v>
      </c>
      <c r="S668" s="83" t="s">
        <v>283</v>
      </c>
      <c r="T668" s="49">
        <v>2</v>
      </c>
      <c r="U668" s="83">
        <v>0</v>
      </c>
      <c r="V668" s="49">
        <v>0</v>
      </c>
      <c r="W668" s="49">
        <v>0</v>
      </c>
      <c r="X668" s="58"/>
      <c r="Y668" s="83">
        <v>2</v>
      </c>
      <c r="AH668" s="49">
        <v>9</v>
      </c>
      <c r="AI668" s="49">
        <v>43</v>
      </c>
      <c r="AJ668" s="49">
        <v>0</v>
      </c>
      <c r="AK668" s="83">
        <v>0</v>
      </c>
      <c r="AL668" s="49">
        <v>0</v>
      </c>
      <c r="AM668" s="49">
        <v>1</v>
      </c>
      <c r="AN668" s="49">
        <v>0</v>
      </c>
      <c r="AO668" s="58">
        <v>0</v>
      </c>
      <c r="AP668" s="174" t="s">
        <v>284</v>
      </c>
      <c r="AQ668" s="175" t="s">
        <v>284</v>
      </c>
      <c r="AR668" s="175" t="s">
        <v>501</v>
      </c>
      <c r="AS668" s="175" t="s">
        <v>501</v>
      </c>
      <c r="AT668" s="175" t="s">
        <v>284</v>
      </c>
      <c r="AU668" s="175" t="s">
        <v>284</v>
      </c>
      <c r="AV668" s="175" t="s">
        <v>284</v>
      </c>
      <c r="AW668" s="175" t="s">
        <v>284</v>
      </c>
      <c r="AX668" s="83">
        <v>0</v>
      </c>
      <c r="AY668" s="49">
        <v>0</v>
      </c>
      <c r="AZ668" s="49">
        <v>0</v>
      </c>
      <c r="BA668" s="49">
        <v>0</v>
      </c>
      <c r="BB668" s="58">
        <v>0</v>
      </c>
      <c r="BC668" s="42">
        <v>67</v>
      </c>
      <c r="BD668" s="49">
        <v>66.25</v>
      </c>
      <c r="BS668" s="58"/>
      <c r="BT668" s="83"/>
      <c r="CE668" s="83"/>
      <c r="CK668" s="58"/>
      <c r="CL668" s="83"/>
      <c r="CO668" s="58"/>
      <c r="CP668" s="83"/>
      <c r="CR668" s="58"/>
      <c r="CS668" s="83"/>
      <c r="CY668" s="83"/>
      <c r="DG668" s="58"/>
      <c r="DH668" s="83"/>
      <c r="DQ668" s="83"/>
      <c r="EE668" s="58"/>
      <c r="EF668" s="83"/>
      <c r="EI668" s="83"/>
      <c r="EK668" s="58"/>
      <c r="EL668" s="83"/>
      <c r="EO668" s="58"/>
      <c r="EP668" s="83"/>
      <c r="EQ668" s="58"/>
      <c r="ER668" s="83"/>
      <c r="ES668" s="58"/>
      <c r="ET668" s="83"/>
      <c r="EU668" s="58"/>
    </row>
    <row r="669" spans="1:151">
      <c r="A669" s="83" t="s">
        <v>323</v>
      </c>
      <c r="B669" s="173" t="s">
        <v>217</v>
      </c>
      <c r="C669" s="173" t="s">
        <v>517</v>
      </c>
      <c r="D669" s="83" t="s">
        <v>64</v>
      </c>
      <c r="E669" s="49" t="s">
        <v>1</v>
      </c>
      <c r="F669" s="49" t="s">
        <v>287</v>
      </c>
      <c r="G669" s="60">
        <v>12.331666666666667</v>
      </c>
      <c r="H669" s="49">
        <v>4456</v>
      </c>
      <c r="I669" s="49">
        <v>323</v>
      </c>
      <c r="J669" s="49">
        <v>5.4745762711864403</v>
      </c>
      <c r="K669" s="49">
        <v>2</v>
      </c>
      <c r="L669" s="49">
        <v>3</v>
      </c>
      <c r="M669" s="83">
        <v>1</v>
      </c>
      <c r="N669" s="49">
        <v>0</v>
      </c>
      <c r="O669" s="49">
        <v>0</v>
      </c>
      <c r="P669" s="49">
        <v>0</v>
      </c>
      <c r="Q669" s="58">
        <v>0</v>
      </c>
      <c r="R669" s="42">
        <v>1</v>
      </c>
      <c r="S669" s="83" t="s">
        <v>283</v>
      </c>
      <c r="T669" s="49">
        <v>2</v>
      </c>
      <c r="U669" s="83">
        <v>0</v>
      </c>
      <c r="V669" s="49">
        <v>0</v>
      </c>
      <c r="W669" s="49">
        <v>0</v>
      </c>
      <c r="X669" s="58"/>
      <c r="Y669" s="83">
        <v>1</v>
      </c>
      <c r="AD669" s="49">
        <v>2</v>
      </c>
      <c r="AE669" s="49">
        <v>38</v>
      </c>
      <c r="AJ669" s="49">
        <v>0</v>
      </c>
      <c r="AK669" s="83">
        <v>0</v>
      </c>
      <c r="AL669" s="49">
        <v>0</v>
      </c>
      <c r="AM669" s="49">
        <v>1</v>
      </c>
      <c r="AN669" s="49">
        <v>0</v>
      </c>
      <c r="AO669" s="58">
        <v>0</v>
      </c>
      <c r="AP669" s="174" t="s">
        <v>284</v>
      </c>
      <c r="AQ669" s="175" t="s">
        <v>284</v>
      </c>
      <c r="AR669" s="175" t="s">
        <v>501</v>
      </c>
      <c r="AS669" s="175" t="s">
        <v>501</v>
      </c>
      <c r="AT669" s="175" t="s">
        <v>284</v>
      </c>
      <c r="AU669" s="175" t="s">
        <v>284</v>
      </c>
      <c r="AV669" s="175" t="s">
        <v>284</v>
      </c>
      <c r="AW669" s="175" t="s">
        <v>284</v>
      </c>
      <c r="AX669" s="83">
        <v>0</v>
      </c>
      <c r="AY669" s="49">
        <v>0</v>
      </c>
      <c r="AZ669" s="49">
        <v>0</v>
      </c>
      <c r="BA669" s="49">
        <v>0</v>
      </c>
      <c r="BB669" s="58">
        <v>0</v>
      </c>
      <c r="BC669" s="42">
        <v>67</v>
      </c>
      <c r="BD669" s="49">
        <v>64.75</v>
      </c>
      <c r="BS669" s="58"/>
      <c r="BT669" s="83"/>
      <c r="CE669" s="83"/>
      <c r="CK669" s="58"/>
      <c r="CL669" s="83"/>
      <c r="CO669" s="58"/>
      <c r="CP669" s="83"/>
      <c r="CR669" s="58"/>
      <c r="CS669" s="83"/>
      <c r="CY669" s="83"/>
      <c r="DG669" s="58"/>
      <c r="DH669" s="83"/>
      <c r="DQ669" s="83"/>
      <c r="EE669" s="58"/>
      <c r="EF669" s="83"/>
      <c r="EI669" s="83"/>
      <c r="EK669" s="58"/>
      <c r="EL669" s="83"/>
      <c r="EO669" s="58"/>
      <c r="EP669" s="83"/>
      <c r="EQ669" s="58"/>
      <c r="ER669" s="83"/>
      <c r="ES669" s="58"/>
      <c r="ET669" s="83"/>
      <c r="EU669" s="58"/>
    </row>
    <row r="670" spans="1:151">
      <c r="A670" s="83" t="s">
        <v>323</v>
      </c>
      <c r="B670" s="173" t="s">
        <v>217</v>
      </c>
      <c r="C670" s="173" t="s">
        <v>517</v>
      </c>
      <c r="D670" s="83" t="s">
        <v>65</v>
      </c>
      <c r="F670" s="49" t="s">
        <v>287</v>
      </c>
      <c r="G670" s="60">
        <v>12.331666666666667</v>
      </c>
      <c r="H670" s="49">
        <v>4456</v>
      </c>
      <c r="I670" s="49">
        <v>666</v>
      </c>
      <c r="J670" s="49">
        <v>2.5914396887159534</v>
      </c>
      <c r="K670" s="49">
        <v>1</v>
      </c>
      <c r="L670" s="49">
        <v>2</v>
      </c>
      <c r="M670" s="83">
        <v>1</v>
      </c>
      <c r="N670" s="49">
        <v>0</v>
      </c>
      <c r="O670" s="49">
        <v>0</v>
      </c>
      <c r="P670" s="49">
        <v>0</v>
      </c>
      <c r="Q670" s="58">
        <v>0</v>
      </c>
      <c r="R670" s="42">
        <v>1</v>
      </c>
      <c r="S670" s="83" t="s">
        <v>283</v>
      </c>
      <c r="T670" s="49">
        <v>4</v>
      </c>
      <c r="U670" s="83">
        <v>0</v>
      </c>
      <c r="V670" s="49">
        <v>0</v>
      </c>
      <c r="W670" s="49">
        <v>0</v>
      </c>
      <c r="X670" s="58"/>
      <c r="Y670" s="83">
        <v>25</v>
      </c>
      <c r="AD670" s="49">
        <v>6</v>
      </c>
      <c r="AE670" s="49">
        <v>64</v>
      </c>
      <c r="AF670" s="49">
        <v>12</v>
      </c>
      <c r="AG670" s="49">
        <v>352</v>
      </c>
      <c r="AH670" s="49">
        <v>8</v>
      </c>
      <c r="AI670" s="49">
        <v>400</v>
      </c>
      <c r="AJ670" s="49">
        <v>0</v>
      </c>
      <c r="AK670" s="83">
        <v>0</v>
      </c>
      <c r="AL670" s="49">
        <v>0</v>
      </c>
      <c r="AM670" s="49">
        <v>1</v>
      </c>
      <c r="AN670" s="49">
        <v>0</v>
      </c>
      <c r="AO670" s="58">
        <v>0</v>
      </c>
      <c r="AP670" s="174" t="s">
        <v>284</v>
      </c>
      <c r="AQ670" s="175" t="s">
        <v>284</v>
      </c>
      <c r="AR670" s="175" t="s">
        <v>501</v>
      </c>
      <c r="AS670" s="175" t="s">
        <v>501</v>
      </c>
      <c r="AT670" s="175" t="s">
        <v>284</v>
      </c>
      <c r="AU670" s="175" t="s">
        <v>284</v>
      </c>
      <c r="AV670" s="175" t="s">
        <v>284</v>
      </c>
      <c r="AW670" s="175" t="s">
        <v>284</v>
      </c>
      <c r="AX670" s="83">
        <v>0</v>
      </c>
      <c r="AY670" s="49">
        <v>0</v>
      </c>
      <c r="AZ670" s="49">
        <v>0</v>
      </c>
      <c r="BA670" s="49">
        <v>0</v>
      </c>
      <c r="BB670" s="58">
        <v>0</v>
      </c>
      <c r="BC670" s="42">
        <v>108</v>
      </c>
      <c r="BD670" s="49">
        <v>65.510000000000005</v>
      </c>
      <c r="BS670" s="58"/>
      <c r="BT670" s="83"/>
      <c r="CE670" s="83"/>
      <c r="CK670" s="58"/>
      <c r="CL670" s="83">
        <v>51.52</v>
      </c>
      <c r="CO670" s="58"/>
      <c r="CP670" s="83"/>
      <c r="CR670" s="58"/>
      <c r="CS670" s="83"/>
      <c r="CY670" s="83"/>
      <c r="DG670" s="58"/>
      <c r="DH670" s="83"/>
      <c r="DQ670" s="83"/>
      <c r="EE670" s="58"/>
      <c r="EF670" s="83"/>
      <c r="EI670" s="83"/>
      <c r="EK670" s="58"/>
      <c r="EL670" s="83"/>
      <c r="EO670" s="58"/>
      <c r="EP670" s="83"/>
      <c r="EQ670" s="58"/>
      <c r="ER670" s="83"/>
      <c r="ES670" s="58"/>
      <c r="ET670" s="83"/>
      <c r="EU670" s="58"/>
    </row>
    <row r="671" spans="1:151">
      <c r="A671" s="83" t="s">
        <v>323</v>
      </c>
      <c r="B671" s="173" t="s">
        <v>217</v>
      </c>
      <c r="C671" s="173" t="s">
        <v>517</v>
      </c>
      <c r="D671" s="83" t="s">
        <v>67</v>
      </c>
      <c r="F671" s="49" t="s">
        <v>287</v>
      </c>
      <c r="G671" s="60">
        <v>12.331666666666667</v>
      </c>
      <c r="H671" s="49">
        <v>4456</v>
      </c>
      <c r="I671" s="49">
        <v>337</v>
      </c>
      <c r="J671" s="49">
        <v>9.9117647058823533</v>
      </c>
      <c r="K671" s="49">
        <v>2</v>
      </c>
      <c r="L671" s="49">
        <v>3</v>
      </c>
      <c r="M671" s="83">
        <v>0</v>
      </c>
      <c r="N671" s="49">
        <v>0</v>
      </c>
      <c r="O671" s="49">
        <v>0</v>
      </c>
      <c r="P671" s="49">
        <v>0</v>
      </c>
      <c r="Q671" s="58">
        <v>1</v>
      </c>
      <c r="R671" s="42">
        <v>1</v>
      </c>
      <c r="S671" s="83" t="s">
        <v>283</v>
      </c>
      <c r="T671" s="49">
        <v>1</v>
      </c>
      <c r="U671" s="83">
        <v>0</v>
      </c>
      <c r="V671" s="49">
        <v>0</v>
      </c>
      <c r="W671" s="49">
        <v>0</v>
      </c>
      <c r="X671" s="58"/>
      <c r="Y671" s="83">
        <v>25</v>
      </c>
      <c r="AD671" s="49">
        <v>2</v>
      </c>
      <c r="AE671" s="49">
        <v>8</v>
      </c>
      <c r="AI671" s="49">
        <v>48</v>
      </c>
      <c r="AJ671" s="49">
        <v>0</v>
      </c>
      <c r="AK671" s="83">
        <v>0</v>
      </c>
      <c r="AL671" s="49">
        <v>0</v>
      </c>
      <c r="AM671" s="49">
        <v>0</v>
      </c>
      <c r="AN671" s="49">
        <v>0</v>
      </c>
      <c r="AO671" s="58">
        <v>0</v>
      </c>
      <c r="AP671" s="174" t="s">
        <v>284</v>
      </c>
      <c r="AQ671" s="175" t="s">
        <v>284</v>
      </c>
      <c r="AR671" s="175" t="s">
        <v>284</v>
      </c>
      <c r="AS671" s="175" t="s">
        <v>284</v>
      </c>
      <c r="AT671" s="175" t="s">
        <v>284</v>
      </c>
      <c r="AU671" s="175" t="s">
        <v>284</v>
      </c>
      <c r="AV671" s="175" t="s">
        <v>284</v>
      </c>
      <c r="AW671" s="175" t="s">
        <v>284</v>
      </c>
      <c r="AX671" s="83">
        <v>0</v>
      </c>
      <c r="AY671" s="49">
        <v>0</v>
      </c>
      <c r="AZ671" s="49">
        <v>0</v>
      </c>
      <c r="BA671" s="49">
        <v>0</v>
      </c>
      <c r="BB671" s="58">
        <v>0</v>
      </c>
      <c r="BC671" s="42">
        <v>39</v>
      </c>
      <c r="BS671" s="58"/>
      <c r="BT671" s="83"/>
      <c r="CE671" s="83"/>
      <c r="CK671" s="58"/>
      <c r="CL671" s="83"/>
      <c r="CO671" s="58"/>
      <c r="CP671" s="83"/>
      <c r="CR671" s="58"/>
      <c r="CS671" s="83"/>
      <c r="CY671" s="83"/>
      <c r="DG671" s="58"/>
      <c r="DH671" s="83"/>
      <c r="DQ671" s="83"/>
      <c r="EE671" s="58"/>
      <c r="EF671" s="83"/>
      <c r="EI671" s="83"/>
      <c r="EK671" s="58"/>
      <c r="EL671" s="83"/>
      <c r="EO671" s="58"/>
      <c r="EP671" s="83"/>
      <c r="EQ671" s="58"/>
      <c r="ER671" s="83"/>
      <c r="ES671" s="58"/>
      <c r="ET671" s="83"/>
      <c r="EU671" s="58"/>
    </row>
    <row r="672" spans="1:151" ht="17" thickBot="1">
      <c r="A672" s="83" t="s">
        <v>323</v>
      </c>
      <c r="B672" s="173" t="s">
        <v>217</v>
      </c>
      <c r="C672" s="173" t="s">
        <v>517</v>
      </c>
      <c r="D672" s="83" t="s">
        <v>68</v>
      </c>
      <c r="F672" s="49" t="s">
        <v>287</v>
      </c>
      <c r="G672" s="60">
        <v>12.331666666666667</v>
      </c>
      <c r="H672" s="49">
        <v>4456</v>
      </c>
      <c r="I672" s="49">
        <v>702</v>
      </c>
      <c r="J672" s="49">
        <v>12.103448275862069</v>
      </c>
      <c r="K672" s="49">
        <v>3</v>
      </c>
      <c r="L672" s="49">
        <v>3</v>
      </c>
      <c r="M672" s="83">
        <v>0</v>
      </c>
      <c r="N672" s="49">
        <v>0</v>
      </c>
      <c r="O672" s="49">
        <v>0</v>
      </c>
      <c r="P672" s="49">
        <v>1</v>
      </c>
      <c r="Q672" s="58">
        <v>0</v>
      </c>
      <c r="R672" s="42">
        <v>1</v>
      </c>
      <c r="S672" s="83" t="s">
        <v>283</v>
      </c>
      <c r="T672" s="49">
        <v>2</v>
      </c>
      <c r="U672" s="83">
        <v>0</v>
      </c>
      <c r="V672" s="49">
        <v>0</v>
      </c>
      <c r="W672" s="49">
        <v>0</v>
      </c>
      <c r="X672" s="58"/>
      <c r="Y672" s="83">
        <v>0</v>
      </c>
      <c r="AJ672" s="49">
        <v>0</v>
      </c>
      <c r="AK672" s="83">
        <v>0</v>
      </c>
      <c r="AL672" s="49">
        <v>0</v>
      </c>
      <c r="AM672" s="49">
        <v>1</v>
      </c>
      <c r="AN672" s="49">
        <v>0</v>
      </c>
      <c r="AO672" s="58">
        <v>0</v>
      </c>
      <c r="AP672" s="174" t="s">
        <v>284</v>
      </c>
      <c r="AQ672" s="175" t="s">
        <v>284</v>
      </c>
      <c r="AR672" s="175" t="s">
        <v>501</v>
      </c>
      <c r="AS672" s="175" t="s">
        <v>501</v>
      </c>
      <c r="AT672" s="175" t="s">
        <v>284</v>
      </c>
      <c r="AU672" s="175" t="s">
        <v>284</v>
      </c>
      <c r="AV672" s="175" t="s">
        <v>284</v>
      </c>
      <c r="AW672" s="175" t="s">
        <v>284</v>
      </c>
      <c r="AX672" s="83">
        <v>0</v>
      </c>
      <c r="AY672" s="49">
        <v>0</v>
      </c>
      <c r="AZ672" s="49">
        <v>0</v>
      </c>
      <c r="BA672" s="49">
        <v>0</v>
      </c>
      <c r="BB672" s="58">
        <v>0</v>
      </c>
      <c r="BC672" s="42">
        <v>63</v>
      </c>
      <c r="BS672" s="58"/>
      <c r="BT672" s="83"/>
      <c r="CE672" s="83"/>
      <c r="CK672" s="58"/>
      <c r="CL672" s="83"/>
      <c r="CO672" s="58"/>
      <c r="CP672" s="83"/>
      <c r="CR672" s="58"/>
      <c r="CS672" s="83"/>
      <c r="CY672" s="83"/>
      <c r="DG672" s="58"/>
      <c r="DH672" s="83"/>
      <c r="DQ672" s="83"/>
      <c r="EE672" s="58"/>
      <c r="EF672" s="83"/>
      <c r="EI672" s="83"/>
      <c r="EK672" s="58"/>
      <c r="EL672" s="83"/>
      <c r="EO672" s="58"/>
      <c r="EP672" s="83"/>
      <c r="EQ672" s="58"/>
      <c r="ER672" s="83"/>
      <c r="ES672" s="58"/>
      <c r="ET672" s="83"/>
      <c r="EU672" s="58"/>
    </row>
    <row r="673" spans="1:151" ht="17" thickBot="1">
      <c r="A673" s="88" t="s">
        <v>323</v>
      </c>
      <c r="B673" s="185" t="s">
        <v>218</v>
      </c>
      <c r="C673" s="185" t="s">
        <v>517</v>
      </c>
      <c r="D673" s="85" t="s">
        <v>64</v>
      </c>
      <c r="E673" s="76"/>
      <c r="F673" s="76" t="s">
        <v>287</v>
      </c>
      <c r="G673" s="80">
        <v>12.331666666666667</v>
      </c>
      <c r="H673" s="76">
        <v>4456</v>
      </c>
      <c r="I673" s="76">
        <v>497</v>
      </c>
      <c r="J673" s="155">
        <v>7.6461538461538465</v>
      </c>
      <c r="K673" s="76">
        <v>2</v>
      </c>
      <c r="L673" s="76">
        <v>3</v>
      </c>
      <c r="M673" s="85">
        <v>0</v>
      </c>
      <c r="N673" s="76">
        <v>0</v>
      </c>
      <c r="O673" s="76">
        <v>0</v>
      </c>
      <c r="P673" s="76">
        <v>0</v>
      </c>
      <c r="Q673" s="86">
        <v>0</v>
      </c>
      <c r="R673" s="88">
        <v>0</v>
      </c>
      <c r="S673" s="85" t="s">
        <v>283</v>
      </c>
      <c r="T673" s="76">
        <v>1</v>
      </c>
      <c r="U673" s="85">
        <v>0</v>
      </c>
      <c r="V673" s="76">
        <v>0</v>
      </c>
      <c r="W673" s="76">
        <v>0</v>
      </c>
      <c r="X673" s="86"/>
      <c r="Y673" s="85">
        <v>40</v>
      </c>
      <c r="Z673" s="76"/>
      <c r="AA673" s="76"/>
      <c r="AB673" s="76"/>
      <c r="AC673" s="76"/>
      <c r="AD673" s="76"/>
      <c r="AE673" s="76"/>
      <c r="AF673" s="76">
        <v>5</v>
      </c>
      <c r="AG673" s="76">
        <v>191</v>
      </c>
      <c r="AH673" s="76"/>
      <c r="AI673" s="76"/>
      <c r="AJ673" s="76">
        <v>0</v>
      </c>
      <c r="AK673" s="85">
        <v>0</v>
      </c>
      <c r="AL673" s="76">
        <v>0</v>
      </c>
      <c r="AM673" s="76">
        <v>0</v>
      </c>
      <c r="AN673" s="76">
        <v>0</v>
      </c>
      <c r="AO673" s="86">
        <v>0</v>
      </c>
      <c r="AP673" s="186" t="s">
        <v>284</v>
      </c>
      <c r="AQ673" s="187" t="s">
        <v>284</v>
      </c>
      <c r="AR673" s="187" t="s">
        <v>284</v>
      </c>
      <c r="AS673" s="187" t="s">
        <v>284</v>
      </c>
      <c r="AT673" s="187" t="s">
        <v>284</v>
      </c>
      <c r="AU673" s="187" t="s">
        <v>284</v>
      </c>
      <c r="AV673" s="187" t="s">
        <v>284</v>
      </c>
      <c r="AW673" s="187" t="s">
        <v>284</v>
      </c>
      <c r="AX673" s="85">
        <v>0</v>
      </c>
      <c r="AY673" s="76">
        <v>0</v>
      </c>
      <c r="AZ673" s="76">
        <v>0</v>
      </c>
      <c r="BA673" s="76">
        <v>0</v>
      </c>
      <c r="BB673" s="86">
        <v>0</v>
      </c>
      <c r="BC673" s="88">
        <v>84</v>
      </c>
      <c r="BD673" s="76"/>
      <c r="BE673" s="155"/>
      <c r="BF673" s="76"/>
      <c r="BG673" s="76"/>
      <c r="BH673" s="76"/>
      <c r="BI673" s="76"/>
      <c r="BJ673" s="76"/>
      <c r="BK673" s="76"/>
      <c r="BL673" s="76"/>
      <c r="BM673" s="76"/>
      <c r="BN673" s="76"/>
      <c r="BO673" s="76"/>
      <c r="BP673" s="76"/>
      <c r="BQ673" s="76"/>
      <c r="BR673" s="76"/>
      <c r="BS673" s="86"/>
      <c r="BT673" s="85"/>
      <c r="BU673" s="76"/>
      <c r="BV673" s="76"/>
      <c r="BW673" s="76"/>
      <c r="BX673" s="76"/>
      <c r="BY673" s="76"/>
      <c r="BZ673" s="76"/>
      <c r="CA673" s="76"/>
      <c r="CB673" s="76"/>
      <c r="CC673" s="76"/>
      <c r="CD673" s="76"/>
      <c r="CE673" s="85"/>
      <c r="CF673" s="76"/>
      <c r="CG673" s="76"/>
      <c r="CH673" s="76"/>
      <c r="CI673" s="76"/>
      <c r="CJ673" s="76"/>
      <c r="CK673" s="86"/>
      <c r="CL673" s="85"/>
      <c r="CM673" s="76"/>
      <c r="CN673" s="76"/>
      <c r="CO673" s="86"/>
      <c r="CP673" s="85"/>
      <c r="CQ673" s="76"/>
      <c r="CR673" s="86"/>
      <c r="CS673" s="85"/>
      <c r="CT673" s="76"/>
      <c r="CU673" s="76"/>
      <c r="CV673" s="76"/>
      <c r="CW673" s="76"/>
      <c r="CX673" s="76"/>
      <c r="CY673" s="85"/>
      <c r="CZ673" s="76"/>
      <c r="DA673" s="76"/>
      <c r="DB673" s="76"/>
      <c r="DC673" s="76"/>
      <c r="DD673" s="76"/>
      <c r="DE673" s="76"/>
      <c r="DF673" s="76"/>
      <c r="DG673" s="86"/>
      <c r="DH673" s="85"/>
      <c r="DI673" s="76"/>
      <c r="DJ673" s="76"/>
      <c r="DK673" s="76"/>
      <c r="DL673" s="76"/>
      <c r="DM673" s="76"/>
      <c r="DN673" s="76"/>
      <c r="DO673" s="76"/>
      <c r="DP673" s="76"/>
      <c r="DQ673" s="85"/>
      <c r="DR673" s="76"/>
      <c r="DS673" s="76"/>
      <c r="DT673" s="76"/>
      <c r="DU673" s="76"/>
      <c r="DV673" s="76"/>
      <c r="DW673" s="76"/>
      <c r="DX673" s="76"/>
      <c r="DY673" s="76"/>
      <c r="DZ673" s="76"/>
      <c r="EA673" s="76"/>
      <c r="EB673" s="76"/>
      <c r="EC673" s="76"/>
      <c r="ED673" s="76"/>
      <c r="EE673" s="86"/>
      <c r="EF673" s="85"/>
      <c r="EG673" s="76"/>
      <c r="EH673" s="76"/>
      <c r="EI673" s="85"/>
      <c r="EJ673" s="76"/>
      <c r="EK673" s="86"/>
      <c r="EL673" s="85"/>
      <c r="EM673" s="76"/>
      <c r="EN673" s="76"/>
      <c r="EO673" s="86"/>
      <c r="EP673" s="85"/>
      <c r="EQ673" s="86"/>
      <c r="ER673" s="85"/>
      <c r="ES673" s="86"/>
      <c r="ET673" s="85"/>
      <c r="EU673" s="86"/>
    </row>
    <row r="674" spans="1:151" ht="17" thickBot="1">
      <c r="A674" s="83" t="s">
        <v>323</v>
      </c>
      <c r="B674" s="185" t="s">
        <v>219</v>
      </c>
      <c r="C674" s="185" t="s">
        <v>518</v>
      </c>
      <c r="D674" s="85" t="s">
        <v>64</v>
      </c>
      <c r="E674" s="76"/>
      <c r="F674" s="76" t="s">
        <v>287</v>
      </c>
      <c r="G674" s="80">
        <v>12.705666666666668</v>
      </c>
      <c r="H674" s="76">
        <v>4764</v>
      </c>
      <c r="I674" s="76">
        <v>704</v>
      </c>
      <c r="J674" s="155">
        <v>2.3624161073825505</v>
      </c>
      <c r="K674" s="76">
        <v>4</v>
      </c>
      <c r="L674" s="76">
        <v>3</v>
      </c>
      <c r="M674" s="85">
        <v>1</v>
      </c>
      <c r="N674" s="76">
        <v>2</v>
      </c>
      <c r="O674" s="76">
        <v>0</v>
      </c>
      <c r="P674" s="76">
        <v>0</v>
      </c>
      <c r="Q674" s="86">
        <v>0</v>
      </c>
      <c r="R674" s="88">
        <v>3</v>
      </c>
      <c r="S674" s="85" t="s">
        <v>283</v>
      </c>
      <c r="T674" s="76">
        <v>3</v>
      </c>
      <c r="U674" s="85">
        <v>1</v>
      </c>
      <c r="V674" s="76">
        <v>3</v>
      </c>
      <c r="W674" s="76">
        <v>2</v>
      </c>
      <c r="X674" s="86"/>
      <c r="Y674" s="85">
        <v>10</v>
      </c>
      <c r="Z674" s="76"/>
      <c r="AA674" s="76"/>
      <c r="AB674" s="76"/>
      <c r="AC674" s="76"/>
      <c r="AD674" s="76">
        <v>3</v>
      </c>
      <c r="AE674" s="76">
        <v>6</v>
      </c>
      <c r="AF674" s="76"/>
      <c r="AG674" s="76"/>
      <c r="AH674" s="76">
        <v>7</v>
      </c>
      <c r="AI674" s="76">
        <v>139</v>
      </c>
      <c r="AJ674" s="76">
        <v>0</v>
      </c>
      <c r="AK674" s="85">
        <v>0</v>
      </c>
      <c r="AL674" s="76">
        <v>0</v>
      </c>
      <c r="AM674" s="76">
        <v>0</v>
      </c>
      <c r="AN674" s="76">
        <v>0</v>
      </c>
      <c r="AO674" s="86">
        <v>0</v>
      </c>
      <c r="AP674" s="186" t="s">
        <v>284</v>
      </c>
      <c r="AQ674" s="187" t="s">
        <v>284</v>
      </c>
      <c r="AR674" s="187" t="s">
        <v>284</v>
      </c>
      <c r="AS674" s="187" t="s">
        <v>284</v>
      </c>
      <c r="AT674" s="187" t="s">
        <v>284</v>
      </c>
      <c r="AU674" s="187" t="s">
        <v>284</v>
      </c>
      <c r="AV674" s="187" t="s">
        <v>284</v>
      </c>
      <c r="AW674" s="187" t="s">
        <v>284</v>
      </c>
      <c r="AX674" s="85">
        <v>0</v>
      </c>
      <c r="AY674" s="76">
        <v>0</v>
      </c>
      <c r="AZ674" s="76">
        <v>0</v>
      </c>
      <c r="BA674" s="76">
        <v>0</v>
      </c>
      <c r="BB674" s="86">
        <v>0</v>
      </c>
      <c r="BC674" s="88">
        <v>120</v>
      </c>
      <c r="BD674" s="76"/>
      <c r="BE674" s="155"/>
      <c r="BF674" s="76"/>
      <c r="BG674" s="76"/>
      <c r="BH674" s="76"/>
      <c r="BI674" s="76"/>
      <c r="BJ674" s="76"/>
      <c r="BK674" s="76"/>
      <c r="BL674" s="76"/>
      <c r="BM674" s="76"/>
      <c r="BN674" s="76"/>
      <c r="BO674" s="76"/>
      <c r="BP674" s="76"/>
      <c r="BQ674" s="76"/>
      <c r="BR674" s="76"/>
      <c r="BS674" s="86"/>
      <c r="BT674" s="85"/>
      <c r="BU674" s="76"/>
      <c r="BV674" s="76"/>
      <c r="BW674" s="76"/>
      <c r="BX674" s="76"/>
      <c r="BY674" s="76"/>
      <c r="BZ674" s="76"/>
      <c r="CA674" s="76"/>
      <c r="CB674" s="76"/>
      <c r="CC674" s="76"/>
      <c r="CD674" s="76"/>
      <c r="CE674" s="85"/>
      <c r="CF674" s="76"/>
      <c r="CG674" s="76"/>
      <c r="CH674" s="76"/>
      <c r="CI674" s="76"/>
      <c r="CJ674" s="76"/>
      <c r="CK674" s="86"/>
      <c r="CL674" s="85"/>
      <c r="CM674" s="76"/>
      <c r="CN674" s="76"/>
      <c r="CO674" s="86"/>
      <c r="CP674" s="85"/>
      <c r="CQ674" s="76"/>
      <c r="CR674" s="86"/>
      <c r="CS674" s="85"/>
      <c r="CT674" s="76"/>
      <c r="CU674" s="76"/>
      <c r="CV674" s="76"/>
      <c r="CW674" s="76"/>
      <c r="CX674" s="76"/>
      <c r="CY674" s="85"/>
      <c r="CZ674" s="76"/>
      <c r="DA674" s="76"/>
      <c r="DB674" s="76"/>
      <c r="DC674" s="76"/>
      <c r="DD674" s="76"/>
      <c r="DE674" s="76"/>
      <c r="DF674" s="76"/>
      <c r="DG674" s="86"/>
      <c r="DH674" s="85"/>
      <c r="DI674" s="76"/>
      <c r="DJ674" s="76"/>
      <c r="DK674" s="76"/>
      <c r="DL674" s="76"/>
      <c r="DM674" s="76"/>
      <c r="DN674" s="76"/>
      <c r="DO674" s="76"/>
      <c r="DP674" s="76"/>
      <c r="DQ674" s="85"/>
      <c r="DR674" s="76"/>
      <c r="DS674" s="76"/>
      <c r="DT674" s="76"/>
      <c r="DU674" s="76"/>
      <c r="DV674" s="76"/>
      <c r="DW674" s="76"/>
      <c r="DX674" s="76"/>
      <c r="DY674" s="76"/>
      <c r="DZ674" s="76"/>
      <c r="EA674" s="76"/>
      <c r="EB674" s="76"/>
      <c r="EC674" s="76"/>
      <c r="ED674" s="76"/>
      <c r="EE674" s="86"/>
      <c r="EF674" s="85"/>
      <c r="EG674" s="76"/>
      <c r="EH674" s="76"/>
      <c r="EI674" s="85"/>
      <c r="EJ674" s="76"/>
      <c r="EK674" s="86"/>
      <c r="EL674" s="85"/>
      <c r="EM674" s="76"/>
      <c r="EN674" s="76"/>
      <c r="EO674" s="86"/>
      <c r="EP674" s="85"/>
      <c r="EQ674" s="86"/>
      <c r="ER674" s="85"/>
      <c r="ES674" s="86"/>
      <c r="ET674" s="85"/>
      <c r="EU674" s="86"/>
    </row>
    <row r="675" spans="1:151">
      <c r="A675" s="87" t="s">
        <v>323</v>
      </c>
      <c r="B675" s="173" t="s">
        <v>220</v>
      </c>
      <c r="C675" s="173" t="s">
        <v>518</v>
      </c>
      <c r="D675" s="83" t="s">
        <v>64</v>
      </c>
      <c r="F675" s="49" t="s">
        <v>286</v>
      </c>
      <c r="G675" s="60">
        <v>12.705666666666668</v>
      </c>
      <c r="H675" s="49">
        <v>4764</v>
      </c>
      <c r="I675" s="49">
        <v>1700</v>
      </c>
      <c r="J675" s="159">
        <v>1.1988716502115655</v>
      </c>
      <c r="K675" s="49">
        <v>1</v>
      </c>
      <c r="L675" s="49">
        <v>2</v>
      </c>
      <c r="M675" s="83">
        <v>1</v>
      </c>
      <c r="N675" s="49">
        <v>3</v>
      </c>
      <c r="O675" s="49">
        <v>0</v>
      </c>
      <c r="P675" s="49">
        <v>1</v>
      </c>
      <c r="Q675" s="58">
        <v>0</v>
      </c>
      <c r="R675" s="42">
        <v>5</v>
      </c>
      <c r="S675" s="83" t="s">
        <v>283</v>
      </c>
      <c r="T675" s="49">
        <v>8</v>
      </c>
      <c r="U675" s="83">
        <v>1</v>
      </c>
      <c r="V675" s="49">
        <v>2</v>
      </c>
      <c r="W675" s="49">
        <v>2</v>
      </c>
      <c r="X675" s="58"/>
      <c r="Y675" s="83">
        <v>5</v>
      </c>
      <c r="Z675" s="49">
        <v>8</v>
      </c>
      <c r="AA675" s="49">
        <v>89</v>
      </c>
      <c r="AD675" s="49">
        <v>13</v>
      </c>
      <c r="AE675" s="49">
        <v>261</v>
      </c>
      <c r="AF675" s="49">
        <v>12</v>
      </c>
      <c r="AG675" s="49">
        <v>327</v>
      </c>
      <c r="AJ675" s="49">
        <v>0</v>
      </c>
      <c r="AK675" s="83">
        <v>0</v>
      </c>
      <c r="AL675" s="49">
        <v>1</v>
      </c>
      <c r="AM675" s="49">
        <v>0</v>
      </c>
      <c r="AN675" s="49">
        <v>0</v>
      </c>
      <c r="AO675" s="58">
        <v>0</v>
      </c>
      <c r="AP675" s="174" t="s">
        <v>501</v>
      </c>
      <c r="AQ675" s="175" t="s">
        <v>501</v>
      </c>
      <c r="AR675" s="175" t="s">
        <v>284</v>
      </c>
      <c r="AS675" s="175" t="s">
        <v>284</v>
      </c>
      <c r="AT675" s="175" t="s">
        <v>284</v>
      </c>
      <c r="AU675" s="175" t="s">
        <v>284</v>
      </c>
      <c r="AV675" s="175" t="s">
        <v>284</v>
      </c>
      <c r="AW675" s="175" t="s">
        <v>284</v>
      </c>
      <c r="AX675" s="83">
        <v>0</v>
      </c>
      <c r="AY675" s="49">
        <v>0</v>
      </c>
      <c r="AZ675" s="49">
        <v>0</v>
      </c>
      <c r="BA675" s="49">
        <v>0</v>
      </c>
      <c r="BB675" s="58">
        <v>0</v>
      </c>
      <c r="BC675" s="42">
        <v>72</v>
      </c>
      <c r="BS675" s="58"/>
      <c r="BT675" s="83">
        <v>74.52</v>
      </c>
      <c r="BU675" s="49">
        <v>73.33</v>
      </c>
      <c r="BV675" s="49">
        <v>72.58</v>
      </c>
      <c r="BW675" s="49">
        <v>73.069999999999993</v>
      </c>
      <c r="BX675" s="49">
        <v>73.25</v>
      </c>
      <c r="CE675" s="83"/>
      <c r="CK675" s="58"/>
      <c r="CL675" s="83">
        <v>61.14</v>
      </c>
      <c r="CO675" s="58"/>
      <c r="CP675" s="83"/>
      <c r="CR675" s="58"/>
      <c r="CS675" s="83"/>
      <c r="CY675" s="83"/>
      <c r="DG675" s="58"/>
      <c r="DH675" s="83">
        <v>68.84</v>
      </c>
      <c r="DI675" s="49">
        <v>66.430000000000007</v>
      </c>
      <c r="DJ675" s="49">
        <v>68.510000000000005</v>
      </c>
      <c r="DK675" s="49">
        <v>68.2</v>
      </c>
      <c r="DQ675" s="83">
        <v>75.72</v>
      </c>
      <c r="DR675" s="49">
        <v>74.400000000000006</v>
      </c>
      <c r="DS675" s="49">
        <v>73.56</v>
      </c>
      <c r="EE675" s="58"/>
      <c r="EF675" s="83"/>
      <c r="EI675" s="83"/>
      <c r="EK675" s="58"/>
      <c r="EL675" s="83"/>
      <c r="EO675" s="58"/>
      <c r="EP675" s="83"/>
      <c r="EQ675" s="58"/>
      <c r="ER675" s="83"/>
      <c r="ES675" s="58"/>
      <c r="ET675" s="83"/>
      <c r="EU675" s="58"/>
    </row>
    <row r="676" spans="1:151">
      <c r="A676" s="42" t="s">
        <v>323</v>
      </c>
      <c r="B676" s="173" t="s">
        <v>220</v>
      </c>
      <c r="C676" s="173" t="s">
        <v>518</v>
      </c>
      <c r="D676" s="83" t="s">
        <v>73</v>
      </c>
      <c r="F676" s="49" t="s">
        <v>287</v>
      </c>
      <c r="G676" s="60">
        <v>12.705666666666668</v>
      </c>
      <c r="H676" s="49">
        <v>4764</v>
      </c>
      <c r="I676" s="49">
        <v>712</v>
      </c>
      <c r="J676" s="49">
        <v>3.8486486486486489</v>
      </c>
      <c r="K676" s="49">
        <v>1</v>
      </c>
      <c r="L676" s="49">
        <v>3</v>
      </c>
      <c r="M676" s="83">
        <v>0</v>
      </c>
      <c r="N676" s="49">
        <v>0</v>
      </c>
      <c r="O676" s="49">
        <v>0</v>
      </c>
      <c r="P676" s="49">
        <v>1</v>
      </c>
      <c r="Q676" s="58">
        <v>0</v>
      </c>
      <c r="R676" s="42">
        <v>1</v>
      </c>
      <c r="S676" s="83" t="s">
        <v>283</v>
      </c>
      <c r="T676" s="49">
        <v>4</v>
      </c>
      <c r="U676" s="83">
        <v>2</v>
      </c>
      <c r="V676" s="49">
        <v>2</v>
      </c>
      <c r="W676" s="49">
        <v>1</v>
      </c>
      <c r="X676" s="58">
        <v>2</v>
      </c>
      <c r="Y676" s="83">
        <v>5</v>
      </c>
      <c r="AF676" s="49">
        <v>2</v>
      </c>
      <c r="AG676" s="49">
        <v>61</v>
      </c>
      <c r="AH676" s="49">
        <v>6</v>
      </c>
      <c r="AI676" s="49">
        <v>83</v>
      </c>
      <c r="AJ676" s="49">
        <v>0</v>
      </c>
      <c r="AK676" s="83">
        <v>0</v>
      </c>
      <c r="AL676" s="49">
        <v>0</v>
      </c>
      <c r="AM676" s="49">
        <v>1</v>
      </c>
      <c r="AN676" s="49">
        <v>0</v>
      </c>
      <c r="AO676" s="58">
        <v>0</v>
      </c>
      <c r="AP676" s="174" t="s">
        <v>284</v>
      </c>
      <c r="AQ676" s="175" t="s">
        <v>284</v>
      </c>
      <c r="AR676" s="175" t="s">
        <v>501</v>
      </c>
      <c r="AS676" s="175" t="s">
        <v>501</v>
      </c>
      <c r="AT676" s="175" t="s">
        <v>284</v>
      </c>
      <c r="AU676" s="175" t="s">
        <v>284</v>
      </c>
      <c r="AV676" s="175" t="s">
        <v>284</v>
      </c>
      <c r="AW676" s="175" t="s">
        <v>284</v>
      </c>
      <c r="AX676" s="83">
        <v>0</v>
      </c>
      <c r="AY676" s="49">
        <v>0</v>
      </c>
      <c r="AZ676" s="49">
        <v>0</v>
      </c>
      <c r="BA676" s="49">
        <v>0</v>
      </c>
      <c r="BB676" s="58">
        <v>0</v>
      </c>
      <c r="BC676" s="42">
        <v>63</v>
      </c>
      <c r="BS676" s="58"/>
      <c r="BT676" s="83"/>
      <c r="CE676" s="83"/>
      <c r="CK676" s="58"/>
      <c r="CL676" s="83"/>
      <c r="CO676" s="58"/>
      <c r="CP676" s="83"/>
      <c r="CR676" s="58"/>
      <c r="CS676" s="83"/>
      <c r="CY676" s="83"/>
      <c r="DG676" s="58"/>
      <c r="DH676" s="83"/>
      <c r="DQ676" s="83"/>
      <c r="EE676" s="58"/>
      <c r="EF676" s="83"/>
      <c r="EI676" s="83"/>
      <c r="EK676" s="58"/>
      <c r="EL676" s="83"/>
      <c r="EO676" s="58"/>
      <c r="EP676" s="83"/>
      <c r="EQ676" s="58"/>
      <c r="ER676" s="83"/>
      <c r="ES676" s="58"/>
      <c r="ET676" s="83"/>
      <c r="EU676" s="58"/>
    </row>
    <row r="677" spans="1:151">
      <c r="A677" s="42" t="s">
        <v>323</v>
      </c>
      <c r="B677" s="173" t="s">
        <v>220</v>
      </c>
      <c r="C677" s="173" t="s">
        <v>518</v>
      </c>
      <c r="D677" s="83" t="s">
        <v>81</v>
      </c>
      <c r="F677" s="49" t="s">
        <v>287</v>
      </c>
      <c r="G677" s="60">
        <v>12.705666666666668</v>
      </c>
      <c r="H677" s="49">
        <v>4764</v>
      </c>
      <c r="I677" s="49">
        <v>389</v>
      </c>
      <c r="J677" s="49">
        <v>1.0628415300546448</v>
      </c>
      <c r="K677" s="49">
        <v>4</v>
      </c>
      <c r="L677" s="49">
        <v>4</v>
      </c>
      <c r="M677" s="83">
        <v>0</v>
      </c>
      <c r="N677" s="49">
        <v>0</v>
      </c>
      <c r="O677" s="49">
        <v>1</v>
      </c>
      <c r="P677" s="49">
        <v>1</v>
      </c>
      <c r="Q677" s="58">
        <v>0</v>
      </c>
      <c r="R677" s="42">
        <v>2</v>
      </c>
      <c r="S677" s="83" t="s">
        <v>283</v>
      </c>
      <c r="T677" s="49">
        <v>3</v>
      </c>
      <c r="U677" s="83">
        <v>3</v>
      </c>
      <c r="V677" s="49">
        <v>4</v>
      </c>
      <c r="W677" s="49">
        <v>3</v>
      </c>
      <c r="X677" s="58">
        <v>3</v>
      </c>
      <c r="Y677" s="83">
        <v>0</v>
      </c>
      <c r="AJ677" s="49">
        <v>0</v>
      </c>
      <c r="AK677" s="83">
        <v>0</v>
      </c>
      <c r="AL677" s="49">
        <v>0</v>
      </c>
      <c r="AM677" s="49">
        <v>0</v>
      </c>
      <c r="AN677" s="49">
        <v>0</v>
      </c>
      <c r="AO677" s="58">
        <v>0</v>
      </c>
      <c r="AP677" s="174" t="s">
        <v>284</v>
      </c>
      <c r="AQ677" s="175" t="s">
        <v>284</v>
      </c>
      <c r="AR677" s="175" t="s">
        <v>284</v>
      </c>
      <c r="AS677" s="175" t="s">
        <v>284</v>
      </c>
      <c r="AT677" s="175" t="s">
        <v>284</v>
      </c>
      <c r="AU677" s="175" t="s">
        <v>284</v>
      </c>
      <c r="AV677" s="175" t="s">
        <v>284</v>
      </c>
      <c r="AW677" s="175" t="s">
        <v>284</v>
      </c>
      <c r="AX677" s="83">
        <v>0</v>
      </c>
      <c r="AY677" s="49">
        <v>0</v>
      </c>
      <c r="AZ677" s="49">
        <v>0</v>
      </c>
      <c r="BA677" s="49">
        <v>0</v>
      </c>
      <c r="BB677" s="58">
        <v>0</v>
      </c>
      <c r="BC677" s="42">
        <v>59</v>
      </c>
      <c r="BD677" s="49">
        <v>73.25</v>
      </c>
      <c r="BS677" s="58"/>
      <c r="BT677" s="83">
        <v>63.36</v>
      </c>
      <c r="BU677" s="49">
        <v>62.36</v>
      </c>
      <c r="CE677" s="83"/>
      <c r="CK677" s="58"/>
      <c r="CL677" s="83"/>
      <c r="CO677" s="58"/>
      <c r="CP677" s="83"/>
      <c r="CR677" s="58"/>
      <c r="CS677" s="83"/>
      <c r="CY677" s="83"/>
      <c r="DG677" s="58"/>
      <c r="DH677" s="83"/>
      <c r="DQ677" s="83"/>
      <c r="EE677" s="58"/>
      <c r="EF677" s="83"/>
      <c r="EI677" s="83"/>
      <c r="EK677" s="58"/>
      <c r="EL677" s="83"/>
      <c r="EO677" s="58"/>
      <c r="EP677" s="83"/>
      <c r="EQ677" s="58"/>
      <c r="ER677" s="83"/>
      <c r="ES677" s="58"/>
      <c r="ET677" s="83"/>
      <c r="EU677" s="58"/>
    </row>
    <row r="678" spans="1:151">
      <c r="A678" s="42" t="s">
        <v>323</v>
      </c>
      <c r="B678" s="173" t="s">
        <v>220</v>
      </c>
      <c r="C678" s="173" t="s">
        <v>518</v>
      </c>
      <c r="D678" s="83" t="s">
        <v>87</v>
      </c>
      <c r="F678" s="49" t="s">
        <v>286</v>
      </c>
      <c r="G678" s="60">
        <v>12.705666666666668</v>
      </c>
      <c r="H678" s="49">
        <v>4764</v>
      </c>
      <c r="I678" s="49">
        <v>1281</v>
      </c>
      <c r="J678" s="49">
        <v>1.491268917345751</v>
      </c>
      <c r="K678" s="49">
        <v>4</v>
      </c>
      <c r="L678" s="49">
        <v>3</v>
      </c>
      <c r="M678" s="83">
        <v>0</v>
      </c>
      <c r="N678" s="49">
        <v>3</v>
      </c>
      <c r="O678" s="49">
        <v>0</v>
      </c>
      <c r="P678" s="49">
        <v>0</v>
      </c>
      <c r="Q678" s="58">
        <v>0</v>
      </c>
      <c r="R678" s="42">
        <v>3</v>
      </c>
      <c r="S678" s="83">
        <v>1</v>
      </c>
      <c r="U678" s="83">
        <v>1</v>
      </c>
      <c r="V678" s="49">
        <v>4</v>
      </c>
      <c r="W678" s="49">
        <v>2</v>
      </c>
      <c r="X678" s="58"/>
      <c r="Y678" s="83">
        <v>1</v>
      </c>
      <c r="AA678" s="49">
        <v>13</v>
      </c>
      <c r="AE678" s="49">
        <v>18</v>
      </c>
      <c r="AI678" s="49">
        <v>18</v>
      </c>
      <c r="AJ678" s="49">
        <v>0</v>
      </c>
      <c r="AK678" s="83">
        <v>0</v>
      </c>
      <c r="AL678" s="49">
        <v>1</v>
      </c>
      <c r="AM678" s="49">
        <v>0</v>
      </c>
      <c r="AN678" s="49">
        <v>0</v>
      </c>
      <c r="AO678" s="58">
        <v>0</v>
      </c>
      <c r="AP678" s="174">
        <v>0</v>
      </c>
      <c r="AQ678" s="175">
        <v>810</v>
      </c>
      <c r="AR678" s="175" t="s">
        <v>284</v>
      </c>
      <c r="AS678" s="175" t="s">
        <v>284</v>
      </c>
      <c r="AT678" s="175" t="s">
        <v>284</v>
      </c>
      <c r="AU678" s="175" t="s">
        <v>284</v>
      </c>
      <c r="AV678" s="175" t="s">
        <v>284</v>
      </c>
      <c r="AW678" s="175" t="s">
        <v>284</v>
      </c>
      <c r="AX678" s="83">
        <v>0</v>
      </c>
      <c r="AY678" s="49">
        <v>0</v>
      </c>
      <c r="AZ678" s="49">
        <v>0</v>
      </c>
      <c r="BA678" s="49">
        <v>0</v>
      </c>
      <c r="BB678" s="58">
        <v>0</v>
      </c>
      <c r="BC678" s="42">
        <v>110</v>
      </c>
      <c r="BS678" s="58"/>
      <c r="BT678" s="83">
        <v>73.349999999999994</v>
      </c>
      <c r="BU678" s="49">
        <v>73.319999999999993</v>
      </c>
      <c r="CE678" s="83"/>
      <c r="CK678" s="58"/>
      <c r="CL678" s="83">
        <v>58.97</v>
      </c>
      <c r="CO678" s="58"/>
      <c r="CP678" s="83"/>
      <c r="CR678" s="58"/>
      <c r="CS678" s="83"/>
      <c r="CY678" s="83"/>
      <c r="DG678" s="58"/>
      <c r="DH678" s="83"/>
      <c r="DQ678" s="83">
        <v>67.8</v>
      </c>
      <c r="EE678" s="58"/>
      <c r="EF678" s="83"/>
      <c r="EI678" s="83"/>
      <c r="EK678" s="58"/>
      <c r="EL678" s="83"/>
      <c r="EO678" s="58"/>
      <c r="EP678" s="83"/>
      <c r="EQ678" s="58"/>
      <c r="ER678" s="83"/>
      <c r="ES678" s="58"/>
      <c r="ET678" s="83"/>
      <c r="EU678" s="58"/>
    </row>
    <row r="679" spans="1:151">
      <c r="A679" s="42" t="s">
        <v>323</v>
      </c>
      <c r="B679" s="173" t="s">
        <v>220</v>
      </c>
      <c r="C679" s="173" t="s">
        <v>518</v>
      </c>
      <c r="D679" s="83" t="s">
        <v>88</v>
      </c>
      <c r="F679" s="49" t="s">
        <v>286</v>
      </c>
      <c r="G679" s="60">
        <v>12.705666666666668</v>
      </c>
      <c r="H679" s="49">
        <v>4764</v>
      </c>
      <c r="I679" s="49">
        <v>2576</v>
      </c>
      <c r="J679" s="49">
        <v>12.208530805687204</v>
      </c>
      <c r="K679" s="49">
        <v>1</v>
      </c>
      <c r="L679" s="49">
        <v>2</v>
      </c>
      <c r="M679" s="83">
        <v>0</v>
      </c>
      <c r="N679" s="49">
        <v>0</v>
      </c>
      <c r="O679" s="49">
        <v>0</v>
      </c>
      <c r="P679" s="49">
        <v>1</v>
      </c>
      <c r="Q679" s="58">
        <v>0</v>
      </c>
      <c r="R679" s="42">
        <v>1</v>
      </c>
      <c r="S679" s="83" t="s">
        <v>283</v>
      </c>
      <c r="T679" s="49">
        <v>2</v>
      </c>
      <c r="U679" s="83">
        <v>2</v>
      </c>
      <c r="V679" s="49">
        <v>3</v>
      </c>
      <c r="W679" s="49">
        <v>1</v>
      </c>
      <c r="X679" s="58">
        <v>2</v>
      </c>
      <c r="Y679" s="83">
        <v>2</v>
      </c>
      <c r="AD679" s="49">
        <v>5</v>
      </c>
      <c r="AE679" s="49">
        <v>43</v>
      </c>
      <c r="AH679" s="49">
        <v>7</v>
      </c>
      <c r="AI679" s="49">
        <v>33</v>
      </c>
      <c r="AJ679" s="49">
        <v>0</v>
      </c>
      <c r="AK679" s="83">
        <v>0</v>
      </c>
      <c r="AL679" s="49">
        <v>0</v>
      </c>
      <c r="AM679" s="49">
        <v>0</v>
      </c>
      <c r="AN679" s="49">
        <v>0</v>
      </c>
      <c r="AO679" s="58">
        <v>0</v>
      </c>
      <c r="AP679" s="174" t="s">
        <v>284</v>
      </c>
      <c r="AQ679" s="175" t="s">
        <v>284</v>
      </c>
      <c r="AR679" s="175" t="s">
        <v>284</v>
      </c>
      <c r="AS679" s="175" t="s">
        <v>284</v>
      </c>
      <c r="AT679" s="175" t="s">
        <v>284</v>
      </c>
      <c r="AU679" s="175" t="s">
        <v>284</v>
      </c>
      <c r="AV679" s="175" t="s">
        <v>284</v>
      </c>
      <c r="AW679" s="175" t="s">
        <v>284</v>
      </c>
      <c r="AX679" s="83">
        <v>0</v>
      </c>
      <c r="AY679" s="49">
        <v>0</v>
      </c>
      <c r="AZ679" s="49">
        <v>0</v>
      </c>
      <c r="BA679" s="49">
        <v>0</v>
      </c>
      <c r="BB679" s="58">
        <v>0</v>
      </c>
      <c r="BC679" s="42">
        <v>57</v>
      </c>
      <c r="BD679" s="49">
        <v>54.36</v>
      </c>
      <c r="BS679" s="58"/>
      <c r="BT679" s="83">
        <v>58.75</v>
      </c>
      <c r="CE679" s="83"/>
      <c r="CK679" s="58"/>
      <c r="CL679" s="83">
        <v>43.97</v>
      </c>
      <c r="CO679" s="58"/>
      <c r="CP679" s="83"/>
      <c r="CR679" s="58"/>
      <c r="CS679" s="83"/>
      <c r="CY679" s="83"/>
      <c r="DG679" s="58"/>
      <c r="DH679" s="83"/>
      <c r="DQ679" s="83"/>
      <c r="EE679" s="58"/>
      <c r="EF679" s="83"/>
      <c r="EI679" s="83"/>
      <c r="EK679" s="58"/>
      <c r="EL679" s="83"/>
      <c r="EO679" s="58"/>
      <c r="EP679" s="83"/>
      <c r="EQ679" s="58"/>
      <c r="ER679" s="83"/>
      <c r="ES679" s="58"/>
      <c r="ET679" s="83"/>
      <c r="EU679" s="58"/>
    </row>
    <row r="680" spans="1:151">
      <c r="A680" s="42" t="s">
        <v>323</v>
      </c>
      <c r="B680" s="173" t="s">
        <v>220</v>
      </c>
      <c r="C680" s="173" t="s">
        <v>518</v>
      </c>
      <c r="D680" s="83" t="s">
        <v>92</v>
      </c>
      <c r="F680" s="49" t="s">
        <v>287</v>
      </c>
      <c r="G680" s="60">
        <v>12.705666666666668</v>
      </c>
      <c r="H680" s="49">
        <v>4764</v>
      </c>
      <c r="I680" s="49">
        <v>812</v>
      </c>
      <c r="J680" s="49">
        <v>6.6016260162601625</v>
      </c>
      <c r="K680" s="49">
        <v>1</v>
      </c>
      <c r="L680" s="49">
        <v>2</v>
      </c>
      <c r="M680" s="83">
        <v>0</v>
      </c>
      <c r="N680" s="49">
        <v>0</v>
      </c>
      <c r="O680" s="49">
        <v>0</v>
      </c>
      <c r="P680" s="49">
        <v>1</v>
      </c>
      <c r="Q680" s="58">
        <v>0</v>
      </c>
      <c r="R680" s="42">
        <v>1</v>
      </c>
      <c r="S680" s="83" t="s">
        <v>283</v>
      </c>
      <c r="T680" s="49">
        <v>3</v>
      </c>
      <c r="U680" s="83">
        <v>1</v>
      </c>
      <c r="V680" s="49">
        <v>3</v>
      </c>
      <c r="W680" s="49">
        <v>1</v>
      </c>
      <c r="X680" s="58">
        <v>2</v>
      </c>
      <c r="Y680" s="83">
        <v>1</v>
      </c>
      <c r="AD680" s="49">
        <v>5</v>
      </c>
      <c r="AE680" s="49">
        <v>67</v>
      </c>
      <c r="AJ680" s="49">
        <v>0</v>
      </c>
      <c r="AK680" s="83">
        <v>0</v>
      </c>
      <c r="AL680" s="49">
        <v>0</v>
      </c>
      <c r="AM680" s="49">
        <v>0</v>
      </c>
      <c r="AN680" s="49">
        <v>0</v>
      </c>
      <c r="AO680" s="58">
        <v>0</v>
      </c>
      <c r="AP680" s="174" t="s">
        <v>284</v>
      </c>
      <c r="AQ680" s="175" t="s">
        <v>284</v>
      </c>
      <c r="AR680" s="175" t="s">
        <v>284</v>
      </c>
      <c r="AS680" s="175" t="s">
        <v>284</v>
      </c>
      <c r="AT680" s="175" t="s">
        <v>284</v>
      </c>
      <c r="AU680" s="175" t="s">
        <v>284</v>
      </c>
      <c r="AV680" s="175" t="s">
        <v>284</v>
      </c>
      <c r="AW680" s="175" t="s">
        <v>284</v>
      </c>
      <c r="AX680" s="83">
        <v>0</v>
      </c>
      <c r="AY680" s="49">
        <v>0</v>
      </c>
      <c r="AZ680" s="49">
        <v>0</v>
      </c>
      <c r="BA680" s="49">
        <v>0</v>
      </c>
      <c r="BB680" s="58">
        <v>0</v>
      </c>
      <c r="BC680" s="42">
        <v>75</v>
      </c>
      <c r="BS680" s="58"/>
      <c r="BT680" s="83"/>
      <c r="CE680" s="83"/>
      <c r="CK680" s="58"/>
      <c r="CL680" s="83"/>
      <c r="CO680" s="58"/>
      <c r="CP680" s="83"/>
      <c r="CR680" s="58"/>
      <c r="CS680" s="83"/>
      <c r="CY680" s="83"/>
      <c r="DG680" s="58"/>
      <c r="DH680" s="83"/>
      <c r="DQ680" s="83"/>
      <c r="EE680" s="58"/>
      <c r="EF680" s="83"/>
      <c r="EI680" s="83"/>
      <c r="EK680" s="58"/>
      <c r="EL680" s="83"/>
      <c r="EO680" s="58"/>
      <c r="EP680" s="83"/>
      <c r="EQ680" s="58"/>
      <c r="ER680" s="83"/>
      <c r="ES680" s="58"/>
      <c r="ET680" s="83"/>
      <c r="EU680" s="58"/>
    </row>
    <row r="681" spans="1:151">
      <c r="A681" s="42" t="s">
        <v>323</v>
      </c>
      <c r="B681" s="173" t="s">
        <v>220</v>
      </c>
      <c r="C681" s="173" t="s">
        <v>518</v>
      </c>
      <c r="D681" s="83" t="s">
        <v>93</v>
      </c>
      <c r="F681" s="49" t="s">
        <v>287</v>
      </c>
      <c r="G681" s="60">
        <v>12.705666666666668</v>
      </c>
      <c r="H681" s="49">
        <v>4764</v>
      </c>
      <c r="I681" s="49">
        <v>674</v>
      </c>
      <c r="J681" s="49">
        <v>2.3161512027491411</v>
      </c>
      <c r="K681" s="49">
        <v>1</v>
      </c>
      <c r="L681" s="49">
        <v>2</v>
      </c>
      <c r="M681" s="83">
        <v>1</v>
      </c>
      <c r="N681" s="49">
        <v>0</v>
      </c>
      <c r="O681" s="49">
        <v>0</v>
      </c>
      <c r="P681" s="49">
        <v>1</v>
      </c>
      <c r="Q681" s="58">
        <v>0</v>
      </c>
      <c r="R681" s="42">
        <v>2</v>
      </c>
      <c r="S681" s="83" t="s">
        <v>283</v>
      </c>
      <c r="T681" s="49">
        <v>5</v>
      </c>
      <c r="U681" s="83">
        <v>1</v>
      </c>
      <c r="V681" s="49">
        <v>2</v>
      </c>
      <c r="W681" s="49">
        <v>1</v>
      </c>
      <c r="X681" s="58">
        <v>2</v>
      </c>
      <c r="Y681" s="83">
        <v>2</v>
      </c>
      <c r="AH681" s="49">
        <v>31</v>
      </c>
      <c r="AI681" s="49">
        <v>107</v>
      </c>
      <c r="AJ681" s="49">
        <v>0</v>
      </c>
      <c r="AK681" s="83">
        <v>0</v>
      </c>
      <c r="AL681" s="49">
        <v>0</v>
      </c>
      <c r="AM681" s="49">
        <v>1</v>
      </c>
      <c r="AN681" s="49">
        <v>0</v>
      </c>
      <c r="AO681" s="58">
        <v>0</v>
      </c>
      <c r="AP681" s="174" t="s">
        <v>284</v>
      </c>
      <c r="AQ681" s="175" t="s">
        <v>284</v>
      </c>
      <c r="AR681" s="175" t="s">
        <v>501</v>
      </c>
      <c r="AS681" s="175" t="s">
        <v>501</v>
      </c>
      <c r="AT681" s="175" t="s">
        <v>284</v>
      </c>
      <c r="AU681" s="175" t="s">
        <v>284</v>
      </c>
      <c r="AV681" s="175" t="s">
        <v>284</v>
      </c>
      <c r="AW681" s="175" t="s">
        <v>284</v>
      </c>
      <c r="AX681" s="83">
        <v>0</v>
      </c>
      <c r="AY681" s="49">
        <v>0</v>
      </c>
      <c r="AZ681" s="49">
        <v>0</v>
      </c>
      <c r="BA681" s="49">
        <v>0</v>
      </c>
      <c r="BB681" s="58">
        <v>0</v>
      </c>
      <c r="BC681" s="42">
        <v>104</v>
      </c>
      <c r="BS681" s="58"/>
      <c r="BT681" s="83"/>
      <c r="CE681" s="83"/>
      <c r="CK681" s="58"/>
      <c r="CL681" s="83"/>
      <c r="CO681" s="58"/>
      <c r="CP681" s="83"/>
      <c r="CR681" s="58"/>
      <c r="CS681" s="83"/>
      <c r="CY681" s="83"/>
      <c r="DG681" s="58"/>
      <c r="DH681" s="83"/>
      <c r="DQ681" s="83"/>
      <c r="EE681" s="58"/>
      <c r="EF681" s="83"/>
      <c r="EI681" s="83"/>
      <c r="EK681" s="58"/>
      <c r="EL681" s="83"/>
      <c r="EO681" s="58"/>
      <c r="EP681" s="83"/>
      <c r="EQ681" s="58"/>
      <c r="ER681" s="83"/>
      <c r="ES681" s="58"/>
      <c r="ET681" s="83"/>
      <c r="EU681" s="58"/>
    </row>
    <row r="682" spans="1:151">
      <c r="A682" s="42" t="s">
        <v>323</v>
      </c>
      <c r="B682" s="173" t="s">
        <v>220</v>
      </c>
      <c r="C682" s="173" t="s">
        <v>518</v>
      </c>
      <c r="D682" s="83" t="s">
        <v>94</v>
      </c>
      <c r="F682" s="49" t="s">
        <v>286</v>
      </c>
      <c r="G682" s="60">
        <v>12.705666666666668</v>
      </c>
      <c r="H682" s="49">
        <v>4764</v>
      </c>
      <c r="I682" s="49">
        <v>1129</v>
      </c>
      <c r="J682" s="49">
        <v>2.3520833333333333</v>
      </c>
      <c r="K682" s="49">
        <v>4</v>
      </c>
      <c r="L682" s="49">
        <v>3</v>
      </c>
      <c r="M682" s="83">
        <v>0</v>
      </c>
      <c r="N682" s="49">
        <v>2</v>
      </c>
      <c r="O682" s="49">
        <v>0</v>
      </c>
      <c r="P682" s="49">
        <v>0</v>
      </c>
      <c r="Q682" s="58">
        <v>0</v>
      </c>
      <c r="R682" s="42">
        <v>2</v>
      </c>
      <c r="S682" s="83" t="s">
        <v>283</v>
      </c>
      <c r="T682" s="49">
        <v>5</v>
      </c>
      <c r="U682" s="83">
        <v>1</v>
      </c>
      <c r="V682" s="49">
        <v>4</v>
      </c>
      <c r="W682" s="49">
        <v>2</v>
      </c>
      <c r="X682" s="58"/>
      <c r="Y682" s="83">
        <v>15</v>
      </c>
      <c r="AD682" s="49">
        <v>18</v>
      </c>
      <c r="AE682" s="49">
        <v>124</v>
      </c>
      <c r="AG682" s="49">
        <v>492</v>
      </c>
      <c r="AH682" s="49">
        <v>20</v>
      </c>
      <c r="AI682" s="49">
        <v>46</v>
      </c>
      <c r="AJ682" s="49">
        <v>0</v>
      </c>
      <c r="AK682" s="83">
        <v>0</v>
      </c>
      <c r="AL682" s="49">
        <v>0</v>
      </c>
      <c r="AM682" s="49">
        <v>1</v>
      </c>
      <c r="AN682" s="49">
        <v>0</v>
      </c>
      <c r="AO682" s="58">
        <v>0</v>
      </c>
      <c r="AP682" s="174" t="s">
        <v>284</v>
      </c>
      <c r="AQ682" s="175" t="s">
        <v>284</v>
      </c>
      <c r="AR682" s="175" t="s">
        <v>501</v>
      </c>
      <c r="AS682" s="175" t="s">
        <v>501</v>
      </c>
      <c r="AT682" s="175" t="s">
        <v>284</v>
      </c>
      <c r="AU682" s="175" t="s">
        <v>284</v>
      </c>
      <c r="AV682" s="175" t="s">
        <v>284</v>
      </c>
      <c r="AW682" s="175" t="s">
        <v>284</v>
      </c>
      <c r="AX682" s="83">
        <v>0</v>
      </c>
      <c r="AY682" s="49">
        <v>0</v>
      </c>
      <c r="AZ682" s="49">
        <v>0</v>
      </c>
      <c r="BA682" s="49">
        <v>0</v>
      </c>
      <c r="BB682" s="58">
        <v>0</v>
      </c>
      <c r="BC682" s="42">
        <v>97</v>
      </c>
      <c r="BD682" s="49">
        <v>70.2</v>
      </c>
      <c r="BS682" s="58"/>
      <c r="BT682" s="83">
        <v>72.790000000000006</v>
      </c>
      <c r="BU682" s="49">
        <v>73.489999999999995</v>
      </c>
      <c r="CE682" s="83">
        <v>60.8</v>
      </c>
      <c r="CK682" s="58"/>
      <c r="CL682" s="83"/>
      <c r="CO682" s="58"/>
      <c r="CP682" s="83"/>
      <c r="CR682" s="58"/>
      <c r="CS682" s="83"/>
      <c r="CY682" s="83"/>
      <c r="DG682" s="58"/>
      <c r="DH682" s="83"/>
      <c r="DQ682" s="83"/>
      <c r="EE682" s="58"/>
      <c r="EF682" s="83"/>
      <c r="EI682" s="83"/>
      <c r="EK682" s="58"/>
      <c r="EL682" s="83"/>
      <c r="EO682" s="58"/>
      <c r="EP682" s="83"/>
      <c r="EQ682" s="58"/>
      <c r="ER682" s="83"/>
      <c r="ES682" s="58"/>
      <c r="ET682" s="83"/>
      <c r="EU682" s="58"/>
    </row>
    <row r="683" spans="1:151">
      <c r="A683" s="42" t="s">
        <v>323</v>
      </c>
      <c r="B683" s="173" t="s">
        <v>220</v>
      </c>
      <c r="C683" s="173" t="s">
        <v>518</v>
      </c>
      <c r="D683" s="83" t="s">
        <v>95</v>
      </c>
      <c r="F683" s="49" t="s">
        <v>287</v>
      </c>
      <c r="G683" s="60">
        <v>12.705666666666668</v>
      </c>
      <c r="H683" s="49">
        <v>4764</v>
      </c>
      <c r="I683" s="49">
        <v>430</v>
      </c>
      <c r="J683" s="49">
        <v>1.9634703196347032</v>
      </c>
      <c r="K683" s="49">
        <v>4</v>
      </c>
      <c r="L683" s="49">
        <v>4</v>
      </c>
      <c r="M683" s="83">
        <v>0</v>
      </c>
      <c r="N683" s="49">
        <v>0</v>
      </c>
      <c r="O683" s="49">
        <v>1</v>
      </c>
      <c r="P683" s="49">
        <v>1</v>
      </c>
      <c r="Q683" s="58">
        <v>0</v>
      </c>
      <c r="R683" s="42">
        <v>2</v>
      </c>
      <c r="S683" s="83" t="s">
        <v>283</v>
      </c>
      <c r="T683" s="49">
        <v>6</v>
      </c>
      <c r="U683" s="83">
        <v>1</v>
      </c>
      <c r="V683" s="49">
        <v>4</v>
      </c>
      <c r="W683" s="49">
        <v>1</v>
      </c>
      <c r="X683" s="58">
        <v>2</v>
      </c>
      <c r="Y683" s="83">
        <v>1</v>
      </c>
      <c r="Z683" s="49">
        <v>2</v>
      </c>
      <c r="AA683" s="49">
        <v>5</v>
      </c>
      <c r="AE683" s="49">
        <v>10</v>
      </c>
      <c r="AJ683" s="49">
        <v>0</v>
      </c>
      <c r="AK683" s="83">
        <v>0</v>
      </c>
      <c r="AL683" s="49">
        <v>1</v>
      </c>
      <c r="AM683" s="49">
        <v>0</v>
      </c>
      <c r="AN683" s="49">
        <v>0</v>
      </c>
      <c r="AO683" s="58">
        <v>0</v>
      </c>
      <c r="AP683" s="174">
        <v>0</v>
      </c>
      <c r="AQ683" s="175">
        <v>136</v>
      </c>
      <c r="AR683" s="175" t="s">
        <v>284</v>
      </c>
      <c r="AS683" s="175" t="s">
        <v>284</v>
      </c>
      <c r="AT683" s="175" t="s">
        <v>284</v>
      </c>
      <c r="AU683" s="175" t="s">
        <v>284</v>
      </c>
      <c r="AV683" s="175" t="s">
        <v>284</v>
      </c>
      <c r="AW683" s="175" t="s">
        <v>284</v>
      </c>
      <c r="AX683" s="83">
        <v>0</v>
      </c>
      <c r="AY683" s="49">
        <v>0</v>
      </c>
      <c r="AZ683" s="49">
        <v>0</v>
      </c>
      <c r="BA683" s="49">
        <v>0</v>
      </c>
      <c r="BB683" s="58">
        <v>0</v>
      </c>
      <c r="BC683" s="42">
        <v>67</v>
      </c>
      <c r="BS683" s="58"/>
      <c r="BT683" s="83"/>
      <c r="CE683" s="83"/>
      <c r="CK683" s="58"/>
      <c r="CL683" s="83"/>
      <c r="CO683" s="58"/>
      <c r="CP683" s="83"/>
      <c r="CR683" s="58"/>
      <c r="CS683" s="83"/>
      <c r="CY683" s="83"/>
      <c r="DG683" s="58"/>
      <c r="DH683" s="83"/>
      <c r="DQ683" s="83"/>
      <c r="EE683" s="58"/>
      <c r="EF683" s="83"/>
      <c r="EI683" s="83"/>
      <c r="EK683" s="58"/>
      <c r="EL683" s="83"/>
      <c r="EO683" s="58"/>
      <c r="EP683" s="83"/>
      <c r="EQ683" s="58"/>
      <c r="ER683" s="83"/>
      <c r="ES683" s="58"/>
      <c r="ET683" s="83"/>
      <c r="EU683" s="58"/>
    </row>
    <row r="684" spans="1:151">
      <c r="A684" s="42" t="s">
        <v>323</v>
      </c>
      <c r="B684" s="173" t="s">
        <v>220</v>
      </c>
      <c r="C684" s="173" t="s">
        <v>518</v>
      </c>
      <c r="D684" s="83" t="s">
        <v>65</v>
      </c>
      <c r="F684" s="49" t="s">
        <v>287</v>
      </c>
      <c r="G684" s="60">
        <v>12.705666666666668</v>
      </c>
      <c r="H684" s="49">
        <v>4764</v>
      </c>
      <c r="I684" s="49">
        <v>823</v>
      </c>
      <c r="J684" s="49">
        <v>4.034313725490196</v>
      </c>
      <c r="K684" s="49">
        <v>4</v>
      </c>
      <c r="L684" s="49">
        <v>5</v>
      </c>
      <c r="M684" s="83">
        <v>0</v>
      </c>
      <c r="N684" s="49">
        <v>0</v>
      </c>
      <c r="O684" s="49">
        <v>0</v>
      </c>
      <c r="P684" s="49">
        <v>0</v>
      </c>
      <c r="Q684" s="58">
        <v>0</v>
      </c>
      <c r="R684" s="42">
        <v>0</v>
      </c>
      <c r="S684" s="83">
        <v>1</v>
      </c>
      <c r="T684" s="49">
        <v>6</v>
      </c>
      <c r="U684" s="83">
        <v>1</v>
      </c>
      <c r="V684" s="49">
        <v>5</v>
      </c>
      <c r="W684" s="49">
        <v>2</v>
      </c>
      <c r="X684" s="58"/>
      <c r="Y684" s="83">
        <v>0</v>
      </c>
      <c r="AJ684" s="49">
        <v>0</v>
      </c>
      <c r="AK684" s="83">
        <v>0</v>
      </c>
      <c r="AL684" s="49">
        <v>0</v>
      </c>
      <c r="AM684" s="49">
        <v>0</v>
      </c>
      <c r="AN684" s="49">
        <v>0</v>
      </c>
      <c r="AO684" s="58">
        <v>0</v>
      </c>
      <c r="AP684" s="174" t="s">
        <v>284</v>
      </c>
      <c r="AQ684" s="175" t="s">
        <v>284</v>
      </c>
      <c r="AR684" s="175" t="s">
        <v>284</v>
      </c>
      <c r="AS684" s="175" t="s">
        <v>284</v>
      </c>
      <c r="AT684" s="175" t="s">
        <v>284</v>
      </c>
      <c r="AU684" s="175" t="s">
        <v>284</v>
      </c>
      <c r="AV684" s="175" t="s">
        <v>284</v>
      </c>
      <c r="AW684" s="175" t="s">
        <v>284</v>
      </c>
      <c r="AX684" s="83">
        <v>0</v>
      </c>
      <c r="AY684" s="49">
        <v>0</v>
      </c>
      <c r="AZ684" s="49">
        <v>0</v>
      </c>
      <c r="BA684" s="49">
        <v>0</v>
      </c>
      <c r="BB684" s="58">
        <v>0</v>
      </c>
      <c r="BC684" s="42">
        <v>72</v>
      </c>
      <c r="BD684" s="49">
        <v>68.19</v>
      </c>
      <c r="BS684" s="58"/>
      <c r="BT684" s="83">
        <v>67.64</v>
      </c>
      <c r="CE684" s="83"/>
      <c r="CK684" s="58"/>
      <c r="CL684" s="83">
        <v>45.06</v>
      </c>
      <c r="CO684" s="58"/>
      <c r="CP684" s="83"/>
      <c r="CR684" s="58"/>
      <c r="CS684" s="83"/>
      <c r="CY684" s="83"/>
      <c r="DG684" s="58"/>
      <c r="DH684" s="83"/>
      <c r="DQ684" s="83"/>
      <c r="EE684" s="58"/>
      <c r="EF684" s="83"/>
      <c r="EI684" s="83"/>
      <c r="EK684" s="58"/>
      <c r="EL684" s="83"/>
      <c r="EO684" s="58"/>
      <c r="EP684" s="83"/>
      <c r="EQ684" s="58"/>
      <c r="ER684" s="83"/>
      <c r="ES684" s="58"/>
      <c r="ET684" s="83"/>
      <c r="EU684" s="58"/>
    </row>
    <row r="685" spans="1:151">
      <c r="A685" s="42" t="s">
        <v>323</v>
      </c>
      <c r="B685" s="173" t="s">
        <v>220</v>
      </c>
      <c r="C685" s="173" t="s">
        <v>518</v>
      </c>
      <c r="D685" s="83" t="s">
        <v>96</v>
      </c>
      <c r="F685" s="49" t="s">
        <v>287</v>
      </c>
      <c r="G685" s="60">
        <v>12.705666666666668</v>
      </c>
      <c r="H685" s="49">
        <v>4764</v>
      </c>
      <c r="I685" s="49">
        <v>241</v>
      </c>
      <c r="J685" s="49">
        <v>2.0423728813559321</v>
      </c>
      <c r="K685" s="49">
        <v>1</v>
      </c>
      <c r="L685" s="49">
        <v>2</v>
      </c>
      <c r="M685" s="83">
        <v>1</v>
      </c>
      <c r="N685" s="49">
        <v>0</v>
      </c>
      <c r="O685" s="49">
        <v>0</v>
      </c>
      <c r="P685" s="49">
        <v>1</v>
      </c>
      <c r="Q685" s="58">
        <v>0</v>
      </c>
      <c r="R685" s="42">
        <v>2</v>
      </c>
      <c r="S685" s="83" t="s">
        <v>283</v>
      </c>
      <c r="T685" s="49">
        <v>6</v>
      </c>
      <c r="U685" s="83">
        <v>0</v>
      </c>
      <c r="V685" s="49">
        <v>0</v>
      </c>
      <c r="W685" s="49">
        <v>0</v>
      </c>
      <c r="X685" s="58"/>
      <c r="Y685" s="83">
        <v>3</v>
      </c>
      <c r="AF685" s="49">
        <v>6</v>
      </c>
      <c r="AG685" s="49">
        <v>31</v>
      </c>
      <c r="AH685" s="49">
        <v>4</v>
      </c>
      <c r="AI685" s="49">
        <v>25</v>
      </c>
      <c r="AJ685" s="49">
        <v>0</v>
      </c>
      <c r="AK685" s="83">
        <v>0</v>
      </c>
      <c r="AL685" s="49">
        <v>0</v>
      </c>
      <c r="AM685" s="49">
        <v>0</v>
      </c>
      <c r="AN685" s="49">
        <v>0</v>
      </c>
      <c r="AO685" s="58">
        <v>0</v>
      </c>
      <c r="AP685" s="174" t="s">
        <v>284</v>
      </c>
      <c r="AQ685" s="175" t="s">
        <v>284</v>
      </c>
      <c r="AR685" s="175" t="s">
        <v>284</v>
      </c>
      <c r="AS685" s="175" t="s">
        <v>284</v>
      </c>
      <c r="AT685" s="175" t="s">
        <v>284</v>
      </c>
      <c r="AU685" s="175" t="s">
        <v>284</v>
      </c>
      <c r="AV685" s="175" t="s">
        <v>284</v>
      </c>
      <c r="AW685" s="175" t="s">
        <v>284</v>
      </c>
      <c r="AX685" s="83">
        <v>0</v>
      </c>
      <c r="AY685" s="49">
        <v>0</v>
      </c>
      <c r="AZ685" s="49">
        <v>0</v>
      </c>
      <c r="BA685" s="49">
        <v>0</v>
      </c>
      <c r="BB685" s="58">
        <v>0</v>
      </c>
      <c r="BC685" s="42"/>
      <c r="BS685" s="58"/>
      <c r="BT685" s="83"/>
      <c r="CE685" s="83"/>
      <c r="CK685" s="58"/>
      <c r="CL685" s="83"/>
      <c r="CO685" s="58"/>
      <c r="CP685" s="83"/>
      <c r="CR685" s="58"/>
      <c r="CS685" s="83"/>
      <c r="CY685" s="83"/>
      <c r="DG685" s="58"/>
      <c r="DH685" s="83"/>
      <c r="DQ685" s="83"/>
      <c r="EE685" s="58"/>
      <c r="EF685" s="83"/>
      <c r="EI685" s="83"/>
      <c r="EK685" s="58"/>
      <c r="EL685" s="83"/>
      <c r="EO685" s="58"/>
      <c r="EP685" s="83"/>
      <c r="EQ685" s="58"/>
      <c r="ER685" s="83"/>
      <c r="ES685" s="58"/>
      <c r="ET685" s="83"/>
      <c r="EU685" s="58"/>
    </row>
    <row r="686" spans="1:151">
      <c r="A686" s="42" t="s">
        <v>323</v>
      </c>
      <c r="B686" s="173" t="s">
        <v>220</v>
      </c>
      <c r="C686" s="173" t="s">
        <v>518</v>
      </c>
      <c r="D686" s="83" t="s">
        <v>97</v>
      </c>
      <c r="F686" s="49" t="s">
        <v>287</v>
      </c>
      <c r="G686" s="60">
        <v>12.705666666666668</v>
      </c>
      <c r="H686" s="49">
        <v>4764</v>
      </c>
      <c r="I686" s="49">
        <v>475</v>
      </c>
      <c r="J686" s="49">
        <v>1.85546875</v>
      </c>
      <c r="K686" s="49">
        <v>4</v>
      </c>
      <c r="L686" s="49">
        <v>3</v>
      </c>
      <c r="M686" s="83">
        <v>1</v>
      </c>
      <c r="N686" s="49">
        <v>2</v>
      </c>
      <c r="O686" s="49">
        <v>0</v>
      </c>
      <c r="P686" s="49">
        <v>0</v>
      </c>
      <c r="Q686" s="58">
        <v>0</v>
      </c>
      <c r="R686" s="42">
        <v>3</v>
      </c>
      <c r="S686" s="83" t="s">
        <v>283</v>
      </c>
      <c r="T686" s="49">
        <v>6</v>
      </c>
      <c r="U686" s="83">
        <v>1</v>
      </c>
      <c r="V686" s="49">
        <v>3</v>
      </c>
      <c r="W686" s="49">
        <v>2</v>
      </c>
      <c r="X686" s="58"/>
      <c r="Y686" s="83">
        <v>0</v>
      </c>
      <c r="AJ686" s="49">
        <v>0</v>
      </c>
      <c r="AK686" s="83">
        <v>0</v>
      </c>
      <c r="AL686" s="49">
        <v>0</v>
      </c>
      <c r="AM686" s="49">
        <v>0</v>
      </c>
      <c r="AN686" s="49">
        <v>0</v>
      </c>
      <c r="AO686" s="58">
        <v>0</v>
      </c>
      <c r="AP686" s="174" t="s">
        <v>284</v>
      </c>
      <c r="AQ686" s="175" t="s">
        <v>284</v>
      </c>
      <c r="AR686" s="175" t="s">
        <v>284</v>
      </c>
      <c r="AS686" s="175" t="s">
        <v>284</v>
      </c>
      <c r="AT686" s="175" t="s">
        <v>284</v>
      </c>
      <c r="AU686" s="175" t="s">
        <v>284</v>
      </c>
      <c r="AV686" s="175" t="s">
        <v>284</v>
      </c>
      <c r="AW686" s="175" t="s">
        <v>284</v>
      </c>
      <c r="AX686" s="83">
        <v>0</v>
      </c>
      <c r="AY686" s="49">
        <v>0</v>
      </c>
      <c r="AZ686" s="49">
        <v>0</v>
      </c>
      <c r="BA686" s="49">
        <v>0</v>
      </c>
      <c r="BB686" s="58">
        <v>0</v>
      </c>
      <c r="BC686" s="42">
        <v>83</v>
      </c>
      <c r="BD686" s="49">
        <v>69.92</v>
      </c>
      <c r="BE686" s="159">
        <v>73.33</v>
      </c>
      <c r="BS686" s="58"/>
      <c r="BT686" s="83">
        <v>72.400000000000006</v>
      </c>
      <c r="BU686" s="49">
        <v>74.27</v>
      </c>
      <c r="BW686" s="49">
        <v>69.87</v>
      </c>
      <c r="CE686" s="83">
        <v>58.86</v>
      </c>
      <c r="CK686" s="58"/>
      <c r="CL686" s="83"/>
      <c r="CO686" s="58"/>
      <c r="CP686" s="83"/>
      <c r="CR686" s="58"/>
      <c r="CS686" s="83"/>
      <c r="CY686" s="83"/>
      <c r="DG686" s="58"/>
      <c r="DH686" s="83"/>
      <c r="DQ686" s="83"/>
      <c r="EE686" s="58"/>
      <c r="EF686" s="83"/>
      <c r="EI686" s="83"/>
      <c r="EK686" s="58"/>
      <c r="EL686" s="83"/>
      <c r="EO686" s="58"/>
      <c r="EP686" s="83"/>
      <c r="EQ686" s="58"/>
      <c r="ER686" s="83"/>
      <c r="ES686" s="58"/>
      <c r="ET686" s="83"/>
      <c r="EU686" s="58"/>
    </row>
    <row r="687" spans="1:151">
      <c r="A687" s="42" t="s">
        <v>323</v>
      </c>
      <c r="B687" s="173" t="s">
        <v>220</v>
      </c>
      <c r="C687" s="173" t="s">
        <v>518</v>
      </c>
      <c r="D687" s="83" t="s">
        <v>98</v>
      </c>
      <c r="F687" s="49" t="s">
        <v>287</v>
      </c>
      <c r="G687" s="60">
        <v>12.705666666666668</v>
      </c>
      <c r="H687" s="49">
        <v>4764</v>
      </c>
      <c r="I687" s="49">
        <v>716</v>
      </c>
      <c r="J687" s="49">
        <v>2.6036363636363635</v>
      </c>
      <c r="K687" s="49">
        <v>1</v>
      </c>
      <c r="L687" s="49">
        <v>2</v>
      </c>
      <c r="M687" s="83">
        <v>1</v>
      </c>
      <c r="N687" s="49">
        <v>0</v>
      </c>
      <c r="O687" s="49">
        <v>0</v>
      </c>
      <c r="P687" s="49">
        <v>1</v>
      </c>
      <c r="Q687" s="58">
        <v>1</v>
      </c>
      <c r="R687" s="42">
        <v>3</v>
      </c>
      <c r="S687" s="83" t="s">
        <v>283</v>
      </c>
      <c r="T687" s="49">
        <v>5</v>
      </c>
      <c r="U687" s="83">
        <v>2</v>
      </c>
      <c r="V687" s="49">
        <v>3</v>
      </c>
      <c r="W687" s="49">
        <v>1</v>
      </c>
      <c r="X687" s="58">
        <v>2</v>
      </c>
      <c r="Y687" s="83">
        <v>2</v>
      </c>
      <c r="AH687" s="49">
        <v>2</v>
      </c>
      <c r="AI687" s="49">
        <v>41</v>
      </c>
      <c r="AJ687" s="49">
        <v>0</v>
      </c>
      <c r="AK687" s="83">
        <v>0</v>
      </c>
      <c r="AL687" s="49">
        <v>0</v>
      </c>
      <c r="AM687" s="49">
        <v>1</v>
      </c>
      <c r="AN687" s="49">
        <v>0</v>
      </c>
      <c r="AO687" s="58">
        <v>0</v>
      </c>
      <c r="AP687" s="174" t="s">
        <v>284</v>
      </c>
      <c r="AQ687" s="175" t="s">
        <v>284</v>
      </c>
      <c r="AR687" s="175">
        <v>98</v>
      </c>
      <c r="AS687" s="175">
        <v>295</v>
      </c>
      <c r="AT687" s="175" t="s">
        <v>284</v>
      </c>
      <c r="AU687" s="175" t="s">
        <v>284</v>
      </c>
      <c r="AV687" s="175" t="s">
        <v>284</v>
      </c>
      <c r="AW687" s="175" t="s">
        <v>284</v>
      </c>
      <c r="AX687" s="83">
        <v>0</v>
      </c>
      <c r="AY687" s="49">
        <v>0</v>
      </c>
      <c r="AZ687" s="49">
        <v>0</v>
      </c>
      <c r="BA687" s="49">
        <v>0</v>
      </c>
      <c r="BB687" s="58">
        <v>0</v>
      </c>
      <c r="BC687" s="42">
        <v>79</v>
      </c>
      <c r="BD687" s="49">
        <v>54.48</v>
      </c>
      <c r="BE687" s="159">
        <v>55.26</v>
      </c>
      <c r="BF687" s="49">
        <v>54.03</v>
      </c>
      <c r="BS687" s="58"/>
      <c r="BT687" s="83">
        <v>60.6</v>
      </c>
      <c r="CE687" s="83"/>
      <c r="CK687" s="58"/>
      <c r="CL687" s="83"/>
      <c r="CO687" s="58"/>
      <c r="CP687" s="83"/>
      <c r="CR687" s="58"/>
      <c r="CS687" s="83"/>
      <c r="CY687" s="83"/>
      <c r="DG687" s="58"/>
      <c r="DH687" s="83"/>
      <c r="DQ687" s="83"/>
      <c r="EE687" s="58"/>
      <c r="EF687" s="83"/>
      <c r="EI687" s="83"/>
      <c r="EK687" s="58"/>
      <c r="EL687" s="83"/>
      <c r="EO687" s="58"/>
      <c r="EP687" s="83"/>
      <c r="EQ687" s="58"/>
      <c r="ER687" s="83"/>
      <c r="ES687" s="58"/>
      <c r="ET687" s="83"/>
      <c r="EU687" s="58"/>
    </row>
    <row r="688" spans="1:151">
      <c r="A688" s="42" t="s">
        <v>323</v>
      </c>
      <c r="B688" s="173" t="s">
        <v>220</v>
      </c>
      <c r="C688" s="173" t="s">
        <v>518</v>
      </c>
      <c r="D688" s="83" t="s">
        <v>66</v>
      </c>
      <c r="F688" s="49" t="s">
        <v>287</v>
      </c>
      <c r="G688" s="60">
        <v>12.705666666666668</v>
      </c>
      <c r="H688" s="49">
        <v>4764</v>
      </c>
      <c r="I688" s="49">
        <v>657</v>
      </c>
      <c r="J688" s="49">
        <v>5.4297520661157028</v>
      </c>
      <c r="K688" s="49">
        <v>2</v>
      </c>
      <c r="L688" s="49">
        <v>1</v>
      </c>
      <c r="M688" s="83">
        <v>0</v>
      </c>
      <c r="N688" s="49">
        <v>0</v>
      </c>
      <c r="O688" s="49">
        <v>0</v>
      </c>
      <c r="P688" s="49">
        <v>1</v>
      </c>
      <c r="Q688" s="58">
        <v>0</v>
      </c>
      <c r="R688" s="42">
        <v>1</v>
      </c>
      <c r="S688" s="83" t="s">
        <v>283</v>
      </c>
      <c r="T688" s="49">
        <v>3</v>
      </c>
      <c r="U688" s="83">
        <v>1</v>
      </c>
      <c r="V688" s="49">
        <v>2</v>
      </c>
      <c r="W688" s="49">
        <v>1</v>
      </c>
      <c r="X688" s="58">
        <v>2</v>
      </c>
      <c r="Y688" s="83">
        <v>1</v>
      </c>
      <c r="AH688" s="49">
        <v>2</v>
      </c>
      <c r="AI688" s="49">
        <v>16</v>
      </c>
      <c r="AJ688" s="49">
        <v>0</v>
      </c>
      <c r="AK688" s="83">
        <v>0</v>
      </c>
      <c r="AL688" s="49">
        <v>0</v>
      </c>
      <c r="AM688" s="49">
        <v>0</v>
      </c>
      <c r="AN688" s="49">
        <v>0</v>
      </c>
      <c r="AO688" s="58">
        <v>0</v>
      </c>
      <c r="AP688" s="174" t="s">
        <v>284</v>
      </c>
      <c r="AQ688" s="175" t="s">
        <v>284</v>
      </c>
      <c r="AR688" s="175" t="s">
        <v>284</v>
      </c>
      <c r="AS688" s="175" t="s">
        <v>284</v>
      </c>
      <c r="AT688" s="175" t="s">
        <v>284</v>
      </c>
      <c r="AU688" s="175" t="s">
        <v>284</v>
      </c>
      <c r="AV688" s="175" t="s">
        <v>284</v>
      </c>
      <c r="AW688" s="175" t="s">
        <v>284</v>
      </c>
      <c r="AX688" s="83">
        <v>0</v>
      </c>
      <c r="AY688" s="49">
        <v>0</v>
      </c>
      <c r="AZ688" s="49">
        <v>0</v>
      </c>
      <c r="BA688" s="49">
        <v>0</v>
      </c>
      <c r="BB688" s="58">
        <v>0</v>
      </c>
      <c r="BC688" s="42">
        <v>77</v>
      </c>
      <c r="BD688" s="49">
        <v>57.44</v>
      </c>
      <c r="BE688" s="159">
        <v>57.21</v>
      </c>
      <c r="BS688" s="58"/>
      <c r="BT688" s="83">
        <v>62.6</v>
      </c>
      <c r="CE688" s="83"/>
      <c r="CK688" s="58"/>
      <c r="CL688" s="83"/>
      <c r="CO688" s="58"/>
      <c r="CP688" s="83"/>
      <c r="CR688" s="58"/>
      <c r="CS688" s="83"/>
      <c r="CY688" s="83"/>
      <c r="DG688" s="58"/>
      <c r="DH688" s="83"/>
      <c r="DQ688" s="83"/>
      <c r="EE688" s="58"/>
      <c r="EF688" s="83"/>
      <c r="EI688" s="83"/>
      <c r="EK688" s="58"/>
      <c r="EL688" s="83"/>
      <c r="EO688" s="58"/>
      <c r="EP688" s="83"/>
      <c r="EQ688" s="58"/>
      <c r="ER688" s="83"/>
      <c r="ES688" s="58"/>
      <c r="ET688" s="83"/>
      <c r="EU688" s="58"/>
    </row>
    <row r="689" spans="1:151">
      <c r="A689" s="42" t="s">
        <v>323</v>
      </c>
      <c r="B689" s="173" t="s">
        <v>220</v>
      </c>
      <c r="C689" s="173" t="s">
        <v>518</v>
      </c>
      <c r="D689" s="83" t="s">
        <v>67</v>
      </c>
      <c r="F689" s="49" t="s">
        <v>286</v>
      </c>
      <c r="G689" s="60">
        <v>12.705666666666668</v>
      </c>
      <c r="H689" s="49">
        <v>4764</v>
      </c>
      <c r="I689" s="49">
        <v>1865</v>
      </c>
      <c r="J689" s="49">
        <v>4.5377128953771289</v>
      </c>
      <c r="K689" s="49">
        <v>2</v>
      </c>
      <c r="L689" s="49">
        <v>2</v>
      </c>
      <c r="M689" s="83">
        <v>0</v>
      </c>
      <c r="N689" s="49">
        <v>0</v>
      </c>
      <c r="O689" s="49">
        <v>0</v>
      </c>
      <c r="P689" s="49">
        <v>1</v>
      </c>
      <c r="Q689" s="58">
        <v>0</v>
      </c>
      <c r="R689" s="42">
        <v>1</v>
      </c>
      <c r="S689" s="83" t="s">
        <v>283</v>
      </c>
      <c r="T689" s="49">
        <v>5</v>
      </c>
      <c r="U689" s="83">
        <v>1</v>
      </c>
      <c r="V689" s="49">
        <v>3</v>
      </c>
      <c r="W689" s="49">
        <v>1</v>
      </c>
      <c r="X689" s="58">
        <v>2</v>
      </c>
      <c r="Y689" s="83">
        <v>20</v>
      </c>
      <c r="Z689" s="49">
        <v>4</v>
      </c>
      <c r="AA689" s="49">
        <v>13</v>
      </c>
      <c r="AF689" s="49">
        <v>32</v>
      </c>
      <c r="AG689" s="49">
        <v>1382</v>
      </c>
      <c r="AH689" s="49">
        <v>20</v>
      </c>
      <c r="AI689" s="49">
        <v>53</v>
      </c>
      <c r="AJ689" s="49">
        <v>0</v>
      </c>
      <c r="AK689" s="83">
        <v>0</v>
      </c>
      <c r="AL689" s="49">
        <v>0</v>
      </c>
      <c r="AM689" s="49">
        <v>1</v>
      </c>
      <c r="AN689" s="49">
        <v>0</v>
      </c>
      <c r="AO689" s="58">
        <v>1</v>
      </c>
      <c r="AP689" s="174" t="s">
        <v>284</v>
      </c>
      <c r="AQ689" s="175" t="s">
        <v>284</v>
      </c>
      <c r="AR689" s="175" t="s">
        <v>501</v>
      </c>
      <c r="AS689" s="175" t="s">
        <v>501</v>
      </c>
      <c r="AT689" s="175" t="s">
        <v>284</v>
      </c>
      <c r="AU689" s="175" t="s">
        <v>284</v>
      </c>
      <c r="AV689" s="175" t="s">
        <v>501</v>
      </c>
      <c r="AW689" s="175" t="s">
        <v>501</v>
      </c>
      <c r="AX689" s="83">
        <v>0</v>
      </c>
      <c r="AY689" s="49">
        <v>0</v>
      </c>
      <c r="AZ689" s="49">
        <v>0</v>
      </c>
      <c r="BA689" s="49">
        <v>0</v>
      </c>
      <c r="BB689" s="58">
        <v>0</v>
      </c>
      <c r="BC689" s="42">
        <v>132</v>
      </c>
      <c r="BS689" s="58"/>
      <c r="BT689" s="83"/>
      <c r="CE689" s="83"/>
      <c r="CK689" s="58"/>
      <c r="CL689" s="83"/>
      <c r="CO689" s="58"/>
      <c r="CP689" s="83"/>
      <c r="CR689" s="58"/>
      <c r="CS689" s="83"/>
      <c r="CY689" s="83"/>
      <c r="DG689" s="58"/>
      <c r="DH689" s="83"/>
      <c r="DQ689" s="83"/>
      <c r="EE689" s="58"/>
      <c r="EF689" s="83"/>
      <c r="EI689" s="83"/>
      <c r="EK689" s="58"/>
      <c r="EL689" s="83"/>
      <c r="EO689" s="58"/>
      <c r="EP689" s="83"/>
      <c r="EQ689" s="58"/>
      <c r="ER689" s="83"/>
      <c r="ES689" s="58"/>
      <c r="ET689" s="83"/>
      <c r="EU689" s="58"/>
    </row>
    <row r="690" spans="1:151">
      <c r="A690" s="42" t="s">
        <v>323</v>
      </c>
      <c r="B690" s="173" t="s">
        <v>220</v>
      </c>
      <c r="C690" s="173" t="s">
        <v>518</v>
      </c>
      <c r="D690" s="83" t="s">
        <v>68</v>
      </c>
      <c r="E690" s="49" t="s">
        <v>0</v>
      </c>
      <c r="F690" s="49" t="s">
        <v>287</v>
      </c>
      <c r="G690" s="60">
        <v>12.705666666666668</v>
      </c>
      <c r="H690" s="49">
        <v>4764</v>
      </c>
      <c r="I690" s="49">
        <v>534</v>
      </c>
      <c r="J690" s="49">
        <v>10.470588235294118</v>
      </c>
      <c r="K690" s="49">
        <v>1</v>
      </c>
      <c r="L690" s="49">
        <v>1</v>
      </c>
      <c r="M690" s="83">
        <v>0</v>
      </c>
      <c r="N690" s="49">
        <v>0</v>
      </c>
      <c r="O690" s="49">
        <v>0</v>
      </c>
      <c r="P690" s="49">
        <v>1</v>
      </c>
      <c r="Q690" s="58">
        <v>0</v>
      </c>
      <c r="R690" s="42">
        <v>1</v>
      </c>
      <c r="S690" s="83" t="s">
        <v>283</v>
      </c>
      <c r="T690" s="49">
        <v>3</v>
      </c>
      <c r="U690" s="83">
        <v>1</v>
      </c>
      <c r="V690" s="49">
        <v>2</v>
      </c>
      <c r="W690" s="49">
        <v>1</v>
      </c>
      <c r="X690" s="58">
        <v>2</v>
      </c>
      <c r="Y690" s="83">
        <v>0</v>
      </c>
      <c r="AJ690" s="49">
        <v>0</v>
      </c>
      <c r="AK690" s="83">
        <v>0</v>
      </c>
      <c r="AL690" s="49">
        <v>0</v>
      </c>
      <c r="AM690" s="49">
        <v>0</v>
      </c>
      <c r="AN690" s="49">
        <v>0</v>
      </c>
      <c r="AO690" s="58">
        <v>0</v>
      </c>
      <c r="AP690" s="174" t="s">
        <v>284</v>
      </c>
      <c r="AQ690" s="175" t="s">
        <v>284</v>
      </c>
      <c r="AR690" s="175" t="s">
        <v>284</v>
      </c>
      <c r="AS690" s="175" t="s">
        <v>284</v>
      </c>
      <c r="AT690" s="175" t="s">
        <v>284</v>
      </c>
      <c r="AU690" s="175" t="s">
        <v>284</v>
      </c>
      <c r="AV690" s="175" t="s">
        <v>284</v>
      </c>
      <c r="AW690" s="175" t="s">
        <v>284</v>
      </c>
      <c r="AX690" s="83">
        <v>0</v>
      </c>
      <c r="AY690" s="49">
        <v>0</v>
      </c>
      <c r="AZ690" s="49">
        <v>0</v>
      </c>
      <c r="BA690" s="49">
        <v>0</v>
      </c>
      <c r="BB690" s="58">
        <v>0</v>
      </c>
      <c r="BC690" s="42">
        <v>97</v>
      </c>
      <c r="BS690" s="58"/>
      <c r="BT690" s="83"/>
      <c r="CE690" s="83"/>
      <c r="CK690" s="58"/>
      <c r="CL690" s="83"/>
      <c r="CO690" s="58"/>
      <c r="CP690" s="83"/>
      <c r="CR690" s="58"/>
      <c r="CS690" s="83"/>
      <c r="CY690" s="83"/>
      <c r="DG690" s="58"/>
      <c r="DH690" s="83"/>
      <c r="DQ690" s="83"/>
      <c r="EE690" s="58"/>
      <c r="EF690" s="83"/>
      <c r="EI690" s="83"/>
      <c r="EK690" s="58"/>
      <c r="EL690" s="83"/>
      <c r="EO690" s="58"/>
      <c r="EP690" s="83"/>
      <c r="EQ690" s="58"/>
      <c r="ER690" s="83"/>
      <c r="ES690" s="58"/>
      <c r="ET690" s="83"/>
      <c r="EU690" s="58"/>
    </row>
    <row r="691" spans="1:151">
      <c r="A691" s="42" t="s">
        <v>323</v>
      </c>
      <c r="B691" s="173" t="s">
        <v>220</v>
      </c>
      <c r="C691" s="173" t="s">
        <v>518</v>
      </c>
      <c r="D691" s="83" t="s">
        <v>68</v>
      </c>
      <c r="E691" s="49" t="s">
        <v>1</v>
      </c>
      <c r="F691" s="49" t="s">
        <v>287</v>
      </c>
      <c r="G691" s="60">
        <v>12.705666666666668</v>
      </c>
      <c r="H691" s="49">
        <v>4764</v>
      </c>
      <c r="I691" s="49">
        <v>500</v>
      </c>
      <c r="J691" s="49">
        <v>3.8759689922480618</v>
      </c>
      <c r="K691" s="49">
        <v>1</v>
      </c>
      <c r="L691" s="49">
        <v>1</v>
      </c>
      <c r="M691" s="83">
        <v>0</v>
      </c>
      <c r="N691" s="49">
        <v>0</v>
      </c>
      <c r="O691" s="49">
        <v>0</v>
      </c>
      <c r="P691" s="49">
        <v>1</v>
      </c>
      <c r="Q691" s="58">
        <v>0</v>
      </c>
      <c r="R691" s="42">
        <v>1</v>
      </c>
      <c r="S691" s="83" t="s">
        <v>283</v>
      </c>
      <c r="T691" s="49">
        <v>4</v>
      </c>
      <c r="U691" s="83">
        <v>1</v>
      </c>
      <c r="V691" s="49">
        <v>2</v>
      </c>
      <c r="W691" s="49">
        <v>1</v>
      </c>
      <c r="X691" s="58">
        <v>2</v>
      </c>
      <c r="Y691" s="83">
        <v>0</v>
      </c>
      <c r="AJ691" s="49">
        <v>0</v>
      </c>
      <c r="AK691" s="83">
        <v>0</v>
      </c>
      <c r="AL691" s="49">
        <v>0</v>
      </c>
      <c r="AM691" s="49">
        <v>0</v>
      </c>
      <c r="AN691" s="49">
        <v>0</v>
      </c>
      <c r="AO691" s="58">
        <v>0</v>
      </c>
      <c r="AP691" s="174" t="s">
        <v>284</v>
      </c>
      <c r="AQ691" s="175" t="s">
        <v>284</v>
      </c>
      <c r="AR691" s="175" t="s">
        <v>284</v>
      </c>
      <c r="AS691" s="175" t="s">
        <v>284</v>
      </c>
      <c r="AT691" s="175" t="s">
        <v>284</v>
      </c>
      <c r="AU691" s="175" t="s">
        <v>284</v>
      </c>
      <c r="AV691" s="175" t="s">
        <v>284</v>
      </c>
      <c r="AW691" s="175" t="s">
        <v>284</v>
      </c>
      <c r="AX691" s="83">
        <v>0</v>
      </c>
      <c r="AY691" s="49">
        <v>0</v>
      </c>
      <c r="AZ691" s="49">
        <v>0</v>
      </c>
      <c r="BA691" s="49">
        <v>0</v>
      </c>
      <c r="BB691" s="58">
        <v>0</v>
      </c>
      <c r="BC691" s="42">
        <v>97</v>
      </c>
      <c r="BS691" s="58"/>
      <c r="BT691" s="83"/>
      <c r="CE691" s="83"/>
      <c r="CK691" s="58"/>
      <c r="CL691" s="83"/>
      <c r="CO691" s="58"/>
      <c r="CP691" s="83"/>
      <c r="CR691" s="58"/>
      <c r="CS691" s="83"/>
      <c r="CY691" s="83"/>
      <c r="DG691" s="58"/>
      <c r="DH691" s="83"/>
      <c r="DQ691" s="83"/>
      <c r="EE691" s="58"/>
      <c r="EF691" s="83"/>
      <c r="EI691" s="83"/>
      <c r="EK691" s="58"/>
      <c r="EL691" s="83"/>
      <c r="EO691" s="58"/>
      <c r="EP691" s="83"/>
      <c r="EQ691" s="58"/>
      <c r="ER691" s="83"/>
      <c r="ES691" s="58"/>
      <c r="ET691" s="83"/>
      <c r="EU691" s="58"/>
    </row>
    <row r="692" spans="1:151">
      <c r="A692" s="42" t="s">
        <v>323</v>
      </c>
      <c r="B692" s="173" t="s">
        <v>220</v>
      </c>
      <c r="C692" s="173" t="s">
        <v>518</v>
      </c>
      <c r="D692" s="83" t="s">
        <v>69</v>
      </c>
      <c r="F692" s="49" t="s">
        <v>287</v>
      </c>
      <c r="G692" s="60">
        <v>12.705666666666668</v>
      </c>
      <c r="H692" s="49">
        <v>4764</v>
      </c>
      <c r="I692" s="49">
        <v>860</v>
      </c>
      <c r="J692" s="49">
        <v>3.4126984126984126</v>
      </c>
      <c r="K692" s="49">
        <v>1</v>
      </c>
      <c r="L692" s="49">
        <v>3</v>
      </c>
      <c r="M692" s="83">
        <v>0</v>
      </c>
      <c r="N692" s="49">
        <v>0</v>
      </c>
      <c r="O692" s="49">
        <v>0</v>
      </c>
      <c r="P692" s="49">
        <v>1</v>
      </c>
      <c r="Q692" s="58">
        <v>0</v>
      </c>
      <c r="R692" s="42">
        <v>1</v>
      </c>
      <c r="S692" s="83" t="s">
        <v>283</v>
      </c>
      <c r="T692" s="49">
        <v>4</v>
      </c>
      <c r="U692" s="83">
        <v>1</v>
      </c>
      <c r="V692" s="49">
        <v>2</v>
      </c>
      <c r="W692" s="49">
        <v>1</v>
      </c>
      <c r="X692" s="58">
        <v>2</v>
      </c>
      <c r="Y692" s="83">
        <v>2</v>
      </c>
      <c r="AD692" s="49">
        <v>7</v>
      </c>
      <c r="AE692" s="49">
        <v>10</v>
      </c>
      <c r="AH692" s="49">
        <v>7</v>
      </c>
      <c r="AI692" s="49">
        <v>69</v>
      </c>
      <c r="AJ692" s="49">
        <v>0</v>
      </c>
      <c r="AK692" s="83">
        <v>0</v>
      </c>
      <c r="AL692" s="49">
        <v>0</v>
      </c>
      <c r="AM692" s="49">
        <v>1</v>
      </c>
      <c r="AN692" s="49">
        <v>0</v>
      </c>
      <c r="AO692" s="58">
        <v>0</v>
      </c>
      <c r="AP692" s="174" t="s">
        <v>284</v>
      </c>
      <c r="AQ692" s="175" t="s">
        <v>284</v>
      </c>
      <c r="AR692" s="175">
        <v>53</v>
      </c>
      <c r="AS692" s="175">
        <v>57</v>
      </c>
      <c r="AT692" s="175" t="s">
        <v>284</v>
      </c>
      <c r="AU692" s="175" t="s">
        <v>284</v>
      </c>
      <c r="AV692" s="175" t="s">
        <v>284</v>
      </c>
      <c r="AW692" s="175" t="s">
        <v>284</v>
      </c>
      <c r="AX692" s="83">
        <v>0</v>
      </c>
      <c r="AY692" s="49">
        <v>0</v>
      </c>
      <c r="AZ692" s="49">
        <v>0</v>
      </c>
      <c r="BA692" s="49">
        <v>0</v>
      </c>
      <c r="BB692" s="58">
        <v>0</v>
      </c>
      <c r="BC692" s="42">
        <v>97</v>
      </c>
      <c r="BD692" s="49">
        <v>57.77</v>
      </c>
      <c r="BS692" s="58"/>
      <c r="BT692" s="83">
        <v>71.72</v>
      </c>
      <c r="CE692" s="83">
        <v>60.99</v>
      </c>
      <c r="CK692" s="58"/>
      <c r="CL692" s="83"/>
      <c r="CO692" s="58"/>
      <c r="CP692" s="83"/>
      <c r="CR692" s="58"/>
      <c r="CS692" s="83"/>
      <c r="CY692" s="83"/>
      <c r="DG692" s="58"/>
      <c r="DH692" s="83"/>
      <c r="DQ692" s="83"/>
      <c r="EE692" s="58"/>
      <c r="EF692" s="83"/>
      <c r="EI692" s="83"/>
      <c r="EK692" s="58"/>
      <c r="EL692" s="83"/>
      <c r="EO692" s="58"/>
      <c r="EP692" s="83"/>
      <c r="EQ692" s="58"/>
      <c r="ER692" s="83"/>
      <c r="ES692" s="58"/>
      <c r="ET692" s="83"/>
      <c r="EU692" s="58"/>
    </row>
    <row r="693" spans="1:151">
      <c r="A693" s="42" t="s">
        <v>323</v>
      </c>
      <c r="B693" s="173" t="s">
        <v>220</v>
      </c>
      <c r="C693" s="173" t="s">
        <v>518</v>
      </c>
      <c r="D693" s="83" t="s">
        <v>74</v>
      </c>
      <c r="F693" s="49" t="s">
        <v>287</v>
      </c>
      <c r="G693" s="60">
        <v>12.705666666666668</v>
      </c>
      <c r="H693" s="49">
        <v>4764</v>
      </c>
      <c r="I693" s="49">
        <v>808</v>
      </c>
      <c r="J693" s="49">
        <v>4.7810650887573969</v>
      </c>
      <c r="K693" s="49">
        <v>2</v>
      </c>
      <c r="L693" s="49">
        <v>2</v>
      </c>
      <c r="M693" s="83">
        <v>0</v>
      </c>
      <c r="N693" s="49">
        <v>0</v>
      </c>
      <c r="O693" s="49">
        <v>0</v>
      </c>
      <c r="P693" s="49">
        <v>0</v>
      </c>
      <c r="Q693" s="58">
        <v>0</v>
      </c>
      <c r="R693" s="42">
        <v>0</v>
      </c>
      <c r="S693" s="83" t="s">
        <v>283</v>
      </c>
      <c r="T693" s="49">
        <v>4</v>
      </c>
      <c r="U693" s="83">
        <v>0</v>
      </c>
      <c r="V693" s="49">
        <v>0</v>
      </c>
      <c r="W693" s="49">
        <v>0</v>
      </c>
      <c r="X693" s="58"/>
      <c r="Y693" s="83">
        <v>5</v>
      </c>
      <c r="AD693" s="49">
        <v>38</v>
      </c>
      <c r="AE693" s="49">
        <v>68</v>
      </c>
      <c r="AG693" s="49">
        <v>335</v>
      </c>
      <c r="AH693" s="49">
        <v>13</v>
      </c>
      <c r="AI693" s="49">
        <v>55</v>
      </c>
      <c r="AJ693" s="49">
        <v>0</v>
      </c>
      <c r="AK693" s="83">
        <v>0</v>
      </c>
      <c r="AL693" s="49">
        <v>0</v>
      </c>
      <c r="AM693" s="49">
        <v>1</v>
      </c>
      <c r="AN693" s="49">
        <v>0</v>
      </c>
      <c r="AO693" s="58">
        <v>0</v>
      </c>
      <c r="AP693" s="174" t="s">
        <v>284</v>
      </c>
      <c r="AQ693" s="175" t="s">
        <v>284</v>
      </c>
      <c r="AR693" s="175">
        <v>0</v>
      </c>
      <c r="AS693" s="175">
        <v>49</v>
      </c>
      <c r="AT693" s="175" t="s">
        <v>284</v>
      </c>
      <c r="AU693" s="175" t="s">
        <v>284</v>
      </c>
      <c r="AV693" s="175" t="s">
        <v>284</v>
      </c>
      <c r="AW693" s="175" t="s">
        <v>284</v>
      </c>
      <c r="AX693" s="83">
        <v>0</v>
      </c>
      <c r="AY693" s="49">
        <v>0</v>
      </c>
      <c r="AZ693" s="49">
        <v>0</v>
      </c>
      <c r="BA693" s="49">
        <v>0</v>
      </c>
      <c r="BB693" s="58">
        <v>0</v>
      </c>
      <c r="BC693" s="42">
        <v>64</v>
      </c>
      <c r="BS693" s="58"/>
      <c r="BT693" s="83"/>
      <c r="CE693" s="83"/>
      <c r="CK693" s="58"/>
      <c r="CL693" s="83"/>
      <c r="CO693" s="58"/>
      <c r="CP693" s="83"/>
      <c r="CR693" s="58"/>
      <c r="CS693" s="83"/>
      <c r="CY693" s="83"/>
      <c r="DG693" s="58"/>
      <c r="DH693" s="83"/>
      <c r="DQ693" s="83"/>
      <c r="EE693" s="58"/>
      <c r="EF693" s="83"/>
      <c r="EI693" s="83"/>
      <c r="EK693" s="58"/>
      <c r="EL693" s="83"/>
      <c r="EO693" s="58"/>
      <c r="EP693" s="83"/>
      <c r="EQ693" s="58"/>
      <c r="ER693" s="83"/>
      <c r="ES693" s="58"/>
      <c r="ET693" s="83"/>
      <c r="EU693" s="58"/>
    </row>
    <row r="694" spans="1:151">
      <c r="A694" s="42" t="s">
        <v>323</v>
      </c>
      <c r="B694" s="173" t="s">
        <v>220</v>
      </c>
      <c r="C694" s="173" t="s">
        <v>518</v>
      </c>
      <c r="D694" s="83" t="s">
        <v>75</v>
      </c>
      <c r="F694" s="49" t="s">
        <v>287</v>
      </c>
      <c r="G694" s="60">
        <v>12.705666666666668</v>
      </c>
      <c r="H694" s="49">
        <v>4764</v>
      </c>
      <c r="I694" s="49">
        <v>707</v>
      </c>
      <c r="J694" s="49">
        <v>1.4369918699186992</v>
      </c>
      <c r="K694" s="49">
        <v>1</v>
      </c>
      <c r="L694" s="49">
        <v>2</v>
      </c>
      <c r="M694" s="83">
        <v>1</v>
      </c>
      <c r="N694" s="49">
        <v>3</v>
      </c>
      <c r="O694" s="49">
        <v>1</v>
      </c>
      <c r="P694" s="49">
        <v>0</v>
      </c>
      <c r="Q694" s="58">
        <v>0</v>
      </c>
      <c r="R694" s="42">
        <v>5</v>
      </c>
      <c r="S694" s="83" t="s">
        <v>283</v>
      </c>
      <c r="T694" s="49">
        <v>6</v>
      </c>
      <c r="U694" s="83">
        <v>2</v>
      </c>
      <c r="V694" s="49">
        <v>4</v>
      </c>
      <c r="W694" s="49">
        <v>3</v>
      </c>
      <c r="X694" s="58">
        <v>1</v>
      </c>
      <c r="Y694" s="83">
        <v>15</v>
      </c>
      <c r="Z694" s="49">
        <v>5</v>
      </c>
      <c r="AA694" s="49">
        <v>9</v>
      </c>
      <c r="AD694" s="49">
        <v>5</v>
      </c>
      <c r="AE694" s="49">
        <v>36</v>
      </c>
      <c r="AF694" s="49">
        <v>12</v>
      </c>
      <c r="AG694" s="49">
        <v>128</v>
      </c>
      <c r="AH694" s="49">
        <v>23</v>
      </c>
      <c r="AI694" s="49">
        <v>99</v>
      </c>
      <c r="AJ694" s="49">
        <v>0</v>
      </c>
      <c r="AK694" s="83">
        <v>0</v>
      </c>
      <c r="AL694" s="49">
        <v>0</v>
      </c>
      <c r="AM694" s="49">
        <v>1</v>
      </c>
      <c r="AN694" s="49">
        <v>0</v>
      </c>
      <c r="AO694" s="58">
        <v>0</v>
      </c>
      <c r="AP694" s="174" t="s">
        <v>284</v>
      </c>
      <c r="AQ694" s="175" t="s">
        <v>284</v>
      </c>
      <c r="AR694" s="175" t="s">
        <v>501</v>
      </c>
      <c r="AS694" s="175" t="s">
        <v>501</v>
      </c>
      <c r="AT694" s="175" t="s">
        <v>284</v>
      </c>
      <c r="AU694" s="175" t="s">
        <v>284</v>
      </c>
      <c r="AV694" s="175" t="s">
        <v>284</v>
      </c>
      <c r="AW694" s="175" t="s">
        <v>284</v>
      </c>
      <c r="AX694" s="83">
        <v>0</v>
      </c>
      <c r="AY694" s="49">
        <v>0</v>
      </c>
      <c r="AZ694" s="49">
        <v>0</v>
      </c>
      <c r="BA694" s="49">
        <v>0</v>
      </c>
      <c r="BB694" s="58">
        <v>0</v>
      </c>
      <c r="BC694" s="42">
        <v>88</v>
      </c>
      <c r="BD694" s="49">
        <v>70.790000000000006</v>
      </c>
      <c r="BE694" s="159">
        <v>70.19</v>
      </c>
      <c r="BF694" s="49">
        <v>70.849999999999994</v>
      </c>
      <c r="BS694" s="58"/>
      <c r="BT694" s="83">
        <v>58.99</v>
      </c>
      <c r="BU694" s="49">
        <v>59.88</v>
      </c>
      <c r="BV694" s="49">
        <v>58.78</v>
      </c>
      <c r="BW694" s="49">
        <v>60.71</v>
      </c>
      <c r="CE694" s="83"/>
      <c r="CK694" s="58"/>
      <c r="CL694" s="83"/>
      <c r="CO694" s="58"/>
      <c r="CP694" s="83"/>
      <c r="CR694" s="58"/>
      <c r="CS694" s="83">
        <v>42.36</v>
      </c>
      <c r="CY694" s="83"/>
      <c r="DG694" s="58"/>
      <c r="DH694" s="83"/>
      <c r="DQ694" s="83">
        <v>63.77</v>
      </c>
      <c r="DR694" s="49">
        <v>69.61</v>
      </c>
      <c r="EE694" s="58"/>
      <c r="EF694" s="83"/>
      <c r="EI694" s="83"/>
      <c r="EK694" s="58"/>
      <c r="EL694" s="83"/>
      <c r="EO694" s="58"/>
      <c r="EP694" s="83"/>
      <c r="EQ694" s="58"/>
      <c r="ER694" s="83"/>
      <c r="ES694" s="58"/>
      <c r="ET694" s="83"/>
      <c r="EU694" s="58"/>
    </row>
    <row r="695" spans="1:151" ht="17" thickBot="1">
      <c r="A695" s="55" t="s">
        <v>323</v>
      </c>
      <c r="B695" s="173" t="s">
        <v>220</v>
      </c>
      <c r="C695" s="173" t="s">
        <v>518</v>
      </c>
      <c r="D695" s="83" t="s">
        <v>76</v>
      </c>
      <c r="F695" s="49" t="s">
        <v>286</v>
      </c>
      <c r="G695" s="60">
        <v>12.705666666666668</v>
      </c>
      <c r="H695" s="49">
        <v>4764</v>
      </c>
      <c r="I695" s="49">
        <v>1264</v>
      </c>
      <c r="J695" s="49">
        <v>1.4266365688487586</v>
      </c>
      <c r="K695" s="49">
        <v>1</v>
      </c>
      <c r="L695" s="49">
        <v>1</v>
      </c>
      <c r="M695" s="83">
        <v>0</v>
      </c>
      <c r="N695" s="49">
        <v>0</v>
      </c>
      <c r="O695" s="49">
        <v>1</v>
      </c>
      <c r="P695" s="49">
        <v>0</v>
      </c>
      <c r="Q695" s="58">
        <v>0</v>
      </c>
      <c r="R695" s="42">
        <v>1</v>
      </c>
      <c r="S695" s="83" t="s">
        <v>283</v>
      </c>
      <c r="T695" s="49">
        <v>5</v>
      </c>
      <c r="U695" s="83">
        <v>1</v>
      </c>
      <c r="V695" s="49">
        <v>1</v>
      </c>
      <c r="W695" s="49">
        <v>1</v>
      </c>
      <c r="X695" s="58">
        <v>1</v>
      </c>
      <c r="Y695" s="83">
        <v>0</v>
      </c>
      <c r="AJ695" s="49">
        <v>0</v>
      </c>
      <c r="AK695" s="83">
        <v>0</v>
      </c>
      <c r="AL695" s="49">
        <v>1</v>
      </c>
      <c r="AM695" s="49">
        <v>0</v>
      </c>
      <c r="AN695" s="49">
        <v>0</v>
      </c>
      <c r="AO695" s="58">
        <v>0</v>
      </c>
      <c r="AP695" s="174">
        <v>0</v>
      </c>
      <c r="AQ695" s="175">
        <v>399</v>
      </c>
      <c r="AR695" s="175" t="s">
        <v>284</v>
      </c>
      <c r="AS695" s="175" t="s">
        <v>284</v>
      </c>
      <c r="AT695" s="175" t="s">
        <v>284</v>
      </c>
      <c r="AU695" s="175" t="s">
        <v>284</v>
      </c>
      <c r="AV695" s="175" t="s">
        <v>284</v>
      </c>
      <c r="AW695" s="175" t="s">
        <v>284</v>
      </c>
      <c r="AX695" s="83">
        <v>0</v>
      </c>
      <c r="AY695" s="49">
        <v>0</v>
      </c>
      <c r="AZ695" s="49">
        <v>0</v>
      </c>
      <c r="BA695" s="49">
        <v>0</v>
      </c>
      <c r="BB695" s="58">
        <v>0</v>
      </c>
      <c r="BC695" s="42">
        <v>146</v>
      </c>
      <c r="BD695" s="49">
        <v>66.97</v>
      </c>
      <c r="BS695" s="58"/>
      <c r="BT695" s="83">
        <v>67.510000000000005</v>
      </c>
      <c r="CE695" s="83">
        <v>60.12</v>
      </c>
      <c r="CK695" s="58"/>
      <c r="CL695" s="83"/>
      <c r="CO695" s="58"/>
      <c r="CP695" s="83"/>
      <c r="CR695" s="58"/>
      <c r="CS695" s="83"/>
      <c r="CY695" s="83"/>
      <c r="DG695" s="58"/>
      <c r="DH695" s="83"/>
      <c r="DQ695" s="83"/>
      <c r="EE695" s="58"/>
      <c r="EF695" s="83"/>
      <c r="EI695" s="83"/>
      <c r="EK695" s="58"/>
      <c r="EL695" s="83"/>
      <c r="EO695" s="58"/>
      <c r="EP695" s="83"/>
      <c r="EQ695" s="58"/>
      <c r="ER695" s="83"/>
      <c r="ES695" s="58"/>
      <c r="ET695" s="83"/>
      <c r="EU695" s="58"/>
    </row>
    <row r="696" spans="1:151" ht="17" thickBot="1">
      <c r="A696" s="83" t="s">
        <v>323</v>
      </c>
      <c r="B696" s="185" t="s">
        <v>221</v>
      </c>
      <c r="C696" s="185" t="s">
        <v>518</v>
      </c>
      <c r="D696" s="85" t="s">
        <v>222</v>
      </c>
      <c r="E696" s="76"/>
      <c r="F696" s="76" t="s">
        <v>287</v>
      </c>
      <c r="G696" s="80">
        <v>12.705666666666668</v>
      </c>
      <c r="H696" s="76">
        <v>4764</v>
      </c>
      <c r="I696" s="76">
        <v>980</v>
      </c>
      <c r="J696" s="155">
        <v>7.84</v>
      </c>
      <c r="K696" s="76">
        <v>1</v>
      </c>
      <c r="L696" s="76">
        <v>2</v>
      </c>
      <c r="M696" s="85">
        <v>1</v>
      </c>
      <c r="N696" s="76">
        <v>0</v>
      </c>
      <c r="O696" s="76">
        <v>0</v>
      </c>
      <c r="P696" s="76">
        <v>0</v>
      </c>
      <c r="Q696" s="86">
        <v>0</v>
      </c>
      <c r="R696" s="88">
        <v>1</v>
      </c>
      <c r="S696" s="85" t="s">
        <v>283</v>
      </c>
      <c r="T696" s="76">
        <v>4</v>
      </c>
      <c r="U696" s="85">
        <v>0</v>
      </c>
      <c r="V696" s="76">
        <v>0</v>
      </c>
      <c r="W696" s="76">
        <v>0</v>
      </c>
      <c r="X696" s="86"/>
      <c r="Y696" s="85">
        <v>1</v>
      </c>
      <c r="Z696" s="76"/>
      <c r="AA696" s="76"/>
      <c r="AB696" s="76"/>
      <c r="AC696" s="76"/>
      <c r="AD696" s="76"/>
      <c r="AE696" s="76"/>
      <c r="AF696" s="76">
        <v>5</v>
      </c>
      <c r="AG696" s="76">
        <v>157</v>
      </c>
      <c r="AH696" s="76"/>
      <c r="AI696" s="76"/>
      <c r="AJ696" s="76">
        <v>0</v>
      </c>
      <c r="AK696" s="85">
        <v>0</v>
      </c>
      <c r="AL696" s="76">
        <v>1</v>
      </c>
      <c r="AM696" s="76">
        <v>0</v>
      </c>
      <c r="AN696" s="76">
        <v>0</v>
      </c>
      <c r="AO696" s="86">
        <v>0</v>
      </c>
      <c r="AP696" s="186">
        <v>0</v>
      </c>
      <c r="AQ696" s="187">
        <v>289</v>
      </c>
      <c r="AR696" s="187" t="s">
        <v>284</v>
      </c>
      <c r="AS696" s="187" t="s">
        <v>284</v>
      </c>
      <c r="AT696" s="187" t="s">
        <v>284</v>
      </c>
      <c r="AU696" s="187" t="s">
        <v>284</v>
      </c>
      <c r="AV696" s="187" t="s">
        <v>284</v>
      </c>
      <c r="AW696" s="187" t="s">
        <v>284</v>
      </c>
      <c r="AX696" s="85">
        <v>0</v>
      </c>
      <c r="AY696" s="76">
        <v>0</v>
      </c>
      <c r="AZ696" s="76">
        <v>0</v>
      </c>
      <c r="BA696" s="76">
        <v>0</v>
      </c>
      <c r="BB696" s="86">
        <v>0</v>
      </c>
      <c r="BC696" s="88">
        <v>102</v>
      </c>
      <c r="BD696" s="76"/>
      <c r="BE696" s="155"/>
      <c r="BF696" s="76"/>
      <c r="BG696" s="76"/>
      <c r="BH696" s="76"/>
      <c r="BI696" s="76"/>
      <c r="BJ696" s="76"/>
      <c r="BK696" s="76"/>
      <c r="BL696" s="76"/>
      <c r="BM696" s="76"/>
      <c r="BN696" s="76"/>
      <c r="BO696" s="76"/>
      <c r="BP696" s="76"/>
      <c r="BQ696" s="76"/>
      <c r="BR696" s="76"/>
      <c r="BS696" s="86"/>
      <c r="BT696" s="85"/>
      <c r="BU696" s="76"/>
      <c r="BV696" s="76"/>
      <c r="BW696" s="76"/>
      <c r="BX696" s="76"/>
      <c r="BY696" s="76"/>
      <c r="BZ696" s="76"/>
      <c r="CA696" s="76"/>
      <c r="CB696" s="76"/>
      <c r="CC696" s="76"/>
      <c r="CD696" s="76"/>
      <c r="CE696" s="85"/>
      <c r="CF696" s="76"/>
      <c r="CG696" s="76"/>
      <c r="CH696" s="76"/>
      <c r="CI696" s="76"/>
      <c r="CJ696" s="76"/>
      <c r="CK696" s="86"/>
      <c r="CL696" s="85"/>
      <c r="CM696" s="76"/>
      <c r="CN696" s="76"/>
      <c r="CO696" s="86"/>
      <c r="CP696" s="85"/>
      <c r="CQ696" s="76"/>
      <c r="CR696" s="86"/>
      <c r="CS696" s="85"/>
      <c r="CT696" s="76"/>
      <c r="CU696" s="76"/>
      <c r="CV696" s="76"/>
      <c r="CW696" s="76"/>
      <c r="CX696" s="76"/>
      <c r="CY696" s="85"/>
      <c r="CZ696" s="76"/>
      <c r="DA696" s="76"/>
      <c r="DB696" s="76"/>
      <c r="DC696" s="76"/>
      <c r="DD696" s="76"/>
      <c r="DE696" s="76"/>
      <c r="DF696" s="76"/>
      <c r="DG696" s="86"/>
      <c r="DH696" s="85"/>
      <c r="DI696" s="76"/>
      <c r="DJ696" s="76"/>
      <c r="DK696" s="76"/>
      <c r="DL696" s="76"/>
      <c r="DM696" s="76"/>
      <c r="DN696" s="76"/>
      <c r="DO696" s="76"/>
      <c r="DP696" s="76"/>
      <c r="DQ696" s="85"/>
      <c r="DR696" s="76"/>
      <c r="DS696" s="76"/>
      <c r="DT696" s="76"/>
      <c r="DU696" s="76"/>
      <c r="DV696" s="76"/>
      <c r="DW696" s="76"/>
      <c r="DX696" s="76"/>
      <c r="DY696" s="76"/>
      <c r="DZ696" s="76"/>
      <c r="EA696" s="76"/>
      <c r="EB696" s="76"/>
      <c r="EC696" s="76"/>
      <c r="ED696" s="76"/>
      <c r="EE696" s="86"/>
      <c r="EF696" s="85"/>
      <c r="EG696" s="76"/>
      <c r="EH696" s="76"/>
      <c r="EI696" s="85"/>
      <c r="EJ696" s="76"/>
      <c r="EK696" s="86"/>
      <c r="EL696" s="85"/>
      <c r="EM696" s="76"/>
      <c r="EN696" s="76"/>
      <c r="EO696" s="86"/>
      <c r="EP696" s="85"/>
      <c r="EQ696" s="86"/>
      <c r="ER696" s="85"/>
      <c r="ES696" s="86"/>
      <c r="ET696" s="85"/>
      <c r="EU696" s="86"/>
    </row>
    <row r="697" spans="1:151">
      <c r="A697" s="87" t="s">
        <v>321</v>
      </c>
      <c r="B697" s="173" t="s">
        <v>223</v>
      </c>
      <c r="C697" s="173" t="s">
        <v>519</v>
      </c>
      <c r="D697" s="83" t="s">
        <v>224</v>
      </c>
      <c r="F697" s="49" t="s">
        <v>287</v>
      </c>
      <c r="G697" s="60">
        <v>2.7285333333333335</v>
      </c>
      <c r="H697" s="49">
        <v>4331</v>
      </c>
      <c r="I697" s="49">
        <v>840</v>
      </c>
      <c r="J697" s="159">
        <v>1.0606060606060606</v>
      </c>
      <c r="K697" s="49">
        <v>1</v>
      </c>
      <c r="L697" s="49">
        <v>2</v>
      </c>
      <c r="M697" s="83">
        <v>1</v>
      </c>
      <c r="N697" s="49">
        <v>3</v>
      </c>
      <c r="O697" s="49">
        <v>1</v>
      </c>
      <c r="P697" s="49">
        <v>0</v>
      </c>
      <c r="Q697" s="58">
        <v>0</v>
      </c>
      <c r="R697" s="42">
        <v>5</v>
      </c>
      <c r="S697" s="83" t="s">
        <v>283</v>
      </c>
      <c r="T697" s="49">
        <v>3</v>
      </c>
      <c r="U697" s="83">
        <v>1</v>
      </c>
      <c r="V697" s="49">
        <v>1</v>
      </c>
      <c r="W697" s="49">
        <v>1</v>
      </c>
      <c r="X697" s="58">
        <v>1</v>
      </c>
      <c r="Y697" s="83">
        <v>2</v>
      </c>
      <c r="AD697" s="49">
        <v>5</v>
      </c>
      <c r="AE697" s="49">
        <v>63</v>
      </c>
      <c r="AH697" s="49">
        <v>17</v>
      </c>
      <c r="AI697" s="49">
        <v>128</v>
      </c>
      <c r="AJ697" s="49">
        <v>1</v>
      </c>
      <c r="AK697" s="83">
        <v>0</v>
      </c>
      <c r="AL697" s="49">
        <v>1</v>
      </c>
      <c r="AM697" s="49">
        <v>1</v>
      </c>
      <c r="AN697" s="49">
        <v>0</v>
      </c>
      <c r="AO697" s="58">
        <v>0</v>
      </c>
      <c r="AP697" s="174">
        <v>0</v>
      </c>
      <c r="AQ697" s="175">
        <v>377</v>
      </c>
      <c r="AR697" s="175">
        <v>56</v>
      </c>
      <c r="AS697" s="175">
        <v>119</v>
      </c>
      <c r="AT697" s="175">
        <v>0</v>
      </c>
      <c r="AU697" s="175">
        <v>0</v>
      </c>
      <c r="AV697" s="175">
        <v>0</v>
      </c>
      <c r="AW697" s="175">
        <v>0</v>
      </c>
      <c r="AX697" s="83">
        <v>0</v>
      </c>
      <c r="AY697" s="49">
        <v>0</v>
      </c>
      <c r="AZ697" s="49">
        <v>0</v>
      </c>
      <c r="BA697" s="49">
        <v>0</v>
      </c>
      <c r="BB697" s="58">
        <v>0</v>
      </c>
      <c r="BC697" s="42">
        <v>99</v>
      </c>
      <c r="BS697" s="58"/>
      <c r="BT697" s="83"/>
      <c r="CE697" s="83"/>
      <c r="CK697" s="58"/>
      <c r="CL697" s="83"/>
      <c r="CO697" s="58"/>
      <c r="CP697" s="83"/>
      <c r="CR697" s="58"/>
      <c r="CS697" s="83"/>
      <c r="CY697" s="83"/>
      <c r="DG697" s="58"/>
      <c r="DH697" s="83"/>
      <c r="DQ697" s="83"/>
      <c r="EE697" s="58"/>
      <c r="EF697" s="83"/>
      <c r="EI697" s="83"/>
      <c r="EK697" s="58"/>
      <c r="EL697" s="83"/>
      <c r="EO697" s="58"/>
      <c r="EP697" s="83"/>
      <c r="EQ697" s="58"/>
      <c r="ER697" s="83"/>
      <c r="ES697" s="58"/>
      <c r="ET697" s="83"/>
      <c r="EU697" s="58"/>
    </row>
    <row r="698" spans="1:151">
      <c r="A698" s="42" t="s">
        <v>321</v>
      </c>
      <c r="B698" s="173" t="s">
        <v>223</v>
      </c>
      <c r="C698" s="173" t="s">
        <v>519</v>
      </c>
      <c r="D698" s="83" t="s">
        <v>66</v>
      </c>
      <c r="F698" s="49" t="s">
        <v>286</v>
      </c>
      <c r="G698" s="60">
        <v>2.7285333333333335</v>
      </c>
      <c r="I698" s="49">
        <v>1586</v>
      </c>
      <c r="J698" s="159">
        <v>3.0094876660341554</v>
      </c>
      <c r="K698" s="49">
        <v>1</v>
      </c>
      <c r="L698" s="49">
        <v>3</v>
      </c>
      <c r="M698" s="83">
        <v>1</v>
      </c>
      <c r="N698" s="49">
        <v>0</v>
      </c>
      <c r="O698" s="49">
        <v>0</v>
      </c>
      <c r="P698" s="49">
        <v>1</v>
      </c>
      <c r="Q698" s="58">
        <v>0</v>
      </c>
      <c r="R698" s="42">
        <v>2</v>
      </c>
      <c r="S698" s="83">
        <v>1</v>
      </c>
      <c r="T698" s="49">
        <v>3</v>
      </c>
      <c r="U698" s="83">
        <v>1</v>
      </c>
      <c r="V698" s="49">
        <v>3</v>
      </c>
      <c r="W698" s="49">
        <v>1</v>
      </c>
      <c r="X698" s="58">
        <v>2</v>
      </c>
      <c r="Y698" s="83">
        <v>2</v>
      </c>
      <c r="AF698" s="49">
        <v>9</v>
      </c>
      <c r="AG698" s="49">
        <v>162</v>
      </c>
      <c r="AJ698" s="49">
        <v>0</v>
      </c>
      <c r="AK698" s="83">
        <v>0</v>
      </c>
      <c r="AL698" s="49">
        <v>1</v>
      </c>
      <c r="AM698" s="49">
        <v>1</v>
      </c>
      <c r="AN698" s="49">
        <v>0</v>
      </c>
      <c r="AO698" s="58">
        <v>0</v>
      </c>
      <c r="AP698" s="174">
        <v>0</v>
      </c>
      <c r="AQ698" s="175">
        <v>627</v>
      </c>
      <c r="AR698" s="175">
        <v>0</v>
      </c>
      <c r="AS698" s="175">
        <v>285</v>
      </c>
      <c r="AT698" s="175"/>
      <c r="AU698" s="175">
        <v>0</v>
      </c>
      <c r="AV698" s="175">
        <v>0</v>
      </c>
      <c r="AW698" s="175">
        <v>0</v>
      </c>
      <c r="AX698" s="83">
        <v>0</v>
      </c>
      <c r="AY698" s="49">
        <v>0</v>
      </c>
      <c r="AZ698" s="49">
        <v>0</v>
      </c>
      <c r="BA698" s="49">
        <v>0</v>
      </c>
      <c r="BB698" s="58">
        <v>0</v>
      </c>
      <c r="BC698" s="42">
        <v>128</v>
      </c>
      <c r="BD698" s="49">
        <v>73.569999999999993</v>
      </c>
      <c r="BS698" s="58"/>
      <c r="BT698" s="83">
        <v>81.27</v>
      </c>
      <c r="CE698" s="83"/>
      <c r="CK698" s="58"/>
      <c r="CL698" s="83">
        <v>71.150000000000006</v>
      </c>
      <c r="CO698" s="58"/>
      <c r="CP698" s="83"/>
      <c r="CR698" s="58"/>
      <c r="CS698" s="83"/>
      <c r="CY698" s="83"/>
      <c r="DG698" s="58"/>
      <c r="DH698" s="83"/>
      <c r="DQ698" s="83"/>
      <c r="EE698" s="58"/>
      <c r="EF698" s="83"/>
      <c r="EI698" s="83"/>
      <c r="EK698" s="58"/>
      <c r="EL698" s="83"/>
      <c r="EO698" s="58"/>
      <c r="EP698" s="83"/>
      <c r="EQ698" s="58"/>
      <c r="ER698" s="83"/>
      <c r="ES698" s="58"/>
      <c r="ET698" s="83"/>
      <c r="EU698" s="58"/>
    </row>
    <row r="699" spans="1:151">
      <c r="A699" s="42" t="s">
        <v>321</v>
      </c>
      <c r="B699" s="173" t="s">
        <v>223</v>
      </c>
      <c r="C699" s="173" t="s">
        <v>519</v>
      </c>
      <c r="D699" s="83" t="s">
        <v>73</v>
      </c>
      <c r="E699" s="49" t="s">
        <v>0</v>
      </c>
      <c r="F699" s="49" t="s">
        <v>286</v>
      </c>
      <c r="G699" s="60">
        <v>2.7285333333333335</v>
      </c>
      <c r="I699" s="49">
        <v>1548</v>
      </c>
      <c r="J699" s="159">
        <v>1.6844396082698585</v>
      </c>
      <c r="K699" s="49">
        <v>1</v>
      </c>
      <c r="L699" s="49">
        <v>1</v>
      </c>
      <c r="M699" s="83">
        <v>0</v>
      </c>
      <c r="N699" s="49">
        <v>3</v>
      </c>
      <c r="O699" s="49">
        <v>0</v>
      </c>
      <c r="P699" s="49">
        <v>1</v>
      </c>
      <c r="Q699" s="58">
        <v>0</v>
      </c>
      <c r="R699" s="42">
        <v>4</v>
      </c>
      <c r="S699" s="83">
        <v>1</v>
      </c>
      <c r="T699" s="49">
        <v>12</v>
      </c>
      <c r="U699" s="83">
        <v>0</v>
      </c>
      <c r="V699" s="49">
        <v>0</v>
      </c>
      <c r="W699" s="49">
        <v>0</v>
      </c>
      <c r="X699" s="58"/>
      <c r="Y699" s="83">
        <v>3</v>
      </c>
      <c r="Z699" s="49">
        <v>4</v>
      </c>
      <c r="AA699" s="49">
        <v>11</v>
      </c>
      <c r="AD699" s="49">
        <v>15</v>
      </c>
      <c r="AE699" s="49">
        <v>125</v>
      </c>
      <c r="AF699" s="49">
        <v>6</v>
      </c>
      <c r="AG699" s="49">
        <v>129</v>
      </c>
      <c r="AH699" s="49">
        <v>78</v>
      </c>
      <c r="AI699" s="49">
        <v>342</v>
      </c>
      <c r="AJ699" s="49">
        <v>0</v>
      </c>
      <c r="AK699" s="83">
        <v>0</v>
      </c>
      <c r="AL699" s="49">
        <v>1</v>
      </c>
      <c r="AM699" s="49">
        <v>0</v>
      </c>
      <c r="AN699" s="49">
        <v>0</v>
      </c>
      <c r="AO699" s="58">
        <v>0</v>
      </c>
      <c r="AP699" s="174">
        <v>86</v>
      </c>
      <c r="AQ699" s="175">
        <v>728</v>
      </c>
      <c r="AR699" s="175">
        <v>0</v>
      </c>
      <c r="AS699" s="175">
        <v>0</v>
      </c>
      <c r="AT699" s="175">
        <v>0</v>
      </c>
      <c r="AU699" s="175">
        <v>0</v>
      </c>
      <c r="AV699" s="175">
        <v>0</v>
      </c>
      <c r="AW699" s="175">
        <v>0</v>
      </c>
      <c r="AX699" s="83">
        <v>0</v>
      </c>
      <c r="AY699" s="49">
        <v>0</v>
      </c>
      <c r="AZ699" s="49">
        <v>0</v>
      </c>
      <c r="BA699" s="49">
        <v>0</v>
      </c>
      <c r="BB699" s="58">
        <v>0</v>
      </c>
      <c r="BC699" s="42">
        <v>103</v>
      </c>
      <c r="BD699" s="49">
        <v>74.5</v>
      </c>
      <c r="BS699" s="58"/>
      <c r="BT699" s="83">
        <v>83.43</v>
      </c>
      <c r="CE699" s="83">
        <v>78.599999999999994</v>
      </c>
      <c r="CK699" s="58"/>
      <c r="CL699" s="83"/>
      <c r="CO699" s="58"/>
      <c r="CP699" s="83"/>
      <c r="CR699" s="58"/>
      <c r="CS699" s="83"/>
      <c r="CY699" s="83"/>
      <c r="DG699" s="58"/>
      <c r="DH699" s="83"/>
      <c r="DQ699" s="83">
        <v>83.35</v>
      </c>
      <c r="EE699" s="58"/>
      <c r="EF699" s="83"/>
      <c r="EI699" s="83"/>
      <c r="EK699" s="58"/>
      <c r="EL699" s="83"/>
      <c r="EO699" s="58"/>
      <c r="EP699" s="83"/>
      <c r="EQ699" s="58"/>
      <c r="ER699" s="83"/>
      <c r="ES699" s="58"/>
      <c r="ET699" s="83"/>
      <c r="EU699" s="58"/>
    </row>
    <row r="700" spans="1:151">
      <c r="A700" s="42" t="s">
        <v>321</v>
      </c>
      <c r="B700" s="173" t="s">
        <v>223</v>
      </c>
      <c r="C700" s="173" t="s">
        <v>519</v>
      </c>
      <c r="D700" s="83" t="s">
        <v>73</v>
      </c>
      <c r="E700" s="49" t="s">
        <v>1</v>
      </c>
      <c r="F700" s="49" t="s">
        <v>287</v>
      </c>
      <c r="G700" s="60">
        <v>2.7285333333333335</v>
      </c>
      <c r="H700" s="49">
        <v>4331</v>
      </c>
      <c r="I700" s="49">
        <v>736</v>
      </c>
      <c r="J700" s="159">
        <v>1.2225913621262459</v>
      </c>
      <c r="K700" s="49">
        <v>1</v>
      </c>
      <c r="L700" s="49">
        <v>1</v>
      </c>
      <c r="M700" s="83">
        <v>0</v>
      </c>
      <c r="N700" s="49">
        <v>0</v>
      </c>
      <c r="O700" s="49">
        <v>1</v>
      </c>
      <c r="P700" s="49">
        <v>1</v>
      </c>
      <c r="Q700" s="58">
        <v>0</v>
      </c>
      <c r="R700" s="42">
        <v>2</v>
      </c>
      <c r="S700" s="83" t="s">
        <v>284</v>
      </c>
      <c r="U700" s="83">
        <v>1</v>
      </c>
      <c r="V700" s="49">
        <v>2</v>
      </c>
      <c r="W700" s="49">
        <v>1</v>
      </c>
      <c r="X700" s="58">
        <v>1</v>
      </c>
      <c r="Y700" s="83">
        <v>0</v>
      </c>
      <c r="AJ700" s="49">
        <v>1</v>
      </c>
      <c r="AK700" s="83">
        <v>0</v>
      </c>
      <c r="AL700" s="49">
        <v>1</v>
      </c>
      <c r="AM700" s="49">
        <v>0</v>
      </c>
      <c r="AN700" s="49">
        <v>0</v>
      </c>
      <c r="AO700" s="58">
        <v>0</v>
      </c>
      <c r="AP700" s="174">
        <v>0</v>
      </c>
      <c r="AQ700" s="175">
        <v>102</v>
      </c>
      <c r="AR700" s="175">
        <v>0</v>
      </c>
      <c r="AS700" s="175">
        <v>0</v>
      </c>
      <c r="AT700" s="175">
        <v>0</v>
      </c>
      <c r="AU700" s="175">
        <v>0</v>
      </c>
      <c r="AV700" s="175">
        <v>0</v>
      </c>
      <c r="AW700" s="175">
        <v>0</v>
      </c>
      <c r="AX700" s="83">
        <v>0</v>
      </c>
      <c r="AY700" s="49">
        <v>0</v>
      </c>
      <c r="AZ700" s="49">
        <v>0</v>
      </c>
      <c r="BA700" s="49">
        <v>0</v>
      </c>
      <c r="BB700" s="58">
        <v>0</v>
      </c>
      <c r="BC700" s="42">
        <v>103</v>
      </c>
      <c r="BD700" s="49">
        <v>82.84</v>
      </c>
      <c r="BS700" s="58"/>
      <c r="BT700" s="83"/>
      <c r="CE700" s="83">
        <v>79.05</v>
      </c>
      <c r="CK700" s="58"/>
      <c r="CL700" s="83"/>
      <c r="CO700" s="58"/>
      <c r="CP700" s="83"/>
      <c r="CR700" s="58"/>
      <c r="CS700" s="83"/>
      <c r="CY700" s="83"/>
      <c r="DG700" s="58"/>
      <c r="DH700" s="83"/>
      <c r="DQ700" s="83"/>
      <c r="EE700" s="58"/>
      <c r="EF700" s="83"/>
      <c r="EI700" s="83"/>
      <c r="EK700" s="58"/>
      <c r="EL700" s="83"/>
      <c r="EO700" s="58"/>
      <c r="EP700" s="83"/>
      <c r="EQ700" s="58"/>
      <c r="ER700" s="83"/>
      <c r="ES700" s="58"/>
      <c r="ET700" s="83"/>
      <c r="EU700" s="58"/>
    </row>
    <row r="701" spans="1:151">
      <c r="A701" s="42" t="s">
        <v>321</v>
      </c>
      <c r="B701" s="173" t="s">
        <v>223</v>
      </c>
      <c r="C701" s="173" t="s">
        <v>519</v>
      </c>
      <c r="D701" s="83" t="s">
        <v>81</v>
      </c>
      <c r="E701" s="49" t="s">
        <v>0</v>
      </c>
      <c r="F701" s="49" t="s">
        <v>287</v>
      </c>
      <c r="G701" s="60">
        <v>2.7285333333333335</v>
      </c>
      <c r="H701" s="49">
        <v>4331</v>
      </c>
      <c r="I701" s="49">
        <v>912</v>
      </c>
      <c r="J701" s="159">
        <v>1.7606177606177607</v>
      </c>
      <c r="K701" s="49">
        <v>4</v>
      </c>
      <c r="L701" s="49">
        <v>4</v>
      </c>
      <c r="M701" s="83">
        <v>0</v>
      </c>
      <c r="N701" s="49">
        <v>0</v>
      </c>
      <c r="O701" s="49">
        <v>0</v>
      </c>
      <c r="P701" s="49">
        <v>0</v>
      </c>
      <c r="Q701" s="58">
        <v>0</v>
      </c>
      <c r="R701" s="42">
        <v>0</v>
      </c>
      <c r="S701" s="83" t="s">
        <v>283</v>
      </c>
      <c r="T701" s="49">
        <v>3</v>
      </c>
      <c r="U701" s="83">
        <v>1</v>
      </c>
      <c r="V701" s="49">
        <v>4</v>
      </c>
      <c r="W701" s="49">
        <v>2</v>
      </c>
      <c r="X701" s="58"/>
      <c r="Y701" s="83">
        <v>5</v>
      </c>
      <c r="Z701" s="49">
        <v>3</v>
      </c>
      <c r="AA701" s="49">
        <v>12</v>
      </c>
      <c r="AD701" s="49">
        <v>4</v>
      </c>
      <c r="AE701" s="49">
        <v>111</v>
      </c>
      <c r="AJ701" s="49">
        <v>0</v>
      </c>
      <c r="AK701" s="83">
        <v>0</v>
      </c>
      <c r="AL701" s="49">
        <v>0</v>
      </c>
      <c r="AM701" s="49">
        <v>0</v>
      </c>
      <c r="AN701" s="49">
        <v>0</v>
      </c>
      <c r="AO701" s="58">
        <v>0</v>
      </c>
      <c r="AP701" s="174" t="s">
        <v>284</v>
      </c>
      <c r="AQ701" s="175" t="s">
        <v>284</v>
      </c>
      <c r="AR701" s="175" t="s">
        <v>284</v>
      </c>
      <c r="AS701" s="175" t="s">
        <v>284</v>
      </c>
      <c r="AT701" s="175" t="s">
        <v>284</v>
      </c>
      <c r="AU701" s="175" t="s">
        <v>284</v>
      </c>
      <c r="AV701" s="175" t="s">
        <v>284</v>
      </c>
      <c r="AW701" s="175" t="s">
        <v>284</v>
      </c>
      <c r="AX701" s="83">
        <v>0</v>
      </c>
      <c r="AY701" s="49">
        <v>0</v>
      </c>
      <c r="AZ701" s="49">
        <v>0</v>
      </c>
      <c r="BA701" s="49">
        <v>0</v>
      </c>
      <c r="BB701" s="58">
        <v>0</v>
      </c>
      <c r="BC701" s="42">
        <v>84</v>
      </c>
      <c r="BS701" s="58"/>
      <c r="BT701" s="83">
        <v>84.46</v>
      </c>
      <c r="CE701" s="83">
        <v>84.08</v>
      </c>
      <c r="CK701" s="58"/>
      <c r="CL701" s="83"/>
      <c r="CO701" s="58"/>
      <c r="CP701" s="83"/>
      <c r="CR701" s="58"/>
      <c r="CS701" s="83"/>
      <c r="CY701" s="83"/>
      <c r="DG701" s="58"/>
      <c r="DH701" s="83"/>
      <c r="DQ701" s="83"/>
      <c r="EE701" s="58"/>
      <c r="EF701" s="83"/>
      <c r="EI701" s="83"/>
      <c r="EK701" s="58"/>
      <c r="EL701" s="83"/>
      <c r="EO701" s="58"/>
      <c r="EP701" s="83"/>
      <c r="EQ701" s="58"/>
      <c r="ER701" s="83"/>
      <c r="ES701" s="58"/>
      <c r="ET701" s="83"/>
      <c r="EU701" s="58"/>
    </row>
    <row r="702" spans="1:151">
      <c r="A702" s="42" t="s">
        <v>321</v>
      </c>
      <c r="B702" s="173" t="s">
        <v>223</v>
      </c>
      <c r="C702" s="173" t="s">
        <v>519</v>
      </c>
      <c r="D702" s="83" t="s">
        <v>81</v>
      </c>
      <c r="E702" s="49" t="s">
        <v>1</v>
      </c>
      <c r="F702" s="49" t="s">
        <v>287</v>
      </c>
      <c r="G702" s="60">
        <v>2.7285333333333335</v>
      </c>
      <c r="H702" s="49">
        <v>4331</v>
      </c>
      <c r="I702" s="49">
        <v>686</v>
      </c>
      <c r="J702" s="159">
        <v>1.3830645161290323</v>
      </c>
      <c r="K702" s="49">
        <v>4</v>
      </c>
      <c r="L702" s="49">
        <v>4</v>
      </c>
      <c r="M702" s="83">
        <v>0</v>
      </c>
      <c r="N702" s="49">
        <v>0</v>
      </c>
      <c r="O702" s="49">
        <v>0</v>
      </c>
      <c r="P702" s="49">
        <v>1</v>
      </c>
      <c r="Q702" s="58">
        <v>0</v>
      </c>
      <c r="R702" s="42">
        <v>1</v>
      </c>
      <c r="S702" s="83" t="s">
        <v>283</v>
      </c>
      <c r="T702" s="49">
        <v>3</v>
      </c>
      <c r="U702" s="83">
        <v>1</v>
      </c>
      <c r="V702" s="49">
        <v>3</v>
      </c>
      <c r="W702" s="49">
        <v>2</v>
      </c>
      <c r="X702" s="58"/>
      <c r="Y702" s="83">
        <v>0</v>
      </c>
      <c r="AJ702" s="49">
        <v>0</v>
      </c>
      <c r="AK702" s="83">
        <v>0</v>
      </c>
      <c r="AL702" s="49">
        <v>0</v>
      </c>
      <c r="AM702" s="49">
        <v>0</v>
      </c>
      <c r="AN702" s="49">
        <v>0</v>
      </c>
      <c r="AO702" s="58">
        <v>0</v>
      </c>
      <c r="AP702" s="174" t="s">
        <v>284</v>
      </c>
      <c r="AQ702" s="175" t="s">
        <v>284</v>
      </c>
      <c r="AR702" s="175" t="s">
        <v>284</v>
      </c>
      <c r="AS702" s="175" t="s">
        <v>284</v>
      </c>
      <c r="AT702" s="175" t="s">
        <v>284</v>
      </c>
      <c r="AU702" s="175" t="s">
        <v>284</v>
      </c>
      <c r="AV702" s="175" t="s">
        <v>284</v>
      </c>
      <c r="AW702" s="175" t="s">
        <v>284</v>
      </c>
      <c r="AX702" s="83">
        <v>0</v>
      </c>
      <c r="AY702" s="49">
        <v>0</v>
      </c>
      <c r="AZ702" s="49">
        <v>0</v>
      </c>
      <c r="BA702" s="49">
        <v>0</v>
      </c>
      <c r="BB702" s="58">
        <v>0</v>
      </c>
      <c r="BC702" s="42">
        <v>84</v>
      </c>
      <c r="BD702" s="49">
        <v>80.31</v>
      </c>
      <c r="BE702" s="159">
        <v>80.33</v>
      </c>
      <c r="BF702" s="49">
        <v>80</v>
      </c>
      <c r="BS702" s="58"/>
      <c r="BT702" s="83">
        <v>80.69</v>
      </c>
      <c r="CE702" s="83">
        <v>82</v>
      </c>
      <c r="CK702" s="58"/>
      <c r="CL702" s="83"/>
      <c r="CO702" s="58"/>
      <c r="CP702" s="83"/>
      <c r="CR702" s="58"/>
      <c r="CS702" s="83"/>
      <c r="CY702" s="83"/>
      <c r="DG702" s="58"/>
      <c r="DH702" s="83"/>
      <c r="DQ702" s="83"/>
      <c r="EE702" s="58"/>
      <c r="EF702" s="83"/>
      <c r="EI702" s="83"/>
      <c r="EK702" s="58"/>
      <c r="EL702" s="83"/>
      <c r="EO702" s="58"/>
      <c r="EP702" s="83"/>
      <c r="EQ702" s="58"/>
      <c r="ER702" s="83"/>
      <c r="ES702" s="58"/>
      <c r="ET702" s="83"/>
      <c r="EU702" s="58"/>
    </row>
    <row r="703" spans="1:151">
      <c r="A703" s="42" t="s">
        <v>321</v>
      </c>
      <c r="B703" s="173" t="s">
        <v>223</v>
      </c>
      <c r="C703" s="173" t="s">
        <v>519</v>
      </c>
      <c r="D703" s="83" t="s">
        <v>87</v>
      </c>
      <c r="F703" s="49" t="s">
        <v>286</v>
      </c>
      <c r="G703" s="60">
        <v>2.7285333333333335</v>
      </c>
      <c r="H703" s="49">
        <v>4331</v>
      </c>
      <c r="I703" s="49">
        <v>1872</v>
      </c>
      <c r="J703" s="159">
        <v>1.4728560188827695</v>
      </c>
      <c r="K703" s="49">
        <v>1</v>
      </c>
      <c r="L703" s="49">
        <v>3</v>
      </c>
      <c r="M703" s="83">
        <v>0</v>
      </c>
      <c r="N703" s="49">
        <v>0</v>
      </c>
      <c r="O703" s="49">
        <v>0</v>
      </c>
      <c r="P703" s="49">
        <v>0</v>
      </c>
      <c r="Q703" s="58">
        <v>0</v>
      </c>
      <c r="R703" s="42">
        <v>0</v>
      </c>
      <c r="S703" s="83" t="s">
        <v>283</v>
      </c>
      <c r="T703" s="49">
        <v>4</v>
      </c>
      <c r="U703" s="83">
        <v>1</v>
      </c>
      <c r="V703" s="49">
        <v>2</v>
      </c>
      <c r="W703" s="49">
        <v>2</v>
      </c>
      <c r="X703" s="58"/>
      <c r="Y703" s="83">
        <v>0</v>
      </c>
      <c r="AJ703" s="49">
        <v>0</v>
      </c>
      <c r="AK703" s="83">
        <v>0</v>
      </c>
      <c r="AL703" s="49">
        <v>0</v>
      </c>
      <c r="AM703" s="49">
        <v>0</v>
      </c>
      <c r="AN703" s="49">
        <v>0</v>
      </c>
      <c r="AO703" s="58">
        <v>0</v>
      </c>
      <c r="AP703" s="174" t="s">
        <v>284</v>
      </c>
      <c r="AQ703" s="175" t="s">
        <v>284</v>
      </c>
      <c r="AR703" s="175" t="s">
        <v>284</v>
      </c>
      <c r="AS703" s="175" t="s">
        <v>284</v>
      </c>
      <c r="AT703" s="175" t="s">
        <v>284</v>
      </c>
      <c r="AU703" s="175" t="s">
        <v>284</v>
      </c>
      <c r="AV703" s="175" t="s">
        <v>284</v>
      </c>
      <c r="AW703" s="175" t="s">
        <v>284</v>
      </c>
      <c r="AX703" s="83">
        <v>0</v>
      </c>
      <c r="AY703" s="49">
        <v>0</v>
      </c>
      <c r="AZ703" s="49">
        <v>0</v>
      </c>
      <c r="BA703" s="49">
        <v>0</v>
      </c>
      <c r="BB703" s="58">
        <v>0</v>
      </c>
      <c r="BC703" s="42">
        <v>127</v>
      </c>
      <c r="BS703" s="58"/>
      <c r="BT703" s="83"/>
      <c r="CE703" s="83"/>
      <c r="CK703" s="58"/>
      <c r="CL703" s="83"/>
      <c r="CO703" s="58"/>
      <c r="CP703" s="83"/>
      <c r="CR703" s="58"/>
      <c r="CS703" s="83"/>
      <c r="CY703" s="83"/>
      <c r="DG703" s="58"/>
      <c r="DH703" s="83"/>
      <c r="DQ703" s="83"/>
      <c r="EE703" s="58"/>
      <c r="EF703" s="83"/>
      <c r="EI703" s="83"/>
      <c r="EK703" s="58"/>
      <c r="EL703" s="83"/>
      <c r="EO703" s="58"/>
      <c r="EP703" s="83"/>
      <c r="EQ703" s="58"/>
      <c r="ER703" s="83"/>
      <c r="ES703" s="58"/>
      <c r="ET703" s="83"/>
      <c r="EU703" s="58"/>
    </row>
    <row r="704" spans="1:151">
      <c r="A704" s="42" t="s">
        <v>321</v>
      </c>
      <c r="B704" s="173" t="s">
        <v>223</v>
      </c>
      <c r="C704" s="173" t="s">
        <v>519</v>
      </c>
      <c r="D704" s="83" t="s">
        <v>88</v>
      </c>
      <c r="F704" s="49" t="s">
        <v>286</v>
      </c>
      <c r="G704" s="60">
        <v>2.7285333333333335</v>
      </c>
      <c r="H704" s="49">
        <v>4331</v>
      </c>
      <c r="I704" s="49">
        <v>1142</v>
      </c>
      <c r="J704" s="159">
        <v>1.5474254742547426</v>
      </c>
      <c r="K704" s="49">
        <v>1</v>
      </c>
      <c r="L704" s="49">
        <v>2</v>
      </c>
      <c r="M704" s="83">
        <v>0</v>
      </c>
      <c r="N704" s="49">
        <v>1</v>
      </c>
      <c r="O704" s="49">
        <v>0</v>
      </c>
      <c r="P704" s="49">
        <v>0</v>
      </c>
      <c r="Q704" s="58">
        <v>0</v>
      </c>
      <c r="R704" s="42">
        <v>1</v>
      </c>
      <c r="S704" s="83" t="s">
        <v>283</v>
      </c>
      <c r="T704" s="49">
        <v>3</v>
      </c>
      <c r="U704" s="83">
        <v>1</v>
      </c>
      <c r="V704" s="49">
        <v>2</v>
      </c>
      <c r="W704" s="49">
        <v>2</v>
      </c>
      <c r="X704" s="58"/>
      <c r="Y704" s="83">
        <v>1</v>
      </c>
      <c r="AA704" s="49">
        <v>11</v>
      </c>
      <c r="AE704" s="49">
        <v>35</v>
      </c>
      <c r="AJ704" s="49">
        <v>1</v>
      </c>
      <c r="AK704" s="83">
        <v>0</v>
      </c>
      <c r="AL704" s="49">
        <v>0</v>
      </c>
      <c r="AM704" s="49">
        <v>0</v>
      </c>
      <c r="AN704" s="49">
        <v>0</v>
      </c>
      <c r="AO704" s="58">
        <v>0</v>
      </c>
      <c r="AP704" s="174" t="s">
        <v>284</v>
      </c>
      <c r="AQ704" s="175" t="s">
        <v>284</v>
      </c>
      <c r="AR704" s="175" t="s">
        <v>284</v>
      </c>
      <c r="AS704" s="175" t="s">
        <v>284</v>
      </c>
      <c r="AT704" s="175" t="s">
        <v>284</v>
      </c>
      <c r="AU704" s="175" t="s">
        <v>284</v>
      </c>
      <c r="AV704" s="175" t="s">
        <v>284</v>
      </c>
      <c r="AW704" s="175" t="s">
        <v>284</v>
      </c>
      <c r="AX704" s="83">
        <v>0</v>
      </c>
      <c r="AY704" s="49">
        <v>0</v>
      </c>
      <c r="AZ704" s="49">
        <v>0</v>
      </c>
      <c r="BA704" s="49">
        <v>0</v>
      </c>
      <c r="BB704" s="58">
        <v>0</v>
      </c>
      <c r="BC704" s="42">
        <v>103</v>
      </c>
      <c r="BS704" s="58"/>
      <c r="BT704" s="83"/>
      <c r="CE704" s="83"/>
      <c r="CK704" s="58"/>
      <c r="CL704" s="83"/>
      <c r="CO704" s="58"/>
      <c r="CP704" s="83"/>
      <c r="CR704" s="58"/>
      <c r="CS704" s="83"/>
      <c r="CY704" s="83"/>
      <c r="DG704" s="58"/>
      <c r="DH704" s="83"/>
      <c r="DQ704" s="83"/>
      <c r="EE704" s="58"/>
      <c r="EF704" s="83"/>
      <c r="EI704" s="83"/>
      <c r="EK704" s="58"/>
      <c r="EL704" s="83"/>
      <c r="EO704" s="58"/>
      <c r="EP704" s="83"/>
      <c r="EQ704" s="58"/>
      <c r="ER704" s="83"/>
      <c r="ES704" s="58"/>
      <c r="ET704" s="83"/>
      <c r="EU704" s="58"/>
    </row>
    <row r="705" spans="1:151">
      <c r="A705" s="42" t="s">
        <v>321</v>
      </c>
      <c r="B705" s="173" t="s">
        <v>223</v>
      </c>
      <c r="C705" s="173" t="s">
        <v>519</v>
      </c>
      <c r="D705" s="83" t="s">
        <v>111</v>
      </c>
      <c r="F705" s="49" t="s">
        <v>286</v>
      </c>
      <c r="G705" s="60">
        <v>2.7285333333333335</v>
      </c>
      <c r="H705" s="49">
        <v>4331</v>
      </c>
      <c r="I705" s="49">
        <v>1426</v>
      </c>
      <c r="J705" s="159">
        <v>1.3427495291902072</v>
      </c>
      <c r="K705" s="49">
        <v>1</v>
      </c>
      <c r="L705" s="49">
        <v>3</v>
      </c>
      <c r="M705" s="83">
        <v>0</v>
      </c>
      <c r="N705" s="49">
        <v>1</v>
      </c>
      <c r="O705" s="49">
        <v>0</v>
      </c>
      <c r="P705" s="49">
        <v>1</v>
      </c>
      <c r="Q705" s="58">
        <v>0</v>
      </c>
      <c r="R705" s="42">
        <v>2</v>
      </c>
      <c r="S705" s="83">
        <v>1</v>
      </c>
      <c r="U705" s="83">
        <v>1</v>
      </c>
      <c r="V705" s="49">
        <v>3</v>
      </c>
      <c r="W705" s="49">
        <v>1</v>
      </c>
      <c r="X705" s="58">
        <v>2</v>
      </c>
      <c r="Y705" s="83">
        <v>2</v>
      </c>
      <c r="AD705" s="49">
        <v>9</v>
      </c>
      <c r="AE705" s="49">
        <v>26</v>
      </c>
      <c r="AF705" s="49">
        <v>16</v>
      </c>
      <c r="AG705" s="49">
        <v>169</v>
      </c>
      <c r="AH705" s="49">
        <v>39</v>
      </c>
      <c r="AI705" s="49">
        <v>184</v>
      </c>
      <c r="AJ705" s="49">
        <v>0</v>
      </c>
      <c r="AK705" s="83">
        <v>0</v>
      </c>
      <c r="AL705" s="49">
        <v>0</v>
      </c>
      <c r="AM705" s="49">
        <v>0</v>
      </c>
      <c r="AN705" s="49">
        <v>0</v>
      </c>
      <c r="AO705" s="58">
        <v>0</v>
      </c>
      <c r="AP705" s="174" t="s">
        <v>284</v>
      </c>
      <c r="AQ705" s="175" t="s">
        <v>284</v>
      </c>
      <c r="AR705" s="175" t="s">
        <v>284</v>
      </c>
      <c r="AS705" s="175" t="s">
        <v>284</v>
      </c>
      <c r="AT705" s="175" t="s">
        <v>284</v>
      </c>
      <c r="AU705" s="175" t="s">
        <v>284</v>
      </c>
      <c r="AV705" s="175" t="s">
        <v>284</v>
      </c>
      <c r="AW705" s="175" t="s">
        <v>284</v>
      </c>
      <c r="AX705" s="83">
        <v>0</v>
      </c>
      <c r="AY705" s="49">
        <v>0</v>
      </c>
      <c r="AZ705" s="49">
        <v>0</v>
      </c>
      <c r="BA705" s="49">
        <v>0</v>
      </c>
      <c r="BB705" s="58">
        <v>0</v>
      </c>
      <c r="BC705" s="42">
        <v>96</v>
      </c>
      <c r="BD705" s="49">
        <v>73.27</v>
      </c>
      <c r="BE705" s="159">
        <v>73.77</v>
      </c>
      <c r="BF705" s="49">
        <v>73.900000000000006</v>
      </c>
      <c r="BS705" s="58"/>
      <c r="BT705" s="83">
        <v>77.150000000000006</v>
      </c>
      <c r="CE705" s="83">
        <v>82.32</v>
      </c>
      <c r="CF705" s="49">
        <v>82.07</v>
      </c>
      <c r="CK705" s="58"/>
      <c r="CL705" s="83"/>
      <c r="CO705" s="58"/>
      <c r="CP705" s="83"/>
      <c r="CR705" s="58"/>
      <c r="CS705" s="83"/>
      <c r="CY705" s="83"/>
      <c r="DG705" s="58"/>
      <c r="DH705" s="83"/>
      <c r="DQ705" s="83"/>
      <c r="EE705" s="58"/>
      <c r="EF705" s="83"/>
      <c r="EI705" s="83"/>
      <c r="EK705" s="58"/>
      <c r="EL705" s="83"/>
      <c r="EO705" s="58"/>
      <c r="EP705" s="83"/>
      <c r="EQ705" s="58"/>
      <c r="ER705" s="83"/>
      <c r="ES705" s="58"/>
      <c r="ET705" s="83"/>
      <c r="EU705" s="58"/>
    </row>
    <row r="706" spans="1:151">
      <c r="A706" s="42" t="s">
        <v>321</v>
      </c>
      <c r="B706" s="173" t="s">
        <v>223</v>
      </c>
      <c r="C706" s="173" t="s">
        <v>519</v>
      </c>
      <c r="D706" s="83" t="s">
        <v>92</v>
      </c>
      <c r="F706" s="49" t="s">
        <v>287</v>
      </c>
      <c r="G706" s="60">
        <v>2.7285333333333335</v>
      </c>
      <c r="H706" s="49">
        <v>4331</v>
      </c>
      <c r="I706" s="49">
        <v>455</v>
      </c>
      <c r="J706" s="159">
        <v>1.7567567567567568</v>
      </c>
      <c r="K706" s="49">
        <v>1</v>
      </c>
      <c r="L706" s="49">
        <v>3</v>
      </c>
      <c r="M706" s="83">
        <v>0</v>
      </c>
      <c r="N706" s="49">
        <v>3</v>
      </c>
      <c r="O706" s="49">
        <v>0</v>
      </c>
      <c r="P706" s="49">
        <v>0</v>
      </c>
      <c r="Q706" s="58">
        <v>0</v>
      </c>
      <c r="R706" s="42">
        <v>3</v>
      </c>
      <c r="S706" s="83" t="s">
        <v>283</v>
      </c>
      <c r="T706" s="49">
        <v>3</v>
      </c>
      <c r="U706" s="83">
        <v>1</v>
      </c>
      <c r="V706" s="49">
        <v>1</v>
      </c>
      <c r="W706" s="49">
        <v>2</v>
      </c>
      <c r="X706" s="58"/>
      <c r="Y706" s="83">
        <v>0</v>
      </c>
      <c r="AJ706" s="49">
        <v>0</v>
      </c>
      <c r="AK706" s="83">
        <v>0</v>
      </c>
      <c r="AL706" s="49">
        <v>0</v>
      </c>
      <c r="AM706" s="49">
        <v>0</v>
      </c>
      <c r="AN706" s="49">
        <v>0</v>
      </c>
      <c r="AO706" s="58">
        <v>0</v>
      </c>
      <c r="AP706" s="174" t="s">
        <v>284</v>
      </c>
      <c r="AQ706" s="175" t="s">
        <v>284</v>
      </c>
      <c r="AR706" s="175" t="s">
        <v>284</v>
      </c>
      <c r="AS706" s="175" t="s">
        <v>284</v>
      </c>
      <c r="AT706" s="175" t="s">
        <v>284</v>
      </c>
      <c r="AU706" s="175" t="s">
        <v>284</v>
      </c>
      <c r="AV706" s="175" t="s">
        <v>284</v>
      </c>
      <c r="AW706" s="175" t="s">
        <v>284</v>
      </c>
      <c r="AX706" s="83">
        <v>0</v>
      </c>
      <c r="AY706" s="49">
        <v>0</v>
      </c>
      <c r="AZ706" s="49">
        <v>0</v>
      </c>
      <c r="BA706" s="49">
        <v>0</v>
      </c>
      <c r="BB706" s="58">
        <v>0</v>
      </c>
      <c r="BC706" s="42">
        <v>88</v>
      </c>
      <c r="BS706" s="58"/>
      <c r="BT706" s="83"/>
      <c r="CE706" s="83"/>
      <c r="CK706" s="58"/>
      <c r="CL706" s="83"/>
      <c r="CO706" s="58"/>
      <c r="CP706" s="83"/>
      <c r="CR706" s="58"/>
      <c r="CS706" s="83"/>
      <c r="CY706" s="83"/>
      <c r="DG706" s="58"/>
      <c r="DH706" s="83"/>
      <c r="DQ706" s="83"/>
      <c r="EE706" s="58"/>
      <c r="EF706" s="83"/>
      <c r="EI706" s="83"/>
      <c r="EK706" s="58"/>
      <c r="EL706" s="83"/>
      <c r="EO706" s="58"/>
      <c r="EP706" s="83"/>
      <c r="EQ706" s="58"/>
      <c r="ER706" s="83"/>
      <c r="ES706" s="58"/>
      <c r="ET706" s="83"/>
      <c r="EU706" s="58"/>
    </row>
    <row r="707" spans="1:151">
      <c r="A707" s="42" t="s">
        <v>321</v>
      </c>
      <c r="B707" s="173" t="s">
        <v>223</v>
      </c>
      <c r="C707" s="173" t="s">
        <v>519</v>
      </c>
      <c r="D707" s="83" t="s">
        <v>93</v>
      </c>
      <c r="F707" s="49" t="s">
        <v>286</v>
      </c>
      <c r="G707" s="60">
        <v>2.7285333333333335</v>
      </c>
      <c r="H707" s="49">
        <v>4331</v>
      </c>
      <c r="I707" s="49">
        <v>1707</v>
      </c>
      <c r="J707" s="159">
        <v>2.8834459459459461</v>
      </c>
      <c r="K707" s="49">
        <v>4</v>
      </c>
      <c r="L707" s="49">
        <v>3</v>
      </c>
      <c r="M707" s="83">
        <v>0</v>
      </c>
      <c r="N707" s="49">
        <v>0</v>
      </c>
      <c r="O707" s="49">
        <v>1</v>
      </c>
      <c r="P707" s="49">
        <v>1</v>
      </c>
      <c r="Q707" s="58">
        <v>0</v>
      </c>
      <c r="R707" s="42">
        <v>2</v>
      </c>
      <c r="S707" s="83" t="s">
        <v>283</v>
      </c>
      <c r="T707" s="49">
        <v>3</v>
      </c>
      <c r="U707" s="83">
        <v>1</v>
      </c>
      <c r="V707" s="49">
        <v>4</v>
      </c>
      <c r="W707" s="49">
        <v>2</v>
      </c>
      <c r="X707" s="58"/>
      <c r="Y707" s="83">
        <v>0</v>
      </c>
      <c r="AJ707" s="49">
        <v>0</v>
      </c>
      <c r="AK707" s="83">
        <v>0</v>
      </c>
      <c r="AL707" s="49">
        <v>0</v>
      </c>
      <c r="AM707" s="49">
        <v>0</v>
      </c>
      <c r="AN707" s="49">
        <v>0</v>
      </c>
      <c r="AO707" s="58">
        <v>0</v>
      </c>
      <c r="AP707" s="174" t="s">
        <v>284</v>
      </c>
      <c r="AQ707" s="175" t="s">
        <v>284</v>
      </c>
      <c r="AR707" s="175" t="s">
        <v>284</v>
      </c>
      <c r="AS707" s="175" t="s">
        <v>284</v>
      </c>
      <c r="AT707" s="175" t="s">
        <v>284</v>
      </c>
      <c r="AU707" s="175" t="s">
        <v>284</v>
      </c>
      <c r="AV707" s="175" t="s">
        <v>284</v>
      </c>
      <c r="AW707" s="175" t="s">
        <v>284</v>
      </c>
      <c r="AX707" s="83">
        <v>0</v>
      </c>
      <c r="AY707" s="49">
        <v>0</v>
      </c>
      <c r="AZ707" s="49">
        <v>0</v>
      </c>
      <c r="BA707" s="49">
        <v>0</v>
      </c>
      <c r="BB707" s="58">
        <v>0</v>
      </c>
      <c r="BC707" s="42">
        <v>106</v>
      </c>
      <c r="BS707" s="58"/>
      <c r="BT707" s="83"/>
      <c r="CE707" s="83"/>
      <c r="CK707" s="58"/>
      <c r="CL707" s="83"/>
      <c r="CO707" s="58"/>
      <c r="CP707" s="83"/>
      <c r="CR707" s="58"/>
      <c r="CS707" s="83"/>
      <c r="CY707" s="83"/>
      <c r="DG707" s="58"/>
      <c r="DH707" s="83"/>
      <c r="DQ707" s="83"/>
      <c r="EE707" s="58"/>
      <c r="EF707" s="83"/>
      <c r="EI707" s="83"/>
      <c r="EK707" s="58"/>
      <c r="EL707" s="83"/>
      <c r="EO707" s="58"/>
      <c r="EP707" s="83"/>
      <c r="EQ707" s="58"/>
      <c r="ER707" s="83"/>
      <c r="ES707" s="58"/>
      <c r="ET707" s="83"/>
      <c r="EU707" s="58"/>
    </row>
    <row r="708" spans="1:151">
      <c r="A708" s="42" t="s">
        <v>321</v>
      </c>
      <c r="B708" s="173" t="s">
        <v>223</v>
      </c>
      <c r="C708" s="173" t="s">
        <v>519</v>
      </c>
      <c r="D708" s="83" t="s">
        <v>112</v>
      </c>
      <c r="F708" s="49" t="s">
        <v>287</v>
      </c>
      <c r="G708" s="60">
        <v>2.7285333333333335</v>
      </c>
      <c r="H708" s="49">
        <v>4331</v>
      </c>
      <c r="I708" s="49">
        <v>795</v>
      </c>
      <c r="J708" s="159">
        <v>1.7549668874172186</v>
      </c>
      <c r="K708" s="49">
        <v>1</v>
      </c>
      <c r="L708" s="49">
        <v>1</v>
      </c>
      <c r="M708" s="83">
        <v>0</v>
      </c>
      <c r="N708" s="49">
        <v>0</v>
      </c>
      <c r="O708" s="49">
        <v>1</v>
      </c>
      <c r="P708" s="49">
        <v>1</v>
      </c>
      <c r="Q708" s="58">
        <v>0</v>
      </c>
      <c r="R708" s="42">
        <v>2</v>
      </c>
      <c r="S708" s="83" t="s">
        <v>283</v>
      </c>
      <c r="T708" s="49">
        <v>2</v>
      </c>
      <c r="U708" s="83">
        <v>2</v>
      </c>
      <c r="V708" s="49">
        <v>2</v>
      </c>
      <c r="W708" s="49">
        <v>1</v>
      </c>
      <c r="X708" s="58">
        <v>1</v>
      </c>
      <c r="Y708" s="83">
        <v>0</v>
      </c>
      <c r="AJ708" s="49">
        <v>0</v>
      </c>
      <c r="AK708" s="83">
        <v>0</v>
      </c>
      <c r="AL708" s="49">
        <v>0</v>
      </c>
      <c r="AM708" s="49">
        <v>0</v>
      </c>
      <c r="AN708" s="49">
        <v>0</v>
      </c>
      <c r="AO708" s="58">
        <v>0</v>
      </c>
      <c r="AP708" s="174" t="s">
        <v>284</v>
      </c>
      <c r="AQ708" s="175" t="s">
        <v>284</v>
      </c>
      <c r="AR708" s="175" t="s">
        <v>284</v>
      </c>
      <c r="AS708" s="175" t="s">
        <v>284</v>
      </c>
      <c r="AT708" s="175" t="s">
        <v>284</v>
      </c>
      <c r="AU708" s="175" t="s">
        <v>284</v>
      </c>
      <c r="AV708" s="175" t="s">
        <v>284</v>
      </c>
      <c r="AW708" s="175" t="s">
        <v>284</v>
      </c>
      <c r="AX708" s="83">
        <v>1</v>
      </c>
      <c r="AY708" s="49">
        <v>0</v>
      </c>
      <c r="AZ708" s="49">
        <v>0</v>
      </c>
      <c r="BA708" s="49">
        <v>0</v>
      </c>
      <c r="BB708" s="58">
        <v>0</v>
      </c>
      <c r="BC708" s="42">
        <v>100</v>
      </c>
      <c r="BD708" s="49">
        <v>84.72</v>
      </c>
      <c r="BE708" s="159">
        <v>83.34</v>
      </c>
      <c r="BS708" s="58"/>
      <c r="BT708" s="83"/>
      <c r="CE708" s="83">
        <v>74.13</v>
      </c>
      <c r="CF708" s="49">
        <v>78.13</v>
      </c>
      <c r="CK708" s="58"/>
      <c r="CL708" s="83"/>
      <c r="CO708" s="58"/>
      <c r="CP708" s="83"/>
      <c r="CR708" s="58"/>
      <c r="CS708" s="83"/>
      <c r="CY708" s="83"/>
      <c r="DG708" s="58"/>
      <c r="DH708" s="83"/>
      <c r="DQ708" s="83"/>
      <c r="EE708" s="58"/>
      <c r="EF708" s="83"/>
      <c r="EI708" s="83">
        <v>83.36</v>
      </c>
      <c r="EK708" s="58"/>
      <c r="EL708" s="83"/>
      <c r="EO708" s="58"/>
      <c r="EP708" s="83"/>
      <c r="EQ708" s="58"/>
      <c r="ER708" s="83"/>
      <c r="ES708" s="58"/>
      <c r="ET708" s="83"/>
      <c r="EU708" s="58"/>
    </row>
    <row r="709" spans="1:151">
      <c r="A709" s="42" t="s">
        <v>321</v>
      </c>
      <c r="B709" s="173" t="s">
        <v>223</v>
      </c>
      <c r="C709" s="173" t="s">
        <v>519</v>
      </c>
      <c r="D709" s="83" t="s">
        <v>95</v>
      </c>
      <c r="F709" s="49" t="s">
        <v>286</v>
      </c>
      <c r="G709" s="60">
        <v>2.7285333333333335</v>
      </c>
      <c r="H709" s="49">
        <v>4331</v>
      </c>
      <c r="I709" s="49">
        <v>1752</v>
      </c>
      <c r="J709" s="159">
        <v>1.5812274368231047</v>
      </c>
      <c r="K709" s="49">
        <v>1</v>
      </c>
      <c r="L709" s="49">
        <v>1</v>
      </c>
      <c r="M709" s="83">
        <v>0</v>
      </c>
      <c r="N709" s="49">
        <v>0</v>
      </c>
      <c r="O709" s="49">
        <v>1</v>
      </c>
      <c r="P709" s="49">
        <v>1</v>
      </c>
      <c r="Q709" s="58">
        <v>0</v>
      </c>
      <c r="R709" s="42">
        <v>2</v>
      </c>
      <c r="S709" s="83" t="s">
        <v>283</v>
      </c>
      <c r="T709" s="49">
        <v>2</v>
      </c>
      <c r="U709" s="83">
        <v>0</v>
      </c>
      <c r="V709" s="49">
        <v>0</v>
      </c>
      <c r="W709" s="49">
        <v>0</v>
      </c>
      <c r="X709" s="58"/>
      <c r="Y709" s="83">
        <v>1</v>
      </c>
      <c r="Z709" s="49">
        <v>3</v>
      </c>
      <c r="AA709" s="49">
        <v>12</v>
      </c>
      <c r="AJ709" s="49">
        <v>0</v>
      </c>
      <c r="AK709" s="83">
        <v>0</v>
      </c>
      <c r="AL709" s="49">
        <v>1</v>
      </c>
      <c r="AM709" s="49">
        <v>0</v>
      </c>
      <c r="AN709" s="49">
        <v>0</v>
      </c>
      <c r="AO709" s="58">
        <v>0</v>
      </c>
      <c r="AP709" s="174">
        <v>292</v>
      </c>
      <c r="AQ709" s="175">
        <v>912</v>
      </c>
      <c r="AR709" s="175" t="s">
        <v>284</v>
      </c>
      <c r="AS709" s="175" t="s">
        <v>284</v>
      </c>
      <c r="AT709" s="175" t="s">
        <v>284</v>
      </c>
      <c r="AU709" s="175" t="s">
        <v>284</v>
      </c>
      <c r="AV709" s="175" t="s">
        <v>284</v>
      </c>
      <c r="AW709" s="175" t="s">
        <v>284</v>
      </c>
      <c r="AX709" s="83">
        <v>0</v>
      </c>
      <c r="AY709" s="49">
        <v>0</v>
      </c>
      <c r="AZ709" s="49">
        <v>0</v>
      </c>
      <c r="BA709" s="49">
        <v>0</v>
      </c>
      <c r="BB709" s="58">
        <v>0</v>
      </c>
      <c r="BC709" s="42">
        <v>130</v>
      </c>
      <c r="BS709" s="58"/>
      <c r="BT709" s="83">
        <v>83.17</v>
      </c>
      <c r="BU709" s="49">
        <v>83.12</v>
      </c>
      <c r="CE709" s="83">
        <v>81.819999999999993</v>
      </c>
      <c r="CK709" s="58"/>
      <c r="CL709" s="83"/>
      <c r="CO709" s="58"/>
      <c r="CP709" s="83"/>
      <c r="CR709" s="58"/>
      <c r="CS709" s="83"/>
      <c r="CY709" s="83"/>
      <c r="DG709" s="58"/>
      <c r="DH709" s="83"/>
      <c r="DQ709" s="83"/>
      <c r="EE709" s="58"/>
      <c r="EF709" s="83"/>
      <c r="EI709" s="83"/>
      <c r="EK709" s="58"/>
      <c r="EL709" s="83"/>
      <c r="EO709" s="58"/>
      <c r="EP709" s="83"/>
      <c r="EQ709" s="58"/>
      <c r="ER709" s="83"/>
      <c r="ES709" s="58"/>
      <c r="ET709" s="83"/>
      <c r="EU709" s="58"/>
    </row>
    <row r="710" spans="1:151">
      <c r="A710" s="42" t="s">
        <v>321</v>
      </c>
      <c r="B710" s="173" t="s">
        <v>223</v>
      </c>
      <c r="C710" s="173" t="s">
        <v>519</v>
      </c>
      <c r="D710" s="83" t="s">
        <v>65</v>
      </c>
      <c r="F710" s="49" t="s">
        <v>286</v>
      </c>
      <c r="G710" s="60">
        <v>2.7285333333333335</v>
      </c>
      <c r="H710" s="49">
        <v>4331</v>
      </c>
      <c r="I710" s="49">
        <v>1083</v>
      </c>
      <c r="J710" s="159">
        <v>1.1682847896440129</v>
      </c>
      <c r="K710" s="49">
        <v>4</v>
      </c>
      <c r="L710" s="49">
        <v>3</v>
      </c>
      <c r="M710" s="83">
        <v>0</v>
      </c>
      <c r="N710" s="49">
        <v>3</v>
      </c>
      <c r="O710" s="49">
        <v>0</v>
      </c>
      <c r="P710" s="49">
        <v>0</v>
      </c>
      <c r="Q710" s="58">
        <v>0</v>
      </c>
      <c r="R710" s="42">
        <v>3</v>
      </c>
      <c r="S710" s="83" t="s">
        <v>283</v>
      </c>
      <c r="T710" s="49">
        <v>3</v>
      </c>
      <c r="U710" s="83">
        <v>1</v>
      </c>
      <c r="V710" s="49">
        <v>3</v>
      </c>
      <c r="W710" s="49">
        <v>2</v>
      </c>
      <c r="X710" s="58"/>
      <c r="Y710" s="83">
        <v>10</v>
      </c>
      <c r="Z710" s="49">
        <v>5</v>
      </c>
      <c r="AA710" s="49">
        <v>10</v>
      </c>
      <c r="AD710" s="49">
        <v>8</v>
      </c>
      <c r="AE710" s="49">
        <v>52</v>
      </c>
      <c r="AF710" s="49">
        <v>5</v>
      </c>
      <c r="AG710" s="49">
        <v>9</v>
      </c>
      <c r="AH710" s="49">
        <v>248</v>
      </c>
      <c r="AI710" s="49">
        <v>267</v>
      </c>
      <c r="AJ710" s="49">
        <v>0</v>
      </c>
      <c r="AK710" s="83">
        <v>0</v>
      </c>
      <c r="AL710" s="49">
        <v>0</v>
      </c>
      <c r="AM710" s="49">
        <v>0</v>
      </c>
      <c r="AN710" s="49">
        <v>0</v>
      </c>
      <c r="AO710" s="58">
        <v>0</v>
      </c>
      <c r="AP710" s="174" t="s">
        <v>284</v>
      </c>
      <c r="AQ710" s="175" t="s">
        <v>284</v>
      </c>
      <c r="AR710" s="175" t="s">
        <v>284</v>
      </c>
      <c r="AS710" s="175" t="s">
        <v>284</v>
      </c>
      <c r="AT710" s="175" t="s">
        <v>284</v>
      </c>
      <c r="AU710" s="175" t="s">
        <v>284</v>
      </c>
      <c r="AV710" s="175" t="s">
        <v>284</v>
      </c>
      <c r="AW710" s="175" t="s">
        <v>284</v>
      </c>
      <c r="AX710" s="83">
        <v>0</v>
      </c>
      <c r="AY710" s="49">
        <v>0</v>
      </c>
      <c r="AZ710" s="49">
        <v>0</v>
      </c>
      <c r="BA710" s="49">
        <v>0</v>
      </c>
      <c r="BB710" s="58">
        <v>0</v>
      </c>
      <c r="BC710" s="42">
        <v>93</v>
      </c>
      <c r="BD710" s="49">
        <v>80.22</v>
      </c>
      <c r="BE710" s="159">
        <v>81.150000000000006</v>
      </c>
      <c r="BF710" s="49">
        <v>78.94</v>
      </c>
      <c r="BS710" s="58"/>
      <c r="BT710" s="83">
        <v>84.35</v>
      </c>
      <c r="BU710" s="49">
        <v>83.18</v>
      </c>
      <c r="CE710" s="83"/>
      <c r="CK710" s="58"/>
      <c r="CL710" s="83"/>
      <c r="CO710" s="58"/>
      <c r="CP710" s="83"/>
      <c r="CR710" s="58"/>
      <c r="CS710" s="83"/>
      <c r="CY710" s="83"/>
      <c r="DG710" s="58"/>
      <c r="DH710" s="83"/>
      <c r="DQ710" s="83"/>
      <c r="EE710" s="58"/>
      <c r="EF710" s="83"/>
      <c r="EI710" s="83"/>
      <c r="EK710" s="58"/>
      <c r="EL710" s="83"/>
      <c r="EO710" s="58"/>
      <c r="EP710" s="83"/>
      <c r="EQ710" s="58"/>
      <c r="ER710" s="83"/>
      <c r="ES710" s="58"/>
      <c r="ET710" s="83"/>
      <c r="EU710" s="58"/>
    </row>
    <row r="711" spans="1:151">
      <c r="A711" s="42" t="s">
        <v>321</v>
      </c>
      <c r="B711" s="173" t="s">
        <v>223</v>
      </c>
      <c r="C711" s="173" t="s">
        <v>519</v>
      </c>
      <c r="D711" s="83" t="s">
        <v>96</v>
      </c>
      <c r="F711" s="49" t="s">
        <v>286</v>
      </c>
      <c r="G711" s="60">
        <v>2.7285333333333335</v>
      </c>
      <c r="H711" s="49">
        <v>4331</v>
      </c>
      <c r="I711" s="49">
        <v>2274</v>
      </c>
      <c r="J711" s="159">
        <v>1.3038990825688073</v>
      </c>
      <c r="K711" s="49">
        <v>1</v>
      </c>
      <c r="L711" s="49">
        <v>2</v>
      </c>
      <c r="M711" s="83">
        <v>0</v>
      </c>
      <c r="N711" s="49">
        <v>0</v>
      </c>
      <c r="O711" s="49">
        <v>1</v>
      </c>
      <c r="P711" s="49">
        <v>1</v>
      </c>
      <c r="Q711" s="58">
        <v>0</v>
      </c>
      <c r="R711" s="42">
        <v>2</v>
      </c>
      <c r="S711" s="83" t="s">
        <v>283</v>
      </c>
      <c r="T711" s="49">
        <v>4</v>
      </c>
      <c r="U711" s="83">
        <v>0</v>
      </c>
      <c r="V711" s="49">
        <v>0</v>
      </c>
      <c r="W711" s="49">
        <v>0</v>
      </c>
      <c r="X711" s="58"/>
      <c r="Y711" s="83">
        <v>1</v>
      </c>
      <c r="Z711" s="49">
        <v>3</v>
      </c>
      <c r="AA711" s="49">
        <v>9</v>
      </c>
      <c r="AD711" s="49">
        <v>18</v>
      </c>
      <c r="AE711" s="49">
        <v>47</v>
      </c>
      <c r="AJ711" s="49">
        <v>1</v>
      </c>
      <c r="AK711" s="83">
        <v>0</v>
      </c>
      <c r="AL711" s="49">
        <v>1</v>
      </c>
      <c r="AM711" s="49">
        <v>0</v>
      </c>
      <c r="AN711" s="49">
        <v>0</v>
      </c>
      <c r="AO711" s="58">
        <v>0</v>
      </c>
      <c r="AP711" s="174">
        <v>862</v>
      </c>
      <c r="AQ711" s="175">
        <v>1209</v>
      </c>
      <c r="AR711" s="175">
        <v>0</v>
      </c>
      <c r="AS711" s="175">
        <v>0</v>
      </c>
      <c r="AT711" s="175">
        <v>0</v>
      </c>
      <c r="AU711" s="175">
        <v>0</v>
      </c>
      <c r="AV711" s="175">
        <v>0</v>
      </c>
      <c r="AW711" s="175">
        <v>0</v>
      </c>
      <c r="AX711" s="83">
        <v>0</v>
      </c>
      <c r="AY711" s="49">
        <v>0</v>
      </c>
      <c r="AZ711" s="49">
        <v>0</v>
      </c>
      <c r="BA711" s="49">
        <v>1</v>
      </c>
      <c r="BB711" s="58">
        <v>1</v>
      </c>
      <c r="BC711" s="42">
        <v>105</v>
      </c>
      <c r="BS711" s="58"/>
      <c r="BT711" s="83"/>
      <c r="CE711" s="83"/>
      <c r="CK711" s="58"/>
      <c r="CL711" s="83"/>
      <c r="CO711" s="58"/>
      <c r="CP711" s="83"/>
      <c r="CR711" s="58"/>
      <c r="CS711" s="83"/>
      <c r="CY711" s="83"/>
      <c r="DG711" s="58"/>
      <c r="DH711" s="83"/>
      <c r="DQ711" s="83"/>
      <c r="EE711" s="58"/>
      <c r="EF711" s="83"/>
      <c r="EI711" s="83"/>
      <c r="EK711" s="58"/>
      <c r="EL711" s="83"/>
      <c r="EO711" s="58"/>
      <c r="EP711" s="83"/>
      <c r="EQ711" s="58"/>
      <c r="ER711" s="83"/>
      <c r="ES711" s="58"/>
      <c r="ET711" s="83"/>
      <c r="EU711" s="58"/>
    </row>
    <row r="712" spans="1:151">
      <c r="A712" s="42" t="s">
        <v>321</v>
      </c>
      <c r="B712" s="173" t="s">
        <v>223</v>
      </c>
      <c r="C712" s="173" t="s">
        <v>519</v>
      </c>
      <c r="D712" s="83" t="s">
        <v>97</v>
      </c>
      <c r="F712" s="49" t="s">
        <v>287</v>
      </c>
      <c r="G712" s="60">
        <v>2.7285333333333335</v>
      </c>
      <c r="I712" s="49">
        <v>445</v>
      </c>
      <c r="J712" s="159">
        <v>1.1209068010075567</v>
      </c>
      <c r="K712" s="49">
        <v>1</v>
      </c>
      <c r="L712" s="49">
        <v>2</v>
      </c>
      <c r="M712" s="83">
        <v>0</v>
      </c>
      <c r="N712" s="49">
        <v>0</v>
      </c>
      <c r="O712" s="49">
        <v>1</v>
      </c>
      <c r="P712" s="49">
        <v>1</v>
      </c>
      <c r="Q712" s="58">
        <v>0</v>
      </c>
      <c r="R712" s="42">
        <v>2</v>
      </c>
      <c r="S712" s="83">
        <v>1</v>
      </c>
      <c r="U712" s="83">
        <v>1</v>
      </c>
      <c r="V712" s="49">
        <v>3</v>
      </c>
      <c r="W712" s="49">
        <v>1</v>
      </c>
      <c r="X712" s="58">
        <v>1</v>
      </c>
      <c r="Y712" s="83">
        <v>0</v>
      </c>
      <c r="AJ712" s="49">
        <v>0</v>
      </c>
      <c r="AK712" s="83">
        <v>0</v>
      </c>
      <c r="AL712" s="49">
        <v>1</v>
      </c>
      <c r="AM712" s="49">
        <v>0</v>
      </c>
      <c r="AN712" s="49">
        <v>0</v>
      </c>
      <c r="AO712" s="58">
        <v>0</v>
      </c>
      <c r="AP712" s="174">
        <v>0</v>
      </c>
      <c r="AQ712" s="175">
        <v>330</v>
      </c>
      <c r="AR712" s="175">
        <v>0</v>
      </c>
      <c r="AS712" s="175">
        <v>0</v>
      </c>
      <c r="AT712" s="175">
        <v>0</v>
      </c>
      <c r="AU712" s="175">
        <v>0</v>
      </c>
      <c r="AV712" s="175">
        <v>0</v>
      </c>
      <c r="AW712" s="175">
        <v>0</v>
      </c>
      <c r="AX712" s="83">
        <v>0</v>
      </c>
      <c r="AY712" s="49">
        <v>0</v>
      </c>
      <c r="AZ712" s="49">
        <v>0</v>
      </c>
      <c r="BA712" s="49">
        <v>0</v>
      </c>
      <c r="BB712" s="58">
        <v>0</v>
      </c>
      <c r="BC712" s="42">
        <v>66</v>
      </c>
      <c r="BD712" s="49">
        <v>84.26</v>
      </c>
      <c r="BE712" s="159">
        <v>85.09</v>
      </c>
      <c r="BS712" s="58"/>
      <c r="BT712" s="83">
        <v>79.23</v>
      </c>
      <c r="BU712" s="49">
        <v>77.489999999999995</v>
      </c>
      <c r="CE712" s="83"/>
      <c r="CK712" s="58"/>
      <c r="CL712" s="83"/>
      <c r="CO712" s="58"/>
      <c r="CP712" s="83"/>
      <c r="CR712" s="58"/>
      <c r="CS712" s="83"/>
      <c r="CY712" s="83"/>
      <c r="DG712" s="58"/>
      <c r="DH712" s="83"/>
      <c r="DQ712" s="83"/>
      <c r="EE712" s="58"/>
      <c r="EF712" s="83"/>
      <c r="EI712" s="83">
        <v>84.72</v>
      </c>
      <c r="EK712" s="58"/>
      <c r="EL712" s="83"/>
      <c r="EO712" s="58"/>
      <c r="EP712" s="83"/>
      <c r="EQ712" s="58"/>
      <c r="ER712" s="83"/>
      <c r="ES712" s="58"/>
      <c r="ET712" s="83"/>
      <c r="EU712" s="58"/>
    </row>
    <row r="713" spans="1:151">
      <c r="A713" s="173" t="s">
        <v>321</v>
      </c>
      <c r="B713" s="173" t="s">
        <v>223</v>
      </c>
      <c r="C713" s="173" t="s">
        <v>519</v>
      </c>
      <c r="D713" s="83" t="s">
        <v>98</v>
      </c>
      <c r="F713" s="49" t="s">
        <v>286</v>
      </c>
      <c r="G713" s="60">
        <v>2.7285333333333335</v>
      </c>
      <c r="H713" s="49">
        <v>4331</v>
      </c>
      <c r="I713" s="49">
        <v>1781</v>
      </c>
      <c r="J713" s="159">
        <v>1.772139303482587</v>
      </c>
      <c r="K713" s="49">
        <v>1</v>
      </c>
      <c r="L713" s="49">
        <v>2</v>
      </c>
      <c r="M713" s="83">
        <v>0</v>
      </c>
      <c r="N713" s="49">
        <v>2</v>
      </c>
      <c r="O713" s="49">
        <v>1</v>
      </c>
      <c r="P713" s="49">
        <v>0</v>
      </c>
      <c r="Q713" s="58">
        <v>0</v>
      </c>
      <c r="R713" s="42">
        <v>3</v>
      </c>
      <c r="S713" s="83" t="s">
        <v>283</v>
      </c>
      <c r="T713" s="49">
        <v>4</v>
      </c>
      <c r="U713" s="83">
        <v>1</v>
      </c>
      <c r="V713" s="49">
        <v>2</v>
      </c>
      <c r="W713" s="49">
        <v>1</v>
      </c>
      <c r="X713" s="58">
        <v>1</v>
      </c>
      <c r="Y713" s="83">
        <v>2</v>
      </c>
      <c r="Z713" s="49">
        <v>4</v>
      </c>
      <c r="AA713" s="49">
        <v>90</v>
      </c>
      <c r="AD713" s="49">
        <v>32</v>
      </c>
      <c r="AE713" s="49">
        <v>163</v>
      </c>
      <c r="AF713" s="49">
        <v>20</v>
      </c>
      <c r="AG713" s="49">
        <v>73</v>
      </c>
      <c r="AJ713" s="49">
        <v>1</v>
      </c>
      <c r="AK713" s="83">
        <v>0</v>
      </c>
      <c r="AL713" s="49">
        <v>1</v>
      </c>
      <c r="AM713" s="49">
        <v>0</v>
      </c>
      <c r="AN713" s="49">
        <v>0</v>
      </c>
      <c r="AO713" s="58">
        <v>0</v>
      </c>
      <c r="AP713" s="174">
        <v>0</v>
      </c>
      <c r="AQ713" s="175">
        <v>469</v>
      </c>
      <c r="AR713" s="175">
        <v>0</v>
      </c>
      <c r="AS713" s="175">
        <v>0</v>
      </c>
      <c r="AT713" s="175">
        <v>0</v>
      </c>
      <c r="AU713" s="175">
        <v>0</v>
      </c>
      <c r="AV713" s="175">
        <v>0</v>
      </c>
      <c r="AW713" s="175">
        <v>0</v>
      </c>
      <c r="AX713" s="83">
        <v>0</v>
      </c>
      <c r="AY713" s="49">
        <v>0</v>
      </c>
      <c r="AZ713" s="49">
        <v>0</v>
      </c>
      <c r="BA713" s="49">
        <v>0</v>
      </c>
      <c r="BB713" s="58">
        <v>0</v>
      </c>
      <c r="BC713" s="42">
        <v>115</v>
      </c>
      <c r="BS713" s="58"/>
      <c r="BT713" s="83"/>
      <c r="CE713" s="83"/>
      <c r="CK713" s="58"/>
      <c r="CL713" s="83"/>
      <c r="CO713" s="58"/>
      <c r="CP713" s="83"/>
      <c r="CR713" s="58"/>
      <c r="CS713" s="83"/>
      <c r="CY713" s="83"/>
      <c r="DG713" s="58"/>
      <c r="DH713" s="83"/>
      <c r="DQ713" s="83"/>
      <c r="EE713" s="58"/>
      <c r="EF713" s="83"/>
      <c r="EI713" s="83"/>
      <c r="EK713" s="58"/>
      <c r="EL713" s="83"/>
      <c r="EO713" s="58"/>
      <c r="EP713" s="83"/>
      <c r="EQ713" s="58"/>
      <c r="ER713" s="83"/>
      <c r="ES713" s="58"/>
      <c r="ET713" s="83"/>
      <c r="EU713" s="58"/>
    </row>
    <row r="714" spans="1:151">
      <c r="A714" s="42" t="s">
        <v>321</v>
      </c>
      <c r="B714" s="173" t="s">
        <v>223</v>
      </c>
      <c r="C714" s="173" t="s">
        <v>519</v>
      </c>
      <c r="D714" s="83" t="s">
        <v>99</v>
      </c>
      <c r="E714" s="49" t="s">
        <v>0</v>
      </c>
      <c r="F714" s="49" t="s">
        <v>7</v>
      </c>
      <c r="G714" s="60">
        <v>2.7285333333333335</v>
      </c>
      <c r="H714" s="49">
        <v>4331</v>
      </c>
      <c r="I714" s="49">
        <v>1914</v>
      </c>
      <c r="J714" s="159">
        <v>1.5599022004889975</v>
      </c>
      <c r="K714" s="49">
        <v>4</v>
      </c>
      <c r="L714" s="49">
        <v>3</v>
      </c>
      <c r="M714" s="83">
        <v>0</v>
      </c>
      <c r="N714" s="49">
        <v>0</v>
      </c>
      <c r="O714" s="49">
        <v>1</v>
      </c>
      <c r="P714" s="49">
        <v>1</v>
      </c>
      <c r="Q714" s="58">
        <v>0</v>
      </c>
      <c r="R714" s="42">
        <v>2</v>
      </c>
      <c r="S714" s="83">
        <v>1</v>
      </c>
      <c r="U714" s="83">
        <v>1</v>
      </c>
      <c r="V714" s="49">
        <v>3</v>
      </c>
      <c r="W714" s="49">
        <v>1</v>
      </c>
      <c r="X714" s="58">
        <v>1</v>
      </c>
      <c r="Y714" s="83">
        <v>0</v>
      </c>
      <c r="Z714" s="49">
        <v>0</v>
      </c>
      <c r="AA714" s="49">
        <v>0</v>
      </c>
      <c r="AB714" s="49">
        <v>0</v>
      </c>
      <c r="AC714" s="49">
        <v>0</v>
      </c>
      <c r="AD714" s="49">
        <v>0</v>
      </c>
      <c r="AE714" s="49">
        <v>0</v>
      </c>
      <c r="AF714" s="49">
        <v>0</v>
      </c>
      <c r="AG714" s="49">
        <v>0</v>
      </c>
      <c r="AH714" s="49">
        <v>0</v>
      </c>
      <c r="AI714" s="49">
        <v>0</v>
      </c>
      <c r="AJ714" s="49">
        <v>0</v>
      </c>
      <c r="AK714" s="83">
        <v>0</v>
      </c>
      <c r="AL714" s="49">
        <v>1</v>
      </c>
      <c r="AM714" s="49">
        <v>0</v>
      </c>
      <c r="AN714" s="49">
        <v>0</v>
      </c>
      <c r="AO714" s="58">
        <v>0</v>
      </c>
      <c r="AP714" s="174">
        <v>0</v>
      </c>
      <c r="AQ714" s="175">
        <v>868</v>
      </c>
      <c r="AR714" s="175">
        <v>0</v>
      </c>
      <c r="AS714" s="175">
        <v>0</v>
      </c>
      <c r="AT714" s="175">
        <v>0</v>
      </c>
      <c r="AU714" s="175">
        <v>0</v>
      </c>
      <c r="AV714" s="175">
        <v>0</v>
      </c>
      <c r="AW714" s="175">
        <v>0</v>
      </c>
      <c r="AX714" s="83">
        <v>0</v>
      </c>
      <c r="AY714" s="49">
        <v>0</v>
      </c>
      <c r="AZ714" s="49">
        <v>0</v>
      </c>
      <c r="BA714" s="49">
        <v>0</v>
      </c>
      <c r="BB714" s="58">
        <v>0</v>
      </c>
      <c r="BC714" s="42">
        <v>130</v>
      </c>
      <c r="BS714" s="58"/>
      <c r="BT714" s="83"/>
      <c r="CE714" s="83"/>
      <c r="CK714" s="58"/>
      <c r="CL714" s="83"/>
      <c r="CO714" s="58"/>
      <c r="CP714" s="83"/>
      <c r="CR714" s="58"/>
      <c r="CS714" s="83"/>
      <c r="CY714" s="83"/>
      <c r="DG714" s="58"/>
      <c r="DH714" s="83"/>
      <c r="DQ714" s="83"/>
      <c r="EE714" s="58"/>
      <c r="EF714" s="83"/>
      <c r="EI714" s="83"/>
      <c r="EK714" s="58"/>
      <c r="EL714" s="83"/>
      <c r="EO714" s="58"/>
      <c r="EP714" s="83"/>
      <c r="EQ714" s="58"/>
      <c r="ER714" s="83"/>
      <c r="ES714" s="58"/>
      <c r="ET714" s="83"/>
      <c r="EU714" s="58"/>
    </row>
    <row r="715" spans="1:151">
      <c r="A715" s="42" t="s">
        <v>321</v>
      </c>
      <c r="B715" s="173" t="s">
        <v>223</v>
      </c>
      <c r="C715" s="173" t="s">
        <v>519</v>
      </c>
      <c r="D715" s="83" t="s">
        <v>99</v>
      </c>
      <c r="E715" s="49" t="s">
        <v>1</v>
      </c>
      <c r="F715" s="49" t="s">
        <v>286</v>
      </c>
      <c r="G715" s="60">
        <v>2.7285333333333335</v>
      </c>
      <c r="H715" s="49">
        <v>4331</v>
      </c>
      <c r="I715" s="49">
        <v>1633</v>
      </c>
      <c r="J715" s="159">
        <v>1.3011952191235059</v>
      </c>
      <c r="K715" s="49">
        <v>1</v>
      </c>
      <c r="L715" s="49">
        <v>2</v>
      </c>
      <c r="M715" s="83">
        <v>0</v>
      </c>
      <c r="N715" s="49">
        <v>0</v>
      </c>
      <c r="O715" s="49">
        <v>1</v>
      </c>
      <c r="P715" s="49">
        <v>1</v>
      </c>
      <c r="Q715" s="58">
        <v>0</v>
      </c>
      <c r="R715" s="42">
        <v>2</v>
      </c>
      <c r="S715" s="83" t="s">
        <v>283</v>
      </c>
      <c r="T715" s="49">
        <v>4</v>
      </c>
      <c r="U715" s="83">
        <v>1</v>
      </c>
      <c r="V715" s="49">
        <v>2</v>
      </c>
      <c r="W715" s="49">
        <v>2</v>
      </c>
      <c r="X715" s="58"/>
      <c r="Y715" s="83">
        <v>0</v>
      </c>
      <c r="AJ715" s="49">
        <v>0</v>
      </c>
      <c r="AK715" s="83">
        <v>0</v>
      </c>
      <c r="AL715" s="49">
        <v>1</v>
      </c>
      <c r="AM715" s="49">
        <v>0</v>
      </c>
      <c r="AN715" s="49">
        <v>0</v>
      </c>
      <c r="AO715" s="58">
        <v>0</v>
      </c>
      <c r="AP715" s="174" t="s">
        <v>501</v>
      </c>
      <c r="AQ715" s="175" t="s">
        <v>501</v>
      </c>
      <c r="AR715" s="175" t="s">
        <v>284</v>
      </c>
      <c r="AS715" s="175" t="s">
        <v>284</v>
      </c>
      <c r="AT715" s="175" t="s">
        <v>284</v>
      </c>
      <c r="AU715" s="175" t="s">
        <v>284</v>
      </c>
      <c r="AV715" s="175" t="s">
        <v>284</v>
      </c>
      <c r="AW715" s="175" t="s">
        <v>284</v>
      </c>
      <c r="AX715" s="83">
        <v>0</v>
      </c>
      <c r="AY715" s="49">
        <v>0</v>
      </c>
      <c r="AZ715" s="49">
        <v>0</v>
      </c>
      <c r="BA715" s="49">
        <v>0</v>
      </c>
      <c r="BB715" s="58">
        <v>0</v>
      </c>
      <c r="BC715" s="42">
        <v>130</v>
      </c>
      <c r="BS715" s="58"/>
      <c r="BT715" s="83"/>
      <c r="CE715" s="83"/>
      <c r="CK715" s="58"/>
      <c r="CL715" s="83"/>
      <c r="CO715" s="58"/>
      <c r="CP715" s="83"/>
      <c r="CR715" s="58"/>
      <c r="CS715" s="83"/>
      <c r="CY715" s="83"/>
      <c r="DG715" s="58"/>
      <c r="DH715" s="83"/>
      <c r="DQ715" s="83"/>
      <c r="EE715" s="58"/>
      <c r="EF715" s="83"/>
      <c r="EI715" s="83"/>
      <c r="EK715" s="58"/>
      <c r="EL715" s="83"/>
      <c r="EO715" s="58"/>
      <c r="EP715" s="83"/>
      <c r="EQ715" s="58"/>
      <c r="ER715" s="83"/>
      <c r="ES715" s="58"/>
      <c r="ET715" s="83"/>
      <c r="EU715" s="58"/>
    </row>
    <row r="716" spans="1:151">
      <c r="A716" s="42" t="s">
        <v>321</v>
      </c>
      <c r="B716" s="173" t="s">
        <v>223</v>
      </c>
      <c r="C716" s="173" t="s">
        <v>519</v>
      </c>
      <c r="D716" s="83" t="s">
        <v>100</v>
      </c>
      <c r="F716" s="49" t="s">
        <v>286</v>
      </c>
      <c r="G716" s="60">
        <v>2.7285333333333335</v>
      </c>
      <c r="H716" s="49">
        <v>4331</v>
      </c>
      <c r="I716" s="49">
        <v>2262</v>
      </c>
      <c r="J716" s="159">
        <v>1.6008492569002124</v>
      </c>
      <c r="K716" s="49">
        <v>4</v>
      </c>
      <c r="L716" s="49">
        <v>3</v>
      </c>
      <c r="M716" s="83">
        <v>1</v>
      </c>
      <c r="N716" s="49">
        <v>0</v>
      </c>
      <c r="O716" s="49">
        <v>0</v>
      </c>
      <c r="P716" s="49">
        <v>1</v>
      </c>
      <c r="Q716" s="58">
        <v>0</v>
      </c>
      <c r="R716" s="42">
        <v>2</v>
      </c>
      <c r="S716" s="83" t="s">
        <v>283</v>
      </c>
      <c r="T716" s="49">
        <v>3</v>
      </c>
      <c r="U716" s="83">
        <v>1</v>
      </c>
      <c r="V716" s="49">
        <v>3</v>
      </c>
      <c r="W716" s="49">
        <v>2</v>
      </c>
      <c r="X716" s="58"/>
      <c r="Y716" s="83">
        <v>2</v>
      </c>
      <c r="Z716" s="49">
        <v>7</v>
      </c>
      <c r="AA716" s="49">
        <v>27</v>
      </c>
      <c r="AD716" s="49">
        <v>7</v>
      </c>
      <c r="AE716" s="49">
        <v>64</v>
      </c>
      <c r="AF716" s="49">
        <v>5</v>
      </c>
      <c r="AG716" s="49">
        <v>18</v>
      </c>
      <c r="AI716" s="49">
        <v>121</v>
      </c>
      <c r="AJ716" s="49">
        <v>1</v>
      </c>
      <c r="AK716" s="83">
        <v>0</v>
      </c>
      <c r="AL716" s="49">
        <v>0</v>
      </c>
      <c r="AM716" s="49">
        <v>1</v>
      </c>
      <c r="AN716" s="49">
        <v>0</v>
      </c>
      <c r="AO716" s="58">
        <v>0</v>
      </c>
      <c r="AP716" s="174" t="s">
        <v>284</v>
      </c>
      <c r="AQ716" s="175" t="s">
        <v>284</v>
      </c>
      <c r="AR716" s="175" t="s">
        <v>501</v>
      </c>
      <c r="AS716" s="175" t="s">
        <v>501</v>
      </c>
      <c r="AT716" s="175" t="s">
        <v>284</v>
      </c>
      <c r="AU716" s="175" t="s">
        <v>284</v>
      </c>
      <c r="AV716" s="175" t="s">
        <v>284</v>
      </c>
      <c r="AW716" s="175" t="s">
        <v>284</v>
      </c>
      <c r="AX716" s="83">
        <v>0</v>
      </c>
      <c r="AY716" s="49">
        <v>0</v>
      </c>
      <c r="AZ716" s="49">
        <v>0</v>
      </c>
      <c r="BA716" s="49">
        <v>0</v>
      </c>
      <c r="BB716" s="58">
        <v>0</v>
      </c>
      <c r="BC716" s="42">
        <v>100</v>
      </c>
      <c r="BS716" s="58"/>
      <c r="BT716" s="83"/>
      <c r="CE716" s="83"/>
      <c r="CK716" s="58"/>
      <c r="CL716" s="83"/>
      <c r="CO716" s="58"/>
      <c r="CP716" s="83"/>
      <c r="CR716" s="58"/>
      <c r="CS716" s="83"/>
      <c r="CY716" s="83"/>
      <c r="DG716" s="58"/>
      <c r="DH716" s="83"/>
      <c r="DQ716" s="83"/>
      <c r="EE716" s="58"/>
      <c r="EF716" s="83"/>
      <c r="EI716" s="83"/>
      <c r="EK716" s="58"/>
      <c r="EL716" s="83"/>
      <c r="EO716" s="58"/>
      <c r="EP716" s="83"/>
      <c r="EQ716" s="58"/>
      <c r="ER716" s="83"/>
      <c r="ES716" s="58"/>
      <c r="ET716" s="83"/>
      <c r="EU716" s="58"/>
    </row>
    <row r="717" spans="1:151">
      <c r="A717" s="42" t="s">
        <v>321</v>
      </c>
      <c r="B717" s="173" t="s">
        <v>223</v>
      </c>
      <c r="C717" s="173" t="s">
        <v>519</v>
      </c>
      <c r="D717" s="83" t="s">
        <v>114</v>
      </c>
      <c r="F717" s="49" t="s">
        <v>286</v>
      </c>
      <c r="G717" s="60">
        <v>2.7285333333333335</v>
      </c>
      <c r="H717" s="49">
        <v>4331</v>
      </c>
      <c r="I717" s="49">
        <v>2139</v>
      </c>
      <c r="J717" s="159">
        <v>1.9392565729827742</v>
      </c>
      <c r="K717" s="49">
        <v>1</v>
      </c>
      <c r="L717" s="49">
        <v>1</v>
      </c>
      <c r="M717" s="83">
        <v>0</v>
      </c>
      <c r="N717" s="49">
        <v>0</v>
      </c>
      <c r="O717" s="49">
        <v>0</v>
      </c>
      <c r="P717" s="49">
        <v>1</v>
      </c>
      <c r="Q717" s="58">
        <v>0</v>
      </c>
      <c r="R717" s="42">
        <v>1</v>
      </c>
      <c r="S717" s="83" t="s">
        <v>283</v>
      </c>
      <c r="T717" s="49">
        <v>4</v>
      </c>
      <c r="U717" s="83">
        <v>2</v>
      </c>
      <c r="V717" s="49">
        <v>3</v>
      </c>
      <c r="W717" s="49">
        <v>1</v>
      </c>
      <c r="X717" s="58">
        <v>2</v>
      </c>
      <c r="Y717" s="83">
        <v>2</v>
      </c>
      <c r="AD717" s="49">
        <v>23</v>
      </c>
      <c r="AE717" s="49">
        <v>101</v>
      </c>
      <c r="AF717" s="49">
        <v>19</v>
      </c>
      <c r="AG717" s="49">
        <v>117</v>
      </c>
      <c r="AJ717" s="49">
        <v>1</v>
      </c>
      <c r="AK717" s="83">
        <v>0</v>
      </c>
      <c r="AL717" s="49">
        <v>1</v>
      </c>
      <c r="AM717" s="49">
        <v>2</v>
      </c>
      <c r="AN717" s="49">
        <v>0</v>
      </c>
      <c r="AO717" s="58">
        <v>0</v>
      </c>
      <c r="AP717" s="174">
        <v>132</v>
      </c>
      <c r="AQ717" s="175">
        <v>214</v>
      </c>
      <c r="AR717" s="175">
        <v>0</v>
      </c>
      <c r="AS717" s="175">
        <v>614</v>
      </c>
      <c r="AT717" s="175" t="s">
        <v>284</v>
      </c>
      <c r="AU717" s="175" t="s">
        <v>284</v>
      </c>
      <c r="AV717" s="175" t="s">
        <v>284</v>
      </c>
      <c r="AW717" s="175" t="s">
        <v>284</v>
      </c>
      <c r="AX717" s="83">
        <v>0</v>
      </c>
      <c r="AY717" s="49">
        <v>0</v>
      </c>
      <c r="AZ717" s="49">
        <v>0</v>
      </c>
      <c r="BA717" s="49">
        <v>0</v>
      </c>
      <c r="BB717" s="58">
        <v>0</v>
      </c>
      <c r="BC717" s="42">
        <v>121</v>
      </c>
      <c r="BS717" s="58"/>
      <c r="BT717" s="83"/>
      <c r="CE717" s="83"/>
      <c r="CK717" s="58"/>
      <c r="CL717" s="83"/>
      <c r="CO717" s="58"/>
      <c r="CP717" s="83"/>
      <c r="CR717" s="58"/>
      <c r="CS717" s="83"/>
      <c r="CY717" s="83"/>
      <c r="DG717" s="58"/>
      <c r="DH717" s="83"/>
      <c r="DQ717" s="83"/>
      <c r="EE717" s="58"/>
      <c r="EF717" s="83"/>
      <c r="EI717" s="83"/>
      <c r="EK717" s="58"/>
      <c r="EL717" s="83"/>
      <c r="EO717" s="58"/>
      <c r="EP717" s="83"/>
      <c r="EQ717" s="58"/>
      <c r="ER717" s="83"/>
      <c r="ES717" s="58"/>
      <c r="ET717" s="83"/>
      <c r="EU717" s="58"/>
    </row>
    <row r="718" spans="1:151">
      <c r="A718" s="42" t="s">
        <v>321</v>
      </c>
      <c r="B718" s="173" t="s">
        <v>223</v>
      </c>
      <c r="C718" s="173" t="s">
        <v>519</v>
      </c>
      <c r="D718" s="83" t="s">
        <v>119</v>
      </c>
      <c r="F718" s="49" t="s">
        <v>287</v>
      </c>
      <c r="G718" s="60">
        <v>2.7285333333333335</v>
      </c>
      <c r="H718" s="49">
        <v>4331</v>
      </c>
      <c r="I718" s="49">
        <v>603</v>
      </c>
      <c r="J718" s="159">
        <v>1.352017937219731</v>
      </c>
      <c r="K718" s="49">
        <v>4</v>
      </c>
      <c r="L718" s="49">
        <v>3</v>
      </c>
      <c r="M718" s="83">
        <v>0</v>
      </c>
      <c r="N718" s="49">
        <v>3</v>
      </c>
      <c r="O718" s="49">
        <v>0</v>
      </c>
      <c r="P718" s="49">
        <v>0</v>
      </c>
      <c r="Q718" s="58">
        <v>0</v>
      </c>
      <c r="R718" s="42">
        <v>3</v>
      </c>
      <c r="S718" s="83" t="s">
        <v>283</v>
      </c>
      <c r="T718" s="49">
        <v>2</v>
      </c>
      <c r="U718" s="83">
        <v>1</v>
      </c>
      <c r="V718" s="49">
        <v>4</v>
      </c>
      <c r="W718" s="49">
        <v>2</v>
      </c>
      <c r="X718" s="58"/>
      <c r="Y718" s="83">
        <v>15</v>
      </c>
      <c r="Z718" s="49">
        <v>4</v>
      </c>
      <c r="AA718" s="49">
        <v>24</v>
      </c>
      <c r="AD718" s="49">
        <v>7</v>
      </c>
      <c r="AE718" s="49">
        <v>45</v>
      </c>
      <c r="AF718" s="49">
        <v>5</v>
      </c>
      <c r="AG718" s="49">
        <v>142</v>
      </c>
      <c r="AI718" s="49">
        <v>86</v>
      </c>
      <c r="AJ718" s="49">
        <v>1</v>
      </c>
      <c r="AK718" s="83">
        <v>0</v>
      </c>
      <c r="AL718" s="49">
        <v>0</v>
      </c>
      <c r="AM718" s="49">
        <v>0</v>
      </c>
      <c r="AN718" s="49">
        <v>0</v>
      </c>
      <c r="AO718" s="58">
        <v>0</v>
      </c>
      <c r="AP718" s="174" t="s">
        <v>284</v>
      </c>
      <c r="AQ718" s="175" t="s">
        <v>284</v>
      </c>
      <c r="AR718" s="175" t="s">
        <v>284</v>
      </c>
      <c r="AS718" s="175" t="s">
        <v>284</v>
      </c>
      <c r="AT718" s="175" t="s">
        <v>284</v>
      </c>
      <c r="AU718" s="175" t="s">
        <v>284</v>
      </c>
      <c r="AV718" s="175" t="s">
        <v>284</v>
      </c>
      <c r="AW718" s="175" t="s">
        <v>284</v>
      </c>
      <c r="AX718" s="83">
        <v>0</v>
      </c>
      <c r="AY718" s="49">
        <v>0</v>
      </c>
      <c r="AZ718" s="49">
        <v>0</v>
      </c>
      <c r="BA718" s="49">
        <v>0</v>
      </c>
      <c r="BB718" s="58">
        <v>0</v>
      </c>
      <c r="BC718" s="42">
        <v>72</v>
      </c>
      <c r="BD718" s="49">
        <v>82.7</v>
      </c>
      <c r="BE718" s="159">
        <v>80.72</v>
      </c>
      <c r="BS718" s="58"/>
      <c r="BT718" s="83"/>
      <c r="CE718" s="83"/>
      <c r="CK718" s="58"/>
      <c r="CL718" s="83"/>
      <c r="CO718" s="58"/>
      <c r="CP718" s="83"/>
      <c r="CR718" s="58"/>
      <c r="CS718" s="83"/>
      <c r="CY718" s="83"/>
      <c r="DG718" s="58"/>
      <c r="DH718" s="83"/>
      <c r="DQ718" s="83">
        <v>76.400000000000006</v>
      </c>
      <c r="DR718" s="49">
        <v>76.83</v>
      </c>
      <c r="EE718" s="58"/>
      <c r="EF718" s="83"/>
      <c r="EI718" s="83"/>
      <c r="EK718" s="58"/>
      <c r="EL718" s="83"/>
      <c r="EO718" s="58"/>
      <c r="EP718" s="83"/>
      <c r="EQ718" s="58"/>
      <c r="ER718" s="83"/>
      <c r="ES718" s="58"/>
      <c r="ET718" s="83"/>
      <c r="EU718" s="58"/>
    </row>
    <row r="719" spans="1:151">
      <c r="A719" s="42" t="s">
        <v>321</v>
      </c>
      <c r="B719" s="173" t="s">
        <v>223</v>
      </c>
      <c r="C719" s="173" t="s">
        <v>519</v>
      </c>
      <c r="D719" s="83" t="s">
        <v>120</v>
      </c>
      <c r="E719" s="49" t="s">
        <v>0</v>
      </c>
      <c r="F719" s="49" t="s">
        <v>286</v>
      </c>
      <c r="G719" s="60">
        <v>2.7285333333333335</v>
      </c>
      <c r="H719" s="49">
        <v>4331</v>
      </c>
      <c r="I719" s="49">
        <v>1951</v>
      </c>
      <c r="J719" s="159">
        <v>3.8031189083820665</v>
      </c>
      <c r="K719" s="49">
        <v>1</v>
      </c>
      <c r="L719" s="49">
        <v>2</v>
      </c>
      <c r="M719" s="83">
        <v>0</v>
      </c>
      <c r="N719" s="49">
        <v>0</v>
      </c>
      <c r="O719" s="49">
        <v>0</v>
      </c>
      <c r="P719" s="49">
        <v>1</v>
      </c>
      <c r="Q719" s="58">
        <v>0</v>
      </c>
      <c r="R719" s="42">
        <v>1</v>
      </c>
      <c r="S719" s="83" t="s">
        <v>283</v>
      </c>
      <c r="T719" s="49">
        <v>3</v>
      </c>
      <c r="U719" s="83">
        <v>1</v>
      </c>
      <c r="V719" s="49">
        <v>2</v>
      </c>
      <c r="W719" s="49">
        <v>2</v>
      </c>
      <c r="X719" s="58"/>
      <c r="Y719" s="83">
        <v>2</v>
      </c>
      <c r="Z719" s="49">
        <v>7</v>
      </c>
      <c r="AA719" s="49">
        <v>10</v>
      </c>
      <c r="AD719" s="49">
        <v>10</v>
      </c>
      <c r="AE719" s="49">
        <v>24</v>
      </c>
      <c r="AF719" s="49">
        <v>5</v>
      </c>
      <c r="AG719" s="49">
        <v>28</v>
      </c>
      <c r="AJ719" s="49">
        <v>0</v>
      </c>
      <c r="AK719" s="83">
        <v>0</v>
      </c>
      <c r="AL719" s="49">
        <v>1</v>
      </c>
      <c r="AM719" s="49">
        <v>0</v>
      </c>
      <c r="AN719" s="49">
        <v>0</v>
      </c>
      <c r="AO719" s="58">
        <v>0</v>
      </c>
      <c r="AP719" s="174">
        <v>193</v>
      </c>
      <c r="AQ719" s="175">
        <v>203</v>
      </c>
      <c r="AR719" s="175" t="s">
        <v>284</v>
      </c>
      <c r="AS719" s="175" t="s">
        <v>284</v>
      </c>
      <c r="AT719" s="175" t="s">
        <v>284</v>
      </c>
      <c r="AU719" s="175" t="s">
        <v>284</v>
      </c>
      <c r="AV719" s="175" t="s">
        <v>284</v>
      </c>
      <c r="AW719" s="175" t="s">
        <v>284</v>
      </c>
      <c r="AX719" s="83">
        <v>0</v>
      </c>
      <c r="AY719" s="49">
        <v>0</v>
      </c>
      <c r="AZ719" s="49">
        <v>0</v>
      </c>
      <c r="BA719" s="49">
        <v>0</v>
      </c>
      <c r="BB719" s="58">
        <v>0</v>
      </c>
      <c r="BC719" s="42">
        <v>137</v>
      </c>
      <c r="BD719" s="49">
        <v>74.69</v>
      </c>
      <c r="BE719" s="159">
        <v>75.56</v>
      </c>
      <c r="BS719" s="58"/>
      <c r="BT719" s="83">
        <v>81.209999999999994</v>
      </c>
      <c r="CE719" s="83"/>
      <c r="CK719" s="58"/>
      <c r="CL719" s="83"/>
      <c r="CO719" s="58"/>
      <c r="CP719" s="83"/>
      <c r="CR719" s="58"/>
      <c r="CS719" s="83"/>
      <c r="CY719" s="83"/>
      <c r="DG719" s="58"/>
      <c r="DH719" s="83"/>
      <c r="DQ719" s="83"/>
      <c r="EE719" s="58"/>
      <c r="EF719" s="83"/>
      <c r="EI719" s="83"/>
      <c r="EK719" s="58"/>
      <c r="EL719" s="83"/>
      <c r="EO719" s="58"/>
      <c r="EP719" s="83"/>
      <c r="EQ719" s="58"/>
      <c r="ER719" s="83"/>
      <c r="ES719" s="58"/>
      <c r="ET719" s="83"/>
      <c r="EU719" s="58"/>
    </row>
    <row r="720" spans="1:151">
      <c r="A720" s="42" t="s">
        <v>321</v>
      </c>
      <c r="B720" s="173" t="s">
        <v>223</v>
      </c>
      <c r="C720" s="173" t="s">
        <v>519</v>
      </c>
      <c r="D720" s="83" t="s">
        <v>120</v>
      </c>
      <c r="E720" s="49" t="s">
        <v>1</v>
      </c>
      <c r="F720" s="49" t="s">
        <v>287</v>
      </c>
      <c r="G720" s="60">
        <v>2.7285333333333335</v>
      </c>
      <c r="H720" s="49">
        <v>4331</v>
      </c>
      <c r="I720" s="49">
        <v>841</v>
      </c>
      <c r="J720" s="159">
        <v>2.1844155844155844</v>
      </c>
      <c r="K720" s="49">
        <v>4</v>
      </c>
      <c r="L720" s="49">
        <v>3</v>
      </c>
      <c r="M720" s="83">
        <v>0</v>
      </c>
      <c r="N720" s="49">
        <v>0</v>
      </c>
      <c r="O720" s="49">
        <v>1</v>
      </c>
      <c r="P720" s="49">
        <v>0</v>
      </c>
      <c r="Q720" s="58">
        <v>0</v>
      </c>
      <c r="R720" s="42">
        <v>1</v>
      </c>
      <c r="S720" s="83" t="s">
        <v>283</v>
      </c>
      <c r="T720" s="49">
        <v>5</v>
      </c>
      <c r="U720" s="83">
        <v>1</v>
      </c>
      <c r="V720" s="49">
        <v>3</v>
      </c>
      <c r="W720" s="49">
        <v>2</v>
      </c>
      <c r="X720" s="58"/>
      <c r="Y720" s="83">
        <v>0</v>
      </c>
      <c r="AJ720" s="49">
        <v>0</v>
      </c>
      <c r="AK720" s="83">
        <v>0</v>
      </c>
      <c r="AL720" s="49">
        <v>0</v>
      </c>
      <c r="AM720" s="49">
        <v>0</v>
      </c>
      <c r="AN720" s="49">
        <v>0</v>
      </c>
      <c r="AO720" s="58">
        <v>0</v>
      </c>
      <c r="AP720" s="174" t="s">
        <v>284</v>
      </c>
      <c r="AQ720" s="175" t="s">
        <v>284</v>
      </c>
      <c r="AR720" s="175" t="s">
        <v>284</v>
      </c>
      <c r="AS720" s="175" t="s">
        <v>284</v>
      </c>
      <c r="AT720" s="175" t="s">
        <v>284</v>
      </c>
      <c r="AU720" s="175" t="s">
        <v>284</v>
      </c>
      <c r="AV720" s="175" t="s">
        <v>284</v>
      </c>
      <c r="AW720" s="175" t="s">
        <v>284</v>
      </c>
      <c r="AX720" s="83">
        <v>0</v>
      </c>
      <c r="AY720" s="49">
        <v>0</v>
      </c>
      <c r="AZ720" s="49">
        <v>0</v>
      </c>
      <c r="BA720" s="49">
        <v>0</v>
      </c>
      <c r="BB720" s="58">
        <v>0</v>
      </c>
      <c r="BC720" s="42">
        <v>137</v>
      </c>
      <c r="BD720" s="49">
        <v>83.4</v>
      </c>
      <c r="BS720" s="58"/>
      <c r="BT720" s="83"/>
      <c r="CE720" s="83"/>
      <c r="CK720" s="58"/>
      <c r="CL720" s="83">
        <v>67.400000000000006</v>
      </c>
      <c r="CO720" s="58"/>
      <c r="CP720" s="83"/>
      <c r="CR720" s="58"/>
      <c r="CS720" s="83"/>
      <c r="CY720" s="83"/>
      <c r="DG720" s="58"/>
      <c r="DH720" s="83"/>
      <c r="DQ720" s="83"/>
      <c r="EE720" s="58"/>
      <c r="EF720" s="83"/>
      <c r="EI720" s="83"/>
      <c r="EK720" s="58"/>
      <c r="EL720" s="83"/>
      <c r="EO720" s="58"/>
      <c r="EP720" s="83"/>
      <c r="EQ720" s="58"/>
      <c r="ER720" s="83"/>
      <c r="ES720" s="58"/>
      <c r="ET720" s="83"/>
      <c r="EU720" s="58"/>
    </row>
    <row r="721" spans="1:151">
      <c r="A721" s="42" t="s">
        <v>321</v>
      </c>
      <c r="B721" s="173" t="s">
        <v>223</v>
      </c>
      <c r="C721" s="173" t="s">
        <v>519</v>
      </c>
      <c r="D721" s="83" t="s">
        <v>101</v>
      </c>
      <c r="F721" s="49" t="s">
        <v>286</v>
      </c>
      <c r="G721" s="60">
        <v>2.7285333333333335</v>
      </c>
      <c r="H721" s="49">
        <v>4331</v>
      </c>
      <c r="I721" s="49">
        <v>1358</v>
      </c>
      <c r="J721" s="159">
        <v>1.515625</v>
      </c>
      <c r="K721" s="49">
        <v>4</v>
      </c>
      <c r="L721" s="49">
        <v>4</v>
      </c>
      <c r="M721" s="83">
        <v>0</v>
      </c>
      <c r="N721" s="49">
        <v>0</v>
      </c>
      <c r="O721" s="49">
        <v>1</v>
      </c>
      <c r="P721" s="49">
        <v>1</v>
      </c>
      <c r="Q721" s="58">
        <v>0</v>
      </c>
      <c r="R721" s="42">
        <v>2</v>
      </c>
      <c r="S721" s="83" t="s">
        <v>283</v>
      </c>
      <c r="T721" s="49">
        <v>3</v>
      </c>
      <c r="U721" s="83">
        <v>1</v>
      </c>
      <c r="V721" s="49">
        <v>4</v>
      </c>
      <c r="W721" s="49">
        <v>2</v>
      </c>
      <c r="X721" s="58"/>
      <c r="Y721" s="83">
        <v>0</v>
      </c>
      <c r="AJ721" s="49">
        <v>0</v>
      </c>
      <c r="AK721" s="83">
        <v>0</v>
      </c>
      <c r="AL721" s="49">
        <v>0</v>
      </c>
      <c r="AM721" s="49">
        <v>0</v>
      </c>
      <c r="AN721" s="49">
        <v>0</v>
      </c>
      <c r="AO721" s="58">
        <v>0</v>
      </c>
      <c r="AP721" s="174" t="s">
        <v>284</v>
      </c>
      <c r="AQ721" s="175" t="s">
        <v>284</v>
      </c>
      <c r="AR721" s="175" t="s">
        <v>284</v>
      </c>
      <c r="AS721" s="175" t="s">
        <v>284</v>
      </c>
      <c r="AT721" s="175" t="s">
        <v>284</v>
      </c>
      <c r="AU721" s="175" t="s">
        <v>284</v>
      </c>
      <c r="AV721" s="175" t="s">
        <v>284</v>
      </c>
      <c r="AW721" s="175" t="s">
        <v>284</v>
      </c>
      <c r="AX721" s="83">
        <v>0</v>
      </c>
      <c r="AY721" s="49">
        <v>0</v>
      </c>
      <c r="AZ721" s="49">
        <v>0</v>
      </c>
      <c r="BA721" s="49">
        <v>0</v>
      </c>
      <c r="BB721" s="58">
        <v>0</v>
      </c>
      <c r="BC721" s="42">
        <v>94</v>
      </c>
      <c r="BD721" s="49">
        <v>78.81</v>
      </c>
      <c r="BS721" s="58"/>
      <c r="BT721" s="83">
        <v>82.78</v>
      </c>
      <c r="BU721" s="49">
        <v>77.75</v>
      </c>
      <c r="BV721" s="49">
        <v>81.819999999999993</v>
      </c>
      <c r="CE721" s="83">
        <v>81.17</v>
      </c>
      <c r="CK721" s="58"/>
      <c r="CL721" s="83"/>
      <c r="CO721" s="58"/>
      <c r="CP721" s="83"/>
      <c r="CR721" s="58"/>
      <c r="CS721" s="83"/>
      <c r="CY721" s="83"/>
      <c r="DG721" s="58"/>
      <c r="DH721" s="83"/>
      <c r="DQ721" s="83"/>
      <c r="EE721" s="58"/>
      <c r="EF721" s="83"/>
      <c r="EI721" s="83"/>
      <c r="EK721" s="58"/>
      <c r="EL721" s="83"/>
      <c r="EO721" s="58"/>
      <c r="EP721" s="83"/>
      <c r="EQ721" s="58"/>
      <c r="ER721" s="83"/>
      <c r="ES721" s="58"/>
      <c r="ET721" s="83"/>
      <c r="EU721" s="58"/>
    </row>
    <row r="722" spans="1:151">
      <c r="A722" s="42" t="s">
        <v>321</v>
      </c>
      <c r="B722" s="173" t="s">
        <v>223</v>
      </c>
      <c r="C722" s="173" t="s">
        <v>519</v>
      </c>
      <c r="D722" s="83" t="s">
        <v>102</v>
      </c>
      <c r="E722" s="49" t="s">
        <v>0</v>
      </c>
      <c r="F722" s="49" t="s">
        <v>286</v>
      </c>
      <c r="G722" s="60">
        <v>2.7285333333333335</v>
      </c>
      <c r="H722" s="49">
        <v>4331</v>
      </c>
      <c r="I722" s="49">
        <v>1052</v>
      </c>
      <c r="J722" s="159">
        <v>1.0076628352490422</v>
      </c>
      <c r="K722" s="49">
        <v>1</v>
      </c>
      <c r="L722" s="49">
        <v>2</v>
      </c>
      <c r="M722" s="83">
        <v>0</v>
      </c>
      <c r="N722" s="49">
        <v>2</v>
      </c>
      <c r="O722" s="49">
        <v>0</v>
      </c>
      <c r="P722" s="49">
        <v>0</v>
      </c>
      <c r="Q722" s="58">
        <v>0</v>
      </c>
      <c r="R722" s="42">
        <v>2</v>
      </c>
      <c r="S722" s="83" t="s">
        <v>283</v>
      </c>
      <c r="T722" s="49">
        <v>4</v>
      </c>
      <c r="U722" s="83">
        <v>1</v>
      </c>
      <c r="V722" s="49">
        <v>2</v>
      </c>
      <c r="W722" s="49">
        <v>2</v>
      </c>
      <c r="X722" s="58"/>
      <c r="Y722" s="83">
        <v>15</v>
      </c>
      <c r="Z722" s="49">
        <v>17</v>
      </c>
      <c r="AA722" s="49">
        <v>54</v>
      </c>
      <c r="AD722" s="49">
        <v>9</v>
      </c>
      <c r="AE722" s="49">
        <v>97</v>
      </c>
      <c r="AF722" s="49">
        <v>13</v>
      </c>
      <c r="AG722" s="49">
        <v>101</v>
      </c>
      <c r="AI722" s="49">
        <v>378</v>
      </c>
      <c r="AJ722" s="49">
        <v>1</v>
      </c>
      <c r="AK722" s="83">
        <v>0</v>
      </c>
      <c r="AL722" s="49">
        <v>1</v>
      </c>
      <c r="AM722" s="49">
        <v>0</v>
      </c>
      <c r="AN722" s="49">
        <v>0</v>
      </c>
      <c r="AO722" s="58">
        <v>0</v>
      </c>
      <c r="AP722" s="174" t="s">
        <v>501</v>
      </c>
      <c r="AQ722" s="175" t="s">
        <v>501</v>
      </c>
      <c r="AR722" s="175" t="s">
        <v>284</v>
      </c>
      <c r="AS722" s="175" t="s">
        <v>284</v>
      </c>
      <c r="AT722" s="175" t="s">
        <v>284</v>
      </c>
      <c r="AU722" s="175" t="s">
        <v>284</v>
      </c>
      <c r="AV722" s="175" t="s">
        <v>284</v>
      </c>
      <c r="AW722" s="175" t="s">
        <v>284</v>
      </c>
      <c r="AX722" s="83">
        <v>0</v>
      </c>
      <c r="AY722" s="49">
        <v>0</v>
      </c>
      <c r="AZ722" s="49">
        <v>0</v>
      </c>
      <c r="BA722" s="49">
        <v>0</v>
      </c>
      <c r="BB722" s="58">
        <v>0</v>
      </c>
      <c r="BC722" s="42">
        <v>110</v>
      </c>
      <c r="BD722" s="49">
        <v>79.650000000000006</v>
      </c>
      <c r="BS722" s="58"/>
      <c r="BT722" s="83">
        <v>83.08</v>
      </c>
      <c r="CE722" s="83"/>
      <c r="CK722" s="58"/>
      <c r="CL722" s="83">
        <v>78.98</v>
      </c>
      <c r="CO722" s="58"/>
      <c r="CP722" s="83"/>
      <c r="CR722" s="58"/>
      <c r="CS722" s="83">
        <v>81.41</v>
      </c>
      <c r="CY722" s="83"/>
      <c r="DG722" s="58"/>
      <c r="DH722" s="83"/>
      <c r="DQ722" s="83"/>
      <c r="EE722" s="58"/>
      <c r="EF722" s="83"/>
      <c r="EI722" s="83"/>
      <c r="EK722" s="58"/>
      <c r="EL722" s="83"/>
      <c r="EO722" s="58"/>
      <c r="EP722" s="83"/>
      <c r="EQ722" s="58"/>
      <c r="ER722" s="83"/>
      <c r="ES722" s="58"/>
      <c r="ET722" s="83"/>
      <c r="EU722" s="58"/>
    </row>
    <row r="723" spans="1:151">
      <c r="A723" s="42" t="s">
        <v>321</v>
      </c>
      <c r="B723" s="173" t="s">
        <v>223</v>
      </c>
      <c r="C723" s="173" t="s">
        <v>519</v>
      </c>
      <c r="D723" s="83" t="s">
        <v>103</v>
      </c>
      <c r="F723" s="49" t="s">
        <v>286</v>
      </c>
      <c r="G723" s="60">
        <v>2.7285333333333335</v>
      </c>
      <c r="H723" s="49">
        <v>4331</v>
      </c>
      <c r="I723" s="49">
        <v>1886</v>
      </c>
      <c r="J723" s="159">
        <v>2.3312731767614339</v>
      </c>
      <c r="K723" s="49">
        <v>1</v>
      </c>
      <c r="L723" s="49">
        <v>1</v>
      </c>
      <c r="M723" s="83">
        <v>0</v>
      </c>
      <c r="N723" s="49">
        <v>0</v>
      </c>
      <c r="O723" s="49">
        <v>0</v>
      </c>
      <c r="P723" s="49">
        <v>1</v>
      </c>
      <c r="Q723" s="58">
        <v>0</v>
      </c>
      <c r="R723" s="42">
        <v>1</v>
      </c>
      <c r="S723" s="83" t="s">
        <v>283</v>
      </c>
      <c r="T723" s="49">
        <v>2</v>
      </c>
      <c r="U723" s="83">
        <v>0</v>
      </c>
      <c r="V723" s="49">
        <v>0</v>
      </c>
      <c r="W723" s="49">
        <v>0</v>
      </c>
      <c r="X723" s="58"/>
      <c r="Y723" s="83">
        <v>2</v>
      </c>
      <c r="AF723" s="49">
        <v>30</v>
      </c>
      <c r="AG723" s="49">
        <v>99</v>
      </c>
      <c r="AJ723" s="49">
        <v>1</v>
      </c>
      <c r="AK723" s="83">
        <v>0</v>
      </c>
      <c r="AL723" s="49">
        <v>1</v>
      </c>
      <c r="AM723" s="49">
        <v>0</v>
      </c>
      <c r="AN723" s="49">
        <v>0</v>
      </c>
      <c r="AO723" s="58">
        <v>0</v>
      </c>
      <c r="AP723" s="174" t="s">
        <v>501</v>
      </c>
      <c r="AQ723" s="175" t="s">
        <v>501</v>
      </c>
      <c r="AR723" s="175" t="s">
        <v>284</v>
      </c>
      <c r="AS723" s="175" t="s">
        <v>284</v>
      </c>
      <c r="AT723" s="175" t="s">
        <v>284</v>
      </c>
      <c r="AU723" s="175" t="s">
        <v>284</v>
      </c>
      <c r="AV723" s="175" t="s">
        <v>284</v>
      </c>
      <c r="AW723" s="175" t="s">
        <v>284</v>
      </c>
      <c r="AX723" s="83">
        <v>0</v>
      </c>
      <c r="AY723" s="49">
        <v>0</v>
      </c>
      <c r="AZ723" s="49">
        <v>0</v>
      </c>
      <c r="BA723" s="49">
        <v>0</v>
      </c>
      <c r="BB723" s="58">
        <v>0</v>
      </c>
      <c r="BC723" s="42">
        <v>92</v>
      </c>
      <c r="BS723" s="58"/>
      <c r="BT723" s="83"/>
      <c r="CE723" s="83"/>
      <c r="CK723" s="58"/>
      <c r="CL723" s="83"/>
      <c r="CO723" s="58"/>
      <c r="CP723" s="83"/>
      <c r="CR723" s="58"/>
      <c r="CS723" s="83"/>
      <c r="CY723" s="83"/>
      <c r="DG723" s="58"/>
      <c r="DH723" s="83"/>
      <c r="DQ723" s="83"/>
      <c r="EE723" s="58"/>
      <c r="EF723" s="83"/>
      <c r="EI723" s="83"/>
      <c r="EK723" s="58"/>
      <c r="EL723" s="83"/>
      <c r="EO723" s="58"/>
      <c r="EP723" s="83"/>
      <c r="EQ723" s="58"/>
      <c r="ER723" s="83"/>
      <c r="ES723" s="58"/>
      <c r="ET723" s="83"/>
      <c r="EU723" s="58"/>
    </row>
    <row r="724" spans="1:151">
      <c r="A724" s="42" t="s">
        <v>321</v>
      </c>
      <c r="B724" s="173" t="s">
        <v>223</v>
      </c>
      <c r="C724" s="173" t="s">
        <v>519</v>
      </c>
      <c r="D724" s="83" t="s">
        <v>147</v>
      </c>
      <c r="F724" s="49" t="s">
        <v>287</v>
      </c>
      <c r="G724" s="60">
        <v>2.7285333333333335</v>
      </c>
      <c r="H724" s="49">
        <v>4331</v>
      </c>
      <c r="I724" s="49">
        <v>699</v>
      </c>
      <c r="J724" s="159">
        <v>1.365234375</v>
      </c>
      <c r="K724" s="49">
        <v>4</v>
      </c>
      <c r="L724" s="49">
        <v>4</v>
      </c>
      <c r="M724" s="83">
        <v>0</v>
      </c>
      <c r="N724" s="49">
        <v>0</v>
      </c>
      <c r="O724" s="49">
        <v>1</v>
      </c>
      <c r="P724" s="49">
        <v>1</v>
      </c>
      <c r="Q724" s="58">
        <v>0</v>
      </c>
      <c r="R724" s="42">
        <v>2</v>
      </c>
      <c r="S724" s="83" t="s">
        <v>283</v>
      </c>
      <c r="T724" s="49">
        <v>3</v>
      </c>
      <c r="U724" s="83">
        <v>1</v>
      </c>
      <c r="V724" s="49">
        <v>5</v>
      </c>
      <c r="W724" s="49">
        <v>1</v>
      </c>
      <c r="X724" s="58">
        <v>1</v>
      </c>
      <c r="Y724" s="83">
        <v>0</v>
      </c>
      <c r="AJ724" s="49">
        <v>0</v>
      </c>
      <c r="AK724" s="83">
        <v>0</v>
      </c>
      <c r="AL724" s="49">
        <v>0</v>
      </c>
      <c r="AM724" s="49">
        <v>0</v>
      </c>
      <c r="AN724" s="49">
        <v>0</v>
      </c>
      <c r="AO724" s="58">
        <v>0</v>
      </c>
      <c r="AP724" s="174" t="s">
        <v>284</v>
      </c>
      <c r="AQ724" s="175" t="s">
        <v>284</v>
      </c>
      <c r="AR724" s="175" t="s">
        <v>284</v>
      </c>
      <c r="AS724" s="175" t="s">
        <v>284</v>
      </c>
      <c r="AT724" s="175" t="s">
        <v>284</v>
      </c>
      <c r="AU724" s="175" t="s">
        <v>284</v>
      </c>
      <c r="AV724" s="175" t="s">
        <v>284</v>
      </c>
      <c r="AW724" s="175" t="s">
        <v>284</v>
      </c>
      <c r="AX724" s="83">
        <v>0</v>
      </c>
      <c r="AY724" s="49">
        <v>0</v>
      </c>
      <c r="AZ724" s="49">
        <v>0</v>
      </c>
      <c r="BA724" s="49">
        <v>0</v>
      </c>
      <c r="BB724" s="58">
        <v>0</v>
      </c>
      <c r="BC724" s="42">
        <v>73</v>
      </c>
      <c r="BS724" s="58"/>
      <c r="BT724" s="83"/>
      <c r="CE724" s="83"/>
      <c r="CK724" s="58"/>
      <c r="CL724" s="83"/>
      <c r="CO724" s="58"/>
      <c r="CP724" s="83"/>
      <c r="CR724" s="58"/>
      <c r="CS724" s="83"/>
      <c r="CY724" s="83"/>
      <c r="DG724" s="58"/>
      <c r="DH724" s="83"/>
      <c r="DQ724" s="83"/>
      <c r="EE724" s="58"/>
      <c r="EF724" s="83"/>
      <c r="EI724" s="83"/>
      <c r="EK724" s="58"/>
      <c r="EL724" s="83"/>
      <c r="EO724" s="58"/>
      <c r="EP724" s="83"/>
      <c r="EQ724" s="58"/>
      <c r="ER724" s="83"/>
      <c r="ES724" s="58"/>
      <c r="ET724" s="83"/>
      <c r="EU724" s="58"/>
    </row>
    <row r="725" spans="1:151">
      <c r="A725" s="42" t="s">
        <v>321</v>
      </c>
      <c r="B725" s="173" t="s">
        <v>223</v>
      </c>
      <c r="C725" s="173" t="s">
        <v>519</v>
      </c>
      <c r="D725" s="83" t="s">
        <v>148</v>
      </c>
      <c r="F725" s="49" t="s">
        <v>286</v>
      </c>
      <c r="G725" s="60">
        <v>2.7285333333333335</v>
      </c>
      <c r="H725" s="49">
        <v>4331</v>
      </c>
      <c r="I725" s="49">
        <v>2671</v>
      </c>
      <c r="J725" s="159">
        <v>3.6439290586630286</v>
      </c>
      <c r="K725" s="49">
        <v>4</v>
      </c>
      <c r="L725" s="49">
        <v>3</v>
      </c>
      <c r="M725" s="83">
        <v>0</v>
      </c>
      <c r="N725" s="49">
        <v>1</v>
      </c>
      <c r="O725" s="49">
        <v>0</v>
      </c>
      <c r="P725" s="49">
        <v>0</v>
      </c>
      <c r="Q725" s="58">
        <v>0</v>
      </c>
      <c r="R725" s="42">
        <v>1</v>
      </c>
      <c r="S725" s="83" t="s">
        <v>283</v>
      </c>
      <c r="T725" s="49">
        <v>6</v>
      </c>
      <c r="U725" s="83">
        <v>1</v>
      </c>
      <c r="V725" s="49">
        <v>4</v>
      </c>
      <c r="W725" s="49">
        <v>2</v>
      </c>
      <c r="X725" s="58"/>
      <c r="Y725" s="83">
        <v>0</v>
      </c>
      <c r="AJ725" s="49">
        <v>0</v>
      </c>
      <c r="AK725" s="83">
        <v>0</v>
      </c>
      <c r="AL725" s="49">
        <v>0</v>
      </c>
      <c r="AM725" s="49">
        <v>0</v>
      </c>
      <c r="AN725" s="49">
        <v>0</v>
      </c>
      <c r="AO725" s="58">
        <v>0</v>
      </c>
      <c r="AP725" s="174" t="s">
        <v>284</v>
      </c>
      <c r="AQ725" s="175" t="s">
        <v>284</v>
      </c>
      <c r="AR725" s="175" t="s">
        <v>284</v>
      </c>
      <c r="AS725" s="175" t="s">
        <v>284</v>
      </c>
      <c r="AT725" s="175" t="s">
        <v>284</v>
      </c>
      <c r="AU725" s="175" t="s">
        <v>284</v>
      </c>
      <c r="AV725" s="175" t="s">
        <v>284</v>
      </c>
      <c r="AW725" s="175" t="s">
        <v>284</v>
      </c>
      <c r="AX725" s="83">
        <v>0</v>
      </c>
      <c r="AY725" s="49">
        <v>0</v>
      </c>
      <c r="AZ725" s="49">
        <v>0</v>
      </c>
      <c r="BA725" s="49">
        <v>0</v>
      </c>
      <c r="BB725" s="58">
        <v>0</v>
      </c>
      <c r="BC725" s="42">
        <v>133</v>
      </c>
      <c r="BS725" s="58"/>
      <c r="BT725" s="83"/>
      <c r="CE725" s="83"/>
      <c r="CK725" s="58"/>
      <c r="CL725" s="83"/>
      <c r="CO725" s="58"/>
      <c r="CP725" s="83"/>
      <c r="CR725" s="58"/>
      <c r="CS725" s="83"/>
      <c r="CY725" s="83"/>
      <c r="DG725" s="58"/>
      <c r="DH725" s="83"/>
      <c r="DQ725" s="83"/>
      <c r="EE725" s="58"/>
      <c r="EF725" s="83"/>
      <c r="EI725" s="83"/>
      <c r="EK725" s="58"/>
      <c r="EL725" s="83"/>
      <c r="EO725" s="58"/>
      <c r="EP725" s="83"/>
      <c r="EQ725" s="58"/>
      <c r="ER725" s="83"/>
      <c r="ES725" s="58"/>
      <c r="ET725" s="83"/>
      <c r="EU725" s="58"/>
    </row>
    <row r="726" spans="1:151">
      <c r="A726" s="42" t="s">
        <v>321</v>
      </c>
      <c r="B726" s="173" t="s">
        <v>223</v>
      </c>
      <c r="C726" s="173" t="s">
        <v>519</v>
      </c>
      <c r="D726" s="83" t="s">
        <v>104</v>
      </c>
      <c r="F726" s="49" t="s">
        <v>286</v>
      </c>
      <c r="G726" s="60">
        <v>2.7285333333333335</v>
      </c>
      <c r="H726" s="49">
        <v>4331</v>
      </c>
      <c r="I726" s="49">
        <v>2396</v>
      </c>
      <c r="J726" s="159">
        <v>2.0287891617273499</v>
      </c>
      <c r="K726" s="49">
        <v>1</v>
      </c>
      <c r="L726" s="49">
        <v>2</v>
      </c>
      <c r="M726" s="83">
        <v>0</v>
      </c>
      <c r="N726" s="49">
        <v>3</v>
      </c>
      <c r="O726" s="49">
        <v>0</v>
      </c>
      <c r="P726" s="49">
        <v>0</v>
      </c>
      <c r="Q726" s="58">
        <v>0</v>
      </c>
      <c r="R726" s="42">
        <v>3</v>
      </c>
      <c r="S726" s="83" t="s">
        <v>283</v>
      </c>
      <c r="T726" s="49">
        <v>6</v>
      </c>
      <c r="U726" s="83">
        <v>1</v>
      </c>
      <c r="V726" s="49">
        <v>2</v>
      </c>
      <c r="W726" s="49">
        <v>2</v>
      </c>
      <c r="X726" s="58"/>
      <c r="Y726" s="83">
        <v>4</v>
      </c>
      <c r="Z726" s="49">
        <v>2</v>
      </c>
      <c r="AA726" s="49">
        <v>15</v>
      </c>
      <c r="AD726" s="49">
        <v>208</v>
      </c>
      <c r="AE726" s="49">
        <v>215</v>
      </c>
      <c r="AF726" s="49">
        <v>9</v>
      </c>
      <c r="AG726" s="49">
        <v>163</v>
      </c>
      <c r="AH726" s="49">
        <v>14</v>
      </c>
      <c r="AI726" s="49">
        <v>180</v>
      </c>
      <c r="AJ726" s="49">
        <v>1</v>
      </c>
      <c r="AK726" s="83">
        <v>0</v>
      </c>
      <c r="AL726" s="49">
        <v>1</v>
      </c>
      <c r="AM726" s="49">
        <v>0</v>
      </c>
      <c r="AN726" s="49">
        <v>0</v>
      </c>
      <c r="AO726" s="58">
        <v>0</v>
      </c>
      <c r="AP726" s="174" t="s">
        <v>501</v>
      </c>
      <c r="AQ726" s="175" t="s">
        <v>501</v>
      </c>
      <c r="AR726" s="175" t="s">
        <v>284</v>
      </c>
      <c r="AS726" s="175" t="s">
        <v>284</v>
      </c>
      <c r="AT726" s="175" t="s">
        <v>284</v>
      </c>
      <c r="AU726" s="175" t="s">
        <v>284</v>
      </c>
      <c r="AV726" s="175" t="s">
        <v>284</v>
      </c>
      <c r="AW726" s="175" t="s">
        <v>284</v>
      </c>
      <c r="AX726" s="83">
        <v>0</v>
      </c>
      <c r="AY726" s="49">
        <v>0</v>
      </c>
      <c r="AZ726" s="49">
        <v>0</v>
      </c>
      <c r="BA726" s="49">
        <v>0</v>
      </c>
      <c r="BB726" s="58">
        <v>0</v>
      </c>
      <c r="BC726" s="42">
        <v>113</v>
      </c>
      <c r="BD726" s="49">
        <v>84.787999999999997</v>
      </c>
      <c r="BS726" s="58"/>
      <c r="BT726" s="83">
        <v>76.14</v>
      </c>
      <c r="CE726" s="83"/>
      <c r="CK726" s="58"/>
      <c r="CL726" s="83"/>
      <c r="CO726" s="58"/>
      <c r="CP726" s="83"/>
      <c r="CR726" s="58"/>
      <c r="CS726" s="83"/>
      <c r="CY726" s="83"/>
      <c r="DG726" s="58"/>
      <c r="DH726" s="83"/>
      <c r="DQ726" s="83">
        <v>82.28</v>
      </c>
      <c r="EE726" s="58"/>
      <c r="EF726" s="83"/>
      <c r="EI726" s="83"/>
      <c r="EK726" s="58"/>
      <c r="EL726" s="83"/>
      <c r="EO726" s="58"/>
      <c r="EP726" s="83"/>
      <c r="EQ726" s="58"/>
      <c r="ER726" s="83"/>
      <c r="ES726" s="58"/>
      <c r="ET726" s="83"/>
      <c r="EU726" s="58"/>
    </row>
    <row r="727" spans="1:151">
      <c r="A727" s="42" t="s">
        <v>321</v>
      </c>
      <c r="B727" s="173" t="s">
        <v>223</v>
      </c>
      <c r="C727" s="173" t="s">
        <v>519</v>
      </c>
      <c r="D727" s="83" t="s">
        <v>105</v>
      </c>
      <c r="F727" s="49" t="s">
        <v>286</v>
      </c>
      <c r="G727" s="60">
        <v>2.7285333333333335</v>
      </c>
      <c r="H727" s="49">
        <v>4331</v>
      </c>
      <c r="I727" s="49">
        <v>2448</v>
      </c>
      <c r="J727" s="159">
        <v>1.911007025761124</v>
      </c>
      <c r="K727" s="49">
        <v>1</v>
      </c>
      <c r="L727" s="49">
        <v>3</v>
      </c>
      <c r="M727" s="83">
        <v>0</v>
      </c>
      <c r="N727" s="49">
        <v>3</v>
      </c>
      <c r="O727" s="49">
        <v>0</v>
      </c>
      <c r="P727" s="49">
        <v>0</v>
      </c>
      <c r="Q727" s="58">
        <v>0</v>
      </c>
      <c r="R727" s="42">
        <v>3</v>
      </c>
      <c r="S727" s="83">
        <v>1</v>
      </c>
      <c r="U727" s="83">
        <v>1</v>
      </c>
      <c r="V727" s="49">
        <v>3</v>
      </c>
      <c r="W727" s="49">
        <v>2</v>
      </c>
      <c r="X727" s="58"/>
      <c r="Y727" s="83">
        <v>10</v>
      </c>
      <c r="Z727" s="49">
        <v>7</v>
      </c>
      <c r="AA727" s="49">
        <v>48</v>
      </c>
      <c r="AD727" s="49">
        <v>16</v>
      </c>
      <c r="AE727" s="49">
        <v>257</v>
      </c>
      <c r="AF727" s="49">
        <v>10</v>
      </c>
      <c r="AG727" s="49">
        <v>400</v>
      </c>
      <c r="AH727" s="49">
        <v>32</v>
      </c>
      <c r="AI727" s="49">
        <v>193</v>
      </c>
      <c r="AJ727" s="49">
        <v>1</v>
      </c>
      <c r="AK727" s="83">
        <v>0</v>
      </c>
      <c r="AL727" s="49">
        <v>0</v>
      </c>
      <c r="AM727" s="49">
        <v>0</v>
      </c>
      <c r="AN727" s="49">
        <v>0</v>
      </c>
      <c r="AO727" s="58">
        <v>0</v>
      </c>
      <c r="AP727" s="174" t="s">
        <v>284</v>
      </c>
      <c r="AQ727" s="175" t="s">
        <v>284</v>
      </c>
      <c r="AR727" s="175" t="s">
        <v>284</v>
      </c>
      <c r="AS727" s="175" t="s">
        <v>284</v>
      </c>
      <c r="AT727" s="175" t="s">
        <v>284</v>
      </c>
      <c r="AU727" s="175" t="s">
        <v>284</v>
      </c>
      <c r="AV727" s="175" t="s">
        <v>284</v>
      </c>
      <c r="AW727" s="175" t="s">
        <v>284</v>
      </c>
      <c r="AX727" s="83">
        <v>0</v>
      </c>
      <c r="AY727" s="49">
        <v>0</v>
      </c>
      <c r="AZ727" s="49">
        <v>0</v>
      </c>
      <c r="BA727" s="49">
        <v>0</v>
      </c>
      <c r="BB727" s="58">
        <v>0</v>
      </c>
      <c r="BC727" s="42">
        <v>117</v>
      </c>
      <c r="BS727" s="58"/>
      <c r="BT727" s="83"/>
      <c r="CE727" s="83"/>
      <c r="CK727" s="58"/>
      <c r="CL727" s="83"/>
      <c r="CO727" s="58"/>
      <c r="CP727" s="83"/>
      <c r="CR727" s="58"/>
      <c r="CS727" s="83"/>
      <c r="CY727" s="83"/>
      <c r="DG727" s="58"/>
      <c r="DH727" s="83"/>
      <c r="DQ727" s="83"/>
      <c r="EE727" s="58"/>
      <c r="EF727" s="83"/>
      <c r="EI727" s="83"/>
      <c r="EK727" s="58"/>
      <c r="EL727" s="83"/>
      <c r="EO727" s="58"/>
      <c r="EP727" s="83"/>
      <c r="EQ727" s="58"/>
      <c r="ER727" s="83"/>
      <c r="ES727" s="58"/>
      <c r="ET727" s="83"/>
      <c r="EU727" s="58"/>
    </row>
    <row r="728" spans="1:151">
      <c r="A728" s="42" t="s">
        <v>321</v>
      </c>
      <c r="B728" s="173" t="s">
        <v>223</v>
      </c>
      <c r="C728" s="173" t="s">
        <v>519</v>
      </c>
      <c r="D728" s="83" t="s">
        <v>149</v>
      </c>
      <c r="E728" s="49" t="s">
        <v>0</v>
      </c>
      <c r="F728" s="49" t="s">
        <v>286</v>
      </c>
      <c r="G728" s="60">
        <v>2.7285333333333335</v>
      </c>
      <c r="I728" s="49">
        <v>1845</v>
      </c>
      <c r="J728" s="159">
        <v>1.5823327615780447</v>
      </c>
      <c r="K728" s="49">
        <v>4</v>
      </c>
      <c r="L728" s="49">
        <v>4</v>
      </c>
      <c r="M728" s="83">
        <v>0</v>
      </c>
      <c r="N728" s="49">
        <v>1</v>
      </c>
      <c r="O728" s="49">
        <v>0</v>
      </c>
      <c r="P728" s="49">
        <v>1</v>
      </c>
      <c r="Q728" s="58">
        <v>0</v>
      </c>
      <c r="R728" s="42">
        <v>2</v>
      </c>
      <c r="S728" s="83">
        <v>1</v>
      </c>
      <c r="T728" s="49">
        <v>4</v>
      </c>
      <c r="U728" s="83">
        <v>1</v>
      </c>
      <c r="V728" s="49">
        <v>4</v>
      </c>
      <c r="W728" s="49">
        <v>2</v>
      </c>
      <c r="X728" s="58"/>
      <c r="Y728" s="83">
        <v>1</v>
      </c>
      <c r="Z728" s="49">
        <v>5</v>
      </c>
      <c r="AA728" s="49">
        <v>55</v>
      </c>
      <c r="AD728" s="49">
        <v>5</v>
      </c>
      <c r="AE728" s="49">
        <v>29</v>
      </c>
      <c r="AF728" s="49">
        <v>4</v>
      </c>
      <c r="AG728" s="49">
        <v>30</v>
      </c>
      <c r="AH728" s="49">
        <v>15</v>
      </c>
      <c r="AI728" s="49">
        <v>128</v>
      </c>
      <c r="AJ728" s="49">
        <v>0</v>
      </c>
      <c r="AK728" s="83">
        <v>0</v>
      </c>
      <c r="AL728" s="49">
        <v>1</v>
      </c>
      <c r="AM728" s="49">
        <v>0</v>
      </c>
      <c r="AN728" s="49">
        <v>0</v>
      </c>
      <c r="AO728" s="58">
        <v>0</v>
      </c>
      <c r="AP728" s="174">
        <v>175</v>
      </c>
      <c r="AQ728" s="175">
        <v>395</v>
      </c>
      <c r="AR728" s="175">
        <v>0</v>
      </c>
      <c r="AS728" s="175">
        <v>0</v>
      </c>
      <c r="AT728" s="175">
        <v>0</v>
      </c>
      <c r="AU728" s="175">
        <v>0</v>
      </c>
      <c r="AV728" s="175">
        <v>0</v>
      </c>
      <c r="AW728" s="175">
        <v>0</v>
      </c>
      <c r="AX728" s="83">
        <v>0</v>
      </c>
      <c r="AY728" s="49">
        <v>0</v>
      </c>
      <c r="AZ728" s="49">
        <v>0</v>
      </c>
      <c r="BA728" s="49">
        <v>0</v>
      </c>
      <c r="BB728" s="58">
        <v>0</v>
      </c>
      <c r="BC728" s="42">
        <v>113</v>
      </c>
      <c r="BD728" s="49">
        <v>81.61</v>
      </c>
      <c r="BE728" s="159">
        <v>81.34</v>
      </c>
      <c r="BS728" s="58"/>
      <c r="BT728" s="83"/>
      <c r="CE728" s="83"/>
      <c r="CK728" s="58"/>
      <c r="CL728" s="83"/>
      <c r="CO728" s="58"/>
      <c r="CP728" s="83"/>
      <c r="CR728" s="58"/>
      <c r="CS728" s="83"/>
      <c r="CY728" s="83"/>
      <c r="DG728" s="58"/>
      <c r="DH728" s="83"/>
      <c r="DQ728" s="83"/>
      <c r="EE728" s="58"/>
      <c r="EF728" s="83"/>
      <c r="EI728" s="83"/>
      <c r="EK728" s="58"/>
      <c r="EL728" s="83"/>
      <c r="EO728" s="58"/>
      <c r="EP728" s="83"/>
      <c r="EQ728" s="58"/>
      <c r="ER728" s="83"/>
      <c r="ES728" s="58"/>
      <c r="ET728" s="83"/>
      <c r="EU728" s="58"/>
    </row>
    <row r="729" spans="1:151">
      <c r="A729" s="42" t="s">
        <v>321</v>
      </c>
      <c r="B729" s="173" t="s">
        <v>223</v>
      </c>
      <c r="C729" s="173" t="s">
        <v>519</v>
      </c>
      <c r="D729" s="83" t="s">
        <v>149</v>
      </c>
      <c r="E729" s="49" t="s">
        <v>1</v>
      </c>
      <c r="F729" s="49" t="s">
        <v>287</v>
      </c>
      <c r="G729" s="60">
        <v>2.7285333333333335</v>
      </c>
      <c r="H729" s="49">
        <v>4331</v>
      </c>
      <c r="I729" s="49">
        <v>584</v>
      </c>
      <c r="J729" s="159">
        <v>1.2586206896551724</v>
      </c>
      <c r="K729" s="49">
        <v>4</v>
      </c>
      <c r="L729" s="49">
        <v>2</v>
      </c>
      <c r="M729" s="83">
        <v>0</v>
      </c>
      <c r="N729" s="49">
        <v>2</v>
      </c>
      <c r="O729" s="49">
        <v>0</v>
      </c>
      <c r="P729" s="49">
        <v>0</v>
      </c>
      <c r="Q729" s="58">
        <v>0</v>
      </c>
      <c r="R729" s="42">
        <v>2</v>
      </c>
      <c r="S729" s="83" t="s">
        <v>283</v>
      </c>
      <c r="T729" s="49">
        <v>3</v>
      </c>
      <c r="U729" s="83">
        <v>2</v>
      </c>
      <c r="V729" s="49">
        <v>2</v>
      </c>
      <c r="W729" s="49">
        <v>3</v>
      </c>
      <c r="X729" s="58">
        <v>1</v>
      </c>
      <c r="Y729" s="83">
        <v>5</v>
      </c>
      <c r="Z729" s="49">
        <v>3</v>
      </c>
      <c r="AA729" s="49">
        <v>5</v>
      </c>
      <c r="AD729" s="49">
        <v>7</v>
      </c>
      <c r="AE729" s="49">
        <v>9</v>
      </c>
      <c r="AH729" s="49">
        <v>17</v>
      </c>
      <c r="AI729" s="49">
        <v>93</v>
      </c>
      <c r="AJ729" s="49">
        <v>0</v>
      </c>
      <c r="AK729" s="83">
        <v>0</v>
      </c>
      <c r="AL729" s="49">
        <v>0</v>
      </c>
      <c r="AM729" s="49">
        <v>0</v>
      </c>
      <c r="AN729" s="49">
        <v>0</v>
      </c>
      <c r="AO729" s="58">
        <v>0</v>
      </c>
      <c r="AP729" s="174" t="s">
        <v>284</v>
      </c>
      <c r="AQ729" s="175" t="s">
        <v>284</v>
      </c>
      <c r="AR729" s="175" t="s">
        <v>284</v>
      </c>
      <c r="AS729" s="175" t="s">
        <v>284</v>
      </c>
      <c r="AT729" s="175" t="s">
        <v>284</v>
      </c>
      <c r="AU729" s="175" t="s">
        <v>284</v>
      </c>
      <c r="AV729" s="175" t="s">
        <v>284</v>
      </c>
      <c r="AW729" s="175" t="s">
        <v>284</v>
      </c>
      <c r="AX729" s="83">
        <v>0</v>
      </c>
      <c r="AY729" s="49">
        <v>0</v>
      </c>
      <c r="AZ729" s="49">
        <v>0</v>
      </c>
      <c r="BA729" s="49">
        <v>0</v>
      </c>
      <c r="BB729" s="58">
        <v>0</v>
      </c>
      <c r="BC729" s="42">
        <v>113</v>
      </c>
      <c r="BD729" s="49">
        <v>74.77</v>
      </c>
      <c r="BS729" s="58"/>
      <c r="BT729" s="83">
        <v>80.31</v>
      </c>
      <c r="CE729" s="83"/>
      <c r="CK729" s="58"/>
      <c r="CL729" s="83"/>
      <c r="CO729" s="58"/>
      <c r="CP729" s="83"/>
      <c r="CR729" s="58"/>
      <c r="CS729" s="83"/>
      <c r="CY729" s="83"/>
      <c r="DG729" s="58"/>
      <c r="DH729" s="83"/>
      <c r="DQ729" s="83">
        <v>77.959999999999994</v>
      </c>
      <c r="EE729" s="58"/>
      <c r="EF729" s="83"/>
      <c r="EI729" s="83"/>
      <c r="EK729" s="58"/>
      <c r="EL729" s="83"/>
      <c r="EO729" s="58"/>
      <c r="EP729" s="83"/>
      <c r="EQ729" s="58"/>
      <c r="ER729" s="83"/>
      <c r="ES729" s="58"/>
      <c r="ET729" s="83"/>
      <c r="EU729" s="58"/>
    </row>
    <row r="730" spans="1:151">
      <c r="A730" s="42" t="s">
        <v>321</v>
      </c>
      <c r="B730" s="173" t="s">
        <v>223</v>
      </c>
      <c r="C730" s="173" t="s">
        <v>519</v>
      </c>
      <c r="D730" s="83" t="s">
        <v>107</v>
      </c>
      <c r="E730" s="49" t="s">
        <v>0</v>
      </c>
      <c r="F730" s="49" t="s">
        <v>286</v>
      </c>
      <c r="G730" s="60">
        <v>2.7285333333333335</v>
      </c>
      <c r="H730" s="49">
        <v>4331</v>
      </c>
      <c r="I730" s="49">
        <v>1226</v>
      </c>
      <c r="J730" s="159">
        <v>1.0293870696893368</v>
      </c>
      <c r="K730" s="49">
        <v>1</v>
      </c>
      <c r="L730" s="49">
        <v>2</v>
      </c>
      <c r="M730" s="83">
        <v>0</v>
      </c>
      <c r="N730" s="49">
        <v>0</v>
      </c>
      <c r="O730" s="49">
        <v>1</v>
      </c>
      <c r="P730" s="49">
        <v>1</v>
      </c>
      <c r="Q730" s="58">
        <v>0</v>
      </c>
      <c r="R730" s="42">
        <v>2</v>
      </c>
      <c r="S730" s="83" t="s">
        <v>283</v>
      </c>
      <c r="T730" s="49">
        <v>5</v>
      </c>
      <c r="U730" s="83">
        <v>1</v>
      </c>
      <c r="V730" s="49">
        <v>1</v>
      </c>
      <c r="W730" s="49">
        <v>1</v>
      </c>
      <c r="X730" s="58">
        <v>1</v>
      </c>
      <c r="Y730" s="83">
        <v>5</v>
      </c>
      <c r="AD730" s="49">
        <v>29</v>
      </c>
      <c r="AE730" s="49">
        <v>427</v>
      </c>
      <c r="AJ730" s="49">
        <v>1</v>
      </c>
      <c r="AK730" s="83">
        <v>0</v>
      </c>
      <c r="AL730" s="49">
        <v>0</v>
      </c>
      <c r="AM730" s="49">
        <v>0</v>
      </c>
      <c r="AN730" s="49">
        <v>0</v>
      </c>
      <c r="AO730" s="58">
        <v>0</v>
      </c>
      <c r="AP730" s="174" t="s">
        <v>284</v>
      </c>
      <c r="AQ730" s="175" t="s">
        <v>284</v>
      </c>
      <c r="AR730" s="175" t="s">
        <v>284</v>
      </c>
      <c r="AS730" s="175" t="s">
        <v>284</v>
      </c>
      <c r="AT730" s="175" t="s">
        <v>284</v>
      </c>
      <c r="AU730" s="175" t="s">
        <v>284</v>
      </c>
      <c r="AV730" s="175" t="s">
        <v>284</v>
      </c>
      <c r="AW730" s="175" t="s">
        <v>284</v>
      </c>
      <c r="AX730" s="83">
        <v>0</v>
      </c>
      <c r="AY730" s="49">
        <v>0</v>
      </c>
      <c r="AZ730" s="49">
        <v>0</v>
      </c>
      <c r="BA730" s="49">
        <v>0</v>
      </c>
      <c r="BB730" s="58">
        <v>0</v>
      </c>
      <c r="BC730" s="42">
        <v>128</v>
      </c>
      <c r="BD730" s="49">
        <v>81.599999999999994</v>
      </c>
      <c r="BE730" s="159">
        <v>81.78</v>
      </c>
      <c r="BS730" s="58"/>
      <c r="BT730" s="83">
        <v>82.73</v>
      </c>
      <c r="CE730" s="83">
        <v>82.74</v>
      </c>
      <c r="CK730" s="58"/>
      <c r="CL730" s="83"/>
      <c r="CO730" s="58"/>
      <c r="CP730" s="83"/>
      <c r="CR730" s="58"/>
      <c r="CS730" s="83"/>
      <c r="CY730" s="83"/>
      <c r="DG730" s="58"/>
      <c r="DH730" s="83"/>
      <c r="DQ730" s="83"/>
      <c r="EE730" s="58"/>
      <c r="EF730" s="83"/>
      <c r="EI730" s="83"/>
      <c r="EK730" s="58"/>
      <c r="EL730" s="83"/>
      <c r="EO730" s="58"/>
      <c r="EP730" s="83"/>
      <c r="EQ730" s="58"/>
      <c r="ER730" s="83"/>
      <c r="ES730" s="58"/>
      <c r="ET730" s="83"/>
      <c r="EU730" s="58"/>
    </row>
    <row r="731" spans="1:151">
      <c r="A731" s="42" t="s">
        <v>321</v>
      </c>
      <c r="B731" s="173" t="s">
        <v>223</v>
      </c>
      <c r="C731" s="173" t="s">
        <v>519</v>
      </c>
      <c r="D731" s="83" t="s">
        <v>150</v>
      </c>
      <c r="E731" s="49" t="s">
        <v>1</v>
      </c>
      <c r="F731" s="49" t="s">
        <v>286</v>
      </c>
      <c r="G731" s="60">
        <v>2.7285333333333335</v>
      </c>
      <c r="H731" s="49">
        <v>4331</v>
      </c>
      <c r="I731" s="49">
        <v>1087</v>
      </c>
      <c r="J731" s="159">
        <v>1.5753623188405796</v>
      </c>
      <c r="K731" s="49">
        <v>1</v>
      </c>
      <c r="L731" s="49">
        <v>2</v>
      </c>
      <c r="M731" s="83">
        <v>0</v>
      </c>
      <c r="N731" s="49">
        <v>0</v>
      </c>
      <c r="O731" s="49">
        <v>0</v>
      </c>
      <c r="P731" s="49">
        <v>0</v>
      </c>
      <c r="Q731" s="58">
        <v>0</v>
      </c>
      <c r="R731" s="42">
        <v>0</v>
      </c>
      <c r="S731" s="83" t="s">
        <v>283</v>
      </c>
      <c r="T731" s="49">
        <v>6</v>
      </c>
      <c r="U731" s="83">
        <v>1</v>
      </c>
      <c r="V731" s="49">
        <v>1</v>
      </c>
      <c r="W731" s="49">
        <v>2</v>
      </c>
      <c r="X731" s="58"/>
      <c r="Y731" s="83">
        <v>1</v>
      </c>
      <c r="AD731" s="49">
        <v>21</v>
      </c>
      <c r="AE731" s="49">
        <v>26</v>
      </c>
      <c r="AJ731" s="49">
        <v>1</v>
      </c>
      <c r="AK731" s="83">
        <v>0</v>
      </c>
      <c r="AL731" s="49">
        <v>0</v>
      </c>
      <c r="AM731" s="49">
        <v>0</v>
      </c>
      <c r="AN731" s="49">
        <v>0</v>
      </c>
      <c r="AO731" s="58">
        <v>0</v>
      </c>
      <c r="AP731" s="174" t="s">
        <v>284</v>
      </c>
      <c r="AQ731" s="175" t="s">
        <v>284</v>
      </c>
      <c r="AR731" s="175" t="s">
        <v>284</v>
      </c>
      <c r="AS731" s="175" t="s">
        <v>284</v>
      </c>
      <c r="AT731" s="175" t="s">
        <v>284</v>
      </c>
      <c r="AU731" s="175" t="s">
        <v>284</v>
      </c>
      <c r="AV731" s="175" t="s">
        <v>284</v>
      </c>
      <c r="AW731" s="175" t="s">
        <v>284</v>
      </c>
      <c r="AX731" s="83">
        <v>0</v>
      </c>
      <c r="AY731" s="49">
        <v>0</v>
      </c>
      <c r="AZ731" s="49">
        <v>0</v>
      </c>
      <c r="BA731" s="49">
        <v>0</v>
      </c>
      <c r="BB731" s="58">
        <v>0</v>
      </c>
      <c r="BC731" s="42">
        <v>135</v>
      </c>
      <c r="BS731" s="58"/>
      <c r="BT731" s="83"/>
      <c r="CE731" s="83">
        <v>83.95</v>
      </c>
      <c r="CK731" s="58"/>
      <c r="CL731" s="83">
        <v>79.91</v>
      </c>
      <c r="CO731" s="58"/>
      <c r="CP731" s="83"/>
      <c r="CR731" s="58"/>
      <c r="CS731" s="83"/>
      <c r="CY731" s="83"/>
      <c r="DG731" s="58"/>
      <c r="DH731" s="83"/>
      <c r="DQ731" s="83"/>
      <c r="EE731" s="58"/>
      <c r="EF731" s="83"/>
      <c r="EI731" s="83"/>
      <c r="EK731" s="58"/>
      <c r="EL731" s="83"/>
      <c r="EO731" s="58"/>
      <c r="EP731" s="83"/>
      <c r="EQ731" s="58"/>
      <c r="ER731" s="83"/>
      <c r="ES731" s="58"/>
      <c r="ET731" s="83"/>
      <c r="EU731" s="58"/>
    </row>
    <row r="732" spans="1:151">
      <c r="A732" s="42" t="s">
        <v>321</v>
      </c>
      <c r="B732" s="173" t="s">
        <v>223</v>
      </c>
      <c r="C732" s="173" t="s">
        <v>519</v>
      </c>
      <c r="D732" s="83" t="s">
        <v>108</v>
      </c>
      <c r="E732" s="49" t="s">
        <v>1</v>
      </c>
      <c r="F732" s="49" t="s">
        <v>286</v>
      </c>
      <c r="G732" s="60">
        <v>2.7285333333333335</v>
      </c>
      <c r="H732" s="49">
        <v>4331</v>
      </c>
      <c r="I732" s="49">
        <v>1784</v>
      </c>
      <c r="J732" s="159">
        <v>2.4881450488145047</v>
      </c>
      <c r="K732" s="49">
        <v>1</v>
      </c>
      <c r="L732" s="49">
        <v>2</v>
      </c>
      <c r="M732" s="83">
        <v>1</v>
      </c>
      <c r="N732" s="49">
        <v>0</v>
      </c>
      <c r="O732" s="49">
        <v>0</v>
      </c>
      <c r="P732" s="49">
        <v>0</v>
      </c>
      <c r="Q732" s="58">
        <v>0</v>
      </c>
      <c r="R732" s="42">
        <v>1</v>
      </c>
      <c r="S732" s="83" t="s">
        <v>283</v>
      </c>
      <c r="T732" s="49">
        <v>4</v>
      </c>
      <c r="U732" s="83">
        <v>1</v>
      </c>
      <c r="V732" s="49">
        <v>1</v>
      </c>
      <c r="W732" s="49">
        <v>2</v>
      </c>
      <c r="X732" s="58"/>
      <c r="Y732" s="83" t="s">
        <v>78</v>
      </c>
      <c r="AH732" s="49">
        <v>16</v>
      </c>
      <c r="AI732" s="49">
        <v>29</v>
      </c>
      <c r="AJ732" s="49">
        <v>0</v>
      </c>
      <c r="AK732" s="83">
        <v>0</v>
      </c>
      <c r="AL732" s="49">
        <v>0</v>
      </c>
      <c r="AM732" s="49">
        <v>0</v>
      </c>
      <c r="AN732" s="49">
        <v>0</v>
      </c>
      <c r="AO732" s="58">
        <v>0</v>
      </c>
      <c r="AP732" s="174" t="s">
        <v>284</v>
      </c>
      <c r="AQ732" s="175" t="s">
        <v>284</v>
      </c>
      <c r="AR732" s="175" t="s">
        <v>284</v>
      </c>
      <c r="AS732" s="175" t="s">
        <v>284</v>
      </c>
      <c r="AT732" s="175" t="s">
        <v>284</v>
      </c>
      <c r="AU732" s="175" t="s">
        <v>284</v>
      </c>
      <c r="AV732" s="175" t="s">
        <v>284</v>
      </c>
      <c r="AW732" s="175" t="s">
        <v>284</v>
      </c>
      <c r="AX732" s="83">
        <v>1</v>
      </c>
      <c r="AY732" s="49">
        <v>0</v>
      </c>
      <c r="AZ732" s="49">
        <v>0</v>
      </c>
      <c r="BA732" s="49">
        <v>0</v>
      </c>
      <c r="BB732" s="58">
        <v>0</v>
      </c>
      <c r="BC732" s="42">
        <v>106</v>
      </c>
      <c r="BD732" s="49">
        <v>77.44</v>
      </c>
      <c r="BS732" s="58"/>
      <c r="BT732" s="83">
        <v>78.16</v>
      </c>
      <c r="BU732" s="49">
        <v>78.040000000000006</v>
      </c>
      <c r="CE732" s="83"/>
      <c r="CK732" s="58"/>
      <c r="CL732" s="83"/>
      <c r="CO732" s="58"/>
      <c r="CP732" s="83"/>
      <c r="CR732" s="58"/>
      <c r="CS732" s="83"/>
      <c r="CY732" s="83"/>
      <c r="DG732" s="58"/>
      <c r="DH732" s="83"/>
      <c r="DQ732" s="83"/>
      <c r="EE732" s="58"/>
      <c r="EF732" s="83"/>
      <c r="EI732" s="83"/>
      <c r="EK732" s="58"/>
      <c r="EL732" s="83"/>
      <c r="EO732" s="58"/>
      <c r="EP732" s="83"/>
      <c r="EQ732" s="58"/>
      <c r="ER732" s="83"/>
      <c r="ES732" s="58"/>
      <c r="ET732" s="83"/>
      <c r="EU732" s="58"/>
    </row>
    <row r="733" spans="1:151">
      <c r="A733" s="42" t="s">
        <v>321</v>
      </c>
      <c r="B733" s="173" t="s">
        <v>223</v>
      </c>
      <c r="C733" s="173" t="s">
        <v>519</v>
      </c>
      <c r="D733" s="83" t="s">
        <v>108</v>
      </c>
      <c r="E733" s="49" t="s">
        <v>0</v>
      </c>
      <c r="F733" s="49" t="s">
        <v>286</v>
      </c>
      <c r="G733" s="60">
        <v>2.7285333333333335</v>
      </c>
      <c r="H733" s="49">
        <v>4331</v>
      </c>
      <c r="I733" s="49">
        <v>1282</v>
      </c>
      <c r="J733" s="159">
        <v>1.2630541871921181</v>
      </c>
      <c r="K733" s="49">
        <v>1</v>
      </c>
      <c r="L733" s="49">
        <v>3</v>
      </c>
      <c r="M733" s="83">
        <v>0</v>
      </c>
      <c r="N733" s="49">
        <v>0</v>
      </c>
      <c r="O733" s="49">
        <v>1</v>
      </c>
      <c r="P733" s="49">
        <v>1</v>
      </c>
      <c r="Q733" s="58">
        <v>0</v>
      </c>
      <c r="R733" s="42">
        <v>2</v>
      </c>
      <c r="S733" s="83" t="s">
        <v>283</v>
      </c>
      <c r="T733" s="49">
        <v>14</v>
      </c>
      <c r="U733" s="83">
        <v>1</v>
      </c>
      <c r="V733" s="49">
        <v>2</v>
      </c>
      <c r="W733" s="49">
        <v>2</v>
      </c>
      <c r="X733" s="58"/>
      <c r="Y733" s="83">
        <v>2</v>
      </c>
      <c r="Z733" s="49">
        <v>7</v>
      </c>
      <c r="AA733" s="49">
        <v>18</v>
      </c>
      <c r="AF733" s="49">
        <v>5</v>
      </c>
      <c r="AG733" s="49">
        <v>23</v>
      </c>
      <c r="AJ733" s="49">
        <v>1</v>
      </c>
      <c r="AK733" s="83">
        <v>0</v>
      </c>
      <c r="AL733" s="49">
        <v>1</v>
      </c>
      <c r="AM733" s="49">
        <v>0</v>
      </c>
      <c r="AN733" s="49">
        <v>0</v>
      </c>
      <c r="AO733" s="58">
        <v>0</v>
      </c>
      <c r="AP733" s="174">
        <v>0</v>
      </c>
      <c r="AQ733" s="175">
        <v>204</v>
      </c>
      <c r="AR733" s="175" t="s">
        <v>284</v>
      </c>
      <c r="AS733" s="175" t="s">
        <v>284</v>
      </c>
      <c r="AT733" s="175" t="s">
        <v>284</v>
      </c>
      <c r="AU733" s="175" t="s">
        <v>284</v>
      </c>
      <c r="AV733" s="175" t="s">
        <v>284</v>
      </c>
      <c r="AW733" s="175" t="s">
        <v>284</v>
      </c>
      <c r="AX733" s="83">
        <v>0</v>
      </c>
      <c r="AY733" s="49">
        <v>0</v>
      </c>
      <c r="AZ733" s="49">
        <v>0</v>
      </c>
      <c r="BA733" s="49">
        <v>0</v>
      </c>
      <c r="BB733" s="58">
        <v>0</v>
      </c>
      <c r="BC733" s="42">
        <v>106</v>
      </c>
      <c r="BD733" s="49">
        <v>85.57</v>
      </c>
      <c r="BE733" s="159">
        <v>84.71</v>
      </c>
      <c r="BS733" s="58"/>
      <c r="BT733" s="83">
        <v>84.29</v>
      </c>
      <c r="CE733" s="83"/>
      <c r="CK733" s="58"/>
      <c r="CL733" s="83">
        <v>75.16</v>
      </c>
      <c r="CO733" s="58"/>
      <c r="CP733" s="83"/>
      <c r="CR733" s="58"/>
      <c r="CS733" s="83"/>
      <c r="CY733" s="83"/>
      <c r="DG733" s="58"/>
      <c r="DH733" s="83"/>
      <c r="DQ733" s="83"/>
      <c r="EE733" s="58"/>
      <c r="EF733" s="83"/>
      <c r="EI733" s="83"/>
      <c r="EK733" s="58"/>
      <c r="EL733" s="83"/>
      <c r="EO733" s="58"/>
      <c r="EP733" s="83"/>
      <c r="EQ733" s="58"/>
      <c r="ER733" s="83"/>
      <c r="ES733" s="58"/>
      <c r="ET733" s="83"/>
      <c r="EU733" s="58"/>
    </row>
    <row r="734" spans="1:151">
      <c r="A734" s="42" t="s">
        <v>321</v>
      </c>
      <c r="B734" s="173" t="s">
        <v>223</v>
      </c>
      <c r="C734" s="173" t="s">
        <v>519</v>
      </c>
      <c r="D734" s="83" t="s">
        <v>67</v>
      </c>
      <c r="F734" s="49" t="s">
        <v>287</v>
      </c>
      <c r="G734" s="60">
        <v>2.7285333333333335</v>
      </c>
      <c r="H734" s="49">
        <v>4331</v>
      </c>
      <c r="I734" s="49">
        <v>322</v>
      </c>
      <c r="J734" s="159">
        <v>1.0062500000000001</v>
      </c>
      <c r="K734" s="49">
        <v>1</v>
      </c>
      <c r="L734" s="49">
        <v>2</v>
      </c>
      <c r="M734" s="83">
        <v>0</v>
      </c>
      <c r="N734" s="49">
        <v>0</v>
      </c>
      <c r="O734" s="49">
        <v>1</v>
      </c>
      <c r="P734" s="49">
        <v>1</v>
      </c>
      <c r="Q734" s="58">
        <v>0</v>
      </c>
      <c r="R734" s="42">
        <v>2</v>
      </c>
      <c r="S734" s="83" t="s">
        <v>283</v>
      </c>
      <c r="T734" s="49">
        <v>1</v>
      </c>
      <c r="U734" s="83">
        <v>3</v>
      </c>
      <c r="V734" s="49">
        <v>3</v>
      </c>
      <c r="W734" s="49">
        <v>1</v>
      </c>
      <c r="X734" s="58">
        <v>2</v>
      </c>
      <c r="Y734" s="83">
        <v>0</v>
      </c>
      <c r="AJ734" s="49">
        <v>0</v>
      </c>
      <c r="AK734" s="83">
        <v>0</v>
      </c>
      <c r="AL734" s="49">
        <v>0</v>
      </c>
      <c r="AM734" s="49">
        <v>0</v>
      </c>
      <c r="AN734" s="49">
        <v>0</v>
      </c>
      <c r="AO734" s="58">
        <v>0</v>
      </c>
      <c r="AP734" s="174" t="s">
        <v>284</v>
      </c>
      <c r="AQ734" s="175" t="s">
        <v>284</v>
      </c>
      <c r="AR734" s="175" t="s">
        <v>284</v>
      </c>
      <c r="AS734" s="175" t="s">
        <v>284</v>
      </c>
      <c r="AT734" s="175" t="s">
        <v>284</v>
      </c>
      <c r="AU734" s="175" t="s">
        <v>284</v>
      </c>
      <c r="AV734" s="175" t="s">
        <v>284</v>
      </c>
      <c r="AW734" s="175" t="s">
        <v>284</v>
      </c>
      <c r="AX734" s="83">
        <v>0</v>
      </c>
      <c r="AY734" s="49">
        <v>0</v>
      </c>
      <c r="AZ734" s="49">
        <v>0</v>
      </c>
      <c r="BA734" s="49">
        <v>0</v>
      </c>
      <c r="BB734" s="58">
        <v>0</v>
      </c>
      <c r="BC734" s="42">
        <v>65</v>
      </c>
      <c r="BS734" s="58"/>
      <c r="BT734" s="83"/>
      <c r="CE734" s="83"/>
      <c r="CK734" s="58"/>
      <c r="CL734" s="83"/>
      <c r="CO734" s="58"/>
      <c r="CP734" s="83"/>
      <c r="CR734" s="58"/>
      <c r="CS734" s="83"/>
      <c r="CY734" s="83"/>
      <c r="DG734" s="58"/>
      <c r="DH734" s="83"/>
      <c r="DQ734" s="83"/>
      <c r="EE734" s="58"/>
      <c r="EF734" s="83"/>
      <c r="EI734" s="83"/>
      <c r="EK734" s="58"/>
      <c r="EL734" s="83"/>
      <c r="EO734" s="58"/>
      <c r="EP734" s="83"/>
      <c r="EQ734" s="58"/>
      <c r="ER734" s="83"/>
      <c r="ES734" s="58"/>
      <c r="ET734" s="83"/>
      <c r="EU734" s="58"/>
    </row>
    <row r="735" spans="1:151">
      <c r="A735" s="42" t="s">
        <v>321</v>
      </c>
      <c r="B735" s="173" t="s">
        <v>223</v>
      </c>
      <c r="C735" s="173" t="s">
        <v>519</v>
      </c>
      <c r="D735" s="83" t="s">
        <v>151</v>
      </c>
      <c r="F735" s="49" t="s">
        <v>286</v>
      </c>
      <c r="G735" s="60">
        <v>2.7285333333333335</v>
      </c>
      <c r="H735" s="49">
        <v>4331</v>
      </c>
      <c r="I735" s="49">
        <v>1446</v>
      </c>
      <c r="J735" s="159">
        <v>1.6813953488372093</v>
      </c>
      <c r="K735" s="49">
        <v>1</v>
      </c>
      <c r="L735" s="49">
        <v>3</v>
      </c>
      <c r="M735" s="83">
        <v>1</v>
      </c>
      <c r="N735" s="49">
        <v>0</v>
      </c>
      <c r="O735" s="49">
        <v>1</v>
      </c>
      <c r="P735" s="49">
        <v>1</v>
      </c>
      <c r="Q735" s="58">
        <v>0</v>
      </c>
      <c r="R735" s="42">
        <v>3</v>
      </c>
      <c r="S735" s="83" t="s">
        <v>283</v>
      </c>
      <c r="T735" s="49">
        <v>4</v>
      </c>
      <c r="U735" s="83">
        <v>1</v>
      </c>
      <c r="V735" s="49">
        <v>3</v>
      </c>
      <c r="W735" s="49">
        <v>1</v>
      </c>
      <c r="X735" s="58">
        <v>1</v>
      </c>
      <c r="Y735" s="83">
        <v>2</v>
      </c>
      <c r="AF735" s="49">
        <v>39</v>
      </c>
      <c r="AG735" s="49">
        <v>63</v>
      </c>
      <c r="AJ735" s="49">
        <v>0</v>
      </c>
      <c r="AK735" s="83">
        <v>0</v>
      </c>
      <c r="AL735" s="49">
        <v>1</v>
      </c>
      <c r="AM735" s="49">
        <v>1</v>
      </c>
      <c r="AN735" s="49">
        <v>0</v>
      </c>
      <c r="AO735" s="58">
        <v>0</v>
      </c>
      <c r="AP735" s="174">
        <v>274</v>
      </c>
      <c r="AQ735" s="175">
        <v>486</v>
      </c>
      <c r="AR735" s="175">
        <v>0</v>
      </c>
      <c r="AS735" s="175">
        <v>337</v>
      </c>
      <c r="AT735" s="175">
        <v>0</v>
      </c>
      <c r="AU735" s="175">
        <v>0</v>
      </c>
      <c r="AV735" s="175">
        <v>0</v>
      </c>
      <c r="AW735" s="175">
        <v>0</v>
      </c>
      <c r="AX735" s="83">
        <v>0</v>
      </c>
      <c r="AY735" s="49">
        <v>0</v>
      </c>
      <c r="AZ735" s="49">
        <v>0</v>
      </c>
      <c r="BA735" s="49">
        <v>0</v>
      </c>
      <c r="BB735" s="58">
        <v>0</v>
      </c>
      <c r="BC735" s="42">
        <v>116</v>
      </c>
      <c r="BS735" s="58"/>
      <c r="BT735" s="83"/>
      <c r="CE735" s="83"/>
      <c r="CK735" s="58"/>
      <c r="CL735" s="83"/>
      <c r="CO735" s="58"/>
      <c r="CP735" s="83"/>
      <c r="CR735" s="58"/>
      <c r="CS735" s="83"/>
      <c r="CY735" s="83"/>
      <c r="DG735" s="58"/>
      <c r="DH735" s="83"/>
      <c r="DQ735" s="83"/>
      <c r="EE735" s="58"/>
      <c r="EF735" s="83"/>
      <c r="EI735" s="83"/>
      <c r="EK735" s="58"/>
      <c r="EL735" s="83"/>
      <c r="EO735" s="58"/>
      <c r="EP735" s="83"/>
      <c r="EQ735" s="58"/>
      <c r="ER735" s="83"/>
      <c r="ES735" s="58"/>
      <c r="ET735" s="83"/>
      <c r="EU735" s="58"/>
    </row>
    <row r="736" spans="1:151">
      <c r="A736" s="42" t="s">
        <v>321</v>
      </c>
      <c r="B736" s="173" t="s">
        <v>223</v>
      </c>
      <c r="C736" s="173" t="s">
        <v>519</v>
      </c>
      <c r="D736" s="83" t="s">
        <v>155</v>
      </c>
      <c r="F736" s="49" t="s">
        <v>286</v>
      </c>
      <c r="G736" s="60">
        <v>2.7285333333333335</v>
      </c>
      <c r="I736" s="49">
        <v>1853</v>
      </c>
      <c r="J736" s="159">
        <v>1.6099044309296264</v>
      </c>
      <c r="K736" s="49">
        <v>1</v>
      </c>
      <c r="L736" s="49">
        <v>2</v>
      </c>
      <c r="M736" s="83">
        <v>0</v>
      </c>
      <c r="N736" s="49">
        <v>1</v>
      </c>
      <c r="O736" s="49">
        <v>0</v>
      </c>
      <c r="P736" s="49">
        <v>0</v>
      </c>
      <c r="Q736" s="58">
        <v>0</v>
      </c>
      <c r="R736" s="42">
        <v>1</v>
      </c>
      <c r="S736" s="83">
        <v>1</v>
      </c>
      <c r="T736" s="49">
        <v>5</v>
      </c>
      <c r="U736" s="83">
        <v>0</v>
      </c>
      <c r="V736" s="49">
        <v>0</v>
      </c>
      <c r="W736" s="49">
        <v>0</v>
      </c>
      <c r="X736" s="58"/>
      <c r="Y736" s="83">
        <v>1</v>
      </c>
      <c r="Z736" s="49">
        <v>5</v>
      </c>
      <c r="AA736" s="49">
        <v>58</v>
      </c>
      <c r="AD736" s="49">
        <v>5</v>
      </c>
      <c r="AE736" s="49">
        <v>39</v>
      </c>
      <c r="AJ736" s="49">
        <v>0</v>
      </c>
      <c r="AK736" s="83">
        <v>0</v>
      </c>
      <c r="AL736" s="49">
        <v>1</v>
      </c>
      <c r="AM736" s="49">
        <v>0</v>
      </c>
      <c r="AN736" s="49">
        <v>0</v>
      </c>
      <c r="AO736" s="58">
        <v>0</v>
      </c>
      <c r="AP736" s="174">
        <v>752</v>
      </c>
      <c r="AQ736" s="175">
        <v>1023</v>
      </c>
      <c r="AR736" s="175">
        <v>0</v>
      </c>
      <c r="AS736" s="175">
        <v>0</v>
      </c>
      <c r="AT736" s="175">
        <v>0</v>
      </c>
      <c r="AU736" s="175">
        <v>0</v>
      </c>
      <c r="AV736" s="175">
        <v>0</v>
      </c>
      <c r="AW736" s="175">
        <v>0</v>
      </c>
      <c r="AX736" s="83">
        <v>0</v>
      </c>
      <c r="AY736" s="49">
        <v>0</v>
      </c>
      <c r="AZ736" s="49">
        <v>0</v>
      </c>
      <c r="BA736" s="49">
        <v>0</v>
      </c>
      <c r="BB736" s="58">
        <v>0</v>
      </c>
      <c r="BC736" s="42">
        <v>104</v>
      </c>
      <c r="BD736" s="49">
        <v>81.900000000000006</v>
      </c>
      <c r="BS736" s="58"/>
      <c r="BT736" s="83">
        <v>81.44</v>
      </c>
      <c r="BU736" s="49">
        <v>82.62</v>
      </c>
      <c r="CE736" s="83">
        <v>78.06</v>
      </c>
      <c r="CF736" s="49">
        <v>80.959999999999994</v>
      </c>
      <c r="CG736" s="49">
        <v>80.040000000000006</v>
      </c>
      <c r="CK736" s="58"/>
      <c r="CL736" s="83"/>
      <c r="CO736" s="58"/>
      <c r="CP736" s="83"/>
      <c r="CR736" s="58"/>
      <c r="CS736" s="83"/>
      <c r="CY736" s="83"/>
      <c r="DG736" s="58"/>
      <c r="DH736" s="83"/>
      <c r="DQ736" s="83"/>
      <c r="EE736" s="58"/>
      <c r="EF736" s="83"/>
      <c r="EI736" s="83"/>
      <c r="EK736" s="58"/>
      <c r="EL736" s="83"/>
      <c r="EO736" s="58"/>
      <c r="EP736" s="83"/>
      <c r="EQ736" s="58"/>
      <c r="ER736" s="83"/>
      <c r="ES736" s="58"/>
      <c r="ET736" s="83"/>
      <c r="EU736" s="58"/>
    </row>
    <row r="737" spans="1:151">
      <c r="A737" s="42" t="s">
        <v>321</v>
      </c>
      <c r="B737" s="173" t="s">
        <v>223</v>
      </c>
      <c r="C737" s="173" t="s">
        <v>519</v>
      </c>
      <c r="D737" s="83" t="s">
        <v>154</v>
      </c>
      <c r="F737" s="49" t="s">
        <v>286</v>
      </c>
      <c r="G737" s="60">
        <v>2.7285333333333335</v>
      </c>
      <c r="H737" s="49">
        <v>4331</v>
      </c>
      <c r="I737" s="49">
        <v>1818</v>
      </c>
      <c r="J737" s="159">
        <v>1.3669172932330826</v>
      </c>
      <c r="K737" s="49">
        <v>1</v>
      </c>
      <c r="L737" s="49">
        <v>3</v>
      </c>
      <c r="M737" s="83">
        <v>0</v>
      </c>
      <c r="N737" s="49">
        <v>1</v>
      </c>
      <c r="O737" s="49">
        <v>0</v>
      </c>
      <c r="P737" s="49">
        <v>0</v>
      </c>
      <c r="Q737" s="58">
        <v>0</v>
      </c>
      <c r="R737" s="42">
        <v>1</v>
      </c>
      <c r="S737" s="83" t="s">
        <v>283</v>
      </c>
      <c r="T737" s="49">
        <v>7</v>
      </c>
      <c r="U737" s="83">
        <v>1</v>
      </c>
      <c r="V737" s="49">
        <v>3</v>
      </c>
      <c r="W737" s="49">
        <v>2</v>
      </c>
      <c r="X737" s="58"/>
      <c r="Y737" s="83">
        <v>2</v>
      </c>
      <c r="Z737" s="49">
        <v>5</v>
      </c>
      <c r="AA737" s="49">
        <v>42</v>
      </c>
      <c r="AD737" s="49">
        <v>6</v>
      </c>
      <c r="AE737" s="49">
        <v>42</v>
      </c>
      <c r="AI737" s="49">
        <v>78</v>
      </c>
      <c r="AJ737" s="49">
        <v>1</v>
      </c>
      <c r="AK737" s="83">
        <v>0</v>
      </c>
      <c r="AL737" s="49">
        <v>0</v>
      </c>
      <c r="AM737" s="49">
        <v>0</v>
      </c>
      <c r="AN737" s="49">
        <v>0</v>
      </c>
      <c r="AO737" s="58">
        <v>0</v>
      </c>
      <c r="AP737" s="174" t="s">
        <v>284</v>
      </c>
      <c r="AQ737" s="175" t="s">
        <v>284</v>
      </c>
      <c r="AR737" s="175" t="s">
        <v>284</v>
      </c>
      <c r="AS737" s="175" t="s">
        <v>284</v>
      </c>
      <c r="AT737" s="175" t="s">
        <v>284</v>
      </c>
      <c r="AU737" s="175" t="s">
        <v>284</v>
      </c>
      <c r="AV737" s="175" t="s">
        <v>284</v>
      </c>
      <c r="AW737" s="175" t="s">
        <v>284</v>
      </c>
      <c r="AX737" s="83">
        <v>0</v>
      </c>
      <c r="AY737" s="49">
        <v>0</v>
      </c>
      <c r="AZ737" s="49">
        <v>0</v>
      </c>
      <c r="BA737" s="49">
        <v>0</v>
      </c>
      <c r="BB737" s="58">
        <v>0</v>
      </c>
      <c r="BC737" s="42">
        <v>124</v>
      </c>
      <c r="BS737" s="58"/>
      <c r="BT737" s="83"/>
      <c r="CE737" s="83"/>
      <c r="CK737" s="58"/>
      <c r="CL737" s="83"/>
      <c r="CO737" s="58"/>
      <c r="CP737" s="83"/>
      <c r="CR737" s="58"/>
      <c r="CS737" s="83"/>
      <c r="CY737" s="83"/>
      <c r="DG737" s="58"/>
      <c r="DH737" s="83"/>
      <c r="DQ737" s="83"/>
      <c r="EE737" s="58"/>
      <c r="EF737" s="83"/>
      <c r="EI737" s="83"/>
      <c r="EK737" s="58"/>
      <c r="EL737" s="83"/>
      <c r="EO737" s="58"/>
      <c r="EP737" s="83"/>
      <c r="EQ737" s="58"/>
      <c r="ER737" s="83"/>
      <c r="ES737" s="58"/>
      <c r="ET737" s="83"/>
      <c r="EU737" s="58"/>
    </row>
    <row r="738" spans="1:151">
      <c r="A738" s="42" t="s">
        <v>321</v>
      </c>
      <c r="B738" s="173" t="s">
        <v>223</v>
      </c>
      <c r="C738" s="173" t="s">
        <v>519</v>
      </c>
      <c r="D738" s="83" t="s">
        <v>182</v>
      </c>
      <c r="F738" s="49" t="s">
        <v>286</v>
      </c>
      <c r="G738" s="60">
        <v>2.7285333333333335</v>
      </c>
      <c r="H738" s="49">
        <v>4331</v>
      </c>
      <c r="I738" s="49">
        <v>1590</v>
      </c>
      <c r="J738" s="159">
        <v>1.0515873015873016</v>
      </c>
      <c r="K738" s="49">
        <v>1</v>
      </c>
      <c r="L738" s="49">
        <v>2</v>
      </c>
      <c r="M738" s="83">
        <v>0</v>
      </c>
      <c r="N738" s="49">
        <v>0</v>
      </c>
      <c r="O738" s="49">
        <v>1</v>
      </c>
      <c r="P738" s="49">
        <v>1</v>
      </c>
      <c r="Q738" s="58">
        <v>0</v>
      </c>
      <c r="R738" s="42">
        <v>2</v>
      </c>
      <c r="S738" s="83" t="s">
        <v>283</v>
      </c>
      <c r="T738" s="49">
        <v>4</v>
      </c>
      <c r="U738" s="83">
        <v>3</v>
      </c>
      <c r="V738" s="49">
        <v>2</v>
      </c>
      <c r="W738" s="49">
        <v>1</v>
      </c>
      <c r="X738" s="58">
        <v>3</v>
      </c>
      <c r="Y738" s="83">
        <v>2</v>
      </c>
      <c r="Z738" s="49">
        <v>17</v>
      </c>
      <c r="AA738" s="49">
        <v>68</v>
      </c>
      <c r="AF738" s="49">
        <v>20</v>
      </c>
      <c r="AG738" s="49">
        <v>90</v>
      </c>
      <c r="AI738" s="49">
        <v>161</v>
      </c>
      <c r="AJ738" s="49">
        <v>0</v>
      </c>
      <c r="AK738" s="83">
        <v>0</v>
      </c>
      <c r="AL738" s="49">
        <v>0</v>
      </c>
      <c r="AM738" s="49">
        <v>1</v>
      </c>
      <c r="AN738" s="49">
        <v>0</v>
      </c>
      <c r="AO738" s="58">
        <v>0</v>
      </c>
      <c r="AP738" s="174" t="s">
        <v>284</v>
      </c>
      <c r="AQ738" s="175" t="s">
        <v>284</v>
      </c>
      <c r="AR738" s="175" t="s">
        <v>501</v>
      </c>
      <c r="AS738" s="175" t="s">
        <v>501</v>
      </c>
      <c r="AT738" s="175" t="s">
        <v>284</v>
      </c>
      <c r="AU738" s="175" t="s">
        <v>284</v>
      </c>
      <c r="AV738" s="175" t="s">
        <v>284</v>
      </c>
      <c r="AW738" s="175" t="s">
        <v>284</v>
      </c>
      <c r="AX738" s="83">
        <v>0</v>
      </c>
      <c r="AY738" s="49">
        <v>0</v>
      </c>
      <c r="AZ738" s="49">
        <v>0</v>
      </c>
      <c r="BA738" s="49">
        <v>0</v>
      </c>
      <c r="BB738" s="58">
        <v>0</v>
      </c>
      <c r="BC738" s="42">
        <v>108</v>
      </c>
      <c r="BD738" s="49">
        <v>84.68</v>
      </c>
      <c r="BS738" s="58"/>
      <c r="BT738" s="83">
        <v>83.1</v>
      </c>
      <c r="CE738" s="83">
        <v>80.17</v>
      </c>
      <c r="CF738" s="49">
        <v>80.650000000000006</v>
      </c>
      <c r="CG738" s="49">
        <v>75.58</v>
      </c>
      <c r="CK738" s="58"/>
      <c r="CL738" s="83"/>
      <c r="CO738" s="58"/>
      <c r="CP738" s="83"/>
      <c r="CR738" s="58"/>
      <c r="CS738" s="83"/>
      <c r="CY738" s="83"/>
      <c r="DG738" s="58"/>
      <c r="DH738" s="83"/>
      <c r="DQ738" s="83"/>
      <c r="EE738" s="58"/>
      <c r="EF738" s="83"/>
      <c r="EI738" s="83"/>
      <c r="EK738" s="58"/>
      <c r="EL738" s="83"/>
      <c r="EO738" s="58"/>
      <c r="EP738" s="83"/>
      <c r="EQ738" s="58"/>
      <c r="ER738" s="83"/>
      <c r="ES738" s="58"/>
      <c r="ET738" s="83"/>
      <c r="EU738" s="58"/>
    </row>
    <row r="739" spans="1:151">
      <c r="A739" s="42" t="s">
        <v>321</v>
      </c>
      <c r="B739" s="173" t="s">
        <v>223</v>
      </c>
      <c r="C739" s="173" t="s">
        <v>519</v>
      </c>
      <c r="D739" s="83" t="s">
        <v>157</v>
      </c>
      <c r="F739" s="49" t="s">
        <v>286</v>
      </c>
      <c r="G739" s="60">
        <v>2.7285333333333335</v>
      </c>
      <c r="H739" s="49">
        <v>4331</v>
      </c>
      <c r="I739" s="49">
        <v>3445</v>
      </c>
      <c r="J739" s="159">
        <v>1.7460719716168271</v>
      </c>
      <c r="K739" s="49">
        <v>4</v>
      </c>
      <c r="L739" s="49">
        <v>4</v>
      </c>
      <c r="M739" s="83">
        <v>1</v>
      </c>
      <c r="N739" s="49">
        <v>0</v>
      </c>
      <c r="O739" s="49">
        <v>1</v>
      </c>
      <c r="P739" s="49">
        <v>1</v>
      </c>
      <c r="Q739" s="58">
        <v>0</v>
      </c>
      <c r="R739" s="42">
        <v>3</v>
      </c>
      <c r="S739" s="83" t="s">
        <v>283</v>
      </c>
      <c r="T739" s="49">
        <v>6</v>
      </c>
      <c r="U739" s="83">
        <v>3</v>
      </c>
      <c r="V739" s="49">
        <v>4</v>
      </c>
      <c r="W739" s="49">
        <v>3</v>
      </c>
      <c r="X739" s="58">
        <v>3</v>
      </c>
      <c r="Y739" s="83">
        <v>0</v>
      </c>
      <c r="AJ739" s="49">
        <v>0</v>
      </c>
      <c r="AK739" s="83">
        <v>0</v>
      </c>
      <c r="AL739" s="49">
        <v>0</v>
      </c>
      <c r="AM739" s="49">
        <v>0</v>
      </c>
      <c r="AN739" s="49">
        <v>0</v>
      </c>
      <c r="AO739" s="58">
        <v>0</v>
      </c>
      <c r="AP739" s="174" t="s">
        <v>284</v>
      </c>
      <c r="AQ739" s="175" t="s">
        <v>284</v>
      </c>
      <c r="AR739" s="175" t="s">
        <v>284</v>
      </c>
      <c r="AS739" s="175" t="s">
        <v>284</v>
      </c>
      <c r="AT739" s="175" t="s">
        <v>284</v>
      </c>
      <c r="AU739" s="175" t="s">
        <v>284</v>
      </c>
      <c r="AV739" s="175" t="s">
        <v>284</v>
      </c>
      <c r="AW739" s="175" t="s">
        <v>284</v>
      </c>
      <c r="AX739" s="83">
        <v>0</v>
      </c>
      <c r="AY739" s="49">
        <v>0</v>
      </c>
      <c r="AZ739" s="49">
        <v>0</v>
      </c>
      <c r="BA739" s="49">
        <v>0</v>
      </c>
      <c r="BB739" s="58">
        <v>0</v>
      </c>
      <c r="BC739" s="42">
        <v>107</v>
      </c>
      <c r="BS739" s="58"/>
      <c r="BT739" s="83"/>
      <c r="CE739" s="83"/>
      <c r="CK739" s="58"/>
      <c r="CL739" s="83"/>
      <c r="CO739" s="58"/>
      <c r="CP739" s="83"/>
      <c r="CR739" s="58"/>
      <c r="CS739" s="83"/>
      <c r="CY739" s="83"/>
      <c r="DG739" s="58"/>
      <c r="DH739" s="83"/>
      <c r="DQ739" s="83"/>
      <c r="EE739" s="58"/>
      <c r="EF739" s="83"/>
      <c r="EI739" s="83"/>
      <c r="EK739" s="58"/>
      <c r="EL739" s="83"/>
      <c r="EO739" s="58"/>
      <c r="EP739" s="83"/>
      <c r="EQ739" s="58"/>
      <c r="ER739" s="83"/>
      <c r="ES739" s="58"/>
      <c r="ET739" s="83"/>
      <c r="EU739" s="58"/>
    </row>
    <row r="740" spans="1:151">
      <c r="A740" s="42" t="s">
        <v>321</v>
      </c>
      <c r="B740" s="173" t="s">
        <v>223</v>
      </c>
      <c r="C740" s="173" t="s">
        <v>519</v>
      </c>
      <c r="D740" s="83" t="s">
        <v>158</v>
      </c>
      <c r="F740" s="49" t="s">
        <v>287</v>
      </c>
      <c r="G740" s="60">
        <v>2.7285333333333335</v>
      </c>
      <c r="H740" s="49">
        <v>4331</v>
      </c>
      <c r="I740" s="49">
        <v>960</v>
      </c>
      <c r="J740" s="159">
        <v>5.6470588235294121</v>
      </c>
      <c r="K740" s="49">
        <v>1</v>
      </c>
      <c r="L740" s="49">
        <v>1</v>
      </c>
      <c r="M740" s="83">
        <v>0</v>
      </c>
      <c r="N740" s="49">
        <v>0</v>
      </c>
      <c r="O740" s="49">
        <v>1</v>
      </c>
      <c r="P740" s="49">
        <v>1</v>
      </c>
      <c r="Q740" s="58">
        <v>0</v>
      </c>
      <c r="R740" s="42">
        <v>2</v>
      </c>
      <c r="S740" s="83" t="s">
        <v>283</v>
      </c>
      <c r="T740" s="49">
        <v>2</v>
      </c>
      <c r="U740" s="83">
        <v>2</v>
      </c>
      <c r="V740" s="49">
        <v>3</v>
      </c>
      <c r="W740" s="49">
        <v>1</v>
      </c>
      <c r="X740" s="58">
        <v>3</v>
      </c>
      <c r="Y740" s="83">
        <v>5</v>
      </c>
      <c r="AI740" s="49">
        <v>101</v>
      </c>
      <c r="AJ740" s="49">
        <v>0</v>
      </c>
      <c r="AK740" s="83">
        <v>0</v>
      </c>
      <c r="AL740" s="49">
        <v>0</v>
      </c>
      <c r="AM740" s="49">
        <v>1</v>
      </c>
      <c r="AN740" s="49">
        <v>0</v>
      </c>
      <c r="AO740" s="58">
        <v>0</v>
      </c>
      <c r="AP740" s="174" t="s">
        <v>284</v>
      </c>
      <c r="AQ740" s="175" t="s">
        <v>284</v>
      </c>
      <c r="AR740" s="175" t="s">
        <v>501</v>
      </c>
      <c r="AS740" s="175" t="s">
        <v>501</v>
      </c>
      <c r="AT740" s="175" t="s">
        <v>284</v>
      </c>
      <c r="AU740" s="175" t="s">
        <v>284</v>
      </c>
      <c r="AV740" s="175" t="s">
        <v>284</v>
      </c>
      <c r="AW740" s="175" t="s">
        <v>284</v>
      </c>
      <c r="AX740" s="83">
        <v>0</v>
      </c>
      <c r="AY740" s="49">
        <v>0</v>
      </c>
      <c r="AZ740" s="49">
        <v>0</v>
      </c>
      <c r="BA740" s="49">
        <v>0</v>
      </c>
      <c r="BB740" s="58">
        <v>0</v>
      </c>
      <c r="BC740" s="42">
        <v>111</v>
      </c>
      <c r="BS740" s="58"/>
      <c r="BT740" s="83"/>
      <c r="CE740" s="83"/>
      <c r="CK740" s="58"/>
      <c r="CL740" s="83"/>
      <c r="CO740" s="58"/>
      <c r="CP740" s="83"/>
      <c r="CR740" s="58"/>
      <c r="CS740" s="83"/>
      <c r="CY740" s="83"/>
      <c r="DG740" s="58"/>
      <c r="DH740" s="83"/>
      <c r="DQ740" s="83"/>
      <c r="EE740" s="58"/>
      <c r="EF740" s="83"/>
      <c r="EI740" s="83"/>
      <c r="EK740" s="58"/>
      <c r="EL740" s="83"/>
      <c r="EO740" s="58"/>
      <c r="EP740" s="83"/>
      <c r="EQ740" s="58"/>
      <c r="ER740" s="83"/>
      <c r="ES740" s="58"/>
      <c r="ET740" s="83"/>
      <c r="EU740" s="58"/>
    </row>
    <row r="741" spans="1:151">
      <c r="A741" s="42" t="s">
        <v>321</v>
      </c>
      <c r="B741" s="173" t="s">
        <v>223</v>
      </c>
      <c r="C741" s="173" t="s">
        <v>519</v>
      </c>
      <c r="D741" s="83" t="s">
        <v>159</v>
      </c>
      <c r="F741" s="49" t="s">
        <v>287</v>
      </c>
      <c r="G741" s="60">
        <v>2.7285333333333335</v>
      </c>
      <c r="H741" s="49">
        <v>4331</v>
      </c>
      <c r="I741" s="49">
        <v>732</v>
      </c>
      <c r="J741" s="159">
        <v>2.0619718309859154</v>
      </c>
      <c r="K741" s="49">
        <v>4</v>
      </c>
      <c r="L741" s="49">
        <v>3</v>
      </c>
      <c r="M741" s="83">
        <v>0</v>
      </c>
      <c r="N741" s="49">
        <v>0</v>
      </c>
      <c r="O741" s="49">
        <v>0</v>
      </c>
      <c r="P741" s="49">
        <v>0</v>
      </c>
      <c r="Q741" s="58">
        <v>0</v>
      </c>
      <c r="R741" s="42">
        <v>0</v>
      </c>
      <c r="S741" s="83" t="s">
        <v>283</v>
      </c>
      <c r="T741" s="49">
        <v>2</v>
      </c>
      <c r="U741" s="83">
        <v>1</v>
      </c>
      <c r="V741" s="49">
        <v>2</v>
      </c>
      <c r="W741" s="49">
        <v>2</v>
      </c>
      <c r="X741" s="58"/>
      <c r="Y741" s="83">
        <v>0</v>
      </c>
      <c r="AJ741" s="49">
        <v>0</v>
      </c>
      <c r="AK741" s="83">
        <v>0</v>
      </c>
      <c r="AL741" s="49">
        <v>0</v>
      </c>
      <c r="AM741" s="49">
        <v>1</v>
      </c>
      <c r="AN741" s="49">
        <v>0</v>
      </c>
      <c r="AO741" s="58">
        <v>0</v>
      </c>
      <c r="AP741" s="174" t="s">
        <v>284</v>
      </c>
      <c r="AQ741" s="175" t="s">
        <v>284</v>
      </c>
      <c r="AR741" s="175" t="s">
        <v>501</v>
      </c>
      <c r="AS741" s="175" t="s">
        <v>501</v>
      </c>
      <c r="AT741" s="175" t="s">
        <v>284</v>
      </c>
      <c r="AU741" s="175" t="s">
        <v>284</v>
      </c>
      <c r="AV741" s="175" t="s">
        <v>284</v>
      </c>
      <c r="AW741" s="175" t="s">
        <v>284</v>
      </c>
      <c r="AX741" s="83">
        <v>0</v>
      </c>
      <c r="AY741" s="49">
        <v>0</v>
      </c>
      <c r="AZ741" s="49">
        <v>0</v>
      </c>
      <c r="BA741" s="49">
        <v>0</v>
      </c>
      <c r="BB741" s="58">
        <v>0</v>
      </c>
      <c r="BC741" s="42">
        <v>108</v>
      </c>
      <c r="BS741" s="58"/>
      <c r="BT741" s="83"/>
      <c r="CE741" s="83"/>
      <c r="CK741" s="58"/>
      <c r="CL741" s="83"/>
      <c r="CO741" s="58"/>
      <c r="CP741" s="83"/>
      <c r="CR741" s="58"/>
      <c r="CS741" s="83"/>
      <c r="CY741" s="83"/>
      <c r="DG741" s="58"/>
      <c r="DH741" s="83"/>
      <c r="DQ741" s="83"/>
      <c r="EE741" s="58"/>
      <c r="EF741" s="83"/>
      <c r="EI741" s="83"/>
      <c r="EK741" s="58"/>
      <c r="EL741" s="83"/>
      <c r="EO741" s="58"/>
      <c r="EP741" s="83"/>
      <c r="EQ741" s="58"/>
      <c r="ER741" s="83"/>
      <c r="ES741" s="58"/>
      <c r="ET741" s="83"/>
      <c r="EU741" s="58"/>
    </row>
    <row r="742" spans="1:151">
      <c r="A742" s="42" t="s">
        <v>321</v>
      </c>
      <c r="B742" s="173" t="s">
        <v>223</v>
      </c>
      <c r="C742" s="173" t="s">
        <v>519</v>
      </c>
      <c r="D742" s="83" t="s">
        <v>68</v>
      </c>
      <c r="F742" s="49" t="s">
        <v>286</v>
      </c>
      <c r="G742" s="60">
        <v>2.7285333333333335</v>
      </c>
      <c r="H742" s="49">
        <v>4331</v>
      </c>
      <c r="I742" s="49">
        <v>1231</v>
      </c>
      <c r="J742" s="159">
        <v>1.7002762430939227</v>
      </c>
      <c r="K742" s="49">
        <v>1</v>
      </c>
      <c r="L742" s="49">
        <v>1</v>
      </c>
      <c r="M742" s="83">
        <v>0</v>
      </c>
      <c r="N742" s="49">
        <v>3</v>
      </c>
      <c r="O742" s="49">
        <v>0</v>
      </c>
      <c r="P742" s="49">
        <v>0</v>
      </c>
      <c r="Q742" s="58">
        <v>0</v>
      </c>
      <c r="R742" s="42">
        <v>3</v>
      </c>
      <c r="S742" s="83" t="s">
        <v>283</v>
      </c>
      <c r="T742" s="49">
        <v>5</v>
      </c>
      <c r="U742" s="83">
        <v>0</v>
      </c>
      <c r="V742" s="49">
        <v>0</v>
      </c>
      <c r="W742" s="49">
        <v>0</v>
      </c>
      <c r="X742" s="58"/>
      <c r="Y742" s="83">
        <v>1</v>
      </c>
      <c r="Z742" s="49">
        <v>2</v>
      </c>
      <c r="AA742" s="49">
        <v>4</v>
      </c>
      <c r="AG742" s="49">
        <v>163</v>
      </c>
      <c r="AJ742" s="49">
        <v>0</v>
      </c>
      <c r="AK742" s="83">
        <v>0</v>
      </c>
      <c r="AL742" s="49">
        <v>1</v>
      </c>
      <c r="AM742" s="49">
        <v>0</v>
      </c>
      <c r="AN742" s="49">
        <v>0</v>
      </c>
      <c r="AO742" s="58">
        <v>0</v>
      </c>
      <c r="AP742" s="174">
        <v>0</v>
      </c>
      <c r="AQ742" s="175">
        <v>469</v>
      </c>
      <c r="AR742" s="175">
        <v>0</v>
      </c>
      <c r="AS742" s="175">
        <v>0</v>
      </c>
      <c r="AT742" s="175">
        <v>0</v>
      </c>
      <c r="AU742" s="175">
        <v>0</v>
      </c>
      <c r="AV742" s="175">
        <v>0</v>
      </c>
      <c r="AW742" s="175">
        <v>0</v>
      </c>
      <c r="AX742" s="83">
        <v>0</v>
      </c>
      <c r="AY742" s="49">
        <v>0</v>
      </c>
      <c r="AZ742" s="49">
        <v>0</v>
      </c>
      <c r="BA742" s="49">
        <v>0</v>
      </c>
      <c r="BB742" s="58">
        <v>0</v>
      </c>
      <c r="BC742" s="42">
        <v>107</v>
      </c>
      <c r="BS742" s="58"/>
      <c r="BT742" s="83"/>
      <c r="CE742" s="83"/>
      <c r="CK742" s="58"/>
      <c r="CL742" s="83"/>
      <c r="CO742" s="58"/>
      <c r="CP742" s="83"/>
      <c r="CR742" s="58"/>
      <c r="CS742" s="83"/>
      <c r="CY742" s="83"/>
      <c r="DG742" s="58"/>
      <c r="DH742" s="83"/>
      <c r="DQ742" s="83"/>
      <c r="EE742" s="58"/>
      <c r="EF742" s="83"/>
      <c r="EI742" s="83"/>
      <c r="EK742" s="58"/>
      <c r="EL742" s="83"/>
      <c r="EO742" s="58"/>
      <c r="EP742" s="83"/>
      <c r="EQ742" s="58"/>
      <c r="ER742" s="83"/>
      <c r="ES742" s="58"/>
      <c r="ET742" s="83"/>
      <c r="EU742" s="58"/>
    </row>
    <row r="743" spans="1:151">
      <c r="A743" s="42" t="s">
        <v>321</v>
      </c>
      <c r="B743" s="173" t="s">
        <v>223</v>
      </c>
      <c r="C743" s="173" t="s">
        <v>519</v>
      </c>
      <c r="D743" s="83" t="s">
        <v>160</v>
      </c>
      <c r="F743" s="49" t="s">
        <v>287</v>
      </c>
      <c r="G743" s="60">
        <v>2.7285333333333335</v>
      </c>
      <c r="H743" s="49">
        <v>4331</v>
      </c>
      <c r="I743" s="49">
        <v>598</v>
      </c>
      <c r="J743" s="159">
        <v>1.2484342379958246</v>
      </c>
      <c r="K743" s="49">
        <v>4</v>
      </c>
      <c r="L743" s="49">
        <v>2</v>
      </c>
      <c r="M743" s="83">
        <v>0</v>
      </c>
      <c r="N743" s="49">
        <v>3</v>
      </c>
      <c r="O743" s="49">
        <v>0</v>
      </c>
      <c r="P743" s="49">
        <v>0</v>
      </c>
      <c r="Q743" s="58">
        <v>0</v>
      </c>
      <c r="R743" s="42">
        <v>3</v>
      </c>
      <c r="S743" s="83" t="s">
        <v>283</v>
      </c>
      <c r="T743" s="49">
        <v>6</v>
      </c>
      <c r="U743" s="83">
        <v>1</v>
      </c>
      <c r="V743" s="49">
        <v>3</v>
      </c>
      <c r="W743" s="49">
        <v>2</v>
      </c>
      <c r="X743" s="58"/>
      <c r="Y743" s="83">
        <v>3</v>
      </c>
      <c r="AF743" s="49">
        <v>3</v>
      </c>
      <c r="AG743" s="49">
        <v>41</v>
      </c>
      <c r="AH743" s="49">
        <v>32</v>
      </c>
      <c r="AI743" s="49">
        <v>145</v>
      </c>
      <c r="AJ743" s="49">
        <v>0</v>
      </c>
      <c r="AK743" s="83">
        <v>0</v>
      </c>
      <c r="AL743" s="49">
        <v>0</v>
      </c>
      <c r="AM743" s="49">
        <v>0</v>
      </c>
      <c r="AN743" s="49">
        <v>0</v>
      </c>
      <c r="AO743" s="58">
        <v>0</v>
      </c>
      <c r="AP743" s="174" t="s">
        <v>284</v>
      </c>
      <c r="AQ743" s="175" t="s">
        <v>284</v>
      </c>
      <c r="AR743" s="175" t="s">
        <v>284</v>
      </c>
      <c r="AS743" s="175" t="s">
        <v>284</v>
      </c>
      <c r="AT743" s="175" t="s">
        <v>284</v>
      </c>
      <c r="AU743" s="175" t="s">
        <v>284</v>
      </c>
      <c r="AV743" s="175" t="s">
        <v>284</v>
      </c>
      <c r="AW743" s="175" t="s">
        <v>284</v>
      </c>
      <c r="AX743" s="83">
        <v>0</v>
      </c>
      <c r="AY743" s="49">
        <v>0</v>
      </c>
      <c r="AZ743" s="49">
        <v>0</v>
      </c>
      <c r="BA743" s="49">
        <v>0</v>
      </c>
      <c r="BB743" s="58">
        <v>0</v>
      </c>
      <c r="BC743" s="42">
        <v>107</v>
      </c>
      <c r="BS743" s="58"/>
      <c r="BT743" s="83"/>
      <c r="CE743" s="83"/>
      <c r="CK743" s="58"/>
      <c r="CL743" s="83"/>
      <c r="CO743" s="58"/>
      <c r="CP743" s="83"/>
      <c r="CR743" s="58"/>
      <c r="CS743" s="83"/>
      <c r="CY743" s="83"/>
      <c r="DG743" s="58"/>
      <c r="DH743" s="83"/>
      <c r="DQ743" s="83"/>
      <c r="EE743" s="58"/>
      <c r="EF743" s="83"/>
      <c r="EI743" s="83"/>
      <c r="EK743" s="58"/>
      <c r="EL743" s="83"/>
      <c r="EO743" s="58"/>
      <c r="EP743" s="83"/>
      <c r="EQ743" s="58"/>
      <c r="ER743" s="83"/>
      <c r="ES743" s="58"/>
      <c r="ET743" s="83"/>
      <c r="EU743" s="58"/>
    </row>
    <row r="744" spans="1:151">
      <c r="A744" s="42" t="s">
        <v>321</v>
      </c>
      <c r="B744" s="173" t="s">
        <v>223</v>
      </c>
      <c r="C744" s="173" t="s">
        <v>519</v>
      </c>
      <c r="D744" s="83" t="s">
        <v>161</v>
      </c>
      <c r="F744" s="49" t="s">
        <v>286</v>
      </c>
      <c r="G744" s="60">
        <v>2.7285333333333335</v>
      </c>
      <c r="H744" s="49">
        <v>4331</v>
      </c>
      <c r="I744" s="49">
        <v>1812</v>
      </c>
      <c r="J744" s="159">
        <v>2.30828025477707</v>
      </c>
      <c r="K744" s="49">
        <v>4</v>
      </c>
      <c r="L744" s="49">
        <v>3</v>
      </c>
      <c r="M744" s="83">
        <v>0</v>
      </c>
      <c r="N744" s="49">
        <v>2</v>
      </c>
      <c r="O744" s="49">
        <v>0</v>
      </c>
      <c r="P744" s="49">
        <v>0</v>
      </c>
      <c r="Q744" s="58">
        <v>0</v>
      </c>
      <c r="R744" s="42">
        <v>2</v>
      </c>
      <c r="S744" s="83" t="s">
        <v>283</v>
      </c>
      <c r="T744" s="49">
        <v>5</v>
      </c>
      <c r="U744" s="83">
        <v>1</v>
      </c>
      <c r="V744" s="49">
        <v>3</v>
      </c>
      <c r="W744" s="49">
        <v>2</v>
      </c>
      <c r="X744" s="58"/>
      <c r="Y744" s="83">
        <v>0</v>
      </c>
      <c r="AJ744" s="49">
        <v>0</v>
      </c>
      <c r="AK744" s="83">
        <v>0</v>
      </c>
      <c r="AL744" s="49">
        <v>0</v>
      </c>
      <c r="AM744" s="49">
        <v>0</v>
      </c>
      <c r="AN744" s="49">
        <v>0</v>
      </c>
      <c r="AO744" s="58">
        <v>0</v>
      </c>
      <c r="AP744" s="174" t="s">
        <v>284</v>
      </c>
      <c r="AQ744" s="175" t="s">
        <v>284</v>
      </c>
      <c r="AR744" s="175" t="s">
        <v>284</v>
      </c>
      <c r="AS744" s="175" t="s">
        <v>284</v>
      </c>
      <c r="AT744" s="175" t="s">
        <v>284</v>
      </c>
      <c r="AU744" s="175" t="s">
        <v>284</v>
      </c>
      <c r="AV744" s="175" t="s">
        <v>284</v>
      </c>
      <c r="AW744" s="175" t="s">
        <v>284</v>
      </c>
      <c r="AX744" s="83">
        <v>0</v>
      </c>
      <c r="AY744" s="49">
        <v>0</v>
      </c>
      <c r="AZ744" s="49">
        <v>0</v>
      </c>
      <c r="BA744" s="49">
        <v>0</v>
      </c>
      <c r="BB744" s="58">
        <v>0</v>
      </c>
      <c r="BC744" s="42">
        <v>103</v>
      </c>
      <c r="BS744" s="58"/>
      <c r="BT744" s="83"/>
      <c r="CE744" s="83"/>
      <c r="CK744" s="58"/>
      <c r="CL744" s="83"/>
      <c r="CO744" s="58"/>
      <c r="CP744" s="83"/>
      <c r="CR744" s="58"/>
      <c r="CS744" s="83"/>
      <c r="CY744" s="83"/>
      <c r="DG744" s="58"/>
      <c r="DH744" s="83"/>
      <c r="DQ744" s="83"/>
      <c r="EE744" s="58"/>
      <c r="EF744" s="83"/>
      <c r="EI744" s="83"/>
      <c r="EK744" s="58"/>
      <c r="EL744" s="83"/>
      <c r="EO744" s="58"/>
      <c r="EP744" s="83"/>
      <c r="EQ744" s="58"/>
      <c r="ER744" s="83"/>
      <c r="ES744" s="58"/>
      <c r="ET744" s="83"/>
      <c r="EU744" s="58"/>
    </row>
    <row r="745" spans="1:151">
      <c r="A745" s="42" t="s">
        <v>321</v>
      </c>
      <c r="B745" s="173" t="s">
        <v>223</v>
      </c>
      <c r="C745" s="173" t="s">
        <v>519</v>
      </c>
      <c r="D745" s="83" t="s">
        <v>162</v>
      </c>
      <c r="E745" s="49" t="s">
        <v>0</v>
      </c>
      <c r="F745" s="49" t="s">
        <v>286</v>
      </c>
      <c r="G745" s="60">
        <v>2.7285333333333335</v>
      </c>
      <c r="H745" s="49">
        <v>4331</v>
      </c>
      <c r="I745" s="49">
        <v>4706</v>
      </c>
      <c r="J745" s="159">
        <v>2.3530000000000002</v>
      </c>
      <c r="K745" s="49">
        <v>4</v>
      </c>
      <c r="L745" s="49">
        <v>4</v>
      </c>
      <c r="M745" s="83">
        <v>0</v>
      </c>
      <c r="N745" s="49">
        <v>4</v>
      </c>
      <c r="O745" s="49">
        <v>0</v>
      </c>
      <c r="P745" s="49">
        <v>0</v>
      </c>
      <c r="Q745" s="58">
        <v>0</v>
      </c>
      <c r="R745" s="42">
        <v>4</v>
      </c>
      <c r="S745" s="83" t="s">
        <v>283</v>
      </c>
      <c r="T745" s="49">
        <v>4</v>
      </c>
      <c r="U745" s="83">
        <v>1</v>
      </c>
      <c r="V745" s="49">
        <v>4</v>
      </c>
      <c r="W745" s="49">
        <v>2</v>
      </c>
      <c r="X745" s="58"/>
      <c r="Y745" s="83">
        <v>10</v>
      </c>
      <c r="Z745" s="49">
        <v>6</v>
      </c>
      <c r="AA745" s="49">
        <v>23</v>
      </c>
      <c r="AD745" s="49">
        <v>7</v>
      </c>
      <c r="AE745" s="49">
        <v>477</v>
      </c>
      <c r="AF745" s="49">
        <v>14</v>
      </c>
      <c r="AG745" s="49">
        <v>161</v>
      </c>
      <c r="AH745" s="49">
        <v>27</v>
      </c>
      <c r="AI745" s="49">
        <v>466</v>
      </c>
      <c r="AJ745" s="49">
        <v>1</v>
      </c>
      <c r="AK745" s="83">
        <v>0</v>
      </c>
      <c r="AL745" s="49">
        <v>1</v>
      </c>
      <c r="AM745" s="49">
        <v>0</v>
      </c>
      <c r="AN745" s="49">
        <v>0</v>
      </c>
      <c r="AO745" s="58">
        <v>0</v>
      </c>
      <c r="AP745" s="174" t="s">
        <v>501</v>
      </c>
      <c r="AQ745" s="175" t="s">
        <v>501</v>
      </c>
      <c r="AR745" s="175" t="s">
        <v>284</v>
      </c>
      <c r="AS745" s="175" t="s">
        <v>284</v>
      </c>
      <c r="AT745" s="175" t="s">
        <v>284</v>
      </c>
      <c r="AU745" s="175" t="s">
        <v>284</v>
      </c>
      <c r="AV745" s="175" t="s">
        <v>284</v>
      </c>
      <c r="AW745" s="175" t="s">
        <v>284</v>
      </c>
      <c r="AX745" s="83">
        <v>0</v>
      </c>
      <c r="AY745" s="49">
        <v>0</v>
      </c>
      <c r="AZ745" s="49">
        <v>0</v>
      </c>
      <c r="BA745" s="49">
        <v>0</v>
      </c>
      <c r="BB745" s="58">
        <v>0</v>
      </c>
      <c r="BC745" s="42">
        <v>129</v>
      </c>
      <c r="BD745" s="49">
        <v>80.599999999999994</v>
      </c>
      <c r="BE745" s="159">
        <v>78.489999999999995</v>
      </c>
      <c r="BS745" s="58"/>
      <c r="BT745" s="83">
        <v>82.12</v>
      </c>
      <c r="BU745" s="49">
        <v>81.72</v>
      </c>
      <c r="CE745" s="83">
        <v>83.58</v>
      </c>
      <c r="CK745" s="58"/>
      <c r="CL745" s="83"/>
      <c r="CO745" s="58"/>
      <c r="CP745" s="83"/>
      <c r="CR745" s="58"/>
      <c r="CS745" s="83"/>
      <c r="CY745" s="83"/>
      <c r="DG745" s="58"/>
      <c r="DH745" s="83"/>
      <c r="DQ745" s="83"/>
      <c r="EE745" s="58"/>
      <c r="EF745" s="83"/>
      <c r="EI745" s="83"/>
      <c r="EK745" s="58"/>
      <c r="EL745" s="83"/>
      <c r="EO745" s="58"/>
      <c r="EP745" s="83"/>
      <c r="EQ745" s="58"/>
      <c r="ER745" s="83"/>
      <c r="ES745" s="58"/>
      <c r="ET745" s="83"/>
      <c r="EU745" s="58"/>
    </row>
    <row r="746" spans="1:151" ht="18" customHeight="1">
      <c r="A746" s="42" t="s">
        <v>321</v>
      </c>
      <c r="B746" s="173" t="s">
        <v>223</v>
      </c>
      <c r="C746" s="173" t="s">
        <v>519</v>
      </c>
      <c r="D746" s="83" t="s">
        <v>163</v>
      </c>
      <c r="F746" s="49" t="s">
        <v>286</v>
      </c>
      <c r="G746" s="60">
        <v>2.7285333333333335</v>
      </c>
      <c r="H746" s="49">
        <v>4331</v>
      </c>
      <c r="I746" s="49">
        <v>6894</v>
      </c>
      <c r="J746" s="159">
        <v>1.648493543758967</v>
      </c>
      <c r="K746" s="49">
        <v>1</v>
      </c>
      <c r="L746" s="49">
        <v>3</v>
      </c>
      <c r="M746" s="83">
        <v>0</v>
      </c>
      <c r="N746" s="49">
        <v>0</v>
      </c>
      <c r="O746" s="49">
        <v>0</v>
      </c>
      <c r="P746" s="49">
        <v>0</v>
      </c>
      <c r="Q746" s="58">
        <v>0</v>
      </c>
      <c r="R746" s="42">
        <v>0</v>
      </c>
      <c r="S746" s="83" t="s">
        <v>283</v>
      </c>
      <c r="T746" s="49">
        <v>16</v>
      </c>
      <c r="U746" s="83">
        <v>1</v>
      </c>
      <c r="V746" s="49">
        <v>3</v>
      </c>
      <c r="W746" s="49">
        <v>2</v>
      </c>
      <c r="X746" s="58"/>
      <c r="Y746" s="83">
        <v>1</v>
      </c>
      <c r="Z746" s="49">
        <v>5</v>
      </c>
      <c r="AA746" s="49">
        <v>26</v>
      </c>
      <c r="AD746" s="49">
        <v>57</v>
      </c>
      <c r="AE746" s="49">
        <v>113</v>
      </c>
      <c r="AF746" s="49">
        <v>10</v>
      </c>
      <c r="AG746" s="49">
        <v>186</v>
      </c>
      <c r="AJ746" s="49">
        <v>1</v>
      </c>
      <c r="AK746" s="83">
        <v>0</v>
      </c>
      <c r="AL746" s="49">
        <v>0</v>
      </c>
      <c r="AM746" s="49">
        <v>1</v>
      </c>
      <c r="AN746" s="49">
        <v>0</v>
      </c>
      <c r="AO746" s="58">
        <v>0</v>
      </c>
      <c r="AP746" s="174" t="s">
        <v>284</v>
      </c>
      <c r="AQ746" s="175" t="s">
        <v>284</v>
      </c>
      <c r="AR746" s="175" t="s">
        <v>501</v>
      </c>
      <c r="AS746" s="175" t="s">
        <v>501</v>
      </c>
      <c r="AT746" s="175" t="s">
        <v>284</v>
      </c>
      <c r="AU746" s="175" t="s">
        <v>284</v>
      </c>
      <c r="AV746" s="175" t="s">
        <v>284</v>
      </c>
      <c r="AW746" s="175" t="s">
        <v>284</v>
      </c>
      <c r="AX746" s="83">
        <v>1</v>
      </c>
      <c r="AY746" s="49">
        <v>0</v>
      </c>
      <c r="AZ746" s="49">
        <v>0</v>
      </c>
      <c r="BA746" s="49">
        <v>0</v>
      </c>
      <c r="BB746" s="58">
        <v>1</v>
      </c>
      <c r="BC746" s="42">
        <v>128</v>
      </c>
      <c r="BD746" s="49">
        <v>82.22</v>
      </c>
      <c r="BE746" s="159">
        <v>83.38</v>
      </c>
      <c r="BF746" s="49">
        <v>82.63</v>
      </c>
      <c r="BS746" s="58"/>
      <c r="BT746" s="83"/>
      <c r="CE746" s="83">
        <v>83.84</v>
      </c>
      <c r="CF746" s="49">
        <v>83.62</v>
      </c>
      <c r="CG746" s="49">
        <v>83.49</v>
      </c>
      <c r="CK746" s="58"/>
      <c r="CL746" s="83"/>
      <c r="CO746" s="58"/>
      <c r="CP746" s="83"/>
      <c r="CR746" s="58"/>
      <c r="CS746" s="83"/>
      <c r="CY746" s="83"/>
      <c r="DG746" s="58"/>
      <c r="DH746" s="83"/>
      <c r="DQ746" s="83"/>
      <c r="EE746" s="58"/>
      <c r="EF746" s="83"/>
      <c r="EI746" s="83"/>
      <c r="EK746" s="58"/>
      <c r="EL746" s="83"/>
      <c r="EO746" s="58"/>
      <c r="EP746" s="83"/>
      <c r="EQ746" s="58"/>
      <c r="ER746" s="83"/>
      <c r="ES746" s="58"/>
      <c r="ET746" s="83"/>
      <c r="EU746" s="58"/>
    </row>
    <row r="747" spans="1:151">
      <c r="A747" s="42" t="s">
        <v>321</v>
      </c>
      <c r="B747" s="173" t="s">
        <v>223</v>
      </c>
      <c r="C747" s="173" t="s">
        <v>519</v>
      </c>
      <c r="D747" s="83" t="s">
        <v>164</v>
      </c>
      <c r="F747" s="49" t="s">
        <v>286</v>
      </c>
      <c r="G747" s="60">
        <v>2.7285333333333335</v>
      </c>
      <c r="H747" s="49">
        <v>4331</v>
      </c>
      <c r="I747" s="49">
        <v>5841</v>
      </c>
      <c r="J747" s="159">
        <v>1.4020643302928468</v>
      </c>
      <c r="K747" s="49">
        <v>4</v>
      </c>
      <c r="L747" s="49">
        <v>4</v>
      </c>
      <c r="M747" s="83">
        <v>0</v>
      </c>
      <c r="N747" s="49">
        <v>0</v>
      </c>
      <c r="O747" s="49">
        <v>0</v>
      </c>
      <c r="P747" s="49">
        <v>1</v>
      </c>
      <c r="Q747" s="58">
        <v>0</v>
      </c>
      <c r="R747" s="42">
        <v>1</v>
      </c>
      <c r="S747" s="83" t="s">
        <v>283</v>
      </c>
      <c r="T747" s="49">
        <v>4</v>
      </c>
      <c r="U747" s="83">
        <v>1</v>
      </c>
      <c r="V747" s="49">
        <v>4</v>
      </c>
      <c r="W747" s="49">
        <v>2</v>
      </c>
      <c r="X747" s="58"/>
      <c r="Y747" s="83">
        <v>1</v>
      </c>
      <c r="Z747" s="49">
        <v>8</v>
      </c>
      <c r="AA747" s="49">
        <v>130</v>
      </c>
      <c r="AF747" s="49">
        <v>8</v>
      </c>
      <c r="AG747" s="49">
        <v>38</v>
      </c>
      <c r="AJ747" s="49">
        <v>1</v>
      </c>
      <c r="AK747" s="83">
        <v>0</v>
      </c>
      <c r="AL747" s="49">
        <v>0</v>
      </c>
      <c r="AM747" s="49">
        <v>0</v>
      </c>
      <c r="AN747" s="49">
        <v>0</v>
      </c>
      <c r="AO747" s="58">
        <v>0</v>
      </c>
      <c r="AP747" s="174" t="s">
        <v>284</v>
      </c>
      <c r="AQ747" s="175" t="s">
        <v>284</v>
      </c>
      <c r="AR747" s="175" t="s">
        <v>284</v>
      </c>
      <c r="AS747" s="175" t="s">
        <v>284</v>
      </c>
      <c r="AT747" s="175" t="s">
        <v>284</v>
      </c>
      <c r="AU747" s="175" t="s">
        <v>284</v>
      </c>
      <c r="AV747" s="175" t="s">
        <v>284</v>
      </c>
      <c r="AW747" s="175" t="s">
        <v>284</v>
      </c>
      <c r="AX747" s="83">
        <v>0</v>
      </c>
      <c r="AY747" s="49">
        <v>0</v>
      </c>
      <c r="AZ747" s="49">
        <v>0</v>
      </c>
      <c r="BA747" s="49">
        <v>0</v>
      </c>
      <c r="BB747" s="58">
        <v>0</v>
      </c>
      <c r="BC747" s="42">
        <v>107</v>
      </c>
      <c r="BD747" s="49">
        <v>81.83</v>
      </c>
      <c r="BS747" s="58"/>
      <c r="BT747" s="83">
        <v>81.73</v>
      </c>
      <c r="CE747" s="83">
        <v>82.17</v>
      </c>
      <c r="CF747" s="49">
        <v>82.63</v>
      </c>
      <c r="CK747" s="58"/>
      <c r="CL747" s="83"/>
      <c r="CO747" s="58"/>
      <c r="CP747" s="83"/>
      <c r="CR747" s="58"/>
      <c r="CS747" s="83"/>
      <c r="CY747" s="83"/>
      <c r="DG747" s="58"/>
      <c r="DH747" s="83"/>
      <c r="DQ747" s="83"/>
      <c r="EE747" s="58"/>
      <c r="EF747" s="83"/>
      <c r="EI747" s="83"/>
      <c r="EK747" s="58"/>
      <c r="EL747" s="83"/>
      <c r="EO747" s="58"/>
      <c r="EP747" s="83"/>
      <c r="EQ747" s="58"/>
      <c r="ER747" s="83"/>
      <c r="ES747" s="58"/>
      <c r="ET747" s="83"/>
      <c r="EU747" s="58"/>
    </row>
    <row r="748" spans="1:151">
      <c r="A748" s="42" t="s">
        <v>321</v>
      </c>
      <c r="B748" s="173" t="s">
        <v>223</v>
      </c>
      <c r="C748" s="173" t="s">
        <v>519</v>
      </c>
      <c r="D748" s="83" t="s">
        <v>165</v>
      </c>
      <c r="F748" s="49" t="s">
        <v>286</v>
      </c>
      <c r="G748" s="60">
        <v>2.7285333333333335</v>
      </c>
      <c r="I748" s="49">
        <v>6476</v>
      </c>
      <c r="J748" s="159">
        <v>2.7793991416309014</v>
      </c>
      <c r="K748" s="49">
        <v>1</v>
      </c>
      <c r="L748" s="49">
        <v>3</v>
      </c>
      <c r="M748" s="83">
        <v>0</v>
      </c>
      <c r="N748" s="49">
        <v>1</v>
      </c>
      <c r="O748" s="49">
        <v>0</v>
      </c>
      <c r="P748" s="49">
        <v>1</v>
      </c>
      <c r="Q748" s="58">
        <v>0</v>
      </c>
      <c r="R748" s="42">
        <v>2</v>
      </c>
      <c r="S748" s="83">
        <v>1</v>
      </c>
      <c r="T748" s="49">
        <v>5</v>
      </c>
      <c r="U748" s="83">
        <v>4</v>
      </c>
      <c r="V748" s="49">
        <v>3</v>
      </c>
      <c r="W748" s="49">
        <v>3</v>
      </c>
      <c r="X748" s="58">
        <v>3</v>
      </c>
      <c r="Y748" s="83">
        <v>1</v>
      </c>
      <c r="Z748" s="49">
        <v>7</v>
      </c>
      <c r="AA748" s="49">
        <v>18</v>
      </c>
      <c r="AD748" s="49">
        <v>4</v>
      </c>
      <c r="AE748" s="49">
        <v>43</v>
      </c>
      <c r="AJ748" s="49">
        <v>1</v>
      </c>
      <c r="AK748" s="83">
        <v>0</v>
      </c>
      <c r="AL748" s="49">
        <v>1</v>
      </c>
      <c r="AM748" s="49">
        <v>0</v>
      </c>
      <c r="AN748" s="49">
        <v>0</v>
      </c>
      <c r="AO748" s="58">
        <v>0</v>
      </c>
      <c r="AP748" s="174">
        <v>713</v>
      </c>
      <c r="AQ748" s="175">
        <v>1070</v>
      </c>
      <c r="AR748" s="175">
        <v>0</v>
      </c>
      <c r="AS748" s="175">
        <v>0</v>
      </c>
      <c r="AT748" s="175">
        <v>0</v>
      </c>
      <c r="AU748" s="175">
        <v>0</v>
      </c>
      <c r="AV748" s="175">
        <v>0</v>
      </c>
      <c r="AW748" s="175">
        <v>0</v>
      </c>
      <c r="AX748" s="83">
        <v>0</v>
      </c>
      <c r="AY748" s="49">
        <v>0</v>
      </c>
      <c r="AZ748" s="49">
        <v>0</v>
      </c>
      <c r="BA748" s="49">
        <v>0</v>
      </c>
      <c r="BB748" s="58">
        <v>0</v>
      </c>
      <c r="BC748" s="42">
        <v>132</v>
      </c>
      <c r="BD748" s="49">
        <v>83.68</v>
      </c>
      <c r="BE748" s="159">
        <v>83.75</v>
      </c>
      <c r="BF748" s="49">
        <v>83.87</v>
      </c>
      <c r="BG748" s="49">
        <v>83.38</v>
      </c>
      <c r="BS748" s="58"/>
      <c r="BT748" s="83">
        <v>84.33</v>
      </c>
      <c r="BU748" s="49">
        <v>84.35</v>
      </c>
      <c r="BV748" s="49">
        <v>84.89</v>
      </c>
      <c r="CE748" s="83">
        <v>82.98</v>
      </c>
      <c r="CK748" s="58"/>
      <c r="CL748" s="83"/>
      <c r="CO748" s="58"/>
      <c r="CP748" s="83"/>
      <c r="CR748" s="58"/>
      <c r="CS748" s="83"/>
      <c r="CY748" s="83"/>
      <c r="DG748" s="58"/>
      <c r="DH748" s="83"/>
      <c r="DQ748" s="83"/>
      <c r="EE748" s="58"/>
      <c r="EF748" s="83"/>
      <c r="EI748" s="83"/>
      <c r="EK748" s="58"/>
      <c r="EL748" s="83"/>
      <c r="EO748" s="58"/>
      <c r="EP748" s="83"/>
      <c r="EQ748" s="58"/>
      <c r="ER748" s="83"/>
      <c r="ES748" s="58"/>
      <c r="ET748" s="83"/>
      <c r="EU748" s="58"/>
    </row>
    <row r="749" spans="1:151">
      <c r="A749" s="42" t="s">
        <v>321</v>
      </c>
      <c r="B749" s="173" t="s">
        <v>223</v>
      </c>
      <c r="C749" s="173" t="s">
        <v>519</v>
      </c>
      <c r="D749" s="83" t="s">
        <v>225</v>
      </c>
      <c r="F749" s="49" t="s">
        <v>286</v>
      </c>
      <c r="G749" s="60">
        <v>2.7285333333333335</v>
      </c>
      <c r="H749" s="49">
        <v>4331</v>
      </c>
      <c r="I749" s="49">
        <v>3431</v>
      </c>
      <c r="J749" s="159">
        <v>2.8615512927439535</v>
      </c>
      <c r="K749" s="49">
        <v>1</v>
      </c>
      <c r="L749" s="49">
        <v>3</v>
      </c>
      <c r="M749" s="83">
        <v>0</v>
      </c>
      <c r="N749" s="49">
        <v>2</v>
      </c>
      <c r="O749" s="49">
        <v>0</v>
      </c>
      <c r="P749" s="49">
        <v>1</v>
      </c>
      <c r="Q749" s="58">
        <v>0</v>
      </c>
      <c r="R749" s="42">
        <v>3</v>
      </c>
      <c r="S749" s="83" t="s">
        <v>283</v>
      </c>
      <c r="T749" s="49">
        <v>7</v>
      </c>
      <c r="U749" s="83">
        <v>2</v>
      </c>
      <c r="V749" s="49">
        <v>3</v>
      </c>
      <c r="W749" s="49">
        <v>3</v>
      </c>
      <c r="X749" s="58">
        <v>2</v>
      </c>
      <c r="Y749" s="83">
        <v>1</v>
      </c>
      <c r="Z749" s="49">
        <v>17</v>
      </c>
      <c r="AA749" s="49">
        <v>33</v>
      </c>
      <c r="AH749" s="49">
        <v>16</v>
      </c>
      <c r="AI749" s="49">
        <v>231</v>
      </c>
      <c r="AJ749" s="49">
        <v>1</v>
      </c>
      <c r="AK749" s="83">
        <v>0</v>
      </c>
      <c r="AL749" s="49">
        <v>0</v>
      </c>
      <c r="AM749" s="49">
        <v>0</v>
      </c>
      <c r="AN749" s="49">
        <v>0</v>
      </c>
      <c r="AO749" s="58">
        <v>0</v>
      </c>
      <c r="AP749" s="174" t="s">
        <v>284</v>
      </c>
      <c r="AQ749" s="175" t="s">
        <v>284</v>
      </c>
      <c r="AR749" s="175" t="s">
        <v>284</v>
      </c>
      <c r="AS749" s="175" t="s">
        <v>284</v>
      </c>
      <c r="AT749" s="175" t="s">
        <v>284</v>
      </c>
      <c r="AU749" s="175" t="s">
        <v>284</v>
      </c>
      <c r="AV749" s="175" t="s">
        <v>284</v>
      </c>
      <c r="AW749" s="175" t="s">
        <v>284</v>
      </c>
      <c r="AX749" s="83">
        <v>0</v>
      </c>
      <c r="AY749" s="49">
        <v>0</v>
      </c>
      <c r="AZ749" s="49">
        <v>0</v>
      </c>
      <c r="BA749" s="49">
        <v>0</v>
      </c>
      <c r="BB749" s="58">
        <v>0</v>
      </c>
      <c r="BC749" s="42">
        <v>114</v>
      </c>
      <c r="BS749" s="58"/>
      <c r="BT749" s="83"/>
      <c r="CE749" s="83"/>
      <c r="CK749" s="58"/>
      <c r="CL749" s="83"/>
      <c r="CO749" s="58"/>
      <c r="CP749" s="83"/>
      <c r="CR749" s="58"/>
      <c r="CS749" s="83"/>
      <c r="CY749" s="83"/>
      <c r="DG749" s="58"/>
      <c r="DH749" s="83"/>
      <c r="DQ749" s="83"/>
      <c r="EE749" s="58"/>
      <c r="EF749" s="83"/>
      <c r="EI749" s="83"/>
      <c r="EK749" s="58"/>
      <c r="EL749" s="83"/>
      <c r="EO749" s="58"/>
      <c r="EP749" s="83"/>
      <c r="EQ749" s="58"/>
      <c r="ER749" s="83"/>
      <c r="ES749" s="58"/>
      <c r="ET749" s="83"/>
      <c r="EU749" s="58"/>
    </row>
    <row r="750" spans="1:151">
      <c r="A750" s="42" t="s">
        <v>321</v>
      </c>
      <c r="B750" s="173" t="s">
        <v>223</v>
      </c>
      <c r="C750" s="173" t="s">
        <v>519</v>
      </c>
      <c r="D750" s="83" t="s">
        <v>226</v>
      </c>
      <c r="F750" s="49" t="s">
        <v>286</v>
      </c>
      <c r="G750" s="60">
        <v>2.7285333333333335</v>
      </c>
      <c r="I750" s="49">
        <v>2659</v>
      </c>
      <c r="J750" s="159">
        <v>1.3015173764072443</v>
      </c>
      <c r="K750" s="49">
        <v>1</v>
      </c>
      <c r="L750" s="49">
        <v>3</v>
      </c>
      <c r="M750" s="83">
        <v>1</v>
      </c>
      <c r="N750" s="49">
        <v>4</v>
      </c>
      <c r="O750" s="49">
        <v>1</v>
      </c>
      <c r="P750" s="49">
        <v>1</v>
      </c>
      <c r="Q750" s="58">
        <v>0</v>
      </c>
      <c r="R750" s="42">
        <v>7</v>
      </c>
      <c r="S750" s="83">
        <v>1</v>
      </c>
      <c r="U750" s="83">
        <v>1</v>
      </c>
      <c r="V750" s="49">
        <v>2</v>
      </c>
      <c r="W750" s="49">
        <v>1</v>
      </c>
      <c r="X750" s="58">
        <v>2</v>
      </c>
      <c r="Y750" s="83">
        <v>4</v>
      </c>
      <c r="Z750" s="49">
        <v>6</v>
      </c>
      <c r="AA750" s="49">
        <v>18</v>
      </c>
      <c r="AD750" s="49">
        <v>9</v>
      </c>
      <c r="AE750" s="49">
        <v>45</v>
      </c>
      <c r="AF750" s="49">
        <v>9</v>
      </c>
      <c r="AG750" s="49">
        <v>182</v>
      </c>
      <c r="AH750" s="49">
        <v>6</v>
      </c>
      <c r="AI750" s="49">
        <v>353</v>
      </c>
      <c r="AJ750" s="49">
        <v>1</v>
      </c>
      <c r="AK750" s="83">
        <v>0</v>
      </c>
      <c r="AL750" s="49">
        <v>1</v>
      </c>
      <c r="AM750" s="49">
        <v>0</v>
      </c>
      <c r="AN750" s="49">
        <v>0</v>
      </c>
      <c r="AO750" s="58">
        <v>0</v>
      </c>
      <c r="AP750" s="174">
        <v>178</v>
      </c>
      <c r="AQ750" s="175">
        <v>816</v>
      </c>
      <c r="AR750" s="175">
        <v>0</v>
      </c>
      <c r="AS750" s="175">
        <v>0</v>
      </c>
      <c r="AT750" s="175">
        <v>0</v>
      </c>
      <c r="AU750" s="175">
        <v>0</v>
      </c>
      <c r="AV750" s="175">
        <v>0</v>
      </c>
      <c r="AW750" s="175">
        <v>0</v>
      </c>
      <c r="AX750" s="83">
        <v>0</v>
      </c>
      <c r="AY750" s="49">
        <v>0</v>
      </c>
      <c r="AZ750" s="49">
        <v>0</v>
      </c>
      <c r="BA750" s="49">
        <v>0</v>
      </c>
      <c r="BB750" s="58">
        <v>0</v>
      </c>
      <c r="BC750" s="42">
        <v>107</v>
      </c>
      <c r="BS750" s="58"/>
      <c r="BT750" s="83"/>
      <c r="CE750" s="83"/>
      <c r="CK750" s="58"/>
      <c r="CL750" s="83"/>
      <c r="CO750" s="58"/>
      <c r="CP750" s="83"/>
      <c r="CR750" s="58"/>
      <c r="CS750" s="83"/>
      <c r="CY750" s="83"/>
      <c r="DG750" s="58"/>
      <c r="DH750" s="83"/>
      <c r="DQ750" s="83"/>
      <c r="EE750" s="58"/>
      <c r="EF750" s="83"/>
      <c r="EI750" s="83"/>
      <c r="EK750" s="58"/>
      <c r="EL750" s="83"/>
      <c r="EO750" s="58"/>
      <c r="EP750" s="83"/>
      <c r="EQ750" s="58"/>
      <c r="ER750" s="83"/>
      <c r="ES750" s="58"/>
      <c r="ET750" s="83"/>
      <c r="EU750" s="58"/>
    </row>
    <row r="751" spans="1:151">
      <c r="A751" s="42" t="s">
        <v>321</v>
      </c>
      <c r="B751" s="173" t="s">
        <v>223</v>
      </c>
      <c r="C751" s="173" t="s">
        <v>519</v>
      </c>
      <c r="D751" s="83" t="s">
        <v>227</v>
      </c>
      <c r="E751" s="49" t="s">
        <v>0</v>
      </c>
      <c r="F751" s="49" t="s">
        <v>286</v>
      </c>
      <c r="G751" s="60">
        <v>2.7285333333333335</v>
      </c>
      <c r="H751" s="49">
        <v>4331</v>
      </c>
      <c r="I751" s="49">
        <v>1598</v>
      </c>
      <c r="J751" s="159">
        <v>1.9393203883495145</v>
      </c>
      <c r="K751" s="49">
        <v>1</v>
      </c>
      <c r="L751" s="49">
        <v>3</v>
      </c>
      <c r="M751" s="83">
        <v>0</v>
      </c>
      <c r="N751" s="49">
        <v>1</v>
      </c>
      <c r="O751" s="49">
        <v>1</v>
      </c>
      <c r="P751" s="49">
        <v>1</v>
      </c>
      <c r="Q751" s="58">
        <v>0</v>
      </c>
      <c r="R751" s="42">
        <v>3</v>
      </c>
      <c r="S751" s="83" t="s">
        <v>283</v>
      </c>
      <c r="T751" s="49">
        <v>6</v>
      </c>
      <c r="U751" s="83">
        <v>0</v>
      </c>
      <c r="V751" s="49">
        <v>0</v>
      </c>
      <c r="W751" s="49">
        <v>0</v>
      </c>
      <c r="X751" s="58"/>
      <c r="Y751" s="83">
        <v>1</v>
      </c>
      <c r="Z751" s="49">
        <v>10</v>
      </c>
      <c r="AA751" s="49">
        <v>45</v>
      </c>
      <c r="AD751" s="49">
        <v>14</v>
      </c>
      <c r="AE751" s="49">
        <v>134</v>
      </c>
      <c r="AJ751" s="49">
        <v>1</v>
      </c>
      <c r="AK751" s="83">
        <v>0</v>
      </c>
      <c r="AL751" s="49">
        <v>1</v>
      </c>
      <c r="AM751" s="49">
        <v>0</v>
      </c>
      <c r="AN751" s="49">
        <v>0</v>
      </c>
      <c r="AO751" s="58">
        <v>0</v>
      </c>
      <c r="AP751" s="174">
        <v>467</v>
      </c>
      <c r="AQ751" s="175">
        <v>837</v>
      </c>
      <c r="AR751" s="175" t="s">
        <v>284</v>
      </c>
      <c r="AS751" s="175" t="s">
        <v>284</v>
      </c>
      <c r="AT751" s="175" t="s">
        <v>284</v>
      </c>
      <c r="AU751" s="175" t="s">
        <v>284</v>
      </c>
      <c r="AV751" s="175" t="s">
        <v>284</v>
      </c>
      <c r="AW751" s="175" t="s">
        <v>284</v>
      </c>
      <c r="AX751" s="83">
        <v>0</v>
      </c>
      <c r="AY751" s="49">
        <v>0</v>
      </c>
      <c r="AZ751" s="49">
        <v>0</v>
      </c>
      <c r="BA751" s="49">
        <v>0</v>
      </c>
      <c r="BB751" s="58">
        <v>0</v>
      </c>
      <c r="BC751" s="42">
        <v>167</v>
      </c>
      <c r="BS751" s="58"/>
      <c r="BT751" s="83"/>
      <c r="CE751" s="83"/>
      <c r="CK751" s="58"/>
      <c r="CL751" s="83"/>
      <c r="CO751" s="58"/>
      <c r="CP751" s="83"/>
      <c r="CR751" s="58"/>
      <c r="CS751" s="83"/>
      <c r="CY751" s="83"/>
      <c r="DG751" s="58"/>
      <c r="DH751" s="83"/>
      <c r="DQ751" s="83"/>
      <c r="EE751" s="58"/>
      <c r="EF751" s="83"/>
      <c r="EI751" s="83"/>
      <c r="EK751" s="58"/>
      <c r="EL751" s="83"/>
      <c r="EO751" s="58"/>
      <c r="EP751" s="83"/>
      <c r="EQ751" s="58"/>
      <c r="ER751" s="83"/>
      <c r="ES751" s="58"/>
      <c r="ET751" s="83"/>
      <c r="EU751" s="58"/>
    </row>
    <row r="752" spans="1:151">
      <c r="A752" s="42" t="s">
        <v>321</v>
      </c>
      <c r="B752" s="173" t="s">
        <v>223</v>
      </c>
      <c r="C752" s="173" t="s">
        <v>519</v>
      </c>
      <c r="D752" s="83" t="s">
        <v>227</v>
      </c>
      <c r="E752" s="49" t="s">
        <v>1</v>
      </c>
      <c r="F752" s="49" t="s">
        <v>286</v>
      </c>
      <c r="G752" s="60">
        <v>2.7285333333333335</v>
      </c>
      <c r="H752" s="49">
        <v>4331</v>
      </c>
      <c r="I752" s="49">
        <v>2853</v>
      </c>
      <c r="J752" s="159">
        <v>1.504746835443038</v>
      </c>
      <c r="K752" s="49">
        <v>1</v>
      </c>
      <c r="L752" s="49">
        <v>2</v>
      </c>
      <c r="M752" s="83">
        <v>0</v>
      </c>
      <c r="N752" s="49">
        <v>0</v>
      </c>
      <c r="O752" s="49">
        <v>1</v>
      </c>
      <c r="P752" s="49">
        <v>1</v>
      </c>
      <c r="Q752" s="58">
        <v>0</v>
      </c>
      <c r="R752" s="42">
        <v>2</v>
      </c>
      <c r="S752" s="83" t="s">
        <v>283</v>
      </c>
      <c r="T752" s="49">
        <v>6</v>
      </c>
      <c r="U752" s="83">
        <v>1</v>
      </c>
      <c r="V752" s="49">
        <v>3</v>
      </c>
      <c r="W752" s="49">
        <v>2</v>
      </c>
      <c r="X752" s="58"/>
      <c r="Y752" s="83">
        <v>1</v>
      </c>
      <c r="Z752" s="49">
        <v>8</v>
      </c>
      <c r="AA752" s="49">
        <v>20</v>
      </c>
      <c r="AI752" s="49">
        <v>104</v>
      </c>
      <c r="AJ752" s="49">
        <v>1</v>
      </c>
      <c r="AK752" s="83">
        <v>0</v>
      </c>
      <c r="AL752" s="49">
        <v>1</v>
      </c>
      <c r="AM752" s="49">
        <v>0</v>
      </c>
      <c r="AN752" s="49">
        <v>0</v>
      </c>
      <c r="AO752" s="58">
        <v>0</v>
      </c>
      <c r="AP752" s="174">
        <v>0</v>
      </c>
      <c r="AQ752" s="175">
        <v>750</v>
      </c>
      <c r="AR752" s="175" t="s">
        <v>284</v>
      </c>
      <c r="AS752" s="175" t="s">
        <v>284</v>
      </c>
      <c r="AT752" s="175" t="s">
        <v>284</v>
      </c>
      <c r="AU752" s="175" t="s">
        <v>284</v>
      </c>
      <c r="AV752" s="175" t="s">
        <v>284</v>
      </c>
      <c r="AW752" s="175" t="s">
        <v>284</v>
      </c>
      <c r="AX752" s="83">
        <v>0</v>
      </c>
      <c r="AY752" s="49">
        <v>0</v>
      </c>
      <c r="AZ752" s="49">
        <v>0</v>
      </c>
      <c r="BA752" s="49">
        <v>0</v>
      </c>
      <c r="BB752" s="58">
        <v>0</v>
      </c>
      <c r="BC752" s="42">
        <v>167</v>
      </c>
      <c r="BS752" s="58"/>
      <c r="BT752" s="83"/>
      <c r="CE752" s="83"/>
      <c r="CK752" s="58"/>
      <c r="CL752" s="83"/>
      <c r="CO752" s="58"/>
      <c r="CP752" s="83"/>
      <c r="CR752" s="58"/>
      <c r="CS752" s="83"/>
      <c r="CY752" s="83"/>
      <c r="DG752" s="58"/>
      <c r="DH752" s="83"/>
      <c r="DQ752" s="83"/>
      <c r="EE752" s="58"/>
      <c r="EF752" s="83"/>
      <c r="EI752" s="83"/>
      <c r="EK752" s="58"/>
      <c r="EL752" s="83"/>
      <c r="EO752" s="58"/>
      <c r="EP752" s="83"/>
      <c r="EQ752" s="58"/>
      <c r="ER752" s="83"/>
      <c r="ES752" s="58"/>
      <c r="ET752" s="83"/>
      <c r="EU752" s="58"/>
    </row>
    <row r="753" spans="1:151">
      <c r="A753" s="42" t="s">
        <v>321</v>
      </c>
      <c r="B753" s="173" t="s">
        <v>223</v>
      </c>
      <c r="C753" s="173" t="s">
        <v>519</v>
      </c>
      <c r="D753" s="83" t="s">
        <v>69</v>
      </c>
      <c r="F753" s="49" t="s">
        <v>287</v>
      </c>
      <c r="G753" s="60">
        <v>2.7285333333333335</v>
      </c>
      <c r="H753" s="49">
        <v>4331</v>
      </c>
      <c r="I753" s="49">
        <v>598</v>
      </c>
      <c r="J753" s="159">
        <v>9.0606060606060606</v>
      </c>
      <c r="K753" s="49">
        <v>3</v>
      </c>
      <c r="L753" s="49">
        <v>2</v>
      </c>
      <c r="M753" s="83">
        <v>0</v>
      </c>
      <c r="N753" s="49">
        <v>0</v>
      </c>
      <c r="O753" s="49">
        <v>0</v>
      </c>
      <c r="P753" s="49">
        <v>1</v>
      </c>
      <c r="Q753" s="58">
        <v>0</v>
      </c>
      <c r="R753" s="42">
        <v>1</v>
      </c>
      <c r="S753" s="83" t="s">
        <v>283</v>
      </c>
      <c r="T753" s="49">
        <v>2</v>
      </c>
      <c r="U753" s="83">
        <v>0</v>
      </c>
      <c r="V753" s="49">
        <v>0</v>
      </c>
      <c r="W753" s="49">
        <v>0</v>
      </c>
      <c r="X753" s="58"/>
      <c r="Y753" s="83">
        <v>1</v>
      </c>
      <c r="AF753" s="49">
        <v>1</v>
      </c>
      <c r="AG753" s="49">
        <v>54</v>
      </c>
      <c r="AJ753" s="49">
        <v>0</v>
      </c>
      <c r="AK753" s="83">
        <v>0</v>
      </c>
      <c r="AL753" s="49">
        <v>0</v>
      </c>
      <c r="AM753" s="49">
        <v>1</v>
      </c>
      <c r="AN753" s="49">
        <v>0</v>
      </c>
      <c r="AO753" s="58">
        <v>0</v>
      </c>
      <c r="AP753" s="174" t="s">
        <v>284</v>
      </c>
      <c r="AQ753" s="175" t="s">
        <v>284</v>
      </c>
      <c r="AR753" s="175" t="s">
        <v>501</v>
      </c>
      <c r="AS753" s="175" t="s">
        <v>501</v>
      </c>
      <c r="AT753" s="175" t="s">
        <v>284</v>
      </c>
      <c r="AU753" s="175" t="s">
        <v>284</v>
      </c>
      <c r="AV753" s="175" t="s">
        <v>284</v>
      </c>
      <c r="AW753" s="175" t="s">
        <v>284</v>
      </c>
      <c r="AX753" s="83">
        <v>0</v>
      </c>
      <c r="AY753" s="49">
        <v>0</v>
      </c>
      <c r="AZ753" s="49">
        <v>0</v>
      </c>
      <c r="BA753" s="49">
        <v>0</v>
      </c>
      <c r="BB753" s="58">
        <v>0</v>
      </c>
      <c r="BC753" s="42">
        <v>76</v>
      </c>
      <c r="BS753" s="58"/>
      <c r="BT753" s="83"/>
      <c r="CE753" s="83"/>
      <c r="CK753" s="58"/>
      <c r="CL753" s="83"/>
      <c r="CO753" s="58"/>
      <c r="CP753" s="83"/>
      <c r="CR753" s="58"/>
      <c r="CS753" s="83"/>
      <c r="CY753" s="83"/>
      <c r="DG753" s="58"/>
      <c r="DH753" s="83"/>
      <c r="DQ753" s="83"/>
      <c r="EE753" s="58"/>
      <c r="EF753" s="83"/>
      <c r="EI753" s="83"/>
      <c r="EK753" s="58"/>
      <c r="EL753" s="83"/>
      <c r="EO753" s="58"/>
      <c r="EP753" s="83"/>
      <c r="EQ753" s="58"/>
      <c r="ER753" s="83"/>
      <c r="ES753" s="58"/>
      <c r="ET753" s="83"/>
      <c r="EU753" s="58"/>
    </row>
    <row r="754" spans="1:151">
      <c r="A754" s="42" t="s">
        <v>321</v>
      </c>
      <c r="B754" s="173" t="s">
        <v>223</v>
      </c>
      <c r="C754" s="173" t="s">
        <v>519</v>
      </c>
      <c r="D754" s="83" t="s">
        <v>228</v>
      </c>
      <c r="F754" s="49" t="s">
        <v>286</v>
      </c>
      <c r="G754" s="60">
        <v>2.7285333333333335</v>
      </c>
      <c r="I754" s="49">
        <v>2907</v>
      </c>
      <c r="J754" s="159">
        <v>1.3408671586715868</v>
      </c>
      <c r="K754" s="49">
        <v>1</v>
      </c>
      <c r="L754" s="49">
        <v>3</v>
      </c>
      <c r="M754" s="83">
        <v>0</v>
      </c>
      <c r="N754" s="49">
        <v>3</v>
      </c>
      <c r="O754" s="49">
        <v>0</v>
      </c>
      <c r="P754" s="49">
        <v>0</v>
      </c>
      <c r="Q754" s="58">
        <v>0</v>
      </c>
      <c r="R754" s="42">
        <v>3</v>
      </c>
      <c r="S754" s="83">
        <v>1</v>
      </c>
      <c r="T754" s="49">
        <v>4</v>
      </c>
      <c r="U754" s="83">
        <v>1</v>
      </c>
      <c r="V754" s="49">
        <v>2</v>
      </c>
      <c r="W754" s="49">
        <v>2</v>
      </c>
      <c r="X754" s="58"/>
      <c r="Y754" s="83">
        <v>10</v>
      </c>
      <c r="Z754" s="49">
        <v>9</v>
      </c>
      <c r="AA754" s="49">
        <v>25</v>
      </c>
      <c r="AD754" s="49">
        <v>47</v>
      </c>
      <c r="AE754" s="49">
        <v>181</v>
      </c>
      <c r="AF754" s="49">
        <v>13</v>
      </c>
      <c r="AG754" s="49">
        <v>371</v>
      </c>
      <c r="AH754" s="49">
        <v>48</v>
      </c>
      <c r="AI754" s="49">
        <v>534</v>
      </c>
      <c r="AJ754" s="49">
        <v>1</v>
      </c>
      <c r="AK754" s="83"/>
      <c r="AL754" s="49">
        <v>0</v>
      </c>
      <c r="AM754" s="49">
        <v>1</v>
      </c>
      <c r="AN754" s="49">
        <v>0</v>
      </c>
      <c r="AO754" s="58">
        <v>0</v>
      </c>
      <c r="AP754" s="174">
        <v>595</v>
      </c>
      <c r="AQ754" s="175">
        <v>663</v>
      </c>
      <c r="AR754" s="175">
        <v>0</v>
      </c>
      <c r="AS754" s="175">
        <v>0</v>
      </c>
      <c r="AT754" s="175">
        <v>0</v>
      </c>
      <c r="AU754" s="175">
        <v>0</v>
      </c>
      <c r="AV754" s="175">
        <v>0</v>
      </c>
      <c r="AW754" s="175">
        <v>0</v>
      </c>
      <c r="AX754" s="83">
        <v>0</v>
      </c>
      <c r="AY754" s="49">
        <v>0</v>
      </c>
      <c r="AZ754" s="49">
        <v>0</v>
      </c>
      <c r="BA754" s="49">
        <v>0</v>
      </c>
      <c r="BB754" s="58">
        <v>0</v>
      </c>
      <c r="BC754" s="42">
        <v>147</v>
      </c>
      <c r="BS754" s="58"/>
      <c r="BT754" s="83">
        <v>82.29</v>
      </c>
      <c r="BU754" s="49">
        <v>84.13</v>
      </c>
      <c r="BV754" s="49">
        <v>81.69</v>
      </c>
      <c r="BW754" s="49">
        <v>81.239999999999995</v>
      </c>
      <c r="BX754" s="49">
        <v>82.58</v>
      </c>
      <c r="CE754" s="83"/>
      <c r="CK754" s="58"/>
      <c r="CL754" s="83"/>
      <c r="CO754" s="58"/>
      <c r="CP754" s="83"/>
      <c r="CR754" s="58"/>
      <c r="CS754" s="83"/>
      <c r="CY754" s="83"/>
      <c r="DG754" s="58"/>
      <c r="DH754" s="83">
        <v>74.59</v>
      </c>
      <c r="DI754" s="49">
        <v>81.11</v>
      </c>
      <c r="DJ754" s="49">
        <v>75.06</v>
      </c>
      <c r="DK754" s="49">
        <v>75.989999999999995</v>
      </c>
      <c r="DL754" s="49">
        <v>74.62</v>
      </c>
      <c r="DM754" s="49">
        <v>74.56</v>
      </c>
      <c r="DN754" s="49">
        <v>74.34</v>
      </c>
      <c r="DO754" s="49">
        <v>79.66</v>
      </c>
      <c r="DP754" s="49">
        <v>80.3</v>
      </c>
      <c r="DQ754" s="83">
        <v>74.680000000000007</v>
      </c>
      <c r="DR754" s="49">
        <v>82.04</v>
      </c>
      <c r="DS754" s="49">
        <v>75.14</v>
      </c>
      <c r="DT754" s="49">
        <v>81.81</v>
      </c>
      <c r="EE754" s="58"/>
      <c r="EF754" s="83"/>
      <c r="EI754" s="83"/>
      <c r="EK754" s="58"/>
      <c r="EL754" s="83">
        <v>76.89</v>
      </c>
      <c r="EM754" s="49">
        <v>81.2</v>
      </c>
      <c r="EO754" s="58"/>
      <c r="EP754" s="83"/>
      <c r="EQ754" s="58"/>
      <c r="ER754" s="83"/>
      <c r="ES754" s="58"/>
      <c r="ET754" s="83"/>
      <c r="EU754" s="58"/>
    </row>
    <row r="755" spans="1:151">
      <c r="A755" s="42" t="s">
        <v>321</v>
      </c>
      <c r="B755" s="173" t="s">
        <v>223</v>
      </c>
      <c r="C755" s="173" t="s">
        <v>519</v>
      </c>
      <c r="D755" s="83" t="s">
        <v>229</v>
      </c>
      <c r="F755" s="49" t="s">
        <v>286</v>
      </c>
      <c r="G755" s="60">
        <v>2.7285333333333335</v>
      </c>
      <c r="H755" s="49">
        <v>4331</v>
      </c>
      <c r="I755" s="49">
        <v>12870</v>
      </c>
      <c r="J755" s="159">
        <v>1.4222566029395514</v>
      </c>
      <c r="K755" s="49">
        <v>4</v>
      </c>
      <c r="L755" s="49">
        <v>5</v>
      </c>
      <c r="M755" s="83">
        <v>0</v>
      </c>
      <c r="N755" s="49">
        <v>0</v>
      </c>
      <c r="O755" s="49">
        <v>0</v>
      </c>
      <c r="P755" s="49">
        <v>0</v>
      </c>
      <c r="Q755" s="58">
        <v>0</v>
      </c>
      <c r="R755" s="42">
        <v>0</v>
      </c>
      <c r="S755" s="83" t="s">
        <v>283</v>
      </c>
      <c r="T755" s="49">
        <v>4</v>
      </c>
      <c r="U755" s="83">
        <v>1</v>
      </c>
      <c r="V755" s="49">
        <v>5</v>
      </c>
      <c r="W755" s="49">
        <v>2</v>
      </c>
      <c r="X755" s="58"/>
      <c r="Y755" s="83">
        <v>20</v>
      </c>
      <c r="Z755" s="49">
        <v>5</v>
      </c>
      <c r="AA755" s="49">
        <v>90</v>
      </c>
      <c r="AD755" s="49">
        <v>20</v>
      </c>
      <c r="AE755" s="49">
        <v>805</v>
      </c>
      <c r="AF755" s="49">
        <v>5</v>
      </c>
      <c r="AG755" s="49">
        <v>978</v>
      </c>
      <c r="AH755" s="49">
        <v>92</v>
      </c>
      <c r="AI755" s="49">
        <v>4947</v>
      </c>
      <c r="AJ755" s="49">
        <v>1</v>
      </c>
      <c r="AK755" s="83">
        <v>0</v>
      </c>
      <c r="AL755" s="49">
        <v>1</v>
      </c>
      <c r="AM755" s="49">
        <v>0</v>
      </c>
      <c r="AN755" s="49">
        <v>0</v>
      </c>
      <c r="AO755" s="58">
        <v>0</v>
      </c>
      <c r="AP755" s="174" t="s">
        <v>501</v>
      </c>
      <c r="AQ755" s="175" t="s">
        <v>501</v>
      </c>
      <c r="AR755" s="175" t="s">
        <v>284</v>
      </c>
      <c r="AS755" s="175" t="s">
        <v>284</v>
      </c>
      <c r="AT755" s="175" t="s">
        <v>284</v>
      </c>
      <c r="AU755" s="175" t="s">
        <v>284</v>
      </c>
      <c r="AV755" s="175" t="s">
        <v>284</v>
      </c>
      <c r="AW755" s="175" t="s">
        <v>284</v>
      </c>
      <c r="AX755" s="83">
        <v>0</v>
      </c>
      <c r="AY755" s="49">
        <v>0</v>
      </c>
      <c r="AZ755" s="49">
        <v>0</v>
      </c>
      <c r="BA755" s="49">
        <v>0</v>
      </c>
      <c r="BB755" s="58">
        <v>0</v>
      </c>
      <c r="BC755" s="42">
        <v>164</v>
      </c>
      <c r="BD755" s="49">
        <v>81.66</v>
      </c>
      <c r="BE755" s="159">
        <v>81.849999999999994</v>
      </c>
      <c r="BF755" s="49">
        <v>83.17</v>
      </c>
      <c r="BS755" s="58"/>
      <c r="BT755" s="83"/>
      <c r="CE755" s="83">
        <v>82.11</v>
      </c>
      <c r="CF755" s="49">
        <v>82.97</v>
      </c>
      <c r="CG755" s="49">
        <v>82.79</v>
      </c>
      <c r="CH755" s="49">
        <v>84.11</v>
      </c>
      <c r="CI755" s="49">
        <v>83.39</v>
      </c>
      <c r="CK755" s="58"/>
      <c r="CL755" s="83"/>
      <c r="CO755" s="58"/>
      <c r="CP755" s="83"/>
      <c r="CR755" s="58"/>
      <c r="CS755" s="83">
        <v>82.58</v>
      </c>
      <c r="CU755" s="49">
        <v>84.55</v>
      </c>
      <c r="CY755" s="83"/>
      <c r="DG755" s="58"/>
      <c r="DH755" s="83"/>
      <c r="DQ755" s="83"/>
      <c r="EE755" s="58"/>
      <c r="EF755" s="83"/>
      <c r="EI755" s="83"/>
      <c r="EK755" s="58"/>
      <c r="EL755" s="83"/>
      <c r="EO755" s="58"/>
      <c r="EP755" s="83"/>
      <c r="EQ755" s="58"/>
      <c r="ER755" s="83"/>
      <c r="ES755" s="58"/>
      <c r="ET755" s="83"/>
      <c r="EU755" s="58"/>
    </row>
    <row r="756" spans="1:151">
      <c r="A756" s="42" t="s">
        <v>321</v>
      </c>
      <c r="B756" s="173" t="s">
        <v>223</v>
      </c>
      <c r="C756" s="173" t="s">
        <v>519</v>
      </c>
      <c r="D756" s="83" t="s">
        <v>230</v>
      </c>
      <c r="F756" s="49" t="s">
        <v>286</v>
      </c>
      <c r="G756" s="60">
        <v>2.7285333333333335</v>
      </c>
      <c r="H756" s="49">
        <v>4331</v>
      </c>
      <c r="I756" s="49">
        <v>3527</v>
      </c>
      <c r="J756" s="159">
        <v>1.0691118520763867</v>
      </c>
      <c r="K756" s="49">
        <v>1</v>
      </c>
      <c r="L756" s="49">
        <v>2</v>
      </c>
      <c r="M756" s="83">
        <v>0</v>
      </c>
      <c r="N756" s="49">
        <v>2</v>
      </c>
      <c r="O756" s="49">
        <v>1</v>
      </c>
      <c r="P756" s="49">
        <v>1</v>
      </c>
      <c r="Q756" s="58">
        <v>0</v>
      </c>
      <c r="R756" s="42">
        <v>4</v>
      </c>
      <c r="S756" s="83" t="s">
        <v>283</v>
      </c>
      <c r="T756" s="49">
        <v>7</v>
      </c>
      <c r="U756" s="83">
        <v>0</v>
      </c>
      <c r="V756" s="49">
        <v>0</v>
      </c>
      <c r="W756" s="49">
        <v>0</v>
      </c>
      <c r="X756" s="58"/>
      <c r="Y756" s="83">
        <v>20</v>
      </c>
      <c r="Z756" s="49">
        <v>16</v>
      </c>
      <c r="AA756" s="49">
        <v>104</v>
      </c>
      <c r="AF756" s="49">
        <v>12</v>
      </c>
      <c r="AG756" s="49">
        <v>247</v>
      </c>
      <c r="AH756" s="49">
        <v>324</v>
      </c>
      <c r="AI756" s="49">
        <v>1033</v>
      </c>
      <c r="AJ756" s="49">
        <v>1</v>
      </c>
      <c r="AK756" s="83">
        <v>0</v>
      </c>
      <c r="AL756" s="49">
        <v>1</v>
      </c>
      <c r="AM756" s="49">
        <v>0</v>
      </c>
      <c r="AN756" s="49">
        <v>0</v>
      </c>
      <c r="AO756" s="58">
        <v>0</v>
      </c>
      <c r="AP756" s="174" t="s">
        <v>501</v>
      </c>
      <c r="AQ756" s="175" t="s">
        <v>501</v>
      </c>
      <c r="AR756" s="175" t="s">
        <v>284</v>
      </c>
      <c r="AS756" s="175" t="s">
        <v>284</v>
      </c>
      <c r="AT756" s="175" t="s">
        <v>284</v>
      </c>
      <c r="AU756" s="175" t="s">
        <v>284</v>
      </c>
      <c r="AV756" s="175" t="s">
        <v>284</v>
      </c>
      <c r="AW756" s="175" t="s">
        <v>284</v>
      </c>
      <c r="AX756" s="83">
        <v>0</v>
      </c>
      <c r="AY756" s="49">
        <v>0</v>
      </c>
      <c r="AZ756" s="49">
        <v>0</v>
      </c>
      <c r="BA756" s="49">
        <v>0</v>
      </c>
      <c r="BB756" s="58">
        <v>0</v>
      </c>
      <c r="BC756" s="42">
        <v>186</v>
      </c>
      <c r="BD756" s="49">
        <v>80.63</v>
      </c>
      <c r="BE756" s="159">
        <v>80.72</v>
      </c>
      <c r="BS756" s="58"/>
      <c r="BT756" s="83">
        <v>82.06</v>
      </c>
      <c r="CE756" s="83"/>
      <c r="CK756" s="58"/>
      <c r="CL756" s="83"/>
      <c r="CO756" s="58"/>
      <c r="CP756" s="83"/>
      <c r="CR756" s="58"/>
      <c r="CS756" s="83"/>
      <c r="CY756" s="83"/>
      <c r="DG756" s="58"/>
      <c r="DH756" s="83"/>
      <c r="DQ756" s="83"/>
      <c r="EE756" s="58"/>
      <c r="EF756" s="83"/>
      <c r="EI756" s="83">
        <v>83.69</v>
      </c>
      <c r="EJ756" s="49">
        <v>82.87</v>
      </c>
      <c r="EK756" s="58"/>
      <c r="EL756" s="83"/>
      <c r="EO756" s="58"/>
      <c r="EP756" s="83"/>
      <c r="EQ756" s="58"/>
      <c r="ER756" s="83"/>
      <c r="ES756" s="58"/>
      <c r="ET756" s="83"/>
      <c r="EU756" s="58"/>
    </row>
    <row r="757" spans="1:151">
      <c r="A757" s="42" t="s">
        <v>321</v>
      </c>
      <c r="B757" s="173" t="s">
        <v>223</v>
      </c>
      <c r="C757" s="173" t="s">
        <v>519</v>
      </c>
      <c r="D757" s="83" t="s">
        <v>74</v>
      </c>
      <c r="F757" s="49" t="s">
        <v>286</v>
      </c>
      <c r="G757" s="60">
        <v>2.7285333333333335</v>
      </c>
      <c r="H757" s="49">
        <v>4331</v>
      </c>
      <c r="I757" s="49">
        <v>1220</v>
      </c>
      <c r="J757" s="159">
        <v>1.6576086956521738</v>
      </c>
      <c r="K757" s="49">
        <v>1</v>
      </c>
      <c r="L757" s="49">
        <v>3</v>
      </c>
      <c r="M757" s="83">
        <v>0</v>
      </c>
      <c r="N757" s="49">
        <v>1</v>
      </c>
      <c r="O757" s="49">
        <v>1</v>
      </c>
      <c r="P757" s="49">
        <v>1</v>
      </c>
      <c r="Q757" s="58">
        <v>0</v>
      </c>
      <c r="R757" s="42">
        <v>3</v>
      </c>
      <c r="S757" s="83" t="s">
        <v>283</v>
      </c>
      <c r="T757" s="49">
        <v>2</v>
      </c>
      <c r="U757" s="83">
        <v>2</v>
      </c>
      <c r="V757" s="49">
        <v>2</v>
      </c>
      <c r="W757" s="49">
        <v>1</v>
      </c>
      <c r="X757" s="58">
        <v>2</v>
      </c>
      <c r="Y757" s="83">
        <v>3</v>
      </c>
      <c r="Z757" s="49">
        <v>7</v>
      </c>
      <c r="AA757" s="49">
        <v>11</v>
      </c>
      <c r="AF757" s="49">
        <v>9</v>
      </c>
      <c r="AG757" s="49">
        <v>90</v>
      </c>
      <c r="AH757" s="49">
        <v>17</v>
      </c>
      <c r="AI757" s="49">
        <v>109</v>
      </c>
      <c r="AJ757" s="49">
        <v>1</v>
      </c>
      <c r="AK757" s="83">
        <v>0</v>
      </c>
      <c r="AL757" s="49">
        <v>1</v>
      </c>
      <c r="AM757" s="49">
        <v>0</v>
      </c>
      <c r="AN757" s="49">
        <v>0</v>
      </c>
      <c r="AO757" s="58">
        <v>0</v>
      </c>
      <c r="AP757" s="174" t="s">
        <v>501</v>
      </c>
      <c r="AQ757" s="175" t="s">
        <v>501</v>
      </c>
      <c r="AR757" s="175" t="s">
        <v>284</v>
      </c>
      <c r="AS757" s="175" t="s">
        <v>284</v>
      </c>
      <c r="AT757" s="175" t="s">
        <v>284</v>
      </c>
      <c r="AU757" s="175" t="s">
        <v>284</v>
      </c>
      <c r="AV757" s="175" t="s">
        <v>284</v>
      </c>
      <c r="AW757" s="175" t="s">
        <v>284</v>
      </c>
      <c r="AX757" s="83">
        <v>0</v>
      </c>
      <c r="AY757" s="49">
        <v>0</v>
      </c>
      <c r="AZ757" s="49">
        <v>0</v>
      </c>
      <c r="BA757" s="49">
        <v>0</v>
      </c>
      <c r="BB757" s="58">
        <v>0</v>
      </c>
      <c r="BC757" s="42">
        <v>106</v>
      </c>
      <c r="BS757" s="58"/>
      <c r="BT757" s="83"/>
      <c r="CE757" s="83"/>
      <c r="CK757" s="58"/>
      <c r="CL757" s="83"/>
      <c r="CO757" s="58"/>
      <c r="CP757" s="83"/>
      <c r="CR757" s="58"/>
      <c r="CS757" s="83"/>
      <c r="CY757" s="83"/>
      <c r="DG757" s="58"/>
      <c r="DH757" s="83"/>
      <c r="DQ757" s="83"/>
      <c r="EE757" s="58"/>
      <c r="EF757" s="83"/>
      <c r="EI757" s="83"/>
      <c r="EK757" s="58"/>
      <c r="EL757" s="83"/>
      <c r="EO757" s="58"/>
      <c r="EP757" s="83"/>
      <c r="EQ757" s="58"/>
      <c r="ER757" s="83"/>
      <c r="ES757" s="58"/>
      <c r="ET757" s="83"/>
      <c r="EU757" s="58"/>
    </row>
    <row r="758" spans="1:151">
      <c r="A758" s="42" t="s">
        <v>321</v>
      </c>
      <c r="B758" s="173" t="s">
        <v>223</v>
      </c>
      <c r="C758" s="173" t="s">
        <v>519</v>
      </c>
      <c r="D758" s="83" t="s">
        <v>75</v>
      </c>
      <c r="E758" s="49" t="s">
        <v>0</v>
      </c>
      <c r="F758" s="49" t="s">
        <v>287</v>
      </c>
      <c r="G758" s="60">
        <v>2.7285333333333335</v>
      </c>
      <c r="H758" s="49">
        <v>4331</v>
      </c>
      <c r="I758" s="49">
        <v>661</v>
      </c>
      <c r="J758" s="159">
        <v>1.0818330605564648</v>
      </c>
      <c r="K758" s="49">
        <v>1</v>
      </c>
      <c r="L758" s="49">
        <v>2</v>
      </c>
      <c r="M758" s="83">
        <v>0</v>
      </c>
      <c r="N758" s="49">
        <v>0</v>
      </c>
      <c r="O758" s="49">
        <v>0</v>
      </c>
      <c r="P758" s="49">
        <v>0</v>
      </c>
      <c r="Q758" s="58">
        <v>0</v>
      </c>
      <c r="R758" s="42">
        <v>0</v>
      </c>
      <c r="S758" s="83" t="s">
        <v>283</v>
      </c>
      <c r="T758" s="49">
        <v>3</v>
      </c>
      <c r="U758" s="83">
        <v>1</v>
      </c>
      <c r="V758" s="49">
        <v>1</v>
      </c>
      <c r="W758" s="49">
        <v>2</v>
      </c>
      <c r="X758" s="58"/>
      <c r="Y758" s="83">
        <v>0</v>
      </c>
      <c r="AJ758" s="49">
        <v>0</v>
      </c>
      <c r="AK758" s="83">
        <v>0</v>
      </c>
      <c r="AL758" s="49">
        <v>0</v>
      </c>
      <c r="AM758" s="49">
        <v>0</v>
      </c>
      <c r="AN758" s="49">
        <v>0</v>
      </c>
      <c r="AO758" s="58">
        <v>0</v>
      </c>
      <c r="AP758" s="174" t="s">
        <v>284</v>
      </c>
      <c r="AQ758" s="175" t="s">
        <v>284</v>
      </c>
      <c r="AR758" s="175" t="s">
        <v>284</v>
      </c>
      <c r="AS758" s="175" t="s">
        <v>284</v>
      </c>
      <c r="AT758" s="175" t="s">
        <v>284</v>
      </c>
      <c r="AU758" s="175" t="s">
        <v>284</v>
      </c>
      <c r="AV758" s="175" t="s">
        <v>284</v>
      </c>
      <c r="AW758" s="175" t="s">
        <v>284</v>
      </c>
      <c r="AX758" s="83">
        <v>0</v>
      </c>
      <c r="AY758" s="49">
        <v>0</v>
      </c>
      <c r="AZ758" s="49">
        <v>0</v>
      </c>
      <c r="BA758" s="49">
        <v>0</v>
      </c>
      <c r="BB758" s="58">
        <v>0</v>
      </c>
      <c r="BC758" s="42">
        <v>119</v>
      </c>
      <c r="BD758" s="49">
        <v>81</v>
      </c>
      <c r="BS758" s="58"/>
      <c r="BT758" s="83">
        <v>81.67</v>
      </c>
      <c r="CE758" s="83">
        <v>82.04</v>
      </c>
      <c r="CK758" s="58"/>
      <c r="CL758" s="83"/>
      <c r="CO758" s="58"/>
      <c r="CP758" s="83"/>
      <c r="CR758" s="58"/>
      <c r="CS758" s="83"/>
      <c r="CY758" s="83"/>
      <c r="DG758" s="58"/>
      <c r="DH758" s="83"/>
      <c r="DQ758" s="83"/>
      <c r="EE758" s="58"/>
      <c r="EF758" s="83"/>
      <c r="EI758" s="83"/>
      <c r="EK758" s="58"/>
      <c r="EL758" s="83"/>
      <c r="EO758" s="58"/>
      <c r="EP758" s="83"/>
      <c r="EQ758" s="58"/>
      <c r="ER758" s="83"/>
      <c r="ES758" s="58"/>
      <c r="ET758" s="83"/>
      <c r="EU758" s="58"/>
    </row>
    <row r="759" spans="1:151">
      <c r="A759" s="42" t="s">
        <v>321</v>
      </c>
      <c r="B759" s="173" t="s">
        <v>223</v>
      </c>
      <c r="C759" s="173" t="s">
        <v>519</v>
      </c>
      <c r="D759" s="83" t="s">
        <v>75</v>
      </c>
      <c r="E759" s="49" t="s">
        <v>1</v>
      </c>
      <c r="F759" s="49" t="s">
        <v>287</v>
      </c>
      <c r="G759" s="60">
        <v>2.7285333333333335</v>
      </c>
      <c r="H759" s="49">
        <v>4331</v>
      </c>
      <c r="I759" s="49">
        <v>590</v>
      </c>
      <c r="J759" s="159">
        <v>1.145631067961165</v>
      </c>
      <c r="K759" s="49">
        <v>1</v>
      </c>
      <c r="L759" s="49">
        <v>2</v>
      </c>
      <c r="M759" s="83">
        <v>0</v>
      </c>
      <c r="N759" s="49">
        <v>0</v>
      </c>
      <c r="O759" s="49">
        <v>1</v>
      </c>
      <c r="P759" s="49">
        <v>1</v>
      </c>
      <c r="Q759" s="58">
        <v>0</v>
      </c>
      <c r="R759" s="42">
        <v>2</v>
      </c>
      <c r="S759" s="83" t="s">
        <v>283</v>
      </c>
      <c r="T759" s="49">
        <v>3</v>
      </c>
      <c r="U759" s="83">
        <v>1</v>
      </c>
      <c r="V759" s="49">
        <v>1</v>
      </c>
      <c r="W759" s="49">
        <v>2</v>
      </c>
      <c r="X759" s="58"/>
      <c r="Y759" s="83">
        <v>0</v>
      </c>
      <c r="AJ759" s="49">
        <v>0</v>
      </c>
      <c r="AK759" s="83">
        <v>0</v>
      </c>
      <c r="AL759" s="49">
        <v>0</v>
      </c>
      <c r="AM759" s="49">
        <v>0</v>
      </c>
      <c r="AN759" s="49">
        <v>0</v>
      </c>
      <c r="AO759" s="58">
        <v>0</v>
      </c>
      <c r="AP759" s="174" t="s">
        <v>284</v>
      </c>
      <c r="AQ759" s="175" t="s">
        <v>284</v>
      </c>
      <c r="AR759" s="175" t="s">
        <v>284</v>
      </c>
      <c r="AS759" s="175" t="s">
        <v>284</v>
      </c>
      <c r="AT759" s="175" t="s">
        <v>284</v>
      </c>
      <c r="AU759" s="175" t="s">
        <v>284</v>
      </c>
      <c r="AV759" s="175" t="s">
        <v>284</v>
      </c>
      <c r="AW759" s="175" t="s">
        <v>284</v>
      </c>
      <c r="AX759" s="83">
        <v>0</v>
      </c>
      <c r="AY759" s="49">
        <v>0</v>
      </c>
      <c r="AZ759" s="49">
        <v>0</v>
      </c>
      <c r="BA759" s="49">
        <v>0</v>
      </c>
      <c r="BB759" s="58">
        <v>0</v>
      </c>
      <c r="BC759" s="42">
        <v>119</v>
      </c>
      <c r="BD759" s="49">
        <v>80.069999999999993</v>
      </c>
      <c r="BS759" s="58"/>
      <c r="BT759" s="83">
        <v>82.81</v>
      </c>
      <c r="CE759" s="83">
        <v>81.86</v>
      </c>
      <c r="CK759" s="58"/>
      <c r="CL759" s="83"/>
      <c r="CO759" s="58"/>
      <c r="CP759" s="83"/>
      <c r="CR759" s="58"/>
      <c r="CS759" s="83"/>
      <c r="CY759" s="83"/>
      <c r="DG759" s="58"/>
      <c r="DH759" s="83"/>
      <c r="DQ759" s="83"/>
      <c r="EE759" s="58"/>
      <c r="EF759" s="83"/>
      <c r="EI759" s="83"/>
      <c r="EK759" s="58"/>
      <c r="EL759" s="83"/>
      <c r="EO759" s="58"/>
      <c r="EP759" s="83"/>
      <c r="EQ759" s="58"/>
      <c r="ER759" s="83"/>
      <c r="ES759" s="58"/>
      <c r="ET759" s="83"/>
      <c r="EU759" s="58"/>
    </row>
    <row r="760" spans="1:151">
      <c r="A760" s="42" t="s">
        <v>321</v>
      </c>
      <c r="B760" s="173" t="s">
        <v>223</v>
      </c>
      <c r="C760" s="173" t="s">
        <v>519</v>
      </c>
      <c r="D760" s="83" t="s">
        <v>75</v>
      </c>
      <c r="E760" s="49" t="s">
        <v>2</v>
      </c>
      <c r="F760" s="49" t="s">
        <v>287</v>
      </c>
      <c r="G760" s="60">
        <v>2.7285333333333335</v>
      </c>
      <c r="H760" s="49">
        <v>4331</v>
      </c>
      <c r="I760" s="49">
        <v>579</v>
      </c>
      <c r="J760" s="159">
        <v>2.1208791208791209</v>
      </c>
      <c r="K760" s="49">
        <v>1</v>
      </c>
      <c r="L760" s="49">
        <v>2</v>
      </c>
      <c r="M760" s="83">
        <v>0</v>
      </c>
      <c r="N760" s="49">
        <v>0</v>
      </c>
      <c r="O760" s="49">
        <v>0</v>
      </c>
      <c r="P760" s="49">
        <v>1</v>
      </c>
      <c r="Q760" s="58">
        <v>0</v>
      </c>
      <c r="R760" s="42">
        <v>1</v>
      </c>
      <c r="S760" s="83" t="s">
        <v>283</v>
      </c>
      <c r="T760" s="49">
        <v>3</v>
      </c>
      <c r="U760" s="83">
        <v>1</v>
      </c>
      <c r="V760" s="49">
        <v>1</v>
      </c>
      <c r="W760" s="49">
        <v>1</v>
      </c>
      <c r="X760" s="58">
        <v>2</v>
      </c>
      <c r="Y760" s="83">
        <v>1</v>
      </c>
      <c r="AG760" s="49">
        <v>18</v>
      </c>
      <c r="AJ760" s="49">
        <v>0</v>
      </c>
      <c r="AK760" s="83">
        <v>0</v>
      </c>
      <c r="AL760" s="49">
        <v>0</v>
      </c>
      <c r="AM760" s="49">
        <v>0</v>
      </c>
      <c r="AN760" s="49">
        <v>0</v>
      </c>
      <c r="AO760" s="58">
        <v>0</v>
      </c>
      <c r="AP760" s="174" t="s">
        <v>284</v>
      </c>
      <c r="AQ760" s="175" t="s">
        <v>284</v>
      </c>
      <c r="AR760" s="175" t="s">
        <v>284</v>
      </c>
      <c r="AS760" s="175" t="s">
        <v>284</v>
      </c>
      <c r="AT760" s="175" t="s">
        <v>284</v>
      </c>
      <c r="AU760" s="175" t="s">
        <v>284</v>
      </c>
      <c r="AV760" s="175" t="s">
        <v>284</v>
      </c>
      <c r="AW760" s="175" t="s">
        <v>284</v>
      </c>
      <c r="AX760" s="83">
        <v>0</v>
      </c>
      <c r="AY760" s="49">
        <v>0</v>
      </c>
      <c r="AZ760" s="49">
        <v>0</v>
      </c>
      <c r="BA760" s="49">
        <v>0</v>
      </c>
      <c r="BB760" s="58">
        <v>0</v>
      </c>
      <c r="BC760" s="42">
        <v>119</v>
      </c>
      <c r="BS760" s="58"/>
      <c r="BT760" s="83"/>
      <c r="CE760" s="83"/>
      <c r="CK760" s="58"/>
      <c r="CL760" s="83"/>
      <c r="CO760" s="58"/>
      <c r="CP760" s="83"/>
      <c r="CR760" s="58"/>
      <c r="CS760" s="83"/>
      <c r="CY760" s="83"/>
      <c r="DG760" s="58"/>
      <c r="DH760" s="83"/>
      <c r="DQ760" s="83"/>
      <c r="EE760" s="58"/>
      <c r="EF760" s="83"/>
      <c r="EI760" s="83"/>
      <c r="EK760" s="58"/>
      <c r="EL760" s="83"/>
      <c r="EO760" s="58"/>
      <c r="EP760" s="83"/>
      <c r="EQ760" s="58"/>
      <c r="ER760" s="83"/>
      <c r="ES760" s="58"/>
      <c r="ET760" s="83"/>
      <c r="EU760" s="58"/>
    </row>
    <row r="761" spans="1:151">
      <c r="A761" s="42" t="s">
        <v>321</v>
      </c>
      <c r="B761" s="173" t="s">
        <v>223</v>
      </c>
      <c r="C761" s="173" t="s">
        <v>519</v>
      </c>
      <c r="D761" s="83" t="s">
        <v>76</v>
      </c>
      <c r="E761" s="49" t="s">
        <v>0</v>
      </c>
      <c r="F761" s="49" t="s">
        <v>286</v>
      </c>
      <c r="G761" s="60">
        <v>2.7285333333333335</v>
      </c>
      <c r="H761" s="49">
        <v>4331</v>
      </c>
      <c r="I761" s="49">
        <v>1211</v>
      </c>
      <c r="J761" s="159">
        <v>3.6586102719033233</v>
      </c>
      <c r="K761" s="49">
        <v>4</v>
      </c>
      <c r="L761" s="49">
        <v>4</v>
      </c>
      <c r="M761" s="83">
        <v>0</v>
      </c>
      <c r="N761" s="49">
        <v>0</v>
      </c>
      <c r="O761" s="49">
        <v>0</v>
      </c>
      <c r="P761" s="49">
        <v>1</v>
      </c>
      <c r="Q761" s="58">
        <v>0</v>
      </c>
      <c r="R761" s="42">
        <v>1</v>
      </c>
      <c r="S761" s="83" t="s">
        <v>283</v>
      </c>
      <c r="T761" s="49">
        <v>4</v>
      </c>
      <c r="U761" s="83">
        <v>3</v>
      </c>
      <c r="V761" s="49">
        <v>4</v>
      </c>
      <c r="W761" s="49">
        <v>3</v>
      </c>
      <c r="X761" s="58">
        <v>2</v>
      </c>
      <c r="Y761" s="83">
        <v>0</v>
      </c>
      <c r="AJ761" s="49">
        <v>0</v>
      </c>
      <c r="AK761" s="83">
        <v>0</v>
      </c>
      <c r="AL761" s="49">
        <v>0</v>
      </c>
      <c r="AM761" s="49">
        <v>1</v>
      </c>
      <c r="AN761" s="49">
        <v>0</v>
      </c>
      <c r="AO761" s="58">
        <v>0</v>
      </c>
      <c r="AP761" s="174" t="s">
        <v>284</v>
      </c>
      <c r="AQ761" s="175" t="s">
        <v>284</v>
      </c>
      <c r="AR761" s="175" t="s">
        <v>501</v>
      </c>
      <c r="AS761" s="175" t="s">
        <v>501</v>
      </c>
      <c r="AT761" s="175" t="s">
        <v>284</v>
      </c>
      <c r="AU761" s="175" t="s">
        <v>284</v>
      </c>
      <c r="AV761" s="175" t="s">
        <v>284</v>
      </c>
      <c r="AW761" s="175" t="s">
        <v>284</v>
      </c>
      <c r="AX761" s="83">
        <v>0</v>
      </c>
      <c r="AY761" s="49">
        <v>0</v>
      </c>
      <c r="AZ761" s="49">
        <v>0</v>
      </c>
      <c r="BA761" s="49">
        <v>0</v>
      </c>
      <c r="BB761" s="58">
        <v>0</v>
      </c>
      <c r="BC761" s="42">
        <v>102</v>
      </c>
      <c r="BD761" s="49">
        <v>73.069999999999993</v>
      </c>
      <c r="BS761" s="58"/>
      <c r="BT761" s="83">
        <v>77.180000000000007</v>
      </c>
      <c r="CE761" s="83"/>
      <c r="CK761" s="58"/>
      <c r="CL761" s="83"/>
      <c r="CO761" s="58"/>
      <c r="CP761" s="83"/>
      <c r="CR761" s="58"/>
      <c r="CS761" s="83"/>
      <c r="CY761" s="83"/>
      <c r="DG761" s="58"/>
      <c r="DH761" s="83"/>
      <c r="DQ761" s="83"/>
      <c r="EE761" s="58"/>
      <c r="EF761" s="83"/>
      <c r="EI761" s="83"/>
      <c r="EK761" s="58"/>
      <c r="EL761" s="83"/>
      <c r="EO761" s="58"/>
      <c r="EP761" s="83"/>
      <c r="EQ761" s="58"/>
      <c r="ER761" s="83"/>
      <c r="ES761" s="58"/>
      <c r="ET761" s="83"/>
      <c r="EU761" s="58"/>
    </row>
    <row r="762" spans="1:151" ht="17" thickBot="1">
      <c r="A762" s="55" t="s">
        <v>321</v>
      </c>
      <c r="B762" s="173" t="s">
        <v>223</v>
      </c>
      <c r="C762" s="173" t="s">
        <v>519</v>
      </c>
      <c r="D762" s="83" t="s">
        <v>76</v>
      </c>
      <c r="E762" s="49" t="s">
        <v>1</v>
      </c>
      <c r="F762" s="49" t="s">
        <v>286</v>
      </c>
      <c r="G762" s="60">
        <v>2.7285333333333335</v>
      </c>
      <c r="H762" s="49">
        <v>4331</v>
      </c>
      <c r="I762" s="49">
        <v>1267</v>
      </c>
      <c r="J762" s="159">
        <v>1.7214673913043479</v>
      </c>
      <c r="K762" s="49">
        <v>1</v>
      </c>
      <c r="L762" s="49">
        <v>2</v>
      </c>
      <c r="M762" s="83">
        <v>1</v>
      </c>
      <c r="N762" s="49">
        <v>0</v>
      </c>
      <c r="O762" s="49">
        <v>1</v>
      </c>
      <c r="P762" s="49">
        <v>1</v>
      </c>
      <c r="Q762" s="58">
        <v>0</v>
      </c>
      <c r="R762" s="42">
        <v>3</v>
      </c>
      <c r="S762" s="83" t="s">
        <v>283</v>
      </c>
      <c r="T762" s="49">
        <v>3</v>
      </c>
      <c r="U762" s="83">
        <v>2</v>
      </c>
      <c r="V762" s="49">
        <v>3</v>
      </c>
      <c r="W762" s="49">
        <v>1</v>
      </c>
      <c r="X762" s="58">
        <v>3</v>
      </c>
      <c r="Y762" s="83">
        <v>2</v>
      </c>
      <c r="AF762" s="49">
        <v>29</v>
      </c>
      <c r="AG762" s="49">
        <v>227</v>
      </c>
      <c r="AJ762" s="49">
        <v>0</v>
      </c>
      <c r="AK762" s="83">
        <v>0</v>
      </c>
      <c r="AL762" s="49">
        <v>0</v>
      </c>
      <c r="AM762" s="49">
        <v>0</v>
      </c>
      <c r="AN762" s="49">
        <v>0</v>
      </c>
      <c r="AO762" s="58">
        <v>0</v>
      </c>
      <c r="AP762" s="174" t="s">
        <v>284</v>
      </c>
      <c r="AQ762" s="175" t="s">
        <v>284</v>
      </c>
      <c r="AR762" s="175" t="s">
        <v>284</v>
      </c>
      <c r="AS762" s="175" t="s">
        <v>284</v>
      </c>
      <c r="AT762" s="175" t="s">
        <v>284</v>
      </c>
      <c r="AU762" s="175" t="s">
        <v>284</v>
      </c>
      <c r="AV762" s="175" t="s">
        <v>284</v>
      </c>
      <c r="AW762" s="175" t="s">
        <v>284</v>
      </c>
      <c r="AX762" s="83">
        <v>0</v>
      </c>
      <c r="AY762" s="49">
        <v>0</v>
      </c>
      <c r="AZ762" s="49">
        <v>0</v>
      </c>
      <c r="BA762" s="49">
        <v>0</v>
      </c>
      <c r="BB762" s="58">
        <v>0</v>
      </c>
      <c r="BC762" s="42">
        <v>102</v>
      </c>
      <c r="BD762" s="49">
        <v>79.84</v>
      </c>
      <c r="BE762" s="159">
        <v>80.91</v>
      </c>
      <c r="BS762" s="58"/>
      <c r="BT762" s="83">
        <v>76.599999999999994</v>
      </c>
      <c r="BU762" s="49">
        <v>74.239999999999995</v>
      </c>
      <c r="CE762" s="83">
        <v>76.900000000000006</v>
      </c>
      <c r="CK762" s="58"/>
      <c r="CL762" s="83"/>
      <c r="CO762" s="58"/>
      <c r="CP762" s="83"/>
      <c r="CR762" s="58"/>
      <c r="CS762" s="83"/>
      <c r="CY762" s="83"/>
      <c r="DG762" s="58"/>
      <c r="DH762" s="83"/>
      <c r="DQ762" s="83"/>
      <c r="EE762" s="58"/>
      <c r="EF762" s="83"/>
      <c r="EI762" s="83"/>
      <c r="EK762" s="58"/>
      <c r="EL762" s="83"/>
      <c r="EO762" s="58"/>
      <c r="EP762" s="83"/>
      <c r="EQ762" s="58"/>
      <c r="ER762" s="83"/>
      <c r="ES762" s="58"/>
      <c r="ET762" s="83"/>
      <c r="EU762" s="58"/>
    </row>
    <row r="763" spans="1:151">
      <c r="A763" s="83" t="s">
        <v>321</v>
      </c>
      <c r="B763" s="7" t="s">
        <v>231</v>
      </c>
      <c r="C763" s="7" t="s">
        <v>519</v>
      </c>
      <c r="D763" s="147" t="s">
        <v>232</v>
      </c>
      <c r="E763" s="148" t="s">
        <v>1</v>
      </c>
      <c r="F763" s="148" t="s">
        <v>286</v>
      </c>
      <c r="G763" s="73">
        <v>2.7285333333333335</v>
      </c>
      <c r="H763" s="148">
        <v>4331</v>
      </c>
      <c r="I763" s="148">
        <v>1336</v>
      </c>
      <c r="J763" s="158">
        <v>1.3149606299212599</v>
      </c>
      <c r="K763" s="148">
        <v>1</v>
      </c>
      <c r="L763" s="148">
        <v>2</v>
      </c>
      <c r="M763" s="147">
        <v>0</v>
      </c>
      <c r="N763" s="148">
        <v>0</v>
      </c>
      <c r="O763" s="148">
        <v>1</v>
      </c>
      <c r="P763" s="148">
        <v>1</v>
      </c>
      <c r="Q763" s="149">
        <v>0</v>
      </c>
      <c r="R763" s="87">
        <v>2</v>
      </c>
      <c r="S763" s="147" t="s">
        <v>283</v>
      </c>
      <c r="T763" s="148">
        <v>4</v>
      </c>
      <c r="U763" s="147">
        <v>1</v>
      </c>
      <c r="V763" s="148">
        <v>2</v>
      </c>
      <c r="W763" s="148">
        <v>1</v>
      </c>
      <c r="X763" s="149">
        <v>1</v>
      </c>
      <c r="Y763" s="147">
        <v>0</v>
      </c>
      <c r="Z763" s="148"/>
      <c r="AA763" s="148"/>
      <c r="AB763" s="148"/>
      <c r="AC763" s="148"/>
      <c r="AD763" s="148"/>
      <c r="AE763" s="148"/>
      <c r="AF763" s="148"/>
      <c r="AG763" s="148"/>
      <c r="AH763" s="148"/>
      <c r="AI763" s="148"/>
      <c r="AJ763" s="148">
        <v>0</v>
      </c>
      <c r="AK763" s="147">
        <v>0</v>
      </c>
      <c r="AL763" s="148">
        <v>1</v>
      </c>
      <c r="AM763" s="148">
        <v>0</v>
      </c>
      <c r="AN763" s="148">
        <v>0</v>
      </c>
      <c r="AO763" s="149">
        <v>0</v>
      </c>
      <c r="AP763" s="169">
        <v>0</v>
      </c>
      <c r="AQ763" s="170">
        <v>621</v>
      </c>
      <c r="AR763" s="170" t="s">
        <v>284</v>
      </c>
      <c r="AS763" s="170" t="s">
        <v>284</v>
      </c>
      <c r="AT763" s="170" t="s">
        <v>284</v>
      </c>
      <c r="AU763" s="170" t="s">
        <v>284</v>
      </c>
      <c r="AV763" s="170" t="s">
        <v>284</v>
      </c>
      <c r="AW763" s="170" t="s">
        <v>284</v>
      </c>
      <c r="AX763" s="147">
        <v>0</v>
      </c>
      <c r="AY763" s="148">
        <v>0</v>
      </c>
      <c r="AZ763" s="148">
        <v>0</v>
      </c>
      <c r="BA763" s="148">
        <v>0</v>
      </c>
      <c r="BB763" s="149">
        <v>0</v>
      </c>
      <c r="BC763" s="87">
        <v>121</v>
      </c>
      <c r="BD763" s="148">
        <v>84.91</v>
      </c>
      <c r="BE763" s="158">
        <v>85.37</v>
      </c>
      <c r="BF763" s="148"/>
      <c r="BG763" s="148"/>
      <c r="BH763" s="148"/>
      <c r="BI763" s="148"/>
      <c r="BJ763" s="148"/>
      <c r="BK763" s="148"/>
      <c r="BL763" s="148"/>
      <c r="BM763" s="148"/>
      <c r="BN763" s="148"/>
      <c r="BO763" s="148"/>
      <c r="BP763" s="148"/>
      <c r="BQ763" s="148"/>
      <c r="BR763" s="148"/>
      <c r="BS763" s="149"/>
      <c r="BT763" s="147">
        <v>82.62</v>
      </c>
      <c r="BU763" s="148">
        <v>83.81</v>
      </c>
      <c r="BV763" s="148"/>
      <c r="BW763" s="148"/>
      <c r="BX763" s="148"/>
      <c r="BY763" s="148"/>
      <c r="BZ763" s="148"/>
      <c r="CA763" s="148"/>
      <c r="CB763" s="148"/>
      <c r="CC763" s="148"/>
      <c r="CD763" s="148"/>
      <c r="CE763" s="147"/>
      <c r="CF763" s="148"/>
      <c r="CG763" s="148"/>
      <c r="CH763" s="148"/>
      <c r="CI763" s="148"/>
      <c r="CJ763" s="148"/>
      <c r="CK763" s="149"/>
      <c r="CL763" s="147"/>
      <c r="CM763" s="148"/>
      <c r="CN763" s="148"/>
      <c r="CO763" s="149"/>
      <c r="CP763" s="147"/>
      <c r="CQ763" s="148"/>
      <c r="CR763" s="149"/>
      <c r="CS763" s="147"/>
      <c r="CT763" s="148"/>
      <c r="CU763" s="148"/>
      <c r="CV763" s="148"/>
      <c r="CW763" s="148"/>
      <c r="CX763" s="148"/>
      <c r="CY763" s="147"/>
      <c r="CZ763" s="148"/>
      <c r="DA763" s="148"/>
      <c r="DB763" s="148"/>
      <c r="DC763" s="148"/>
      <c r="DD763" s="148"/>
      <c r="DE763" s="148"/>
      <c r="DF763" s="148"/>
      <c r="DG763" s="149"/>
      <c r="DH763" s="147"/>
      <c r="DI763" s="148"/>
      <c r="DJ763" s="148"/>
      <c r="DK763" s="148"/>
      <c r="DL763" s="148"/>
      <c r="DM763" s="148"/>
      <c r="DN763" s="148"/>
      <c r="DO763" s="148"/>
      <c r="DP763" s="148"/>
      <c r="DQ763" s="147"/>
      <c r="DR763" s="148"/>
      <c r="DS763" s="148"/>
      <c r="DT763" s="148"/>
      <c r="DU763" s="148"/>
      <c r="DV763" s="148"/>
      <c r="DW763" s="148"/>
      <c r="DX763" s="148"/>
      <c r="DY763" s="148"/>
      <c r="DZ763" s="148"/>
      <c r="EA763" s="148"/>
      <c r="EB763" s="148"/>
      <c r="EC763" s="148"/>
      <c r="ED763" s="148"/>
      <c r="EE763" s="149"/>
      <c r="EF763" s="147"/>
      <c r="EG763" s="148"/>
      <c r="EH763" s="148"/>
      <c r="EI763" s="147"/>
      <c r="EJ763" s="148"/>
      <c r="EK763" s="149"/>
      <c r="EL763" s="147"/>
      <c r="EM763" s="148"/>
      <c r="EN763" s="148"/>
      <c r="EO763" s="149"/>
      <c r="EP763" s="147"/>
      <c r="EQ763" s="149"/>
      <c r="ER763" s="147"/>
      <c r="ES763" s="149"/>
      <c r="ET763" s="147"/>
      <c r="EU763" s="149"/>
    </row>
    <row r="764" spans="1:151">
      <c r="A764" s="83" t="s">
        <v>321</v>
      </c>
      <c r="B764" s="173" t="s">
        <v>231</v>
      </c>
      <c r="C764" s="173" t="s">
        <v>519</v>
      </c>
      <c r="D764" s="83" t="s">
        <v>232</v>
      </c>
      <c r="E764" s="49" t="s">
        <v>0</v>
      </c>
      <c r="F764" s="49" t="s">
        <v>287</v>
      </c>
      <c r="G764" s="60">
        <v>2.7285333333333335</v>
      </c>
      <c r="H764" s="49">
        <v>4331</v>
      </c>
      <c r="I764" s="49">
        <v>791</v>
      </c>
      <c r="J764" s="159">
        <v>1.7270742358078603</v>
      </c>
      <c r="K764" s="49">
        <v>4</v>
      </c>
      <c r="L764" s="49">
        <v>3</v>
      </c>
      <c r="M764" s="83">
        <v>0</v>
      </c>
      <c r="N764" s="49">
        <v>3</v>
      </c>
      <c r="O764" s="49">
        <v>0</v>
      </c>
      <c r="P764" s="49">
        <v>1</v>
      </c>
      <c r="Q764" s="58">
        <v>0</v>
      </c>
      <c r="R764" s="42">
        <v>4</v>
      </c>
      <c r="S764" s="83" t="s">
        <v>283</v>
      </c>
      <c r="T764" s="49">
        <v>2</v>
      </c>
      <c r="U764" s="83">
        <v>1</v>
      </c>
      <c r="V764" s="49">
        <v>4</v>
      </c>
      <c r="W764" s="49">
        <v>1</v>
      </c>
      <c r="X764" s="58">
        <v>2</v>
      </c>
      <c r="Y764" s="83">
        <v>40</v>
      </c>
      <c r="Z764" s="49">
        <v>3</v>
      </c>
      <c r="AA764" s="49">
        <v>8</v>
      </c>
      <c r="AD764" s="49">
        <v>4</v>
      </c>
      <c r="AE764" s="49">
        <v>24</v>
      </c>
      <c r="AF764" s="49">
        <v>9</v>
      </c>
      <c r="AG764" s="49">
        <v>191</v>
      </c>
      <c r="AH764" s="49">
        <v>3</v>
      </c>
      <c r="AI764" s="49">
        <v>198</v>
      </c>
      <c r="AJ764" s="49">
        <v>0</v>
      </c>
      <c r="AK764" s="83">
        <v>0</v>
      </c>
      <c r="AL764" s="49">
        <v>0</v>
      </c>
      <c r="AM764" s="49">
        <v>1</v>
      </c>
      <c r="AN764" s="49">
        <v>0</v>
      </c>
      <c r="AO764" s="58">
        <v>0</v>
      </c>
      <c r="AP764" s="174" t="s">
        <v>284</v>
      </c>
      <c r="AQ764" s="175" t="s">
        <v>284</v>
      </c>
      <c r="AR764" s="175">
        <v>0</v>
      </c>
      <c r="AS764" s="175">
        <v>0</v>
      </c>
      <c r="AT764" s="175" t="s">
        <v>284</v>
      </c>
      <c r="AU764" s="175" t="s">
        <v>284</v>
      </c>
      <c r="AV764" s="175" t="s">
        <v>284</v>
      </c>
      <c r="AW764" s="175" t="s">
        <v>284</v>
      </c>
      <c r="AX764" s="83">
        <v>0</v>
      </c>
      <c r="AY764" s="49">
        <v>0</v>
      </c>
      <c r="AZ764" s="49">
        <v>0</v>
      </c>
      <c r="BA764" s="49">
        <v>0</v>
      </c>
      <c r="BB764" s="58">
        <v>0</v>
      </c>
      <c r="BC764" s="42">
        <v>121</v>
      </c>
      <c r="BS764" s="58"/>
      <c r="BT764" s="83">
        <v>81.81</v>
      </c>
      <c r="BU764" s="49">
        <v>82.01</v>
      </c>
      <c r="CE764" s="83"/>
      <c r="CK764" s="58"/>
      <c r="CL764" s="83">
        <v>72.88</v>
      </c>
      <c r="CM764" s="49">
        <v>69.58</v>
      </c>
      <c r="CO764" s="58"/>
      <c r="CP764" s="83"/>
      <c r="CR764" s="58"/>
      <c r="CS764" s="83"/>
      <c r="CY764" s="83"/>
      <c r="DG764" s="58"/>
      <c r="DH764" s="83"/>
      <c r="DQ764" s="83">
        <v>64.989999999999995</v>
      </c>
      <c r="DR764" s="49">
        <v>65.7</v>
      </c>
      <c r="EE764" s="58"/>
      <c r="EF764" s="83"/>
      <c r="EI764" s="83"/>
      <c r="EK764" s="58"/>
      <c r="EL764" s="83"/>
      <c r="EO764" s="58"/>
      <c r="EP764" s="83"/>
      <c r="EQ764" s="58"/>
      <c r="ER764" s="83"/>
      <c r="ES764" s="58"/>
      <c r="ET764" s="83"/>
      <c r="EU764" s="58"/>
    </row>
    <row r="765" spans="1:151">
      <c r="A765" s="83" t="s">
        <v>321</v>
      </c>
      <c r="B765" s="173" t="s">
        <v>231</v>
      </c>
      <c r="C765" s="173" t="s">
        <v>519</v>
      </c>
      <c r="D765" s="83" t="s">
        <v>232</v>
      </c>
      <c r="E765" s="49" t="s">
        <v>2</v>
      </c>
      <c r="F765" s="49" t="s">
        <v>287</v>
      </c>
      <c r="G765" s="60">
        <v>2.7285333333333335</v>
      </c>
      <c r="H765" s="49">
        <v>4331</v>
      </c>
      <c r="I765" s="49">
        <v>429</v>
      </c>
      <c r="J765" s="159">
        <v>1.0592592592592593</v>
      </c>
      <c r="K765" s="49">
        <v>1</v>
      </c>
      <c r="L765" s="49">
        <v>2</v>
      </c>
      <c r="M765" s="83">
        <v>0</v>
      </c>
      <c r="N765" s="49">
        <v>0</v>
      </c>
      <c r="O765" s="49">
        <v>1</v>
      </c>
      <c r="P765" s="49">
        <v>1</v>
      </c>
      <c r="Q765" s="58">
        <v>0</v>
      </c>
      <c r="R765" s="42">
        <v>2</v>
      </c>
      <c r="S765" s="83" t="s">
        <v>283</v>
      </c>
      <c r="T765" s="49">
        <v>4</v>
      </c>
      <c r="U765" s="83">
        <v>2</v>
      </c>
      <c r="V765" s="49">
        <v>2</v>
      </c>
      <c r="W765" s="49">
        <v>3</v>
      </c>
      <c r="X765" s="58">
        <v>1</v>
      </c>
      <c r="Y765" s="83">
        <v>0</v>
      </c>
      <c r="AJ765" s="49">
        <v>0</v>
      </c>
      <c r="AK765" s="83">
        <v>0</v>
      </c>
      <c r="AL765" s="49">
        <v>0</v>
      </c>
      <c r="AM765" s="49">
        <v>0</v>
      </c>
      <c r="AN765" s="49">
        <v>0</v>
      </c>
      <c r="AO765" s="58">
        <v>0</v>
      </c>
      <c r="AP765" s="174" t="s">
        <v>284</v>
      </c>
      <c r="AQ765" s="175" t="s">
        <v>284</v>
      </c>
      <c r="AR765" s="175" t="s">
        <v>284</v>
      </c>
      <c r="AS765" s="175" t="s">
        <v>284</v>
      </c>
      <c r="AT765" s="175" t="s">
        <v>284</v>
      </c>
      <c r="AU765" s="175" t="s">
        <v>284</v>
      </c>
      <c r="AV765" s="175" t="s">
        <v>284</v>
      </c>
      <c r="AW765" s="175" t="s">
        <v>284</v>
      </c>
      <c r="AX765" s="83">
        <v>0</v>
      </c>
      <c r="AY765" s="49">
        <v>0</v>
      </c>
      <c r="AZ765" s="49">
        <v>0</v>
      </c>
      <c r="BA765" s="49">
        <v>0</v>
      </c>
      <c r="BB765" s="58">
        <v>0</v>
      </c>
      <c r="BC765" s="42">
        <v>121</v>
      </c>
      <c r="BS765" s="58"/>
      <c r="BT765" s="83"/>
      <c r="CE765" s="83"/>
      <c r="CK765" s="58"/>
      <c r="CL765" s="83"/>
      <c r="CO765" s="58"/>
      <c r="CP765" s="83"/>
      <c r="CR765" s="58"/>
      <c r="CS765" s="83"/>
      <c r="CY765" s="83"/>
      <c r="DG765" s="58"/>
      <c r="DH765" s="83"/>
      <c r="DQ765" s="83"/>
      <c r="EE765" s="58"/>
      <c r="EF765" s="83"/>
      <c r="EI765" s="83"/>
      <c r="EK765" s="58"/>
      <c r="EL765" s="83"/>
      <c r="EO765" s="58"/>
      <c r="EP765" s="83"/>
      <c r="EQ765" s="58"/>
      <c r="ER765" s="83"/>
      <c r="ES765" s="58"/>
      <c r="ET765" s="83"/>
      <c r="EU765" s="58"/>
    </row>
    <row r="766" spans="1:151">
      <c r="A766" s="83" t="s">
        <v>321</v>
      </c>
      <c r="B766" s="173" t="s">
        <v>231</v>
      </c>
      <c r="C766" s="173" t="s">
        <v>519</v>
      </c>
      <c r="D766" s="83" t="s">
        <v>233</v>
      </c>
      <c r="F766" s="49" t="s">
        <v>286</v>
      </c>
      <c r="G766" s="60">
        <v>2.7285333333333335</v>
      </c>
      <c r="H766" s="49">
        <v>4331</v>
      </c>
      <c r="I766" s="49">
        <v>2721</v>
      </c>
      <c r="J766" s="159">
        <v>1.7309160305343512</v>
      </c>
      <c r="K766" s="49">
        <v>1</v>
      </c>
      <c r="L766" s="49">
        <v>3</v>
      </c>
      <c r="M766" s="83">
        <v>0</v>
      </c>
      <c r="N766" s="49">
        <v>0</v>
      </c>
      <c r="O766" s="49">
        <v>1</v>
      </c>
      <c r="P766" s="49">
        <v>1</v>
      </c>
      <c r="Q766" s="58">
        <v>0</v>
      </c>
      <c r="R766" s="42">
        <v>2</v>
      </c>
      <c r="S766" s="83" t="s">
        <v>283</v>
      </c>
      <c r="T766" s="49">
        <v>7</v>
      </c>
      <c r="U766" s="83">
        <v>1</v>
      </c>
      <c r="V766" s="49">
        <v>3</v>
      </c>
      <c r="W766" s="49">
        <v>1</v>
      </c>
      <c r="X766" s="58">
        <v>1</v>
      </c>
      <c r="Y766" s="83">
        <v>1</v>
      </c>
      <c r="AD766" s="49">
        <v>10</v>
      </c>
      <c r="AE766" s="49">
        <v>30</v>
      </c>
      <c r="AF766" s="49">
        <v>8</v>
      </c>
      <c r="AG766" s="49">
        <v>56</v>
      </c>
      <c r="AJ766" s="49">
        <v>0</v>
      </c>
      <c r="AK766" s="83">
        <v>0</v>
      </c>
      <c r="AL766" s="49">
        <v>0</v>
      </c>
      <c r="AM766" s="49">
        <v>1</v>
      </c>
      <c r="AN766" s="49">
        <v>0</v>
      </c>
      <c r="AO766" s="58">
        <v>0</v>
      </c>
      <c r="AP766" s="174" t="s">
        <v>284</v>
      </c>
      <c r="AQ766" s="175" t="s">
        <v>284</v>
      </c>
      <c r="AR766" s="175" t="s">
        <v>501</v>
      </c>
      <c r="AS766" s="175" t="s">
        <v>501</v>
      </c>
      <c r="AT766" s="175" t="s">
        <v>284</v>
      </c>
      <c r="AU766" s="175" t="s">
        <v>284</v>
      </c>
      <c r="AV766" s="175" t="s">
        <v>284</v>
      </c>
      <c r="AW766" s="175" t="s">
        <v>284</v>
      </c>
      <c r="AX766" s="83">
        <v>0</v>
      </c>
      <c r="AY766" s="49">
        <v>0</v>
      </c>
      <c r="AZ766" s="49">
        <v>0</v>
      </c>
      <c r="BA766" s="49">
        <v>0</v>
      </c>
      <c r="BB766" s="58">
        <v>0</v>
      </c>
      <c r="BC766" s="42">
        <v>129</v>
      </c>
      <c r="BS766" s="58"/>
      <c r="BT766" s="83"/>
      <c r="CE766" s="83"/>
      <c r="CK766" s="58"/>
      <c r="CL766" s="83"/>
      <c r="CO766" s="58"/>
      <c r="CP766" s="83"/>
      <c r="CR766" s="58"/>
      <c r="CS766" s="83"/>
      <c r="CY766" s="83"/>
      <c r="DG766" s="58"/>
      <c r="DH766" s="83"/>
      <c r="DQ766" s="83"/>
      <c r="EE766" s="58"/>
      <c r="EF766" s="83"/>
      <c r="EI766" s="83"/>
      <c r="EK766" s="58"/>
      <c r="EL766" s="83"/>
      <c r="EO766" s="58"/>
      <c r="EP766" s="83"/>
      <c r="EQ766" s="58"/>
      <c r="ER766" s="83"/>
      <c r="ES766" s="58"/>
      <c r="ET766" s="83"/>
      <c r="EU766" s="58"/>
    </row>
    <row r="767" spans="1:151">
      <c r="A767" s="83" t="s">
        <v>321</v>
      </c>
      <c r="B767" s="173" t="s">
        <v>231</v>
      </c>
      <c r="C767" s="173" t="s">
        <v>519</v>
      </c>
      <c r="D767" s="83" t="s">
        <v>234</v>
      </c>
      <c r="F767" s="49" t="s">
        <v>286</v>
      </c>
      <c r="G767" s="60">
        <v>2.7285333333333335</v>
      </c>
      <c r="H767" s="49">
        <v>4331</v>
      </c>
      <c r="I767" s="49">
        <v>5497</v>
      </c>
      <c r="J767" s="159">
        <v>1.775516795865633</v>
      </c>
      <c r="K767" s="49">
        <v>4</v>
      </c>
      <c r="L767" s="49">
        <v>4</v>
      </c>
      <c r="M767" s="83">
        <v>1</v>
      </c>
      <c r="N767" s="49">
        <v>3</v>
      </c>
      <c r="O767" s="49">
        <v>1</v>
      </c>
      <c r="P767" s="49">
        <v>1</v>
      </c>
      <c r="Q767" s="58">
        <v>0</v>
      </c>
      <c r="R767" s="42">
        <v>6</v>
      </c>
      <c r="S767" s="83" t="s">
        <v>283</v>
      </c>
      <c r="T767" s="49">
        <v>5</v>
      </c>
      <c r="U767" s="83">
        <v>1</v>
      </c>
      <c r="V767" s="49">
        <v>4</v>
      </c>
      <c r="W767" s="49">
        <v>1</v>
      </c>
      <c r="X767" s="58">
        <v>2</v>
      </c>
      <c r="Y767" s="83">
        <v>15</v>
      </c>
      <c r="Z767" s="49">
        <v>8</v>
      </c>
      <c r="AA767" s="49">
        <v>19</v>
      </c>
      <c r="AD767" s="49">
        <v>24</v>
      </c>
      <c r="AE767" s="49">
        <v>241</v>
      </c>
      <c r="AF767" s="49">
        <v>9</v>
      </c>
      <c r="AG767" s="49">
        <v>451</v>
      </c>
      <c r="AH767" s="49">
        <v>48</v>
      </c>
      <c r="AI767" s="49">
        <v>496</v>
      </c>
      <c r="AJ767" s="49">
        <v>1</v>
      </c>
      <c r="AK767" s="83">
        <v>0</v>
      </c>
      <c r="AL767" s="49">
        <v>0</v>
      </c>
      <c r="AM767" s="49">
        <v>0</v>
      </c>
      <c r="AN767" s="49">
        <v>0</v>
      </c>
      <c r="AO767" s="58">
        <v>0</v>
      </c>
      <c r="AP767" s="174" t="s">
        <v>284</v>
      </c>
      <c r="AQ767" s="175" t="s">
        <v>284</v>
      </c>
      <c r="AR767" s="175" t="s">
        <v>284</v>
      </c>
      <c r="AS767" s="175" t="s">
        <v>284</v>
      </c>
      <c r="AT767" s="175" t="s">
        <v>284</v>
      </c>
      <c r="AU767" s="175" t="s">
        <v>284</v>
      </c>
      <c r="AV767" s="175" t="s">
        <v>284</v>
      </c>
      <c r="AW767" s="175" t="s">
        <v>284</v>
      </c>
      <c r="AX767" s="83">
        <v>0</v>
      </c>
      <c r="AY767" s="49">
        <v>0</v>
      </c>
      <c r="AZ767" s="49">
        <v>0</v>
      </c>
      <c r="BA767" s="49">
        <v>0</v>
      </c>
      <c r="BB767" s="58">
        <v>0</v>
      </c>
      <c r="BC767" s="42">
        <v>135</v>
      </c>
      <c r="BD767" s="49">
        <v>74.83</v>
      </c>
      <c r="BE767" s="49">
        <v>73.819999999999993</v>
      </c>
      <c r="BF767" s="49">
        <v>74.819999999999993</v>
      </c>
      <c r="BS767" s="58"/>
      <c r="BT767" s="83">
        <v>76.14</v>
      </c>
      <c r="BU767" s="49">
        <v>78.09</v>
      </c>
      <c r="BV767" s="49">
        <v>74.099999999999994</v>
      </c>
      <c r="BW767" s="49">
        <v>74.459999999999994</v>
      </c>
      <c r="CE767" s="83">
        <v>80.27</v>
      </c>
      <c r="CK767" s="58"/>
      <c r="CL767" s="83"/>
      <c r="CO767" s="58"/>
      <c r="CP767" s="83"/>
      <c r="CR767" s="58"/>
      <c r="CS767" s="83">
        <v>82.47</v>
      </c>
      <c r="CY767" s="83"/>
      <c r="DG767" s="58"/>
      <c r="DH767" s="83"/>
      <c r="DQ767" s="83"/>
      <c r="EE767" s="58"/>
      <c r="EF767" s="83"/>
      <c r="EI767" s="83"/>
      <c r="EK767" s="58"/>
      <c r="EL767" s="83"/>
      <c r="EO767" s="58"/>
      <c r="EP767" s="83"/>
      <c r="EQ767" s="58"/>
      <c r="ER767" s="83"/>
      <c r="ES767" s="58"/>
      <c r="ET767" s="83"/>
      <c r="EU767" s="58"/>
    </row>
    <row r="768" spans="1:151">
      <c r="A768" s="83" t="s">
        <v>321</v>
      </c>
      <c r="B768" s="173" t="s">
        <v>231</v>
      </c>
      <c r="C768" s="173" t="s">
        <v>519</v>
      </c>
      <c r="D768" s="83" t="s">
        <v>235</v>
      </c>
      <c r="F768" s="49" t="s">
        <v>286</v>
      </c>
      <c r="G768" s="60">
        <v>2.7285333333333335</v>
      </c>
      <c r="H768" s="49">
        <v>4331</v>
      </c>
      <c r="I768" s="49">
        <v>10586</v>
      </c>
      <c r="J768" s="159">
        <v>1.2842411743297344</v>
      </c>
      <c r="K768" s="49">
        <v>1</v>
      </c>
      <c r="L768" s="49">
        <v>2</v>
      </c>
      <c r="M768" s="83">
        <v>1</v>
      </c>
      <c r="N768" s="49">
        <v>0</v>
      </c>
      <c r="O768" s="49">
        <v>1</v>
      </c>
      <c r="P768" s="49">
        <v>1</v>
      </c>
      <c r="Q768" s="58">
        <v>0</v>
      </c>
      <c r="R768" s="42">
        <v>3</v>
      </c>
      <c r="S768" s="83" t="s">
        <v>283</v>
      </c>
      <c r="T768" s="49">
        <v>4</v>
      </c>
      <c r="U768" s="83">
        <v>3</v>
      </c>
      <c r="V768" s="49">
        <v>3</v>
      </c>
      <c r="W768" s="49">
        <v>1</v>
      </c>
      <c r="X768" s="58">
        <v>3</v>
      </c>
      <c r="Y768" s="83">
        <v>2</v>
      </c>
      <c r="Z768" s="49">
        <v>10</v>
      </c>
      <c r="AA768" s="49">
        <v>146</v>
      </c>
      <c r="AD768" s="49">
        <v>14</v>
      </c>
      <c r="AE768" s="49">
        <v>221</v>
      </c>
      <c r="AF768" s="49">
        <v>53</v>
      </c>
      <c r="AG768" s="49">
        <v>231</v>
      </c>
      <c r="AH768" s="49">
        <v>109</v>
      </c>
      <c r="AI768" s="49">
        <v>687</v>
      </c>
      <c r="AJ768" s="49">
        <v>1</v>
      </c>
      <c r="AK768" s="83">
        <v>0</v>
      </c>
      <c r="AL768" s="49">
        <v>1</v>
      </c>
      <c r="AM768" s="49">
        <v>1</v>
      </c>
      <c r="AN768" s="49">
        <v>0</v>
      </c>
      <c r="AO768" s="58">
        <v>0</v>
      </c>
      <c r="AP768" s="174">
        <v>97</v>
      </c>
      <c r="AQ768" s="175">
        <v>433</v>
      </c>
      <c r="AR768" s="175">
        <v>0</v>
      </c>
      <c r="AS768" s="175">
        <v>323</v>
      </c>
      <c r="AT768" s="175" t="s">
        <v>284</v>
      </c>
      <c r="AU768" s="175" t="s">
        <v>284</v>
      </c>
      <c r="AV768" s="175" t="s">
        <v>284</v>
      </c>
      <c r="AW768" s="175" t="s">
        <v>284</v>
      </c>
      <c r="AX768" s="83">
        <v>0</v>
      </c>
      <c r="AY768" s="49">
        <v>0</v>
      </c>
      <c r="AZ768" s="49">
        <v>0</v>
      </c>
      <c r="BA768" s="49">
        <v>0</v>
      </c>
      <c r="BB768" s="58">
        <v>0</v>
      </c>
      <c r="BC768" s="42">
        <v>149</v>
      </c>
      <c r="BD768" s="49">
        <v>82.57</v>
      </c>
      <c r="BS768" s="58"/>
      <c r="BT768" s="83">
        <v>78.06</v>
      </c>
      <c r="BU768" s="49">
        <v>75.599999999999994</v>
      </c>
      <c r="CE768" s="83">
        <v>82.49</v>
      </c>
      <c r="CF768" s="49">
        <v>84.23</v>
      </c>
      <c r="CK768" s="58"/>
      <c r="CL768" s="83"/>
      <c r="CO768" s="58"/>
      <c r="CP768" s="83"/>
      <c r="CR768" s="58"/>
      <c r="CS768" s="83"/>
      <c r="CY768" s="83"/>
      <c r="DG768" s="58"/>
      <c r="DH768" s="83"/>
      <c r="DQ768" s="83"/>
      <c r="EE768" s="58"/>
      <c r="EF768" s="83"/>
      <c r="EI768" s="83"/>
      <c r="EK768" s="58"/>
      <c r="EL768" s="83"/>
      <c r="EO768" s="58"/>
      <c r="EP768" s="83"/>
      <c r="EQ768" s="58"/>
      <c r="ER768" s="83"/>
      <c r="ES768" s="58"/>
      <c r="ET768" s="83"/>
      <c r="EU768" s="58"/>
    </row>
    <row r="769" spans="1:151">
      <c r="A769" s="83" t="s">
        <v>321</v>
      </c>
      <c r="B769" s="173" t="s">
        <v>231</v>
      </c>
      <c r="C769" s="173" t="s">
        <v>519</v>
      </c>
      <c r="D769" s="83" t="s">
        <v>236</v>
      </c>
      <c r="F769" s="49" t="s">
        <v>286</v>
      </c>
      <c r="G769" s="60">
        <v>2.7285333333333335</v>
      </c>
      <c r="H769" s="49">
        <v>4331</v>
      </c>
      <c r="I769" s="49">
        <v>8664</v>
      </c>
      <c r="J769" s="159">
        <v>1.7893432465923171</v>
      </c>
      <c r="K769" s="49">
        <v>1</v>
      </c>
      <c r="L769" s="49">
        <v>2</v>
      </c>
      <c r="M769" s="83">
        <v>0</v>
      </c>
      <c r="N769" s="49">
        <v>0</v>
      </c>
      <c r="O769" s="49">
        <v>1</v>
      </c>
      <c r="P769" s="49">
        <v>1</v>
      </c>
      <c r="Q769" s="58">
        <v>0</v>
      </c>
      <c r="R769" s="42">
        <v>2</v>
      </c>
      <c r="S769" s="83" t="s">
        <v>283</v>
      </c>
      <c r="T769" s="49">
        <v>8</v>
      </c>
      <c r="U769" s="83">
        <v>1</v>
      </c>
      <c r="V769" s="49">
        <v>2</v>
      </c>
      <c r="W769" s="49">
        <v>1</v>
      </c>
      <c r="X769" s="58">
        <v>1</v>
      </c>
      <c r="Y769" s="83">
        <v>5</v>
      </c>
      <c r="Z769" s="49">
        <v>5</v>
      </c>
      <c r="AA769" s="49">
        <v>63</v>
      </c>
      <c r="AD769" s="49">
        <v>6</v>
      </c>
      <c r="AE769" s="49">
        <v>142</v>
      </c>
      <c r="AF769" s="49">
        <v>11</v>
      </c>
      <c r="AG769" s="49">
        <v>995</v>
      </c>
      <c r="AH769" s="49">
        <v>44</v>
      </c>
      <c r="AI769" s="49">
        <v>276</v>
      </c>
      <c r="AJ769" s="49">
        <v>1</v>
      </c>
      <c r="AK769" s="83">
        <v>0</v>
      </c>
      <c r="AL769" s="49">
        <v>1</v>
      </c>
      <c r="AM769" s="49">
        <v>0</v>
      </c>
      <c r="AN769" s="49">
        <v>0</v>
      </c>
      <c r="AO769" s="58">
        <v>0</v>
      </c>
      <c r="AP769" s="174">
        <v>374</v>
      </c>
      <c r="AQ769" s="175">
        <v>860</v>
      </c>
      <c r="AR769" s="175" t="s">
        <v>284</v>
      </c>
      <c r="AS769" s="175" t="s">
        <v>284</v>
      </c>
      <c r="AT769" s="175" t="s">
        <v>284</v>
      </c>
      <c r="AU769" s="175" t="s">
        <v>284</v>
      </c>
      <c r="AV769" s="175" t="s">
        <v>284</v>
      </c>
      <c r="AW769" s="175" t="s">
        <v>284</v>
      </c>
      <c r="AX769" s="83">
        <v>0</v>
      </c>
      <c r="AY769" s="49">
        <v>0</v>
      </c>
      <c r="AZ769" s="49">
        <v>0</v>
      </c>
      <c r="BA769" s="49">
        <v>0</v>
      </c>
      <c r="BB769" s="58">
        <v>0</v>
      </c>
      <c r="BC769" s="42">
        <v>163</v>
      </c>
      <c r="BD769" s="49">
        <v>82.85</v>
      </c>
      <c r="BS769" s="58"/>
      <c r="BT769" s="83">
        <v>82.82</v>
      </c>
      <c r="BU769" s="49">
        <v>84.95</v>
      </c>
      <c r="BV769" s="49">
        <v>82.3</v>
      </c>
      <c r="BW769" s="49">
        <v>81.88</v>
      </c>
      <c r="CE769" s="83">
        <v>82.77</v>
      </c>
      <c r="CK769" s="58"/>
      <c r="CL769" s="83"/>
      <c r="CO769" s="58"/>
      <c r="CP769" s="83"/>
      <c r="CR769" s="58"/>
      <c r="CS769" s="83"/>
      <c r="CY769" s="83"/>
      <c r="DG769" s="58"/>
      <c r="DH769" s="83"/>
      <c r="DQ769" s="83"/>
      <c r="EE769" s="58"/>
      <c r="EF769" s="83">
        <v>84.23</v>
      </c>
      <c r="EI769" s="83"/>
      <c r="EK769" s="58"/>
      <c r="EL769" s="83"/>
      <c r="EO769" s="58"/>
      <c r="EP769" s="83"/>
      <c r="EQ769" s="58"/>
      <c r="ER769" s="83"/>
      <c r="ES769" s="58"/>
      <c r="ET769" s="83"/>
      <c r="EU769" s="58"/>
    </row>
    <row r="770" spans="1:151">
      <c r="A770" s="83" t="s">
        <v>321</v>
      </c>
      <c r="B770" s="173" t="s">
        <v>231</v>
      </c>
      <c r="C770" s="173" t="s">
        <v>519</v>
      </c>
      <c r="D770" s="83" t="s">
        <v>237</v>
      </c>
      <c r="F770" s="49" t="s">
        <v>287</v>
      </c>
      <c r="G770" s="60">
        <v>2.7285333333333335</v>
      </c>
      <c r="H770" s="49">
        <v>4331</v>
      </c>
      <c r="I770" s="49">
        <v>678</v>
      </c>
      <c r="J770" s="159">
        <v>1.4184100418410042</v>
      </c>
      <c r="K770" s="49">
        <v>4</v>
      </c>
      <c r="L770" s="49">
        <v>3</v>
      </c>
      <c r="M770" s="83">
        <v>0</v>
      </c>
      <c r="N770" s="49">
        <v>3</v>
      </c>
      <c r="O770" s="49">
        <v>0</v>
      </c>
      <c r="P770" s="49">
        <v>0</v>
      </c>
      <c r="Q770" s="58">
        <v>0</v>
      </c>
      <c r="R770" s="42">
        <v>3</v>
      </c>
      <c r="S770" s="83" t="s">
        <v>283</v>
      </c>
      <c r="T770" s="49">
        <v>2</v>
      </c>
      <c r="U770" s="83">
        <v>1</v>
      </c>
      <c r="V770" s="49">
        <v>4</v>
      </c>
      <c r="W770" s="49">
        <v>2</v>
      </c>
      <c r="X770" s="58"/>
      <c r="Y770" s="83">
        <v>5</v>
      </c>
      <c r="Z770" s="49">
        <v>3</v>
      </c>
      <c r="AA770" s="49">
        <v>45</v>
      </c>
      <c r="AD770" s="49">
        <v>12</v>
      </c>
      <c r="AE770" s="49">
        <v>24</v>
      </c>
      <c r="AI770" s="49">
        <v>64</v>
      </c>
      <c r="AJ770" s="49">
        <v>0</v>
      </c>
      <c r="AK770" s="83"/>
      <c r="AL770" s="49">
        <v>0</v>
      </c>
      <c r="AM770" s="49">
        <v>1</v>
      </c>
      <c r="AN770" s="49">
        <v>0</v>
      </c>
      <c r="AO770" s="58">
        <v>0</v>
      </c>
      <c r="AP770" s="174" t="s">
        <v>284</v>
      </c>
      <c r="AQ770" s="175" t="s">
        <v>284</v>
      </c>
      <c r="AR770" s="175" t="s">
        <v>501</v>
      </c>
      <c r="AS770" s="175" t="s">
        <v>501</v>
      </c>
      <c r="AT770" s="175" t="s">
        <v>284</v>
      </c>
      <c r="AU770" s="175" t="s">
        <v>284</v>
      </c>
      <c r="AV770" s="175" t="s">
        <v>284</v>
      </c>
      <c r="AW770" s="175" t="s">
        <v>284</v>
      </c>
      <c r="AX770" s="83">
        <v>0</v>
      </c>
      <c r="AY770" s="49">
        <v>0</v>
      </c>
      <c r="AZ770" s="49">
        <v>0</v>
      </c>
      <c r="BA770" s="49">
        <v>0</v>
      </c>
      <c r="BB770" s="58">
        <v>0</v>
      </c>
      <c r="BC770" s="42">
        <v>68</v>
      </c>
      <c r="BS770" s="58"/>
      <c r="BT770" s="83"/>
      <c r="CE770" s="83"/>
      <c r="CK770" s="58"/>
      <c r="CL770" s="83"/>
      <c r="CO770" s="58"/>
      <c r="CP770" s="83"/>
      <c r="CR770" s="58"/>
      <c r="CS770" s="83"/>
      <c r="CY770" s="83"/>
      <c r="DG770" s="58"/>
      <c r="DH770" s="83"/>
      <c r="DQ770" s="83"/>
      <c r="EE770" s="58"/>
      <c r="EF770" s="83"/>
      <c r="EI770" s="83"/>
      <c r="EK770" s="58"/>
      <c r="EL770" s="83"/>
      <c r="EO770" s="58"/>
      <c r="EP770" s="83"/>
      <c r="EQ770" s="58"/>
      <c r="ER770" s="83"/>
      <c r="ES770" s="58"/>
      <c r="ET770" s="83"/>
      <c r="EU770" s="58"/>
    </row>
    <row r="771" spans="1:151">
      <c r="A771" s="83" t="s">
        <v>321</v>
      </c>
      <c r="B771" s="173" t="s">
        <v>231</v>
      </c>
      <c r="C771" s="173" t="s">
        <v>519</v>
      </c>
      <c r="D771" s="83" t="s">
        <v>238</v>
      </c>
      <c r="F771" s="49" t="s">
        <v>287</v>
      </c>
      <c r="G771" s="60">
        <v>2.7285333333333335</v>
      </c>
      <c r="H771" s="49">
        <v>4331</v>
      </c>
      <c r="I771" s="49">
        <v>986</v>
      </c>
      <c r="J771" s="159">
        <v>1.447870778267254</v>
      </c>
      <c r="K771" s="49">
        <v>1</v>
      </c>
      <c r="L771" s="49">
        <v>3</v>
      </c>
      <c r="M771" s="83">
        <v>0</v>
      </c>
      <c r="N771" s="49">
        <v>1</v>
      </c>
      <c r="O771" s="49">
        <v>0</v>
      </c>
      <c r="P771" s="49">
        <v>1</v>
      </c>
      <c r="Q771" s="58">
        <v>0</v>
      </c>
      <c r="R771" s="42">
        <v>2</v>
      </c>
      <c r="S771" s="83" t="s">
        <v>283</v>
      </c>
      <c r="T771" s="49">
        <v>4</v>
      </c>
      <c r="U771" s="83">
        <v>2</v>
      </c>
      <c r="V771" s="49">
        <v>2</v>
      </c>
      <c r="W771" s="49">
        <v>3</v>
      </c>
      <c r="X771" s="58">
        <v>2</v>
      </c>
      <c r="Y771" s="83">
        <v>0</v>
      </c>
      <c r="AJ771" s="49">
        <v>0</v>
      </c>
      <c r="AK771" s="83"/>
      <c r="AL771" s="49">
        <v>0</v>
      </c>
      <c r="AM771" s="49">
        <v>0</v>
      </c>
      <c r="AN771" s="49">
        <v>0</v>
      </c>
      <c r="AO771" s="58">
        <v>0</v>
      </c>
      <c r="AP771" s="174" t="s">
        <v>284</v>
      </c>
      <c r="AQ771" s="175" t="s">
        <v>284</v>
      </c>
      <c r="AR771" s="175" t="s">
        <v>284</v>
      </c>
      <c r="AS771" s="175" t="s">
        <v>284</v>
      </c>
      <c r="AT771" s="175" t="s">
        <v>284</v>
      </c>
      <c r="AU771" s="175" t="s">
        <v>284</v>
      </c>
      <c r="AV771" s="175" t="s">
        <v>284</v>
      </c>
      <c r="AW771" s="175" t="s">
        <v>284</v>
      </c>
      <c r="AX771" s="83">
        <v>0</v>
      </c>
      <c r="AY771" s="49">
        <v>0</v>
      </c>
      <c r="AZ771" s="49">
        <v>0</v>
      </c>
      <c r="BA771" s="49">
        <v>0</v>
      </c>
      <c r="BB771" s="58">
        <v>0</v>
      </c>
      <c r="BC771" s="42">
        <v>50</v>
      </c>
      <c r="BS771" s="58"/>
      <c r="BT771" s="83"/>
      <c r="CE771" s="83"/>
      <c r="CK771" s="58"/>
      <c r="CL771" s="83"/>
      <c r="CO771" s="58"/>
      <c r="CP771" s="83"/>
      <c r="CR771" s="58"/>
      <c r="CS771" s="83"/>
      <c r="CY771" s="83"/>
      <c r="DG771" s="58"/>
      <c r="DH771" s="83"/>
      <c r="DQ771" s="83"/>
      <c r="EE771" s="58"/>
      <c r="EF771" s="83"/>
      <c r="EI771" s="83"/>
      <c r="EK771" s="58"/>
      <c r="EL771" s="83"/>
      <c r="EO771" s="58"/>
      <c r="EP771" s="83"/>
      <c r="EQ771" s="58"/>
      <c r="ER771" s="83"/>
      <c r="ES771" s="58"/>
      <c r="ET771" s="83"/>
      <c r="EU771" s="58"/>
    </row>
    <row r="772" spans="1:151">
      <c r="A772" s="83" t="s">
        <v>321</v>
      </c>
      <c r="B772" s="173" t="s">
        <v>231</v>
      </c>
      <c r="C772" s="173" t="s">
        <v>519</v>
      </c>
      <c r="D772" s="83" t="s">
        <v>239</v>
      </c>
      <c r="F772" s="49" t="s">
        <v>287</v>
      </c>
      <c r="G772" s="60">
        <v>2.7285333333333335</v>
      </c>
      <c r="H772" s="49">
        <v>4331</v>
      </c>
      <c r="I772" s="49">
        <v>727</v>
      </c>
      <c r="J772" s="159">
        <v>1.4367588932806323</v>
      </c>
      <c r="K772" s="49">
        <v>1</v>
      </c>
      <c r="L772" s="49">
        <v>2</v>
      </c>
      <c r="M772" s="83">
        <v>1</v>
      </c>
      <c r="N772" s="49">
        <v>0</v>
      </c>
      <c r="O772" s="49">
        <v>0</v>
      </c>
      <c r="P772" s="49">
        <v>1</v>
      </c>
      <c r="Q772" s="58">
        <v>0</v>
      </c>
      <c r="R772" s="42">
        <v>2</v>
      </c>
      <c r="S772" s="83" t="s">
        <v>283</v>
      </c>
      <c r="T772" s="49">
        <v>3</v>
      </c>
      <c r="U772" s="83">
        <v>1</v>
      </c>
      <c r="V772" s="49">
        <v>3</v>
      </c>
      <c r="W772" s="49">
        <v>1</v>
      </c>
      <c r="X772" s="58">
        <v>2</v>
      </c>
      <c r="Y772" s="83">
        <v>0</v>
      </c>
      <c r="AJ772" s="49">
        <v>0</v>
      </c>
      <c r="AK772" s="83"/>
      <c r="AL772" s="49">
        <v>0</v>
      </c>
      <c r="AM772" s="49">
        <v>0</v>
      </c>
      <c r="AN772" s="49">
        <v>0</v>
      </c>
      <c r="AO772" s="58">
        <v>0</v>
      </c>
      <c r="AP772" s="174" t="s">
        <v>284</v>
      </c>
      <c r="AQ772" s="175" t="s">
        <v>284</v>
      </c>
      <c r="AR772" s="175" t="s">
        <v>284</v>
      </c>
      <c r="AS772" s="175" t="s">
        <v>284</v>
      </c>
      <c r="AT772" s="175" t="s">
        <v>284</v>
      </c>
      <c r="AU772" s="175" t="s">
        <v>284</v>
      </c>
      <c r="AV772" s="175" t="s">
        <v>284</v>
      </c>
      <c r="AW772" s="175" t="s">
        <v>284</v>
      </c>
      <c r="AX772" s="83">
        <v>0</v>
      </c>
      <c r="AY772" s="49">
        <v>0</v>
      </c>
      <c r="AZ772" s="49">
        <v>0</v>
      </c>
      <c r="BA772" s="49">
        <v>0</v>
      </c>
      <c r="BB772" s="58">
        <v>0</v>
      </c>
      <c r="BC772" s="42">
        <v>74</v>
      </c>
      <c r="BD772" s="49">
        <v>80.510000000000005</v>
      </c>
      <c r="BE772" s="159">
        <v>80.63</v>
      </c>
      <c r="BF772" s="49">
        <v>81.93</v>
      </c>
      <c r="BG772" s="49">
        <v>81.069999999999993</v>
      </c>
      <c r="BS772" s="58"/>
      <c r="BT772" s="83">
        <v>82.87</v>
      </c>
      <c r="CE772" s="83"/>
      <c r="CK772" s="58"/>
      <c r="CL772" s="83"/>
      <c r="CO772" s="58"/>
      <c r="CP772" s="83"/>
      <c r="CR772" s="58"/>
      <c r="CS772" s="83"/>
      <c r="CY772" s="83"/>
      <c r="DG772" s="58"/>
      <c r="DH772" s="83"/>
      <c r="DQ772" s="83"/>
      <c r="EE772" s="58"/>
      <c r="EF772" s="83"/>
      <c r="EI772" s="83"/>
      <c r="EK772" s="58"/>
      <c r="EL772" s="83"/>
      <c r="EO772" s="58"/>
      <c r="EP772" s="83"/>
      <c r="EQ772" s="58"/>
      <c r="ER772" s="83"/>
      <c r="ES772" s="58"/>
      <c r="ET772" s="83"/>
      <c r="EU772" s="58"/>
    </row>
    <row r="773" spans="1:151">
      <c r="A773" s="83" t="s">
        <v>321</v>
      </c>
      <c r="B773" s="173" t="s">
        <v>231</v>
      </c>
      <c r="C773" s="173" t="s">
        <v>519</v>
      </c>
      <c r="D773" s="83" t="s">
        <v>240</v>
      </c>
      <c r="F773" s="49" t="s">
        <v>286</v>
      </c>
      <c r="G773" s="60">
        <v>2.7285333333333335</v>
      </c>
      <c r="H773" s="49">
        <v>4331</v>
      </c>
      <c r="I773" s="49">
        <v>1450</v>
      </c>
      <c r="J773" s="159">
        <v>1.7554479418886197</v>
      </c>
      <c r="K773" s="49">
        <v>4</v>
      </c>
      <c r="L773" s="49">
        <v>3</v>
      </c>
      <c r="M773" s="83">
        <v>1</v>
      </c>
      <c r="N773" s="49">
        <v>0</v>
      </c>
      <c r="O773" s="49">
        <v>1</v>
      </c>
      <c r="P773" s="49">
        <v>1</v>
      </c>
      <c r="Q773" s="58">
        <v>0</v>
      </c>
      <c r="R773" s="42">
        <v>3</v>
      </c>
      <c r="S773" s="83" t="s">
        <v>283</v>
      </c>
      <c r="T773" s="49">
        <v>5</v>
      </c>
      <c r="U773" s="83">
        <v>2</v>
      </c>
      <c r="V773" s="49">
        <v>3</v>
      </c>
      <c r="W773" s="49">
        <v>1</v>
      </c>
      <c r="X773" s="58">
        <v>2</v>
      </c>
      <c r="Y773" s="83">
        <v>3</v>
      </c>
      <c r="AF773" s="49">
        <v>13</v>
      </c>
      <c r="AG773" s="49">
        <v>155</v>
      </c>
      <c r="AJ773" s="49">
        <v>0</v>
      </c>
      <c r="AK773" s="83">
        <v>0</v>
      </c>
      <c r="AL773" s="49">
        <v>0</v>
      </c>
      <c r="AM773" s="49">
        <v>0</v>
      </c>
      <c r="AN773" s="49">
        <v>0</v>
      </c>
      <c r="AO773" s="58">
        <v>0</v>
      </c>
      <c r="AP773" s="174" t="s">
        <v>284</v>
      </c>
      <c r="AQ773" s="175" t="s">
        <v>284</v>
      </c>
      <c r="AR773" s="175" t="s">
        <v>284</v>
      </c>
      <c r="AS773" s="175" t="s">
        <v>284</v>
      </c>
      <c r="AT773" s="175" t="s">
        <v>284</v>
      </c>
      <c r="AU773" s="175" t="s">
        <v>284</v>
      </c>
      <c r="AV773" s="175" t="s">
        <v>284</v>
      </c>
      <c r="AW773" s="175" t="s">
        <v>284</v>
      </c>
      <c r="AX773" s="83">
        <v>0</v>
      </c>
      <c r="AY773" s="49">
        <v>0</v>
      </c>
      <c r="AZ773" s="49">
        <v>0</v>
      </c>
      <c r="BA773" s="49">
        <v>0</v>
      </c>
      <c r="BB773" s="58">
        <v>0</v>
      </c>
      <c r="BC773" s="42">
        <v>106</v>
      </c>
      <c r="BS773" s="58"/>
      <c r="BT773" s="83"/>
      <c r="CE773" s="83"/>
      <c r="CK773" s="58"/>
      <c r="CL773" s="83"/>
      <c r="CO773" s="58"/>
      <c r="CP773" s="83"/>
      <c r="CR773" s="58"/>
      <c r="CS773" s="83"/>
      <c r="CY773" s="83"/>
      <c r="DG773" s="58"/>
      <c r="DH773" s="83"/>
      <c r="DQ773" s="83"/>
      <c r="EE773" s="58"/>
      <c r="EF773" s="83"/>
      <c r="EI773" s="83"/>
      <c r="EK773" s="58"/>
      <c r="EL773" s="83"/>
      <c r="EO773" s="58"/>
      <c r="EP773" s="83"/>
      <c r="EQ773" s="58"/>
      <c r="ER773" s="83"/>
      <c r="ES773" s="58"/>
      <c r="ET773" s="83"/>
      <c r="EU773" s="58"/>
    </row>
    <row r="774" spans="1:151">
      <c r="A774" s="83" t="s">
        <v>321</v>
      </c>
      <c r="B774" s="173" t="s">
        <v>231</v>
      </c>
      <c r="C774" s="173" t="s">
        <v>519</v>
      </c>
      <c r="D774" s="83" t="s">
        <v>241</v>
      </c>
      <c r="F774" s="49" t="s">
        <v>286</v>
      </c>
      <c r="G774" s="60">
        <v>2.7285333333333335</v>
      </c>
      <c r="H774" s="49">
        <v>4331</v>
      </c>
      <c r="I774" s="49">
        <v>2530</v>
      </c>
      <c r="J774" s="159">
        <v>1.3386243386243386</v>
      </c>
      <c r="K774" s="49">
        <v>1</v>
      </c>
      <c r="L774" s="49">
        <v>2</v>
      </c>
      <c r="M774" s="83">
        <v>1</v>
      </c>
      <c r="N774" s="49">
        <v>0</v>
      </c>
      <c r="O774" s="49">
        <v>0</v>
      </c>
      <c r="P774" s="49">
        <v>1</v>
      </c>
      <c r="Q774" s="58">
        <v>0</v>
      </c>
      <c r="R774" s="42">
        <v>2</v>
      </c>
      <c r="S774" s="83" t="s">
        <v>283</v>
      </c>
      <c r="T774" s="49">
        <v>5</v>
      </c>
      <c r="U774" s="83">
        <v>2</v>
      </c>
      <c r="V774" s="49">
        <v>2</v>
      </c>
      <c r="W774" s="49">
        <v>1</v>
      </c>
      <c r="X774" s="58">
        <v>2</v>
      </c>
      <c r="Y774" s="83">
        <v>0</v>
      </c>
      <c r="AJ774" s="49">
        <v>0</v>
      </c>
      <c r="AK774" s="83">
        <v>0</v>
      </c>
      <c r="AL774" s="49">
        <v>1</v>
      </c>
      <c r="AM774" s="49">
        <v>0</v>
      </c>
      <c r="AN774" s="49">
        <v>0</v>
      </c>
      <c r="AO774" s="58">
        <v>0</v>
      </c>
      <c r="AP774" s="174">
        <v>104</v>
      </c>
      <c r="AQ774" s="175">
        <v>819</v>
      </c>
      <c r="AR774" s="175" t="s">
        <v>284</v>
      </c>
      <c r="AS774" s="175" t="s">
        <v>284</v>
      </c>
      <c r="AT774" s="175" t="s">
        <v>284</v>
      </c>
      <c r="AU774" s="175" t="s">
        <v>284</v>
      </c>
      <c r="AV774" s="175" t="s">
        <v>284</v>
      </c>
      <c r="AW774" s="175" t="s">
        <v>284</v>
      </c>
      <c r="AX774" s="83">
        <v>0</v>
      </c>
      <c r="AY774" s="49">
        <v>0</v>
      </c>
      <c r="AZ774" s="49">
        <v>0</v>
      </c>
      <c r="BA774" s="49">
        <v>0</v>
      </c>
      <c r="BB774" s="58">
        <v>0</v>
      </c>
      <c r="BC774" s="42">
        <v>129</v>
      </c>
      <c r="BS774" s="58"/>
      <c r="BT774" s="83"/>
      <c r="CE774" s="83"/>
      <c r="CK774" s="58"/>
      <c r="CL774" s="83"/>
      <c r="CO774" s="58"/>
      <c r="CP774" s="83"/>
      <c r="CR774" s="58"/>
      <c r="CS774" s="83"/>
      <c r="CY774" s="83"/>
      <c r="DG774" s="58"/>
      <c r="DH774" s="83"/>
      <c r="DQ774" s="83"/>
      <c r="EE774" s="58"/>
      <c r="EF774" s="83"/>
      <c r="EI774" s="83"/>
      <c r="EK774" s="58"/>
      <c r="EL774" s="83"/>
      <c r="EO774" s="58"/>
      <c r="EP774" s="83"/>
      <c r="EQ774" s="58"/>
      <c r="ER774" s="83"/>
      <c r="ES774" s="58"/>
      <c r="ET774" s="83"/>
      <c r="EU774" s="58"/>
    </row>
    <row r="775" spans="1:151">
      <c r="A775" s="83" t="s">
        <v>321</v>
      </c>
      <c r="B775" s="173" t="s">
        <v>231</v>
      </c>
      <c r="C775" s="173" t="s">
        <v>519</v>
      </c>
      <c r="D775" s="83" t="s">
        <v>242</v>
      </c>
      <c r="F775" s="49" t="s">
        <v>286</v>
      </c>
      <c r="G775" s="60">
        <v>2.7285333333333335</v>
      </c>
      <c r="H775" s="49">
        <v>4331</v>
      </c>
      <c r="I775" s="49">
        <v>2090</v>
      </c>
      <c r="J775" s="159">
        <v>1.4939242315939958</v>
      </c>
      <c r="K775" s="49">
        <v>4</v>
      </c>
      <c r="L775" s="49">
        <v>3</v>
      </c>
      <c r="M775" s="83">
        <v>0</v>
      </c>
      <c r="N775" s="49">
        <v>2</v>
      </c>
      <c r="O775" s="49">
        <v>1</v>
      </c>
      <c r="P775" s="49">
        <v>1</v>
      </c>
      <c r="Q775" s="58">
        <v>0</v>
      </c>
      <c r="R775" s="42">
        <v>4</v>
      </c>
      <c r="S775" s="83" t="s">
        <v>283</v>
      </c>
      <c r="T775" s="49">
        <v>3</v>
      </c>
      <c r="U775" s="83">
        <v>2</v>
      </c>
      <c r="V775" s="49">
        <v>3</v>
      </c>
      <c r="W775" s="49">
        <v>3</v>
      </c>
      <c r="X775" s="58">
        <v>2</v>
      </c>
      <c r="Y775" s="83" t="s">
        <v>78</v>
      </c>
      <c r="Z775" s="49">
        <v>2</v>
      </c>
      <c r="AA775" s="49">
        <v>3</v>
      </c>
      <c r="AI775" s="49">
        <v>12</v>
      </c>
      <c r="AJ775" s="49">
        <v>0</v>
      </c>
      <c r="AK775" s="83">
        <v>0</v>
      </c>
      <c r="AL775" s="49">
        <v>0</v>
      </c>
      <c r="AM775" s="49">
        <v>0</v>
      </c>
      <c r="AN775" s="49">
        <v>0</v>
      </c>
      <c r="AO775" s="58">
        <v>0</v>
      </c>
      <c r="AP775" s="174" t="s">
        <v>284</v>
      </c>
      <c r="AQ775" s="175" t="s">
        <v>284</v>
      </c>
      <c r="AR775" s="175" t="s">
        <v>284</v>
      </c>
      <c r="AS775" s="175" t="s">
        <v>284</v>
      </c>
      <c r="AT775" s="175" t="s">
        <v>284</v>
      </c>
      <c r="AU775" s="175" t="s">
        <v>284</v>
      </c>
      <c r="AV775" s="175" t="s">
        <v>284</v>
      </c>
      <c r="AW775" s="175" t="s">
        <v>284</v>
      </c>
      <c r="AX775" s="83">
        <v>0</v>
      </c>
      <c r="AY775" s="49">
        <v>0</v>
      </c>
      <c r="AZ775" s="49">
        <v>0</v>
      </c>
      <c r="BA775" s="49">
        <v>0</v>
      </c>
      <c r="BB775" s="58">
        <v>0</v>
      </c>
      <c r="BC775" s="42">
        <v>65</v>
      </c>
      <c r="BS775" s="58"/>
      <c r="BT775" s="83"/>
      <c r="CE775" s="83"/>
      <c r="CK775" s="58"/>
      <c r="CL775" s="83"/>
      <c r="CO775" s="58"/>
      <c r="CP775" s="83"/>
      <c r="CR775" s="58"/>
      <c r="CS775" s="83"/>
      <c r="CY775" s="83"/>
      <c r="DG775" s="58"/>
      <c r="DH775" s="83"/>
      <c r="DQ775" s="83"/>
      <c r="EE775" s="58"/>
      <c r="EF775" s="83"/>
      <c r="EI775" s="83"/>
      <c r="EK775" s="58"/>
      <c r="EL775" s="83"/>
      <c r="EO775" s="58"/>
      <c r="EP775" s="83"/>
      <c r="EQ775" s="58"/>
      <c r="ER775" s="83"/>
      <c r="ES775" s="58"/>
      <c r="ET775" s="83"/>
      <c r="EU775" s="58"/>
    </row>
    <row r="776" spans="1:151">
      <c r="A776" s="83" t="s">
        <v>321</v>
      </c>
      <c r="B776" s="173" t="s">
        <v>231</v>
      </c>
      <c r="C776" s="173" t="s">
        <v>519</v>
      </c>
      <c r="D776" s="83" t="s">
        <v>243</v>
      </c>
      <c r="F776" s="49" t="s">
        <v>287</v>
      </c>
      <c r="G776" s="60">
        <v>2.7285333333333335</v>
      </c>
      <c r="H776" s="49">
        <v>4331</v>
      </c>
      <c r="I776" s="49">
        <v>960</v>
      </c>
      <c r="J776" s="159">
        <v>1.7777777777777777</v>
      </c>
      <c r="K776" s="49">
        <v>4</v>
      </c>
      <c r="L776" s="49">
        <v>3</v>
      </c>
      <c r="M776" s="83">
        <v>0</v>
      </c>
      <c r="N776" s="49">
        <v>2</v>
      </c>
      <c r="O776" s="49">
        <v>0</v>
      </c>
      <c r="P776" s="49">
        <v>1</v>
      </c>
      <c r="Q776" s="58">
        <v>0</v>
      </c>
      <c r="R776" s="42">
        <v>3</v>
      </c>
      <c r="S776" s="83" t="s">
        <v>283</v>
      </c>
      <c r="T776" s="49">
        <v>4</v>
      </c>
      <c r="U776" s="83">
        <v>1</v>
      </c>
      <c r="V776" s="49">
        <v>4</v>
      </c>
      <c r="W776" s="49">
        <v>1</v>
      </c>
      <c r="X776" s="58">
        <v>2</v>
      </c>
      <c r="Y776" s="83">
        <v>5</v>
      </c>
      <c r="Z776" s="49">
        <v>4</v>
      </c>
      <c r="AA776" s="49">
        <v>8</v>
      </c>
      <c r="AD776" s="49">
        <v>7</v>
      </c>
      <c r="AE776" s="49">
        <v>16</v>
      </c>
      <c r="AF776" s="49">
        <v>19</v>
      </c>
      <c r="AG776" s="49">
        <v>80</v>
      </c>
      <c r="AH776" s="49">
        <v>28</v>
      </c>
      <c r="AI776" s="49">
        <v>175</v>
      </c>
      <c r="AJ776" s="49">
        <v>0</v>
      </c>
      <c r="AK776" s="83">
        <v>1</v>
      </c>
      <c r="AL776" s="49">
        <v>0</v>
      </c>
      <c r="AM776" s="49">
        <v>0</v>
      </c>
      <c r="AN776" s="49">
        <v>0</v>
      </c>
      <c r="AO776" s="58">
        <v>0</v>
      </c>
      <c r="AP776" s="174" t="s">
        <v>284</v>
      </c>
      <c r="AQ776" s="175" t="s">
        <v>284</v>
      </c>
      <c r="AR776" s="175" t="s">
        <v>284</v>
      </c>
      <c r="AS776" s="175" t="s">
        <v>284</v>
      </c>
      <c r="AT776" s="175" t="s">
        <v>284</v>
      </c>
      <c r="AU776" s="175" t="s">
        <v>284</v>
      </c>
      <c r="AV776" s="175" t="s">
        <v>284</v>
      </c>
      <c r="AW776" s="175" t="s">
        <v>284</v>
      </c>
      <c r="AX776" s="83">
        <v>0</v>
      </c>
      <c r="AY776" s="49">
        <v>0</v>
      </c>
      <c r="AZ776" s="49">
        <v>0</v>
      </c>
      <c r="BA776" s="49">
        <v>0</v>
      </c>
      <c r="BB776" s="58">
        <v>0</v>
      </c>
      <c r="BC776" s="42">
        <v>62</v>
      </c>
      <c r="BD776" s="49">
        <v>72.400000000000006</v>
      </c>
      <c r="BE776" s="159">
        <v>70.69</v>
      </c>
      <c r="BF776" s="49">
        <v>72.41</v>
      </c>
      <c r="BS776" s="58"/>
      <c r="BT776" s="83">
        <v>76.41</v>
      </c>
      <c r="CE776" s="83"/>
      <c r="CK776" s="58"/>
      <c r="CL776" s="83"/>
      <c r="CO776" s="58"/>
      <c r="CP776" s="83"/>
      <c r="CR776" s="58"/>
      <c r="CS776" s="83"/>
      <c r="CY776" s="83"/>
      <c r="DG776" s="58"/>
      <c r="DH776" s="83"/>
      <c r="DQ776" s="83">
        <v>79.66</v>
      </c>
      <c r="EE776" s="58"/>
      <c r="EF776" s="83"/>
      <c r="EI776" s="83"/>
      <c r="EK776" s="58"/>
      <c r="EL776" s="83"/>
      <c r="EO776" s="58"/>
      <c r="EP776" s="83"/>
      <c r="EQ776" s="58"/>
      <c r="ER776" s="83"/>
      <c r="ES776" s="58"/>
      <c r="ET776" s="83"/>
      <c r="EU776" s="58"/>
    </row>
    <row r="777" spans="1:151">
      <c r="A777" s="83" t="s">
        <v>321</v>
      </c>
      <c r="B777" s="173" t="s">
        <v>231</v>
      </c>
      <c r="C777" s="173" t="s">
        <v>519</v>
      </c>
      <c r="D777" s="83" t="s">
        <v>244</v>
      </c>
      <c r="F777" s="49" t="s">
        <v>287</v>
      </c>
      <c r="G777" s="60">
        <v>2.7285333333333335</v>
      </c>
      <c r="H777" s="49">
        <v>4331</v>
      </c>
      <c r="I777" s="49">
        <v>772</v>
      </c>
      <c r="J777" s="159">
        <v>1.9643765903307888</v>
      </c>
      <c r="K777" s="49">
        <v>1</v>
      </c>
      <c r="L777" s="49">
        <v>2</v>
      </c>
      <c r="M777" s="83">
        <v>0</v>
      </c>
      <c r="N777" s="49">
        <v>0</v>
      </c>
      <c r="O777" s="49">
        <v>1</v>
      </c>
      <c r="P777" s="49">
        <v>1</v>
      </c>
      <c r="Q777" s="58">
        <v>0</v>
      </c>
      <c r="R777" s="42">
        <v>2</v>
      </c>
      <c r="S777" s="83" t="s">
        <v>283</v>
      </c>
      <c r="T777" s="49">
        <v>3</v>
      </c>
      <c r="U777" s="83">
        <v>3</v>
      </c>
      <c r="V777" s="49">
        <v>4</v>
      </c>
      <c r="W777" s="49">
        <v>1</v>
      </c>
      <c r="X777" s="58">
        <v>3</v>
      </c>
      <c r="Y777" s="83" t="s">
        <v>78</v>
      </c>
      <c r="Z777" s="49">
        <v>2</v>
      </c>
      <c r="AA777" s="49">
        <v>8</v>
      </c>
      <c r="AF777" s="49">
        <v>2</v>
      </c>
      <c r="AG777" s="49">
        <v>4</v>
      </c>
      <c r="AJ777" s="49">
        <v>0</v>
      </c>
      <c r="AK777" s="83">
        <v>1</v>
      </c>
      <c r="AL777" s="49">
        <v>0</v>
      </c>
      <c r="AM777" s="49">
        <v>0</v>
      </c>
      <c r="AN777" s="49">
        <v>0</v>
      </c>
      <c r="AO777" s="58">
        <v>0</v>
      </c>
      <c r="AP777" s="174" t="s">
        <v>284</v>
      </c>
      <c r="AQ777" s="175" t="s">
        <v>284</v>
      </c>
      <c r="AR777" s="175" t="s">
        <v>284</v>
      </c>
      <c r="AS777" s="175" t="s">
        <v>284</v>
      </c>
      <c r="AT777" s="175" t="s">
        <v>284</v>
      </c>
      <c r="AU777" s="175" t="s">
        <v>284</v>
      </c>
      <c r="AV777" s="175" t="s">
        <v>284</v>
      </c>
      <c r="AW777" s="175" t="s">
        <v>284</v>
      </c>
      <c r="AX777" s="83">
        <v>0</v>
      </c>
      <c r="AY777" s="49">
        <v>0</v>
      </c>
      <c r="AZ777" s="49">
        <v>0</v>
      </c>
      <c r="BA777" s="49">
        <v>0</v>
      </c>
      <c r="BB777" s="58">
        <v>0</v>
      </c>
      <c r="BC777" s="42">
        <v>56</v>
      </c>
      <c r="BD777" s="49">
        <v>81.489999999999995</v>
      </c>
      <c r="BE777" s="159">
        <v>83</v>
      </c>
      <c r="BS777" s="58"/>
      <c r="BT777" s="83">
        <v>75.88</v>
      </c>
      <c r="BU777" s="49">
        <v>76.180000000000007</v>
      </c>
      <c r="BV777" s="49">
        <v>76.819999999999993</v>
      </c>
      <c r="CE777" s="83">
        <v>80.260000000000005</v>
      </c>
      <c r="CF777" s="49">
        <v>80.75</v>
      </c>
      <c r="CK777" s="58"/>
      <c r="CL777" s="83"/>
      <c r="CO777" s="58"/>
      <c r="CP777" s="83"/>
      <c r="CR777" s="58"/>
      <c r="CS777" s="83"/>
      <c r="CY777" s="83"/>
      <c r="DG777" s="58"/>
      <c r="DH777" s="83"/>
      <c r="DQ777" s="83"/>
      <c r="EE777" s="58"/>
      <c r="EF777" s="83"/>
      <c r="EI777" s="83"/>
      <c r="EK777" s="58"/>
      <c r="EL777" s="83"/>
      <c r="EO777" s="58"/>
      <c r="EP777" s="83"/>
      <c r="EQ777" s="58"/>
      <c r="ER777" s="83"/>
      <c r="ES777" s="58"/>
      <c r="ET777" s="83"/>
      <c r="EU777" s="58"/>
    </row>
    <row r="778" spans="1:151">
      <c r="A778" s="83" t="s">
        <v>321</v>
      </c>
      <c r="B778" s="173" t="s">
        <v>231</v>
      </c>
      <c r="C778" s="173" t="s">
        <v>519</v>
      </c>
      <c r="D778" s="83" t="s">
        <v>245</v>
      </c>
      <c r="F778" s="49" t="s">
        <v>286</v>
      </c>
      <c r="G778" s="60">
        <v>2.7285333333333335</v>
      </c>
      <c r="H778" s="49">
        <v>4331</v>
      </c>
      <c r="I778" s="49">
        <v>1720</v>
      </c>
      <c r="J778" s="159">
        <v>1.0487804878048781</v>
      </c>
      <c r="K778" s="49">
        <v>1</v>
      </c>
      <c r="L778" s="49">
        <v>2</v>
      </c>
      <c r="M778" s="83">
        <v>1</v>
      </c>
      <c r="N778" s="49">
        <v>4</v>
      </c>
      <c r="O778" s="49">
        <v>0</v>
      </c>
      <c r="P778" s="49">
        <v>1</v>
      </c>
      <c r="Q778" s="58">
        <v>0</v>
      </c>
      <c r="R778" s="42">
        <v>6</v>
      </c>
      <c r="S778" s="83" t="s">
        <v>283</v>
      </c>
      <c r="T778" s="49">
        <v>12</v>
      </c>
      <c r="U778" s="83">
        <v>2</v>
      </c>
      <c r="V778" s="49">
        <v>2</v>
      </c>
      <c r="W778" s="49">
        <v>3</v>
      </c>
      <c r="X778" s="58">
        <v>2</v>
      </c>
      <c r="Y778" s="83">
        <v>5</v>
      </c>
      <c r="Z778" s="49">
        <v>5</v>
      </c>
      <c r="AA778" s="49">
        <v>10</v>
      </c>
      <c r="AD778" s="49">
        <v>10</v>
      </c>
      <c r="AE778" s="49">
        <v>240</v>
      </c>
      <c r="AF778" s="49">
        <v>10</v>
      </c>
      <c r="AG778" s="49">
        <v>80</v>
      </c>
      <c r="AH778" s="49">
        <v>20</v>
      </c>
      <c r="AI778" s="49">
        <v>250</v>
      </c>
      <c r="AJ778" s="49">
        <v>1</v>
      </c>
      <c r="AK778" s="83">
        <v>1</v>
      </c>
      <c r="AL778" s="49">
        <v>0</v>
      </c>
      <c r="AM778" s="49">
        <v>0</v>
      </c>
      <c r="AN778" s="49">
        <v>0</v>
      </c>
      <c r="AO778" s="58">
        <v>0</v>
      </c>
      <c r="AP778" s="174" t="s">
        <v>284</v>
      </c>
      <c r="AQ778" s="175" t="s">
        <v>284</v>
      </c>
      <c r="AR778" s="175" t="s">
        <v>284</v>
      </c>
      <c r="AS778" s="175" t="s">
        <v>284</v>
      </c>
      <c r="AT778" s="175" t="s">
        <v>284</v>
      </c>
      <c r="AU778" s="175" t="s">
        <v>284</v>
      </c>
      <c r="AV778" s="175" t="s">
        <v>284</v>
      </c>
      <c r="AW778" s="175" t="s">
        <v>284</v>
      </c>
      <c r="AX778" s="83">
        <v>0</v>
      </c>
      <c r="AY778" s="49">
        <v>0</v>
      </c>
      <c r="AZ778" s="49">
        <v>0</v>
      </c>
      <c r="BA778" s="49">
        <v>0</v>
      </c>
      <c r="BB778" s="58">
        <v>0</v>
      </c>
      <c r="BC778" s="42">
        <v>96</v>
      </c>
      <c r="BD778" s="49">
        <v>75.84</v>
      </c>
      <c r="BS778" s="58"/>
      <c r="BT778" s="83">
        <v>79.760000000000005</v>
      </c>
      <c r="CE778" s="83">
        <v>82.81</v>
      </c>
      <c r="CF778" s="49">
        <v>84.88</v>
      </c>
      <c r="CK778" s="58"/>
      <c r="CL778" s="83"/>
      <c r="CO778" s="58"/>
      <c r="CP778" s="83"/>
      <c r="CR778" s="58"/>
      <c r="CS778" s="83"/>
      <c r="CY778" s="83"/>
      <c r="DG778" s="58"/>
      <c r="DH778" s="83"/>
      <c r="DQ778" s="83">
        <v>82.84</v>
      </c>
      <c r="EE778" s="58"/>
      <c r="EF778" s="83"/>
      <c r="EI778" s="83"/>
      <c r="EK778" s="58"/>
      <c r="EL778" s="83"/>
      <c r="EO778" s="58"/>
      <c r="EP778" s="83"/>
      <c r="EQ778" s="58"/>
      <c r="ER778" s="83"/>
      <c r="ES778" s="58"/>
      <c r="ET778" s="83"/>
      <c r="EU778" s="58"/>
    </row>
    <row r="779" spans="1:151">
      <c r="A779" s="83" t="s">
        <v>321</v>
      </c>
      <c r="B779" s="173" t="s">
        <v>231</v>
      </c>
      <c r="C779" s="173" t="s">
        <v>519</v>
      </c>
      <c r="D779" s="83" t="s">
        <v>73</v>
      </c>
      <c r="F779" s="49" t="s">
        <v>286</v>
      </c>
      <c r="G779" s="60">
        <v>2.7285333333333335</v>
      </c>
      <c r="I779" s="49">
        <v>3641</v>
      </c>
      <c r="J779" s="159">
        <v>1.9264550264550264</v>
      </c>
      <c r="K779" s="49">
        <v>1</v>
      </c>
      <c r="L779" s="49">
        <v>3</v>
      </c>
      <c r="M779" s="83">
        <v>0</v>
      </c>
      <c r="N779" s="49">
        <v>0</v>
      </c>
      <c r="O779" s="49">
        <v>1</v>
      </c>
      <c r="P779" s="49">
        <v>1</v>
      </c>
      <c r="Q779" s="58">
        <v>0</v>
      </c>
      <c r="R779" s="42">
        <v>2</v>
      </c>
      <c r="S779" s="83">
        <v>1</v>
      </c>
      <c r="T779" s="49">
        <v>11</v>
      </c>
      <c r="U779" s="83">
        <v>1</v>
      </c>
      <c r="V779" s="49">
        <v>2</v>
      </c>
      <c r="W779" s="49">
        <v>1</v>
      </c>
      <c r="X779" s="58">
        <v>2</v>
      </c>
      <c r="Y779" s="83">
        <v>3</v>
      </c>
      <c r="Z779" s="49">
        <v>10</v>
      </c>
      <c r="AA779" s="49">
        <v>50</v>
      </c>
      <c r="AD779" s="49">
        <v>10</v>
      </c>
      <c r="AE779" s="49">
        <v>100</v>
      </c>
      <c r="AF779" s="49">
        <v>20</v>
      </c>
      <c r="AG779" s="49">
        <v>90</v>
      </c>
      <c r="AH779" s="49">
        <v>50</v>
      </c>
      <c r="AI779" s="49">
        <v>560</v>
      </c>
      <c r="AJ779" s="49">
        <v>0</v>
      </c>
      <c r="AK779" s="83">
        <v>0</v>
      </c>
      <c r="AL779" s="49">
        <v>1</v>
      </c>
      <c r="AM779" s="49">
        <v>0</v>
      </c>
      <c r="AN779" s="49">
        <v>0</v>
      </c>
      <c r="AO779" s="58">
        <v>0</v>
      </c>
      <c r="AP779" s="174">
        <v>663</v>
      </c>
      <c r="AQ779" s="175">
        <v>1957</v>
      </c>
      <c r="AR779" s="175">
        <v>0</v>
      </c>
      <c r="AS779" s="175">
        <v>0</v>
      </c>
      <c r="AT779" s="175">
        <v>0</v>
      </c>
      <c r="AU779" s="175">
        <v>0</v>
      </c>
      <c r="AV779" s="175">
        <v>0</v>
      </c>
      <c r="AW779" s="175">
        <v>0</v>
      </c>
      <c r="AX779" s="83">
        <v>0</v>
      </c>
      <c r="AY779" s="49">
        <v>0</v>
      </c>
      <c r="AZ779" s="49">
        <v>0</v>
      </c>
      <c r="BA779" s="49">
        <v>0</v>
      </c>
      <c r="BB779" s="58">
        <v>0</v>
      </c>
      <c r="BC779" s="42">
        <v>150</v>
      </c>
      <c r="BD779" s="49">
        <v>83.46</v>
      </c>
      <c r="BE779" s="159">
        <v>81.73</v>
      </c>
      <c r="BF779" s="49">
        <v>82.05</v>
      </c>
      <c r="BG779" s="49">
        <v>83.36</v>
      </c>
      <c r="BH779" s="49">
        <v>82.19</v>
      </c>
      <c r="BS779" s="58"/>
      <c r="BT779" s="83">
        <v>85.37</v>
      </c>
      <c r="BU779" s="49">
        <v>86.07</v>
      </c>
      <c r="BV779" s="49">
        <v>85.62</v>
      </c>
      <c r="CE779" s="83">
        <v>83.19</v>
      </c>
      <c r="CF779" s="49">
        <v>85.33</v>
      </c>
      <c r="CK779" s="58"/>
      <c r="CL779" s="83"/>
      <c r="CO779" s="58"/>
      <c r="CP779" s="83"/>
      <c r="CR779" s="58"/>
      <c r="CS779" s="83"/>
      <c r="CY779" s="83"/>
      <c r="DG779" s="58"/>
      <c r="DH779" s="83"/>
      <c r="DQ779" s="83"/>
      <c r="EE779" s="58"/>
      <c r="EF779" s="83"/>
      <c r="EI779" s="83"/>
      <c r="EK779" s="58"/>
      <c r="EL779" s="83"/>
      <c r="EO779" s="58"/>
      <c r="EP779" s="83">
        <v>78.510000000000005</v>
      </c>
      <c r="EQ779" s="58"/>
      <c r="ER779" s="83"/>
      <c r="ES779" s="58"/>
      <c r="ET779" s="83">
        <v>72.150000000000006</v>
      </c>
      <c r="EU779" s="58"/>
    </row>
    <row r="780" spans="1:151">
      <c r="A780" s="83" t="s">
        <v>321</v>
      </c>
      <c r="B780" s="173" t="s">
        <v>231</v>
      </c>
      <c r="C780" s="173" t="s">
        <v>519</v>
      </c>
      <c r="D780" s="83" t="s">
        <v>81</v>
      </c>
      <c r="F780" s="49" t="s">
        <v>286</v>
      </c>
      <c r="G780" s="60">
        <v>2.7285333333333335</v>
      </c>
      <c r="I780" s="49">
        <v>6241</v>
      </c>
      <c r="J780" s="159">
        <v>1.5892538833715304</v>
      </c>
      <c r="K780" s="49">
        <v>1</v>
      </c>
      <c r="L780" s="49">
        <v>3</v>
      </c>
      <c r="M780" s="83">
        <v>1</v>
      </c>
      <c r="N780" s="49">
        <v>0</v>
      </c>
      <c r="O780" s="49">
        <v>1</v>
      </c>
      <c r="P780" s="49">
        <v>1</v>
      </c>
      <c r="Q780" s="58">
        <v>0</v>
      </c>
      <c r="R780" s="42">
        <v>3</v>
      </c>
      <c r="S780" s="83">
        <v>1</v>
      </c>
      <c r="T780" s="49">
        <v>7</v>
      </c>
      <c r="U780" s="83">
        <v>1</v>
      </c>
      <c r="V780" s="49">
        <v>2</v>
      </c>
      <c r="W780" s="49">
        <v>1</v>
      </c>
      <c r="X780" s="58">
        <v>2</v>
      </c>
      <c r="Y780" s="83">
        <v>3</v>
      </c>
      <c r="Z780" s="49">
        <v>13</v>
      </c>
      <c r="AA780" s="49">
        <v>140</v>
      </c>
      <c r="AD780" s="49">
        <v>33</v>
      </c>
      <c r="AE780" s="49">
        <v>176</v>
      </c>
      <c r="AF780" s="49">
        <v>14</v>
      </c>
      <c r="AG780" s="49">
        <v>77</v>
      </c>
      <c r="AH780" s="49">
        <v>31</v>
      </c>
      <c r="AI780" s="49">
        <v>688</v>
      </c>
      <c r="AJ780" s="49">
        <v>1</v>
      </c>
      <c r="AK780" s="83">
        <v>0</v>
      </c>
      <c r="AL780" s="49">
        <v>1</v>
      </c>
      <c r="AM780" s="49">
        <v>0</v>
      </c>
      <c r="AN780" s="49">
        <v>0</v>
      </c>
      <c r="AO780" s="58">
        <v>0</v>
      </c>
      <c r="AP780" s="174">
        <v>283</v>
      </c>
      <c r="AQ780" s="175">
        <v>2105</v>
      </c>
      <c r="AR780" s="175">
        <v>0</v>
      </c>
      <c r="AS780" s="175">
        <v>0</v>
      </c>
      <c r="AT780" s="175">
        <v>0</v>
      </c>
      <c r="AU780" s="175">
        <v>0</v>
      </c>
      <c r="AV780" s="175">
        <v>0</v>
      </c>
      <c r="AW780" s="175">
        <v>0</v>
      </c>
      <c r="AX780" s="83">
        <v>1</v>
      </c>
      <c r="AY780" s="49">
        <v>0</v>
      </c>
      <c r="AZ780" s="49">
        <v>0</v>
      </c>
      <c r="BA780" s="49">
        <v>0</v>
      </c>
      <c r="BB780" s="58">
        <v>1</v>
      </c>
      <c r="BC780" s="42">
        <v>136</v>
      </c>
      <c r="BS780" s="58"/>
      <c r="BT780" s="83"/>
      <c r="CE780" s="83"/>
      <c r="CK780" s="58"/>
      <c r="CL780" s="83"/>
      <c r="CO780" s="58"/>
      <c r="CP780" s="83"/>
      <c r="CR780" s="58"/>
      <c r="CS780" s="83"/>
      <c r="CY780" s="83"/>
      <c r="DG780" s="58"/>
      <c r="DH780" s="83"/>
      <c r="DQ780" s="83"/>
      <c r="EE780" s="58"/>
      <c r="EF780" s="83"/>
      <c r="EI780" s="83"/>
      <c r="EK780" s="58"/>
      <c r="EL780" s="83"/>
      <c r="EO780" s="58"/>
      <c r="EP780" s="83"/>
      <c r="EQ780" s="58"/>
      <c r="ER780" s="83"/>
      <c r="ES780" s="58"/>
      <c r="ET780" s="83"/>
      <c r="EU780" s="58"/>
    </row>
    <row r="781" spans="1:151">
      <c r="A781" s="83" t="s">
        <v>321</v>
      </c>
      <c r="B781" s="173" t="s">
        <v>231</v>
      </c>
      <c r="C781" s="173" t="s">
        <v>519</v>
      </c>
      <c r="D781" s="83" t="s">
        <v>111</v>
      </c>
      <c r="F781" s="49" t="s">
        <v>286</v>
      </c>
      <c r="G781" s="60">
        <v>2.7285333333333335</v>
      </c>
      <c r="I781" s="49">
        <v>3227</v>
      </c>
      <c r="J781" s="159">
        <v>2.4028294862248698</v>
      </c>
      <c r="K781" s="49">
        <v>1</v>
      </c>
      <c r="L781" s="49">
        <v>2</v>
      </c>
      <c r="M781" s="83">
        <v>1</v>
      </c>
      <c r="N781" s="49">
        <v>0</v>
      </c>
      <c r="O781" s="49">
        <v>0</v>
      </c>
      <c r="P781" s="49">
        <v>1</v>
      </c>
      <c r="Q781" s="58">
        <v>0</v>
      </c>
      <c r="R781" s="42">
        <v>2</v>
      </c>
      <c r="S781" s="83">
        <v>1</v>
      </c>
      <c r="T781" s="49">
        <v>7</v>
      </c>
      <c r="U781" s="83">
        <v>1</v>
      </c>
      <c r="V781" s="49">
        <v>1</v>
      </c>
      <c r="W781" s="49">
        <v>2</v>
      </c>
      <c r="X781" s="58"/>
      <c r="Y781" s="83">
        <v>2</v>
      </c>
      <c r="Z781" s="49">
        <v>10</v>
      </c>
      <c r="AA781" s="49">
        <v>30</v>
      </c>
      <c r="AD781" s="49">
        <v>20</v>
      </c>
      <c r="AE781" s="49">
        <v>140</v>
      </c>
      <c r="AF781" s="49">
        <v>20</v>
      </c>
      <c r="AG781" s="49">
        <v>40</v>
      </c>
      <c r="AJ781" s="49">
        <v>0</v>
      </c>
      <c r="AK781" s="83">
        <v>0</v>
      </c>
      <c r="AL781" s="49">
        <v>1</v>
      </c>
      <c r="AM781" s="49">
        <v>0</v>
      </c>
      <c r="AN781" s="49">
        <v>0</v>
      </c>
      <c r="AO781" s="58">
        <v>0</v>
      </c>
      <c r="AP781" s="174">
        <v>0</v>
      </c>
      <c r="AQ781" s="175">
        <v>927</v>
      </c>
      <c r="AR781" s="175">
        <v>0</v>
      </c>
      <c r="AS781" s="175">
        <v>0</v>
      </c>
      <c r="AT781" s="175">
        <v>0</v>
      </c>
      <c r="AU781" s="175">
        <v>0</v>
      </c>
      <c r="AV781" s="175">
        <v>0</v>
      </c>
      <c r="AW781" s="175">
        <v>0</v>
      </c>
      <c r="AX781" s="83">
        <v>0</v>
      </c>
      <c r="AY781" s="49">
        <v>0</v>
      </c>
      <c r="AZ781" s="49">
        <v>0</v>
      </c>
      <c r="BA781" s="49">
        <v>0</v>
      </c>
      <c r="BB781" s="58">
        <v>0</v>
      </c>
      <c r="BC781" s="42">
        <v>128</v>
      </c>
      <c r="BD781" s="49">
        <v>80.349999999999994</v>
      </c>
      <c r="BE781" s="49">
        <v>79.87</v>
      </c>
      <c r="BS781" s="58"/>
      <c r="BT781" s="83">
        <v>80.239999999999995</v>
      </c>
      <c r="BU781" s="49">
        <v>81.95</v>
      </c>
      <c r="CE781" s="83">
        <v>80.8</v>
      </c>
      <c r="CK781" s="58"/>
      <c r="CL781" s="83"/>
      <c r="CO781" s="58"/>
      <c r="CP781" s="83"/>
      <c r="CR781" s="58"/>
      <c r="CS781" s="83"/>
      <c r="CY781" s="83"/>
      <c r="DG781" s="58"/>
      <c r="DH781" s="83"/>
      <c r="DQ781" s="83"/>
      <c r="EE781" s="58"/>
      <c r="EF781" s="83"/>
      <c r="EI781" s="83"/>
      <c r="EK781" s="58"/>
      <c r="EL781" s="83"/>
      <c r="EO781" s="58"/>
      <c r="EP781" s="83"/>
      <c r="EQ781" s="58"/>
      <c r="ER781" s="83"/>
      <c r="ES781" s="58"/>
      <c r="ET781" s="83"/>
      <c r="EU781" s="58"/>
    </row>
    <row r="782" spans="1:151">
      <c r="A782" s="83" t="s">
        <v>321</v>
      </c>
      <c r="B782" s="173" t="s">
        <v>231</v>
      </c>
      <c r="C782" s="173" t="s">
        <v>519</v>
      </c>
      <c r="D782" s="83" t="s">
        <v>92</v>
      </c>
      <c r="F782" s="49" t="s">
        <v>286</v>
      </c>
      <c r="G782" s="60">
        <v>2.7285333333333335</v>
      </c>
      <c r="I782" s="49">
        <v>2335</v>
      </c>
      <c r="J782" s="159">
        <v>1.1103185924869234</v>
      </c>
      <c r="K782" s="49">
        <v>1</v>
      </c>
      <c r="L782" s="49">
        <v>3</v>
      </c>
      <c r="M782" s="83">
        <v>0</v>
      </c>
      <c r="N782" s="49">
        <v>0</v>
      </c>
      <c r="O782" s="49">
        <v>1</v>
      </c>
      <c r="P782" s="49">
        <v>1</v>
      </c>
      <c r="Q782" s="58">
        <v>0</v>
      </c>
      <c r="R782" s="42">
        <v>2</v>
      </c>
      <c r="S782" s="83">
        <v>1</v>
      </c>
      <c r="T782" s="49">
        <v>6</v>
      </c>
      <c r="U782" s="83">
        <v>1</v>
      </c>
      <c r="V782" s="49">
        <v>1</v>
      </c>
      <c r="W782" s="49">
        <v>1</v>
      </c>
      <c r="X782" s="58">
        <v>2</v>
      </c>
      <c r="Y782" s="83">
        <v>5</v>
      </c>
      <c r="Z782" s="49">
        <v>6</v>
      </c>
      <c r="AA782" s="49">
        <v>132</v>
      </c>
      <c r="AD782" s="49">
        <v>8</v>
      </c>
      <c r="AE782" s="49">
        <v>179</v>
      </c>
      <c r="AF782" s="49">
        <v>6</v>
      </c>
      <c r="AG782" s="49">
        <v>173</v>
      </c>
      <c r="AI782" s="49">
        <v>164</v>
      </c>
      <c r="AJ782" s="49">
        <v>1</v>
      </c>
      <c r="AK782" s="83">
        <v>0</v>
      </c>
      <c r="AL782" s="49">
        <v>1</v>
      </c>
      <c r="AM782" s="49">
        <v>0</v>
      </c>
      <c r="AN782" s="49">
        <v>0</v>
      </c>
      <c r="AO782" s="58">
        <v>0</v>
      </c>
      <c r="AP782" s="174">
        <v>0</v>
      </c>
      <c r="AQ782" s="175">
        <v>663</v>
      </c>
      <c r="AR782" s="175">
        <v>0</v>
      </c>
      <c r="AS782" s="175">
        <v>0</v>
      </c>
      <c r="AT782" s="175">
        <v>0</v>
      </c>
      <c r="AU782" s="175">
        <v>0</v>
      </c>
      <c r="AV782" s="175">
        <v>0</v>
      </c>
      <c r="AW782" s="175">
        <v>0</v>
      </c>
      <c r="AX782" s="83">
        <v>0</v>
      </c>
      <c r="AY782" s="49">
        <v>0</v>
      </c>
      <c r="AZ782" s="49">
        <v>0</v>
      </c>
      <c r="BA782" s="49">
        <v>0</v>
      </c>
      <c r="BB782" s="58">
        <v>0</v>
      </c>
      <c r="BC782" s="42">
        <v>109</v>
      </c>
      <c r="BS782" s="58"/>
      <c r="BT782" s="83"/>
      <c r="CE782" s="83"/>
      <c r="CK782" s="58"/>
      <c r="CL782" s="83"/>
      <c r="CO782" s="58"/>
      <c r="CP782" s="83"/>
      <c r="CR782" s="58"/>
      <c r="CS782" s="83"/>
      <c r="CY782" s="83"/>
      <c r="DG782" s="58"/>
      <c r="DH782" s="83"/>
      <c r="DQ782" s="83"/>
      <c r="EE782" s="58"/>
      <c r="EF782" s="83"/>
      <c r="EI782" s="83"/>
      <c r="EK782" s="58"/>
      <c r="EL782" s="83"/>
      <c r="EO782" s="58"/>
      <c r="EP782" s="83"/>
      <c r="EQ782" s="58"/>
      <c r="ER782" s="83"/>
      <c r="ES782" s="58"/>
      <c r="ET782" s="83"/>
      <c r="EU782" s="58"/>
    </row>
    <row r="783" spans="1:151">
      <c r="A783" s="83" t="s">
        <v>321</v>
      </c>
      <c r="B783" s="173" t="s">
        <v>231</v>
      </c>
      <c r="C783" s="173" t="s">
        <v>519</v>
      </c>
      <c r="D783" s="83" t="s">
        <v>93</v>
      </c>
      <c r="F783" s="49" t="s">
        <v>286</v>
      </c>
      <c r="G783" s="60">
        <v>2.7285333333333335</v>
      </c>
      <c r="I783" s="49">
        <v>2857</v>
      </c>
      <c r="J783" s="159">
        <v>1.5749724366041897</v>
      </c>
      <c r="K783" s="49">
        <v>1</v>
      </c>
      <c r="L783" s="49">
        <v>2</v>
      </c>
      <c r="M783" s="83">
        <v>0</v>
      </c>
      <c r="N783" s="49">
        <v>0</v>
      </c>
      <c r="O783" s="49">
        <v>0</v>
      </c>
      <c r="P783" s="49">
        <v>1</v>
      </c>
      <c r="Q783" s="58">
        <v>0</v>
      </c>
      <c r="R783" s="42">
        <v>1</v>
      </c>
      <c r="S783" s="83">
        <v>1</v>
      </c>
      <c r="T783" s="49">
        <v>7</v>
      </c>
      <c r="U783" s="83">
        <v>0</v>
      </c>
      <c r="V783" s="49">
        <v>0</v>
      </c>
      <c r="W783" s="49">
        <v>0</v>
      </c>
      <c r="X783" s="58"/>
      <c r="Y783" s="83">
        <v>2</v>
      </c>
      <c r="Z783" s="49">
        <v>5</v>
      </c>
      <c r="AA783" s="49">
        <v>20</v>
      </c>
      <c r="AF783" s="49">
        <v>10</v>
      </c>
      <c r="AG783" s="49">
        <v>40</v>
      </c>
      <c r="AJ783" s="49">
        <v>1</v>
      </c>
      <c r="AK783" s="83">
        <v>0</v>
      </c>
      <c r="AL783" s="49">
        <v>1</v>
      </c>
      <c r="AM783" s="49">
        <v>0</v>
      </c>
      <c r="AN783" s="49">
        <v>0</v>
      </c>
      <c r="AO783" s="58">
        <v>0</v>
      </c>
      <c r="AP783" s="174">
        <v>612</v>
      </c>
      <c r="AQ783" s="175">
        <v>986</v>
      </c>
      <c r="AR783" s="175">
        <v>0</v>
      </c>
      <c r="AS783" s="175">
        <v>0</v>
      </c>
      <c r="AT783" s="175">
        <v>0</v>
      </c>
      <c r="AU783" s="175">
        <v>0</v>
      </c>
      <c r="AV783" s="175">
        <v>0</v>
      </c>
      <c r="AW783" s="175">
        <v>0</v>
      </c>
      <c r="AX783" s="83">
        <v>0</v>
      </c>
      <c r="AY783" s="49">
        <v>0</v>
      </c>
      <c r="AZ783" s="49">
        <v>0</v>
      </c>
      <c r="BA783" s="49">
        <v>0</v>
      </c>
      <c r="BB783" s="58">
        <v>0</v>
      </c>
      <c r="BC783" s="42">
        <v>104</v>
      </c>
      <c r="BS783" s="58"/>
      <c r="BT783" s="83"/>
      <c r="CE783" s="83"/>
      <c r="CK783" s="58"/>
      <c r="CL783" s="83"/>
      <c r="CO783" s="58"/>
      <c r="CP783" s="83"/>
      <c r="CR783" s="58"/>
      <c r="CS783" s="83"/>
      <c r="CY783" s="83"/>
      <c r="DG783" s="58"/>
      <c r="DH783" s="83"/>
      <c r="DQ783" s="83"/>
      <c r="EE783" s="58"/>
      <c r="EF783" s="83"/>
      <c r="EI783" s="83"/>
      <c r="EK783" s="58"/>
      <c r="EL783" s="83"/>
      <c r="EO783" s="58"/>
      <c r="EP783" s="83"/>
      <c r="EQ783" s="58"/>
      <c r="ER783" s="83"/>
      <c r="ES783" s="58"/>
      <c r="ET783" s="83"/>
      <c r="EU783" s="58"/>
    </row>
    <row r="784" spans="1:151">
      <c r="A784" s="83" t="s">
        <v>321</v>
      </c>
      <c r="B784" s="173" t="s">
        <v>231</v>
      </c>
      <c r="C784" s="173" t="s">
        <v>519</v>
      </c>
      <c r="D784" s="83" t="s">
        <v>94</v>
      </c>
      <c r="F784" s="49" t="s">
        <v>286</v>
      </c>
      <c r="G784" s="60">
        <v>2.7285333333333335</v>
      </c>
      <c r="I784" s="49">
        <v>1099</v>
      </c>
      <c r="J784" s="159">
        <v>1.6161764705882353</v>
      </c>
      <c r="K784" s="49">
        <v>1</v>
      </c>
      <c r="L784" s="49">
        <v>3</v>
      </c>
      <c r="M784" s="83">
        <v>0</v>
      </c>
      <c r="N784" s="49">
        <v>2</v>
      </c>
      <c r="O784" s="49">
        <v>0</v>
      </c>
      <c r="P784" s="49">
        <v>1</v>
      </c>
      <c r="Q784" s="58">
        <v>0</v>
      </c>
      <c r="R784" s="42">
        <v>3</v>
      </c>
      <c r="S784" s="83">
        <v>1</v>
      </c>
      <c r="U784" s="83">
        <v>1</v>
      </c>
      <c r="V784" s="49">
        <v>2</v>
      </c>
      <c r="W784" s="49">
        <v>1</v>
      </c>
      <c r="X784" s="58">
        <v>2</v>
      </c>
      <c r="Y784" s="83">
        <v>0</v>
      </c>
      <c r="AJ784" s="49">
        <v>0</v>
      </c>
      <c r="AK784" s="83">
        <v>0</v>
      </c>
      <c r="AL784" s="49">
        <v>1</v>
      </c>
      <c r="AM784" s="49">
        <v>0</v>
      </c>
      <c r="AN784" s="49">
        <v>0</v>
      </c>
      <c r="AO784" s="58">
        <v>0</v>
      </c>
      <c r="AP784" s="174">
        <v>452</v>
      </c>
      <c r="AQ784" s="175">
        <v>631</v>
      </c>
      <c r="AR784" s="175">
        <v>0</v>
      </c>
      <c r="AS784" s="175">
        <v>0</v>
      </c>
      <c r="AT784" s="175">
        <v>0</v>
      </c>
      <c r="AU784" s="175">
        <v>0</v>
      </c>
      <c r="AV784" s="175">
        <v>0</v>
      </c>
      <c r="AW784" s="175">
        <v>0</v>
      </c>
      <c r="AX784" s="83">
        <v>0</v>
      </c>
      <c r="AY784" s="49">
        <v>0</v>
      </c>
      <c r="AZ784" s="49">
        <v>0</v>
      </c>
      <c r="BA784" s="49">
        <v>0</v>
      </c>
      <c r="BB784" s="58">
        <v>0</v>
      </c>
      <c r="BC784" s="42">
        <v>101</v>
      </c>
      <c r="BS784" s="58"/>
      <c r="BT784" s="83"/>
      <c r="CE784" s="83"/>
      <c r="CK784" s="58"/>
      <c r="CL784" s="83"/>
      <c r="CO784" s="58"/>
      <c r="CP784" s="83"/>
      <c r="CR784" s="58"/>
      <c r="CS784" s="83"/>
      <c r="CY784" s="83"/>
      <c r="DG784" s="58"/>
      <c r="DH784" s="83"/>
      <c r="DQ784" s="83"/>
      <c r="EE784" s="58"/>
      <c r="EF784" s="83"/>
      <c r="EI784" s="83"/>
      <c r="EK784" s="58"/>
      <c r="EL784" s="83"/>
      <c r="EO784" s="58"/>
      <c r="EP784" s="83"/>
      <c r="EQ784" s="58"/>
      <c r="ER784" s="83"/>
      <c r="ES784" s="58"/>
      <c r="ET784" s="83"/>
      <c r="EU784" s="58"/>
    </row>
    <row r="785" spans="1:151">
      <c r="A785" s="83" t="s">
        <v>321</v>
      </c>
      <c r="B785" s="173" t="s">
        <v>231</v>
      </c>
      <c r="C785" s="173" t="s">
        <v>519</v>
      </c>
      <c r="D785" s="83" t="s">
        <v>96</v>
      </c>
      <c r="F785" s="49" t="s">
        <v>286</v>
      </c>
      <c r="G785" s="60">
        <v>2.7285333333333335</v>
      </c>
      <c r="I785" s="49">
        <v>4088</v>
      </c>
      <c r="J785" s="159">
        <v>1.9022801302931596</v>
      </c>
      <c r="K785" s="49">
        <v>1</v>
      </c>
      <c r="L785" s="49">
        <v>3</v>
      </c>
      <c r="M785" s="83">
        <v>0</v>
      </c>
      <c r="N785" s="49">
        <v>0</v>
      </c>
      <c r="O785" s="49">
        <v>1</v>
      </c>
      <c r="P785" s="49">
        <v>1</v>
      </c>
      <c r="Q785" s="58">
        <v>0</v>
      </c>
      <c r="R785" s="42">
        <v>2</v>
      </c>
      <c r="S785" s="83">
        <v>1</v>
      </c>
      <c r="T785" s="49">
        <v>5</v>
      </c>
      <c r="U785" s="83">
        <v>2</v>
      </c>
      <c r="V785" s="49">
        <v>2</v>
      </c>
      <c r="W785" s="49">
        <v>3</v>
      </c>
      <c r="X785" s="58">
        <v>2</v>
      </c>
      <c r="Y785" s="83" t="s">
        <v>78</v>
      </c>
      <c r="Z785" s="49">
        <v>19</v>
      </c>
      <c r="AA785" s="49">
        <v>20</v>
      </c>
      <c r="AF785" s="49">
        <v>23</v>
      </c>
      <c r="AG785" s="49">
        <v>29</v>
      </c>
      <c r="AJ785" s="49">
        <v>0</v>
      </c>
      <c r="AK785" s="83">
        <v>0</v>
      </c>
      <c r="AL785" s="49">
        <v>1</v>
      </c>
      <c r="AM785" s="49">
        <v>0</v>
      </c>
      <c r="AN785" s="49">
        <v>0</v>
      </c>
      <c r="AO785" s="58">
        <v>0</v>
      </c>
      <c r="AP785" s="174">
        <v>0</v>
      </c>
      <c r="AQ785" s="175">
        <v>2719</v>
      </c>
      <c r="AR785" s="175">
        <v>0</v>
      </c>
      <c r="AS785" s="175">
        <v>0</v>
      </c>
      <c r="AT785" s="175">
        <v>0</v>
      </c>
      <c r="AU785" s="175">
        <v>0</v>
      </c>
      <c r="AV785" s="175">
        <v>0</v>
      </c>
      <c r="AW785" s="175">
        <v>0</v>
      </c>
      <c r="AX785" s="83">
        <v>0</v>
      </c>
      <c r="AY785" s="49">
        <v>0</v>
      </c>
      <c r="AZ785" s="49">
        <v>0</v>
      </c>
      <c r="BA785" s="49">
        <v>0</v>
      </c>
      <c r="BB785" s="58">
        <v>0</v>
      </c>
      <c r="BC785" s="42">
        <v>151</v>
      </c>
      <c r="BS785" s="58"/>
      <c r="BT785" s="83"/>
      <c r="CE785" s="83"/>
      <c r="CK785" s="58"/>
      <c r="CL785" s="83"/>
      <c r="CO785" s="58"/>
      <c r="CP785" s="83"/>
      <c r="CR785" s="58"/>
      <c r="CS785" s="83"/>
      <c r="CY785" s="83"/>
      <c r="DG785" s="58"/>
      <c r="DH785" s="83"/>
      <c r="DQ785" s="83"/>
      <c r="EE785" s="58"/>
      <c r="EF785" s="83"/>
      <c r="EI785" s="83"/>
      <c r="EK785" s="58"/>
      <c r="EL785" s="83"/>
      <c r="EO785" s="58"/>
      <c r="EP785" s="83"/>
      <c r="EQ785" s="58"/>
      <c r="ER785" s="83"/>
      <c r="ES785" s="58"/>
      <c r="ET785" s="83"/>
      <c r="EU785" s="58"/>
    </row>
    <row r="786" spans="1:151">
      <c r="A786" s="83" t="s">
        <v>321</v>
      </c>
      <c r="B786" s="173" t="s">
        <v>231</v>
      </c>
      <c r="C786" s="173" t="s">
        <v>519</v>
      </c>
      <c r="D786" s="83" t="s">
        <v>97</v>
      </c>
      <c r="F786" s="49" t="s">
        <v>286</v>
      </c>
      <c r="G786" s="60">
        <v>2.7285333333333335</v>
      </c>
      <c r="I786" s="49">
        <v>8176</v>
      </c>
      <c r="J786" s="159">
        <v>2.031304347826087</v>
      </c>
      <c r="K786" s="49">
        <v>1</v>
      </c>
      <c r="L786" s="49">
        <v>2</v>
      </c>
      <c r="M786" s="83">
        <v>1</v>
      </c>
      <c r="N786" s="49">
        <v>3</v>
      </c>
      <c r="O786" s="49">
        <v>0</v>
      </c>
      <c r="P786" s="49">
        <v>0</v>
      </c>
      <c r="Q786" s="58">
        <v>0</v>
      </c>
      <c r="R786" s="42">
        <v>4</v>
      </c>
      <c r="S786" s="83">
        <v>1</v>
      </c>
      <c r="T786" s="49">
        <v>11</v>
      </c>
      <c r="U786" s="83">
        <v>3</v>
      </c>
      <c r="V786" s="49">
        <v>3</v>
      </c>
      <c r="W786" s="49">
        <v>3</v>
      </c>
      <c r="X786" s="58">
        <v>2</v>
      </c>
      <c r="Y786" s="83">
        <v>10</v>
      </c>
      <c r="Z786" s="49">
        <v>10</v>
      </c>
      <c r="AA786" s="49">
        <v>160</v>
      </c>
      <c r="AD786" s="49">
        <v>10</v>
      </c>
      <c r="AE786" s="49">
        <v>140</v>
      </c>
      <c r="AF786" s="49">
        <v>10</v>
      </c>
      <c r="AG786" s="49">
        <v>340</v>
      </c>
      <c r="AH786" s="49">
        <v>40</v>
      </c>
      <c r="AI786" s="49">
        <v>457</v>
      </c>
      <c r="AJ786" s="49">
        <v>1</v>
      </c>
      <c r="AK786" s="83">
        <v>0</v>
      </c>
      <c r="AL786" s="49">
        <v>1</v>
      </c>
      <c r="AM786" s="49">
        <v>0</v>
      </c>
      <c r="AN786" s="49">
        <v>0</v>
      </c>
      <c r="AO786" s="58">
        <v>0</v>
      </c>
      <c r="AP786" s="174">
        <v>1016</v>
      </c>
      <c r="AQ786" s="175">
        <v>2349</v>
      </c>
      <c r="AR786" s="175">
        <v>0</v>
      </c>
      <c r="AS786" s="175">
        <v>0</v>
      </c>
      <c r="AT786" s="175">
        <v>0</v>
      </c>
      <c r="AU786" s="175">
        <v>0</v>
      </c>
      <c r="AV786" s="175">
        <v>0</v>
      </c>
      <c r="AW786" s="175">
        <v>0</v>
      </c>
      <c r="AX786" s="83">
        <v>0</v>
      </c>
      <c r="AY786" s="49">
        <v>1</v>
      </c>
      <c r="AZ786" s="49">
        <v>0</v>
      </c>
      <c r="BA786" s="49">
        <v>0</v>
      </c>
      <c r="BB786" s="58">
        <v>6</v>
      </c>
      <c r="BC786" s="42">
        <v>146</v>
      </c>
      <c r="BS786" s="58"/>
      <c r="BT786" s="83"/>
      <c r="CE786" s="83"/>
      <c r="CK786" s="58"/>
      <c r="CL786" s="83"/>
      <c r="CO786" s="58"/>
      <c r="CP786" s="83"/>
      <c r="CR786" s="58"/>
      <c r="CS786" s="83"/>
      <c r="CY786" s="83"/>
      <c r="DG786" s="58"/>
      <c r="DH786" s="83"/>
      <c r="DQ786" s="83"/>
      <c r="EE786" s="58"/>
      <c r="EF786" s="83"/>
      <c r="EI786" s="83"/>
      <c r="EK786" s="58"/>
      <c r="EL786" s="83"/>
      <c r="EO786" s="58"/>
      <c r="EP786" s="83"/>
      <c r="EQ786" s="58"/>
      <c r="ER786" s="83"/>
      <c r="ES786" s="58"/>
      <c r="ET786" s="83"/>
      <c r="EU786" s="58"/>
    </row>
    <row r="787" spans="1:151">
      <c r="A787" s="83" t="s">
        <v>321</v>
      </c>
      <c r="B787" s="173" t="s">
        <v>231</v>
      </c>
      <c r="C787" s="173" t="s">
        <v>519</v>
      </c>
      <c r="D787" s="83" t="s">
        <v>120</v>
      </c>
      <c r="F787" s="49" t="s">
        <v>286</v>
      </c>
      <c r="G787" s="60">
        <v>2.7285333333333335</v>
      </c>
      <c r="I787" s="49">
        <v>3571</v>
      </c>
      <c r="J787" s="159">
        <v>1.6679121905651564</v>
      </c>
      <c r="K787" s="49">
        <v>1</v>
      </c>
      <c r="L787" s="49">
        <v>3</v>
      </c>
      <c r="M787" s="83">
        <v>1</v>
      </c>
      <c r="N787" s="49">
        <v>0</v>
      </c>
      <c r="O787" s="49">
        <v>1</v>
      </c>
      <c r="P787" s="49">
        <v>0</v>
      </c>
      <c r="Q787" s="58">
        <v>0</v>
      </c>
      <c r="R787" s="42">
        <v>2</v>
      </c>
      <c r="S787" s="83">
        <v>1</v>
      </c>
      <c r="U787" s="83">
        <v>2</v>
      </c>
      <c r="V787" s="49">
        <v>1</v>
      </c>
      <c r="W787" s="49">
        <v>1</v>
      </c>
      <c r="X787" s="58">
        <v>3</v>
      </c>
      <c r="Y787" s="83">
        <v>10</v>
      </c>
      <c r="Z787" s="49">
        <v>9</v>
      </c>
      <c r="AA787" s="49">
        <v>90</v>
      </c>
      <c r="AD787" s="49">
        <v>22</v>
      </c>
      <c r="AE787" s="49">
        <v>215</v>
      </c>
      <c r="AF787" s="49">
        <v>8</v>
      </c>
      <c r="AG787" s="49">
        <v>215</v>
      </c>
      <c r="AH787" s="49">
        <v>58</v>
      </c>
      <c r="AI787" s="49">
        <v>365</v>
      </c>
      <c r="AJ787" s="49">
        <v>1</v>
      </c>
      <c r="AK787" s="83">
        <v>0</v>
      </c>
      <c r="AL787" s="49">
        <v>1</v>
      </c>
      <c r="AM787" s="49">
        <v>0</v>
      </c>
      <c r="AN787" s="49">
        <v>0</v>
      </c>
      <c r="AO787" s="58">
        <v>0</v>
      </c>
      <c r="AP787" s="174">
        <v>422</v>
      </c>
      <c r="AQ787" s="175">
        <v>1377</v>
      </c>
      <c r="AR787" s="175">
        <v>0</v>
      </c>
      <c r="AS787" s="175">
        <v>0</v>
      </c>
      <c r="AT787" s="175">
        <v>0</v>
      </c>
      <c r="AU787" s="175">
        <v>0</v>
      </c>
      <c r="AV787" s="175">
        <v>0</v>
      </c>
      <c r="AW787" s="175">
        <v>0</v>
      </c>
      <c r="AX787" s="83">
        <v>1</v>
      </c>
      <c r="AY787" s="49">
        <v>0</v>
      </c>
      <c r="AZ787" s="49">
        <v>0</v>
      </c>
      <c r="BA787" s="49">
        <v>0</v>
      </c>
      <c r="BB787" s="58">
        <v>1</v>
      </c>
      <c r="BC787" s="42">
        <v>104</v>
      </c>
      <c r="BD787" s="49">
        <v>81.319999999999993</v>
      </c>
      <c r="BE787" s="49">
        <v>82.32</v>
      </c>
      <c r="BS787" s="58"/>
      <c r="BT787" s="83">
        <v>84.09</v>
      </c>
      <c r="BU787" s="49">
        <v>84.26</v>
      </c>
      <c r="BV787" s="49">
        <v>81.91</v>
      </c>
      <c r="CE787" s="83">
        <v>80.89</v>
      </c>
      <c r="CF787" s="49">
        <v>80.06</v>
      </c>
      <c r="CG787" s="49">
        <v>76.790000000000006</v>
      </c>
      <c r="CK787" s="58"/>
      <c r="CL787" s="83"/>
      <c r="CO787" s="58"/>
      <c r="CP787" s="83"/>
      <c r="CR787" s="58"/>
      <c r="CS787" s="83"/>
      <c r="CY787" s="83"/>
      <c r="DG787" s="58"/>
      <c r="DH787" s="83"/>
      <c r="DQ787" s="83"/>
      <c r="EE787" s="58"/>
      <c r="EF787" s="83"/>
      <c r="EI787" s="83"/>
      <c r="EK787" s="58"/>
      <c r="EL787" s="83"/>
      <c r="EO787" s="58"/>
      <c r="EP787" s="83"/>
      <c r="EQ787" s="58"/>
      <c r="ER787" s="83"/>
      <c r="ES787" s="58"/>
      <c r="ET787" s="83">
        <v>84.24</v>
      </c>
      <c r="EU787" s="58"/>
    </row>
    <row r="788" spans="1:151" ht="17" thickBot="1">
      <c r="A788" s="83" t="s">
        <v>321</v>
      </c>
      <c r="B788" s="47" t="s">
        <v>231</v>
      </c>
      <c r="C788" s="47" t="s">
        <v>519</v>
      </c>
      <c r="D788" s="84" t="s">
        <v>167</v>
      </c>
      <c r="E788" s="57"/>
      <c r="F788" s="57" t="s">
        <v>7</v>
      </c>
      <c r="G788" s="74">
        <v>2.7285333333333335</v>
      </c>
      <c r="H788" s="57"/>
      <c r="I788" s="57">
        <v>2963</v>
      </c>
      <c r="J788" s="75">
        <v>3.4413472706155632</v>
      </c>
      <c r="K788" s="57">
        <v>1</v>
      </c>
      <c r="L788" s="57">
        <v>3</v>
      </c>
      <c r="M788" s="84">
        <v>1</v>
      </c>
      <c r="N788" s="57">
        <v>0</v>
      </c>
      <c r="O788" s="57">
        <v>0</v>
      </c>
      <c r="P788" s="57">
        <v>1</v>
      </c>
      <c r="Q788" s="56">
        <v>0</v>
      </c>
      <c r="R788" s="55">
        <v>2</v>
      </c>
      <c r="S788" s="84">
        <v>1</v>
      </c>
      <c r="T788" s="57"/>
      <c r="U788" s="84">
        <v>4</v>
      </c>
      <c r="V788" s="57">
        <v>3</v>
      </c>
      <c r="W788" s="57">
        <v>3</v>
      </c>
      <c r="X788" s="56">
        <v>3</v>
      </c>
      <c r="Y788" s="84">
        <v>1</v>
      </c>
      <c r="Z788" s="57">
        <v>0</v>
      </c>
      <c r="AA788" s="57">
        <v>0</v>
      </c>
      <c r="AB788" s="57">
        <v>0</v>
      </c>
      <c r="AC788" s="57">
        <v>0</v>
      </c>
      <c r="AD788" s="57">
        <v>25</v>
      </c>
      <c r="AE788" s="57">
        <v>34</v>
      </c>
      <c r="AF788" s="57">
        <v>0</v>
      </c>
      <c r="AG788" s="57">
        <v>0</v>
      </c>
      <c r="AH788" s="57">
        <v>25</v>
      </c>
      <c r="AI788" s="57">
        <v>63</v>
      </c>
      <c r="AJ788" s="57">
        <v>0</v>
      </c>
      <c r="AK788" s="84">
        <v>0</v>
      </c>
      <c r="AL788" s="57">
        <v>0</v>
      </c>
      <c r="AM788" s="57">
        <v>1</v>
      </c>
      <c r="AN788" s="57">
        <v>0</v>
      </c>
      <c r="AO788" s="56">
        <v>0</v>
      </c>
      <c r="AP788" s="178">
        <v>0</v>
      </c>
      <c r="AQ788" s="179">
        <v>0</v>
      </c>
      <c r="AR788" s="179">
        <v>0</v>
      </c>
      <c r="AS788" s="179">
        <v>1076</v>
      </c>
      <c r="AT788" s="179">
        <v>0</v>
      </c>
      <c r="AU788" s="179">
        <v>0</v>
      </c>
      <c r="AV788" s="179">
        <v>0</v>
      </c>
      <c r="AW788" s="179">
        <v>0</v>
      </c>
      <c r="AX788" s="84">
        <v>0</v>
      </c>
      <c r="AY788" s="57">
        <v>0</v>
      </c>
      <c r="AZ788" s="57">
        <v>0</v>
      </c>
      <c r="BA788" s="57">
        <v>0</v>
      </c>
      <c r="BB788" s="56">
        <v>0</v>
      </c>
      <c r="BC788" s="55">
        <v>94</v>
      </c>
      <c r="BD788" s="57"/>
      <c r="BE788" s="57"/>
      <c r="BF788" s="57"/>
      <c r="BG788" s="57"/>
      <c r="BH788" s="57"/>
      <c r="BI788" s="57"/>
      <c r="BJ788" s="57"/>
      <c r="BK788" s="57"/>
      <c r="BL788" s="57"/>
      <c r="BM788" s="57"/>
      <c r="BN788" s="57"/>
      <c r="BO788" s="57"/>
      <c r="BP788" s="57"/>
      <c r="BQ788" s="57"/>
      <c r="BR788" s="57"/>
      <c r="BS788" s="56"/>
      <c r="BT788" s="84"/>
      <c r="BU788" s="57"/>
      <c r="BV788" s="57"/>
      <c r="BW788" s="57"/>
      <c r="BX788" s="57"/>
      <c r="BY788" s="57"/>
      <c r="BZ788" s="57"/>
      <c r="CA788" s="57"/>
      <c r="CB788" s="57"/>
      <c r="CC788" s="57"/>
      <c r="CD788" s="57"/>
      <c r="CE788" s="84"/>
      <c r="CF788" s="57"/>
      <c r="CG788" s="57"/>
      <c r="CH788" s="57"/>
      <c r="CI788" s="57"/>
      <c r="CJ788" s="57"/>
      <c r="CK788" s="56"/>
      <c r="CL788" s="84"/>
      <c r="CM788" s="57"/>
      <c r="CN788" s="57"/>
      <c r="CO788" s="56"/>
      <c r="CP788" s="84"/>
      <c r="CQ788" s="57"/>
      <c r="CR788" s="56"/>
      <c r="CS788" s="84"/>
      <c r="CT788" s="57"/>
      <c r="CU788" s="57"/>
      <c r="CV788" s="57"/>
      <c r="CW788" s="57"/>
      <c r="CX788" s="57"/>
      <c r="CY788" s="84"/>
      <c r="CZ788" s="57"/>
      <c r="DA788" s="57"/>
      <c r="DB788" s="57"/>
      <c r="DC788" s="57"/>
      <c r="DD788" s="57"/>
      <c r="DE788" s="57"/>
      <c r="DF788" s="57"/>
      <c r="DG788" s="56"/>
      <c r="DH788" s="84"/>
      <c r="DI788" s="57"/>
      <c r="DJ788" s="57"/>
      <c r="DK788" s="57"/>
      <c r="DL788" s="57"/>
      <c r="DM788" s="57"/>
      <c r="DN788" s="57"/>
      <c r="DO788" s="57"/>
      <c r="DP788" s="57"/>
      <c r="DQ788" s="84"/>
      <c r="DR788" s="57"/>
      <c r="DS788" s="57"/>
      <c r="DT788" s="57"/>
      <c r="DU788" s="57"/>
      <c r="DV788" s="57"/>
      <c r="DW788" s="57"/>
      <c r="DX788" s="57"/>
      <c r="DY788" s="57"/>
      <c r="DZ788" s="57"/>
      <c r="EA788" s="57"/>
      <c r="EB788" s="57"/>
      <c r="EC788" s="57"/>
      <c r="ED788" s="57"/>
      <c r="EE788" s="56"/>
      <c r="EF788" s="84"/>
      <c r="EG788" s="57"/>
      <c r="EH788" s="57"/>
      <c r="EI788" s="84"/>
      <c r="EJ788" s="57"/>
      <c r="EK788" s="56"/>
      <c r="EL788" s="84"/>
      <c r="EM788" s="57"/>
      <c r="EN788" s="57"/>
      <c r="EO788" s="56"/>
      <c r="EP788" s="84"/>
      <c r="EQ788" s="56"/>
      <c r="ER788" s="84"/>
      <c r="ES788" s="56"/>
      <c r="ET788" s="84"/>
      <c r="EU788" s="56"/>
    </row>
    <row r="789" spans="1:151">
      <c r="A789" s="87" t="s">
        <v>321</v>
      </c>
      <c r="B789" s="173" t="s">
        <v>246</v>
      </c>
      <c r="C789" s="173" t="s">
        <v>519</v>
      </c>
      <c r="D789" s="83" t="s">
        <v>247</v>
      </c>
      <c r="F789" s="49" t="s">
        <v>286</v>
      </c>
      <c r="G789" s="60">
        <v>2.7285333333333335</v>
      </c>
      <c r="H789" s="49">
        <v>4331</v>
      </c>
      <c r="I789" s="49">
        <v>1752</v>
      </c>
      <c r="J789" s="159">
        <v>1.2649819494584837</v>
      </c>
      <c r="K789" s="49">
        <v>4</v>
      </c>
      <c r="L789" s="49">
        <v>3</v>
      </c>
      <c r="M789" s="83">
        <v>0</v>
      </c>
      <c r="N789" s="49">
        <v>2</v>
      </c>
      <c r="O789" s="49">
        <v>0</v>
      </c>
      <c r="P789" s="49">
        <v>1</v>
      </c>
      <c r="Q789" s="58">
        <v>0</v>
      </c>
      <c r="R789" s="42">
        <v>3</v>
      </c>
      <c r="S789" s="83" t="s">
        <v>283</v>
      </c>
      <c r="T789" s="49">
        <v>11</v>
      </c>
      <c r="U789" s="83">
        <v>1</v>
      </c>
      <c r="V789" s="49">
        <v>3</v>
      </c>
      <c r="W789" s="49">
        <v>2</v>
      </c>
      <c r="X789" s="58"/>
      <c r="Y789" s="83">
        <v>4</v>
      </c>
      <c r="Z789" s="49">
        <v>17</v>
      </c>
      <c r="AA789" s="49">
        <v>21</v>
      </c>
      <c r="AD789" s="49">
        <v>14</v>
      </c>
      <c r="AE789" s="49">
        <v>24</v>
      </c>
      <c r="AG789" s="49">
        <v>165</v>
      </c>
      <c r="AJ789" s="49">
        <v>0</v>
      </c>
      <c r="AK789" s="83"/>
      <c r="AO789" s="58"/>
      <c r="AP789" s="174" t="s">
        <v>284</v>
      </c>
      <c r="AQ789" s="175" t="s">
        <v>284</v>
      </c>
      <c r="AR789" s="175" t="s">
        <v>284</v>
      </c>
      <c r="AS789" s="175" t="s">
        <v>284</v>
      </c>
      <c r="AT789" s="175" t="s">
        <v>284</v>
      </c>
      <c r="AU789" s="175" t="s">
        <v>284</v>
      </c>
      <c r="AV789" s="175" t="s">
        <v>284</v>
      </c>
      <c r="AW789" s="175" t="s">
        <v>284</v>
      </c>
      <c r="AX789" s="83">
        <v>0</v>
      </c>
      <c r="AY789" s="49">
        <v>0</v>
      </c>
      <c r="AZ789" s="49">
        <v>0</v>
      </c>
      <c r="BA789" s="49">
        <v>0</v>
      </c>
      <c r="BB789" s="58">
        <v>0</v>
      </c>
      <c r="BC789" s="42">
        <v>128</v>
      </c>
      <c r="BE789" s="49"/>
      <c r="BS789" s="58"/>
      <c r="BT789" s="83"/>
      <c r="CE789" s="83"/>
      <c r="CK789" s="58"/>
      <c r="CL789" s="83"/>
      <c r="CO789" s="58"/>
      <c r="CP789" s="83"/>
      <c r="CR789" s="58"/>
      <c r="CS789" s="83"/>
      <c r="CY789" s="83"/>
      <c r="DG789" s="58"/>
      <c r="DH789" s="83"/>
      <c r="DQ789" s="83"/>
      <c r="EE789" s="58"/>
      <c r="EF789" s="83"/>
      <c r="EI789" s="83"/>
      <c r="EK789" s="58"/>
      <c r="EL789" s="83"/>
      <c r="EO789" s="58"/>
      <c r="EP789" s="83"/>
      <c r="EQ789" s="58"/>
      <c r="ER789" s="83"/>
      <c r="ES789" s="58"/>
      <c r="ET789" s="83"/>
      <c r="EU789" s="58"/>
    </row>
    <row r="790" spans="1:151">
      <c r="A790" s="42" t="s">
        <v>321</v>
      </c>
      <c r="B790" s="173" t="s">
        <v>246</v>
      </c>
      <c r="C790" s="173" t="s">
        <v>519</v>
      </c>
      <c r="D790" s="83" t="s">
        <v>248</v>
      </c>
      <c r="F790" s="49" t="s">
        <v>287</v>
      </c>
      <c r="G790" s="60">
        <v>2.7285333333333335</v>
      </c>
      <c r="H790" s="49">
        <v>4331</v>
      </c>
      <c r="I790" s="49">
        <v>911</v>
      </c>
      <c r="J790" s="159">
        <v>1.5107794361525704</v>
      </c>
      <c r="K790" s="49">
        <v>1</v>
      </c>
      <c r="L790" s="49">
        <v>2</v>
      </c>
      <c r="M790" s="83">
        <v>0</v>
      </c>
      <c r="N790" s="49">
        <v>3</v>
      </c>
      <c r="O790" s="49">
        <v>1</v>
      </c>
      <c r="P790" s="49">
        <v>1</v>
      </c>
      <c r="Q790" s="58">
        <v>0</v>
      </c>
      <c r="R790" s="42">
        <v>5</v>
      </c>
      <c r="S790" s="83" t="s">
        <v>283</v>
      </c>
      <c r="T790" s="49">
        <v>8</v>
      </c>
      <c r="U790" s="83">
        <v>1</v>
      </c>
      <c r="V790" s="49">
        <v>4</v>
      </c>
      <c r="W790" s="49">
        <v>1</v>
      </c>
      <c r="X790" s="58">
        <v>2</v>
      </c>
      <c r="Y790" s="83">
        <v>30</v>
      </c>
      <c r="AD790" s="49">
        <v>7</v>
      </c>
      <c r="AE790" s="49">
        <v>96</v>
      </c>
      <c r="AF790" s="49">
        <v>66</v>
      </c>
      <c r="AG790" s="49">
        <v>171</v>
      </c>
      <c r="AH790" s="49">
        <v>13</v>
      </c>
      <c r="AI790" s="49">
        <v>132</v>
      </c>
      <c r="AJ790" s="49">
        <v>0</v>
      </c>
      <c r="AK790" s="83">
        <v>0</v>
      </c>
      <c r="AL790" s="49">
        <v>0</v>
      </c>
      <c r="AM790" s="49">
        <v>0</v>
      </c>
      <c r="AN790" s="49">
        <v>0</v>
      </c>
      <c r="AO790" s="58">
        <v>0</v>
      </c>
      <c r="AP790" s="174" t="s">
        <v>284</v>
      </c>
      <c r="AQ790" s="175" t="s">
        <v>284</v>
      </c>
      <c r="AR790" s="175" t="s">
        <v>284</v>
      </c>
      <c r="AS790" s="175" t="s">
        <v>284</v>
      </c>
      <c r="AT790" s="175" t="s">
        <v>284</v>
      </c>
      <c r="AU790" s="175" t="s">
        <v>284</v>
      </c>
      <c r="AV790" s="175" t="s">
        <v>284</v>
      </c>
      <c r="AW790" s="175" t="s">
        <v>284</v>
      </c>
      <c r="AX790" s="83">
        <v>0</v>
      </c>
      <c r="AY790" s="49">
        <v>0</v>
      </c>
      <c r="AZ790" s="49">
        <v>0</v>
      </c>
      <c r="BA790" s="49">
        <v>0</v>
      </c>
      <c r="BB790" s="58">
        <v>0</v>
      </c>
      <c r="BC790" s="42">
        <v>128</v>
      </c>
      <c r="BE790" s="49"/>
      <c r="BS790" s="58"/>
      <c r="BT790" s="83"/>
      <c r="CE790" s="83"/>
      <c r="CK790" s="58"/>
      <c r="CL790" s="83"/>
      <c r="CO790" s="58"/>
      <c r="CP790" s="83"/>
      <c r="CR790" s="58"/>
      <c r="CS790" s="83"/>
      <c r="CY790" s="83"/>
      <c r="DG790" s="58"/>
      <c r="DH790" s="83"/>
      <c r="DQ790" s="83"/>
      <c r="EE790" s="58"/>
      <c r="EF790" s="83"/>
      <c r="EI790" s="83"/>
      <c r="EK790" s="58"/>
      <c r="EL790" s="83"/>
      <c r="EO790" s="58"/>
      <c r="EP790" s="83"/>
      <c r="EQ790" s="58"/>
      <c r="ER790" s="83"/>
      <c r="ES790" s="58"/>
      <c r="ET790" s="83"/>
      <c r="EU790" s="58"/>
    </row>
    <row r="791" spans="1:151">
      <c r="A791" s="42" t="s">
        <v>321</v>
      </c>
      <c r="B791" s="173" t="s">
        <v>246</v>
      </c>
      <c r="C791" s="173" t="s">
        <v>519</v>
      </c>
      <c r="D791" s="83" t="s">
        <v>249</v>
      </c>
      <c r="F791" s="49" t="s">
        <v>286</v>
      </c>
      <c r="G791" s="60">
        <v>2.7285333333333335</v>
      </c>
      <c r="H791" s="49">
        <v>4331</v>
      </c>
      <c r="I791" s="49">
        <v>2304</v>
      </c>
      <c r="J791" s="159">
        <v>3.8464106844741237</v>
      </c>
      <c r="K791" s="49">
        <v>4</v>
      </c>
      <c r="L791" s="49">
        <v>3</v>
      </c>
      <c r="M791" s="83">
        <v>0</v>
      </c>
      <c r="N791" s="49">
        <v>2</v>
      </c>
      <c r="O791" s="49">
        <v>0</v>
      </c>
      <c r="P791" s="49">
        <v>1</v>
      </c>
      <c r="Q791" s="58">
        <v>0</v>
      </c>
      <c r="R791" s="42">
        <v>3</v>
      </c>
      <c r="S791" s="83" t="s">
        <v>283</v>
      </c>
      <c r="T791" s="49">
        <v>9</v>
      </c>
      <c r="U791" s="83">
        <v>1</v>
      </c>
      <c r="V791" s="49">
        <v>3</v>
      </c>
      <c r="W791" s="49">
        <v>1</v>
      </c>
      <c r="X791" s="58">
        <v>2</v>
      </c>
      <c r="Y791" s="83">
        <v>1</v>
      </c>
      <c r="AD791" s="49">
        <v>21</v>
      </c>
      <c r="AE791" s="49">
        <v>151</v>
      </c>
      <c r="AH791" s="49">
        <v>20</v>
      </c>
      <c r="AI791" s="49">
        <v>104</v>
      </c>
      <c r="AJ791" s="49">
        <v>0</v>
      </c>
      <c r="AK791" s="83">
        <v>0</v>
      </c>
      <c r="AL791" s="49">
        <v>0</v>
      </c>
      <c r="AM791" s="49">
        <v>1</v>
      </c>
      <c r="AN791" s="49">
        <v>0</v>
      </c>
      <c r="AO791" s="58">
        <v>0</v>
      </c>
      <c r="AP791" s="174" t="s">
        <v>284</v>
      </c>
      <c r="AQ791" s="175" t="s">
        <v>284</v>
      </c>
      <c r="AR791" s="175" t="s">
        <v>501</v>
      </c>
      <c r="AS791" s="175" t="s">
        <v>501</v>
      </c>
      <c r="AT791" s="175" t="s">
        <v>284</v>
      </c>
      <c r="AU791" s="175" t="s">
        <v>284</v>
      </c>
      <c r="AV791" s="175" t="s">
        <v>284</v>
      </c>
      <c r="AW791" s="175" t="s">
        <v>284</v>
      </c>
      <c r="AX791" s="83">
        <v>0</v>
      </c>
      <c r="AY791" s="49">
        <v>0</v>
      </c>
      <c r="AZ791" s="49">
        <v>0</v>
      </c>
      <c r="BA791" s="49">
        <v>0</v>
      </c>
      <c r="BB791" s="58">
        <v>0</v>
      </c>
      <c r="BC791" s="42">
        <v>131</v>
      </c>
      <c r="BE791" s="49"/>
      <c r="BS791" s="58"/>
      <c r="BT791" s="83"/>
      <c r="CE791" s="83"/>
      <c r="CK791" s="58"/>
      <c r="CL791" s="83"/>
      <c r="CO791" s="58"/>
      <c r="CP791" s="83"/>
      <c r="CR791" s="58"/>
      <c r="CS791" s="83"/>
      <c r="CY791" s="83"/>
      <c r="DG791" s="58"/>
      <c r="DH791" s="83"/>
      <c r="DQ791" s="83"/>
      <c r="EE791" s="58"/>
      <c r="EF791" s="83"/>
      <c r="EI791" s="83"/>
      <c r="EK791" s="58"/>
      <c r="EL791" s="83"/>
      <c r="EO791" s="58"/>
      <c r="EP791" s="83"/>
      <c r="EQ791" s="58"/>
      <c r="ER791" s="83"/>
      <c r="ES791" s="58"/>
      <c r="ET791" s="83"/>
      <c r="EU791" s="58"/>
    </row>
    <row r="792" spans="1:151">
      <c r="A792" s="42" t="s">
        <v>321</v>
      </c>
      <c r="B792" s="173" t="s">
        <v>246</v>
      </c>
      <c r="C792" s="173" t="s">
        <v>519</v>
      </c>
      <c r="D792" s="83" t="s">
        <v>250</v>
      </c>
      <c r="F792" s="49" t="s">
        <v>287</v>
      </c>
      <c r="G792" s="60">
        <v>2.7285333333333335</v>
      </c>
      <c r="H792" s="49">
        <v>4331</v>
      </c>
      <c r="I792" s="49">
        <v>782</v>
      </c>
      <c r="J792" s="159">
        <v>1.4039497307001796</v>
      </c>
      <c r="K792" s="49">
        <v>1</v>
      </c>
      <c r="L792" s="49">
        <v>2</v>
      </c>
      <c r="M792" s="83">
        <v>0</v>
      </c>
      <c r="N792" s="49">
        <v>0</v>
      </c>
      <c r="O792" s="49">
        <v>1</v>
      </c>
      <c r="P792" s="49">
        <v>1</v>
      </c>
      <c r="Q792" s="58">
        <v>0</v>
      </c>
      <c r="R792" s="42">
        <v>2</v>
      </c>
      <c r="S792" s="83" t="s">
        <v>284</v>
      </c>
      <c r="U792" s="83">
        <v>1</v>
      </c>
      <c r="V792" s="49">
        <v>1</v>
      </c>
      <c r="W792" s="49">
        <v>2</v>
      </c>
      <c r="X792" s="58"/>
      <c r="Y792" s="83">
        <v>0</v>
      </c>
      <c r="AJ792" s="49">
        <v>0</v>
      </c>
      <c r="AK792" s="83">
        <v>0</v>
      </c>
      <c r="AL792" s="49">
        <v>0</v>
      </c>
      <c r="AM792" s="49">
        <v>1</v>
      </c>
      <c r="AN792" s="49">
        <v>0</v>
      </c>
      <c r="AO792" s="58">
        <v>0</v>
      </c>
      <c r="AP792" s="174" t="s">
        <v>284</v>
      </c>
      <c r="AQ792" s="175" t="s">
        <v>284</v>
      </c>
      <c r="AR792" s="175">
        <v>0</v>
      </c>
      <c r="AS792" s="175">
        <v>93</v>
      </c>
      <c r="AT792" s="175" t="s">
        <v>284</v>
      </c>
      <c r="AU792" s="175" t="s">
        <v>284</v>
      </c>
      <c r="AV792" s="175" t="s">
        <v>284</v>
      </c>
      <c r="AW792" s="175" t="s">
        <v>284</v>
      </c>
      <c r="AX792" s="83">
        <v>0</v>
      </c>
      <c r="AY792" s="49">
        <v>0</v>
      </c>
      <c r="AZ792" s="49">
        <v>0</v>
      </c>
      <c r="BA792" s="49">
        <v>0</v>
      </c>
      <c r="BB792" s="58">
        <v>0</v>
      </c>
      <c r="BC792" s="42">
        <v>84</v>
      </c>
      <c r="BE792" s="49"/>
      <c r="BS792" s="58"/>
      <c r="BT792" s="83"/>
      <c r="CE792" s="83"/>
      <c r="CK792" s="58"/>
      <c r="CL792" s="83"/>
      <c r="CO792" s="58"/>
      <c r="CP792" s="83"/>
      <c r="CR792" s="58"/>
      <c r="CS792" s="83"/>
      <c r="CY792" s="83"/>
      <c r="DG792" s="58"/>
      <c r="DH792" s="83"/>
      <c r="DQ792" s="83"/>
      <c r="EE792" s="58"/>
      <c r="EF792" s="83"/>
      <c r="EI792" s="83"/>
      <c r="EK792" s="58"/>
      <c r="EL792" s="83"/>
      <c r="EO792" s="58"/>
      <c r="EP792" s="83"/>
      <c r="EQ792" s="58"/>
      <c r="ER792" s="83"/>
      <c r="ES792" s="58"/>
      <c r="ET792" s="83"/>
      <c r="EU792" s="58"/>
    </row>
    <row r="793" spans="1:151">
      <c r="A793" s="42" t="s">
        <v>321</v>
      </c>
      <c r="B793" s="173" t="s">
        <v>246</v>
      </c>
      <c r="C793" s="173" t="s">
        <v>519</v>
      </c>
      <c r="D793" s="83" t="s">
        <v>242</v>
      </c>
      <c r="F793" s="49" t="s">
        <v>286</v>
      </c>
      <c r="G793" s="60">
        <v>2.7285333333333335</v>
      </c>
      <c r="H793" s="49">
        <v>4331</v>
      </c>
      <c r="I793" s="49">
        <v>1690</v>
      </c>
      <c r="J793" s="159">
        <v>1.2659176029962547</v>
      </c>
      <c r="K793" s="49">
        <v>4</v>
      </c>
      <c r="L793" s="49">
        <v>4</v>
      </c>
      <c r="M793" s="83">
        <v>0</v>
      </c>
      <c r="N793" s="49">
        <v>1</v>
      </c>
      <c r="O793" s="49">
        <v>1</v>
      </c>
      <c r="P793" s="49">
        <v>0</v>
      </c>
      <c r="Q793" s="58">
        <v>0</v>
      </c>
      <c r="R793" s="42">
        <v>2</v>
      </c>
      <c r="S793" s="83" t="s">
        <v>284</v>
      </c>
      <c r="U793" s="83">
        <v>1</v>
      </c>
      <c r="V793" s="49">
        <v>3</v>
      </c>
      <c r="W793" s="49">
        <v>2</v>
      </c>
      <c r="X793" s="58"/>
      <c r="Y793" s="83">
        <v>2</v>
      </c>
      <c r="Z793" s="49">
        <v>18</v>
      </c>
      <c r="AA793" s="49">
        <v>19</v>
      </c>
      <c r="AH793" s="49">
        <v>22</v>
      </c>
      <c r="AI793" s="49">
        <v>413</v>
      </c>
      <c r="AJ793" s="49">
        <v>0</v>
      </c>
      <c r="AK793" s="83">
        <v>0</v>
      </c>
      <c r="AL793" s="49">
        <v>0</v>
      </c>
      <c r="AM793" s="49">
        <v>0</v>
      </c>
      <c r="AN793" s="49">
        <v>0</v>
      </c>
      <c r="AO793" s="58">
        <v>0</v>
      </c>
      <c r="AP793" s="174" t="s">
        <v>284</v>
      </c>
      <c r="AQ793" s="175" t="s">
        <v>284</v>
      </c>
      <c r="AR793" s="175" t="s">
        <v>284</v>
      </c>
      <c r="AS793" s="175" t="s">
        <v>284</v>
      </c>
      <c r="AT793" s="175" t="s">
        <v>284</v>
      </c>
      <c r="AU793" s="175" t="s">
        <v>284</v>
      </c>
      <c r="AV793" s="175" t="s">
        <v>284</v>
      </c>
      <c r="AW793" s="175" t="s">
        <v>284</v>
      </c>
      <c r="AX793" s="83">
        <v>0</v>
      </c>
      <c r="AY793" s="49">
        <v>0</v>
      </c>
      <c r="AZ793" s="49">
        <v>0</v>
      </c>
      <c r="BA793" s="49">
        <v>0</v>
      </c>
      <c r="BB793" s="58">
        <v>0</v>
      </c>
      <c r="BC793" s="42">
        <v>113</v>
      </c>
      <c r="BE793" s="49"/>
      <c r="BS793" s="58"/>
      <c r="BT793" s="83"/>
      <c r="CE793" s="83"/>
      <c r="CK793" s="58"/>
      <c r="CL793" s="83"/>
      <c r="CO793" s="58"/>
      <c r="CP793" s="83"/>
      <c r="CR793" s="58"/>
      <c r="CS793" s="83"/>
      <c r="CY793" s="83"/>
      <c r="DG793" s="58"/>
      <c r="DH793" s="83"/>
      <c r="DQ793" s="83"/>
      <c r="EE793" s="58"/>
      <c r="EF793" s="83"/>
      <c r="EI793" s="83"/>
      <c r="EK793" s="58"/>
      <c r="EL793" s="83"/>
      <c r="EO793" s="58"/>
      <c r="EP793" s="83"/>
      <c r="EQ793" s="58"/>
      <c r="ER793" s="83"/>
      <c r="ES793" s="58"/>
      <c r="ET793" s="83"/>
      <c r="EU793" s="58"/>
    </row>
    <row r="794" spans="1:151">
      <c r="A794" s="42" t="s">
        <v>321</v>
      </c>
      <c r="B794" s="173" t="s">
        <v>246</v>
      </c>
      <c r="C794" s="173" t="s">
        <v>519</v>
      </c>
      <c r="D794" s="83" t="s">
        <v>243</v>
      </c>
      <c r="F794" s="49" t="s">
        <v>286</v>
      </c>
      <c r="G794" s="60">
        <v>2.7285333333333335</v>
      </c>
      <c r="H794" s="49">
        <v>4331</v>
      </c>
      <c r="I794" s="49">
        <v>2057</v>
      </c>
      <c r="J794" s="159">
        <v>1.7778738115816768</v>
      </c>
      <c r="K794" s="49">
        <v>4</v>
      </c>
      <c r="L794" s="49">
        <v>3</v>
      </c>
      <c r="M794" s="83">
        <v>0</v>
      </c>
      <c r="N794" s="49">
        <v>2</v>
      </c>
      <c r="O794" s="49">
        <v>0</v>
      </c>
      <c r="P794" s="49">
        <v>0</v>
      </c>
      <c r="Q794" s="58">
        <v>0</v>
      </c>
      <c r="R794" s="42">
        <v>2</v>
      </c>
      <c r="S794" s="83" t="s">
        <v>283</v>
      </c>
      <c r="T794" s="49">
        <v>10</v>
      </c>
      <c r="U794" s="83">
        <v>1</v>
      </c>
      <c r="V794" s="49">
        <v>3</v>
      </c>
      <c r="W794" s="49">
        <v>2</v>
      </c>
      <c r="X794" s="58"/>
      <c r="Y794" s="83">
        <v>3</v>
      </c>
      <c r="AA794" s="49">
        <v>33</v>
      </c>
      <c r="AD794" s="49">
        <v>58</v>
      </c>
      <c r="AE794" s="49">
        <v>63</v>
      </c>
      <c r="AF794" s="49">
        <v>12</v>
      </c>
      <c r="AG794" s="49">
        <v>45</v>
      </c>
      <c r="AI794" s="49">
        <v>366</v>
      </c>
      <c r="AJ794" s="49">
        <v>0</v>
      </c>
      <c r="AK794" s="83"/>
      <c r="AO794" s="58"/>
      <c r="AP794" s="174" t="s">
        <v>284</v>
      </c>
      <c r="AQ794" s="175" t="s">
        <v>284</v>
      </c>
      <c r="AR794" s="175" t="s">
        <v>284</v>
      </c>
      <c r="AS794" s="175" t="s">
        <v>284</v>
      </c>
      <c r="AT794" s="175" t="s">
        <v>284</v>
      </c>
      <c r="AU794" s="175" t="s">
        <v>284</v>
      </c>
      <c r="AV794" s="175" t="s">
        <v>284</v>
      </c>
      <c r="AW794" s="175" t="s">
        <v>284</v>
      </c>
      <c r="AX794" s="83">
        <v>0</v>
      </c>
      <c r="AY794" s="49">
        <v>0</v>
      </c>
      <c r="AZ794" s="49">
        <v>0</v>
      </c>
      <c r="BA794" s="49">
        <v>0</v>
      </c>
      <c r="BB794" s="58">
        <v>0</v>
      </c>
      <c r="BC794" s="42">
        <v>105</v>
      </c>
      <c r="BE794" s="49"/>
      <c r="BS794" s="58"/>
      <c r="BT794" s="83"/>
      <c r="CE794" s="83"/>
      <c r="CK794" s="58"/>
      <c r="CL794" s="83"/>
      <c r="CO794" s="58"/>
      <c r="CP794" s="83"/>
      <c r="CR794" s="58"/>
      <c r="CS794" s="83"/>
      <c r="CY794" s="83"/>
      <c r="DG794" s="58"/>
      <c r="DH794" s="83"/>
      <c r="DQ794" s="83"/>
      <c r="EE794" s="58"/>
      <c r="EF794" s="83"/>
      <c r="EI794" s="83"/>
      <c r="EK794" s="58"/>
      <c r="EL794" s="83"/>
      <c r="EO794" s="58"/>
      <c r="EP794" s="83"/>
      <c r="EQ794" s="58"/>
      <c r="ER794" s="83"/>
      <c r="ES794" s="58"/>
      <c r="ET794" s="83"/>
      <c r="EU794" s="58"/>
    </row>
    <row r="795" spans="1:151">
      <c r="A795" s="42" t="s">
        <v>321</v>
      </c>
      <c r="B795" s="173" t="s">
        <v>246</v>
      </c>
      <c r="C795" s="173" t="s">
        <v>519</v>
      </c>
      <c r="D795" s="83" t="s">
        <v>251</v>
      </c>
      <c r="F795" s="49" t="s">
        <v>286</v>
      </c>
      <c r="G795" s="60">
        <v>2.7285333333333335</v>
      </c>
      <c r="H795" s="49">
        <v>4331</v>
      </c>
      <c r="I795" s="49">
        <v>1917</v>
      </c>
      <c r="J795" s="159">
        <v>2.6046195652173911</v>
      </c>
      <c r="K795" s="49">
        <v>4</v>
      </c>
      <c r="L795" s="49">
        <v>4</v>
      </c>
      <c r="M795" s="83">
        <v>0</v>
      </c>
      <c r="N795" s="49">
        <v>0</v>
      </c>
      <c r="O795" s="49">
        <v>1</v>
      </c>
      <c r="P795" s="49">
        <v>0</v>
      </c>
      <c r="Q795" s="58">
        <v>0</v>
      </c>
      <c r="R795" s="42">
        <v>1</v>
      </c>
      <c r="S795" s="83" t="s">
        <v>284</v>
      </c>
      <c r="U795" s="83">
        <v>1</v>
      </c>
      <c r="V795" s="49">
        <v>4</v>
      </c>
      <c r="W795" s="49">
        <v>2</v>
      </c>
      <c r="X795" s="58"/>
      <c r="Y795" s="83">
        <v>0</v>
      </c>
      <c r="AJ795" s="49">
        <v>0</v>
      </c>
      <c r="AK795" s="83"/>
      <c r="AO795" s="58"/>
      <c r="AP795" s="174" t="s">
        <v>284</v>
      </c>
      <c r="AQ795" s="175" t="s">
        <v>284</v>
      </c>
      <c r="AR795" s="175" t="s">
        <v>284</v>
      </c>
      <c r="AS795" s="175" t="s">
        <v>284</v>
      </c>
      <c r="AT795" s="175" t="s">
        <v>284</v>
      </c>
      <c r="AU795" s="175" t="s">
        <v>284</v>
      </c>
      <c r="AV795" s="175" t="s">
        <v>284</v>
      </c>
      <c r="AW795" s="175" t="s">
        <v>284</v>
      </c>
      <c r="AX795" s="83">
        <v>0</v>
      </c>
      <c r="AY795" s="49">
        <v>0</v>
      </c>
      <c r="AZ795" s="49">
        <v>0</v>
      </c>
      <c r="BA795" s="49">
        <v>0</v>
      </c>
      <c r="BB795" s="58">
        <v>0</v>
      </c>
      <c r="BC795" s="42"/>
      <c r="BE795" s="49"/>
      <c r="BS795" s="58"/>
      <c r="BT795" s="83"/>
      <c r="CE795" s="83"/>
      <c r="CK795" s="58"/>
      <c r="CL795" s="83"/>
      <c r="CO795" s="58"/>
      <c r="CP795" s="83"/>
      <c r="CR795" s="58"/>
      <c r="CS795" s="83"/>
      <c r="CY795" s="83"/>
      <c r="DG795" s="58"/>
      <c r="DH795" s="83"/>
      <c r="DQ795" s="83"/>
      <c r="EE795" s="58"/>
      <c r="EF795" s="83"/>
      <c r="EI795" s="83"/>
      <c r="EK795" s="58"/>
      <c r="EL795" s="83"/>
      <c r="EO795" s="58"/>
      <c r="EP795" s="83"/>
      <c r="EQ795" s="58"/>
      <c r="ER795" s="83"/>
      <c r="ES795" s="58"/>
      <c r="ET795" s="83"/>
      <c r="EU795" s="58"/>
    </row>
    <row r="796" spans="1:151">
      <c r="A796" s="42" t="s">
        <v>321</v>
      </c>
      <c r="B796" s="173" t="s">
        <v>246</v>
      </c>
      <c r="C796" s="173" t="s">
        <v>519</v>
      </c>
      <c r="D796" s="83" t="s">
        <v>244</v>
      </c>
      <c r="F796" s="49" t="s">
        <v>286</v>
      </c>
      <c r="G796" s="60">
        <v>2.7285333333333335</v>
      </c>
      <c r="H796" s="49">
        <v>4331</v>
      </c>
      <c r="I796" s="49">
        <v>1884</v>
      </c>
      <c r="J796" s="159">
        <v>1.6227390180878554</v>
      </c>
      <c r="K796" s="49">
        <v>1</v>
      </c>
      <c r="L796" s="49">
        <v>3</v>
      </c>
      <c r="M796" s="83">
        <v>0</v>
      </c>
      <c r="N796" s="49">
        <v>0</v>
      </c>
      <c r="O796" s="49">
        <v>1</v>
      </c>
      <c r="P796" s="49">
        <v>1</v>
      </c>
      <c r="Q796" s="58">
        <v>0</v>
      </c>
      <c r="R796" s="42">
        <v>2</v>
      </c>
      <c r="S796" s="83" t="s">
        <v>283</v>
      </c>
      <c r="T796" s="49">
        <v>7</v>
      </c>
      <c r="U796" s="83">
        <v>2</v>
      </c>
      <c r="V796" s="49">
        <v>3</v>
      </c>
      <c r="W796" s="49">
        <v>1</v>
      </c>
      <c r="X796" s="58">
        <v>3</v>
      </c>
      <c r="Y796" s="83">
        <v>0</v>
      </c>
      <c r="AJ796" s="49">
        <v>0</v>
      </c>
      <c r="AK796" s="83">
        <v>0</v>
      </c>
      <c r="AL796" s="49">
        <v>0</v>
      </c>
      <c r="AM796" s="49">
        <v>1</v>
      </c>
      <c r="AN796" s="49">
        <v>0</v>
      </c>
      <c r="AO796" s="58">
        <v>0</v>
      </c>
      <c r="AP796" s="174" t="s">
        <v>284</v>
      </c>
      <c r="AQ796" s="175" t="s">
        <v>284</v>
      </c>
      <c r="AR796" s="175" t="s">
        <v>501</v>
      </c>
      <c r="AS796" s="175" t="s">
        <v>501</v>
      </c>
      <c r="AT796" s="175" t="s">
        <v>284</v>
      </c>
      <c r="AU796" s="175" t="s">
        <v>284</v>
      </c>
      <c r="AV796" s="175" t="s">
        <v>284</v>
      </c>
      <c r="AW796" s="175" t="s">
        <v>284</v>
      </c>
      <c r="AX796" s="83">
        <v>0</v>
      </c>
      <c r="AY796" s="49">
        <v>0</v>
      </c>
      <c r="AZ796" s="49">
        <v>0</v>
      </c>
      <c r="BA796" s="49">
        <v>0</v>
      </c>
      <c r="BB796" s="58">
        <v>0</v>
      </c>
      <c r="BC796" s="42">
        <v>95</v>
      </c>
      <c r="BE796" s="49"/>
      <c r="BS796" s="58"/>
      <c r="BT796" s="83"/>
      <c r="CE796" s="83"/>
      <c r="CK796" s="58"/>
      <c r="CL796" s="83"/>
      <c r="CO796" s="58"/>
      <c r="CP796" s="83"/>
      <c r="CR796" s="58"/>
      <c r="CS796" s="83"/>
      <c r="CY796" s="83"/>
      <c r="DG796" s="58"/>
      <c r="DH796" s="83"/>
      <c r="DQ796" s="83"/>
      <c r="EE796" s="58"/>
      <c r="EF796" s="83"/>
      <c r="EI796" s="83"/>
      <c r="EK796" s="58"/>
      <c r="EL796" s="83"/>
      <c r="EO796" s="58"/>
      <c r="EP796" s="83"/>
      <c r="EQ796" s="58"/>
      <c r="ER796" s="83"/>
      <c r="ES796" s="58"/>
      <c r="ET796" s="83"/>
      <c r="EU796" s="58"/>
    </row>
    <row r="797" spans="1:151">
      <c r="A797" s="42" t="s">
        <v>321</v>
      </c>
      <c r="B797" s="173" t="s">
        <v>252</v>
      </c>
      <c r="C797" s="173" t="s">
        <v>519</v>
      </c>
      <c r="D797" s="83" t="s">
        <v>253</v>
      </c>
      <c r="F797" s="49" t="s">
        <v>286</v>
      </c>
      <c r="G797" s="60">
        <v>2.7285333333333335</v>
      </c>
      <c r="H797" s="49">
        <v>4331</v>
      </c>
      <c r="I797" s="49">
        <v>1211</v>
      </c>
      <c r="J797" s="159">
        <v>2.8902147971360383</v>
      </c>
      <c r="K797" s="49">
        <v>4</v>
      </c>
      <c r="L797" s="49">
        <v>2</v>
      </c>
      <c r="M797" s="83">
        <v>0</v>
      </c>
      <c r="N797" s="49">
        <v>0</v>
      </c>
      <c r="O797" s="49">
        <v>1</v>
      </c>
      <c r="P797" s="49">
        <v>1</v>
      </c>
      <c r="Q797" s="58">
        <v>0</v>
      </c>
      <c r="R797" s="42">
        <v>2</v>
      </c>
      <c r="S797" s="83" t="s">
        <v>283</v>
      </c>
      <c r="T797" s="49">
        <v>9</v>
      </c>
      <c r="U797" s="83">
        <v>1</v>
      </c>
      <c r="V797" s="49">
        <v>3</v>
      </c>
      <c r="W797" s="49">
        <v>2</v>
      </c>
      <c r="X797" s="58"/>
      <c r="Y797" s="83">
        <v>0</v>
      </c>
      <c r="AJ797" s="49">
        <v>0</v>
      </c>
      <c r="AK797" s="83">
        <v>0</v>
      </c>
      <c r="AL797" s="49">
        <v>0</v>
      </c>
      <c r="AM797" s="49">
        <v>0</v>
      </c>
      <c r="AN797" s="49">
        <v>0</v>
      </c>
      <c r="AO797" s="58">
        <v>0</v>
      </c>
      <c r="AP797" s="174" t="s">
        <v>284</v>
      </c>
      <c r="AQ797" s="175" t="s">
        <v>284</v>
      </c>
      <c r="AR797" s="175" t="s">
        <v>284</v>
      </c>
      <c r="AS797" s="175" t="s">
        <v>284</v>
      </c>
      <c r="AT797" s="175" t="s">
        <v>284</v>
      </c>
      <c r="AU797" s="175" t="s">
        <v>284</v>
      </c>
      <c r="AV797" s="175" t="s">
        <v>284</v>
      </c>
      <c r="AW797" s="175" t="s">
        <v>284</v>
      </c>
      <c r="AX797" s="83">
        <v>0</v>
      </c>
      <c r="AY797" s="49">
        <v>0</v>
      </c>
      <c r="AZ797" s="49">
        <v>0</v>
      </c>
      <c r="BA797" s="49">
        <v>0</v>
      </c>
      <c r="BB797" s="58">
        <v>0</v>
      </c>
      <c r="BC797" s="42">
        <v>104</v>
      </c>
      <c r="BE797" s="49"/>
      <c r="BS797" s="58"/>
      <c r="BT797" s="83"/>
      <c r="CE797" s="83"/>
      <c r="CK797" s="58"/>
      <c r="CL797" s="83"/>
      <c r="CO797" s="58"/>
      <c r="CP797" s="83"/>
      <c r="CR797" s="58"/>
      <c r="CS797" s="83"/>
      <c r="CY797" s="83"/>
      <c r="DG797" s="58"/>
      <c r="DH797" s="83"/>
      <c r="DQ797" s="83"/>
      <c r="EE797" s="58"/>
      <c r="EF797" s="83"/>
      <c r="EI797" s="83"/>
      <c r="EK797" s="58"/>
      <c r="EL797" s="83"/>
      <c r="EO797" s="58"/>
      <c r="EP797" s="83"/>
      <c r="EQ797" s="58"/>
      <c r="ER797" s="83"/>
      <c r="ES797" s="58"/>
      <c r="ET797" s="83"/>
      <c r="EU797" s="58"/>
    </row>
    <row r="798" spans="1:151" ht="19" customHeight="1">
      <c r="A798" s="42" t="s">
        <v>321</v>
      </c>
      <c r="B798" s="173" t="s">
        <v>252</v>
      </c>
      <c r="C798" s="173" t="s">
        <v>519</v>
      </c>
      <c r="D798" s="83" t="s">
        <v>247</v>
      </c>
      <c r="F798" s="49" t="s">
        <v>287</v>
      </c>
      <c r="G798" s="60">
        <v>2.7285333333333335</v>
      </c>
      <c r="H798" s="49">
        <v>4331</v>
      </c>
      <c r="I798" s="49">
        <v>930</v>
      </c>
      <c r="J798" s="159">
        <v>1.3304721030042919</v>
      </c>
      <c r="K798" s="49">
        <v>1</v>
      </c>
      <c r="L798" s="49">
        <v>2</v>
      </c>
      <c r="M798" s="83">
        <v>1</v>
      </c>
      <c r="N798" s="49">
        <v>0</v>
      </c>
      <c r="O798" s="49">
        <v>1</v>
      </c>
      <c r="P798" s="49">
        <v>1</v>
      </c>
      <c r="Q798" s="58">
        <v>0</v>
      </c>
      <c r="R798" s="42">
        <v>3</v>
      </c>
      <c r="S798" s="83" t="s">
        <v>283</v>
      </c>
      <c r="T798" s="49">
        <v>2</v>
      </c>
      <c r="U798" s="83">
        <v>1</v>
      </c>
      <c r="V798" s="49">
        <v>1</v>
      </c>
      <c r="W798" s="49">
        <v>2</v>
      </c>
      <c r="X798" s="58"/>
      <c r="Y798" s="83">
        <v>2</v>
      </c>
      <c r="AH798" s="49">
        <v>18</v>
      </c>
      <c r="AI798" s="49">
        <v>37</v>
      </c>
      <c r="AJ798" s="49">
        <v>0</v>
      </c>
      <c r="AK798" s="83">
        <v>0</v>
      </c>
      <c r="AL798" s="49">
        <v>1</v>
      </c>
      <c r="AM798" s="49">
        <v>1</v>
      </c>
      <c r="AN798" s="49">
        <v>0</v>
      </c>
      <c r="AO798" s="58">
        <v>0</v>
      </c>
      <c r="AP798" s="174">
        <v>269</v>
      </c>
      <c r="AQ798" s="175">
        <v>291</v>
      </c>
      <c r="AR798" s="175">
        <v>28</v>
      </c>
      <c r="AS798" s="175">
        <v>37</v>
      </c>
      <c r="AT798" s="175" t="s">
        <v>284</v>
      </c>
      <c r="AU798" s="175" t="s">
        <v>284</v>
      </c>
      <c r="AV798" s="175" t="s">
        <v>284</v>
      </c>
      <c r="AW798" s="175" t="s">
        <v>284</v>
      </c>
      <c r="AX798" s="83">
        <v>0</v>
      </c>
      <c r="AY798" s="49">
        <v>0</v>
      </c>
      <c r="AZ798" s="49">
        <v>0</v>
      </c>
      <c r="BA798" s="49">
        <v>0</v>
      </c>
      <c r="BB798" s="58">
        <v>0</v>
      </c>
      <c r="BC798" s="42">
        <v>121</v>
      </c>
      <c r="BE798" s="49"/>
      <c r="BS798" s="58"/>
      <c r="BT798" s="83"/>
      <c r="CE798" s="83"/>
      <c r="CK798" s="58"/>
      <c r="CL798" s="83"/>
      <c r="CO798" s="58"/>
      <c r="CP798" s="83"/>
      <c r="CR798" s="58"/>
      <c r="CS798" s="83"/>
      <c r="CY798" s="83"/>
      <c r="DG798" s="58"/>
      <c r="DH798" s="83"/>
      <c r="DQ798" s="83"/>
      <c r="EE798" s="58"/>
      <c r="EF798" s="83"/>
      <c r="EI798" s="83"/>
      <c r="EK798" s="58"/>
      <c r="EL798" s="83"/>
      <c r="EO798" s="58"/>
      <c r="EP798" s="83"/>
      <c r="EQ798" s="58"/>
      <c r="ER798" s="83"/>
      <c r="ES798" s="58"/>
      <c r="ET798" s="83"/>
      <c r="EU798" s="58"/>
    </row>
    <row r="799" spans="1:151">
      <c r="A799" s="42" t="s">
        <v>321</v>
      </c>
      <c r="B799" s="173" t="s">
        <v>252</v>
      </c>
      <c r="C799" s="173" t="s">
        <v>519</v>
      </c>
      <c r="D799" s="83" t="s">
        <v>254</v>
      </c>
      <c r="F799" s="49" t="s">
        <v>286</v>
      </c>
      <c r="G799" s="60">
        <v>2.7285333333333335</v>
      </c>
      <c r="H799" s="49">
        <v>4331</v>
      </c>
      <c r="I799" s="49">
        <v>1260</v>
      </c>
      <c r="J799" s="159">
        <v>1.069609507640068</v>
      </c>
      <c r="K799" s="49">
        <v>4</v>
      </c>
      <c r="L799" s="49">
        <v>3</v>
      </c>
      <c r="M799" s="83">
        <v>0</v>
      </c>
      <c r="N799" s="49">
        <v>0</v>
      </c>
      <c r="O799" s="49">
        <v>0</v>
      </c>
      <c r="P799" s="49">
        <v>1</v>
      </c>
      <c r="Q799" s="58">
        <v>0</v>
      </c>
      <c r="R799" s="42">
        <v>1</v>
      </c>
      <c r="S799" s="83" t="s">
        <v>283</v>
      </c>
      <c r="T799" s="49">
        <v>12</v>
      </c>
      <c r="U799" s="83">
        <v>2</v>
      </c>
      <c r="V799" s="49">
        <v>3</v>
      </c>
      <c r="W799" s="49">
        <v>3</v>
      </c>
      <c r="X799" s="58">
        <v>2</v>
      </c>
      <c r="Y799" s="83">
        <v>0</v>
      </c>
      <c r="AJ799" s="49">
        <v>0</v>
      </c>
      <c r="AK799" s="83">
        <v>0</v>
      </c>
      <c r="AL799" s="49">
        <v>0</v>
      </c>
      <c r="AM799" s="49">
        <v>1</v>
      </c>
      <c r="AN799" s="49">
        <v>0</v>
      </c>
      <c r="AO799" s="58">
        <v>0</v>
      </c>
      <c r="AP799" s="174" t="s">
        <v>284</v>
      </c>
      <c r="AQ799" s="175" t="s">
        <v>284</v>
      </c>
      <c r="AR799" s="175" t="s">
        <v>501</v>
      </c>
      <c r="AS799" s="175" t="s">
        <v>501</v>
      </c>
      <c r="AT799" s="175" t="s">
        <v>284</v>
      </c>
      <c r="AU799" s="175" t="s">
        <v>284</v>
      </c>
      <c r="AV799" s="175" t="s">
        <v>284</v>
      </c>
      <c r="AW799" s="175" t="s">
        <v>284</v>
      </c>
      <c r="AX799" s="83">
        <v>0</v>
      </c>
      <c r="AY799" s="49">
        <v>0</v>
      </c>
      <c r="AZ799" s="49">
        <v>0</v>
      </c>
      <c r="BA799" s="49">
        <v>0</v>
      </c>
      <c r="BB799" s="58">
        <v>0</v>
      </c>
      <c r="BC799" s="42">
        <v>122</v>
      </c>
      <c r="BE799" s="49"/>
      <c r="BS799" s="58"/>
      <c r="BT799" s="83"/>
      <c r="CE799" s="83"/>
      <c r="CK799" s="58"/>
      <c r="CL799" s="83"/>
      <c r="CO799" s="58"/>
      <c r="CP799" s="83"/>
      <c r="CR799" s="58"/>
      <c r="CS799" s="83"/>
      <c r="CY799" s="83"/>
      <c r="DG799" s="58"/>
      <c r="DH799" s="83"/>
      <c r="DQ799" s="83"/>
      <c r="EE799" s="58"/>
      <c r="EF799" s="83"/>
      <c r="EI799" s="83"/>
      <c r="EK799" s="58"/>
      <c r="EL799" s="83"/>
      <c r="EO799" s="58"/>
      <c r="EP799" s="83"/>
      <c r="EQ799" s="58"/>
      <c r="ER799" s="83"/>
      <c r="ES799" s="58"/>
      <c r="ET799" s="83"/>
      <c r="EU799" s="58"/>
    </row>
    <row r="800" spans="1:151">
      <c r="A800" s="42" t="s">
        <v>321</v>
      </c>
      <c r="B800" s="173" t="s">
        <v>252</v>
      </c>
      <c r="C800" s="173" t="s">
        <v>519</v>
      </c>
      <c r="D800" s="83" t="s">
        <v>248</v>
      </c>
      <c r="F800" s="49" t="s">
        <v>287</v>
      </c>
      <c r="G800" s="60">
        <v>2.7285333333333335</v>
      </c>
      <c r="H800" s="49">
        <v>4331</v>
      </c>
      <c r="I800" s="49">
        <v>949</v>
      </c>
      <c r="J800" s="159">
        <v>1.5232744783306582</v>
      </c>
      <c r="K800" s="49">
        <v>4</v>
      </c>
      <c r="L800" s="49">
        <v>3</v>
      </c>
      <c r="M800" s="83">
        <v>0</v>
      </c>
      <c r="N800" s="49">
        <v>3</v>
      </c>
      <c r="O800" s="49">
        <v>0</v>
      </c>
      <c r="P800" s="49">
        <v>1</v>
      </c>
      <c r="Q800" s="58">
        <v>0</v>
      </c>
      <c r="R800" s="42">
        <v>4</v>
      </c>
      <c r="S800" s="83" t="s">
        <v>283</v>
      </c>
      <c r="T800" s="49">
        <v>8</v>
      </c>
      <c r="U800" s="83">
        <v>1</v>
      </c>
      <c r="V800" s="49">
        <v>3</v>
      </c>
      <c r="W800" s="49">
        <v>2</v>
      </c>
      <c r="X800" s="58"/>
      <c r="Y800" s="83">
        <v>10</v>
      </c>
      <c r="AD800" s="49">
        <v>6</v>
      </c>
      <c r="AE800" s="49">
        <v>83</v>
      </c>
      <c r="AF800" s="49">
        <v>8</v>
      </c>
      <c r="AG800" s="49">
        <v>148</v>
      </c>
      <c r="AH800" s="49">
        <v>131</v>
      </c>
      <c r="AI800" s="49">
        <v>196</v>
      </c>
      <c r="AJ800" s="49">
        <v>1</v>
      </c>
      <c r="AK800" s="83">
        <v>0</v>
      </c>
      <c r="AL800" s="49">
        <v>0</v>
      </c>
      <c r="AM800" s="49">
        <v>0</v>
      </c>
      <c r="AN800" s="49">
        <v>0</v>
      </c>
      <c r="AO800" s="58">
        <v>0</v>
      </c>
      <c r="AP800" s="174" t="s">
        <v>284</v>
      </c>
      <c r="AQ800" s="175" t="s">
        <v>284</v>
      </c>
      <c r="AR800" s="175" t="s">
        <v>284</v>
      </c>
      <c r="AS800" s="175" t="s">
        <v>284</v>
      </c>
      <c r="AT800" s="175" t="s">
        <v>284</v>
      </c>
      <c r="AU800" s="175" t="s">
        <v>284</v>
      </c>
      <c r="AV800" s="175" t="s">
        <v>284</v>
      </c>
      <c r="AW800" s="175" t="s">
        <v>284</v>
      </c>
      <c r="AX800" s="83">
        <v>0</v>
      </c>
      <c r="AY800" s="49">
        <v>0</v>
      </c>
      <c r="AZ800" s="49">
        <v>0</v>
      </c>
      <c r="BA800" s="49">
        <v>0</v>
      </c>
      <c r="BB800" s="58">
        <v>0</v>
      </c>
      <c r="BC800" s="42">
        <v>70</v>
      </c>
      <c r="BE800" s="49"/>
      <c r="BS800" s="58"/>
      <c r="BT800" s="83"/>
      <c r="CE800" s="83"/>
      <c r="CK800" s="58"/>
      <c r="CL800" s="83"/>
      <c r="CO800" s="58"/>
      <c r="CP800" s="83"/>
      <c r="CR800" s="58"/>
      <c r="CS800" s="83"/>
      <c r="CY800" s="83"/>
      <c r="DG800" s="58"/>
      <c r="DH800" s="83"/>
      <c r="DQ800" s="83"/>
      <c r="EE800" s="58"/>
      <c r="EF800" s="83"/>
      <c r="EI800" s="83"/>
      <c r="EK800" s="58"/>
      <c r="EL800" s="83"/>
      <c r="EO800" s="58"/>
      <c r="EP800" s="83"/>
      <c r="EQ800" s="58"/>
      <c r="ER800" s="83"/>
      <c r="ES800" s="58"/>
      <c r="ET800" s="83"/>
      <c r="EU800" s="58"/>
    </row>
    <row r="801" spans="1:151">
      <c r="A801" s="42" t="s">
        <v>321</v>
      </c>
      <c r="B801" s="173" t="s">
        <v>252</v>
      </c>
      <c r="C801" s="173" t="s">
        <v>519</v>
      </c>
      <c r="D801" s="83" t="s">
        <v>255</v>
      </c>
      <c r="E801" s="49" t="s">
        <v>0</v>
      </c>
      <c r="F801" s="49" t="s">
        <v>287</v>
      </c>
      <c r="G801" s="60">
        <v>2.7285333333333335</v>
      </c>
      <c r="H801" s="49">
        <v>4331</v>
      </c>
      <c r="I801" s="49">
        <v>770</v>
      </c>
      <c r="J801" s="159">
        <v>1.3095238095238095</v>
      </c>
      <c r="K801" s="49">
        <v>1</v>
      </c>
      <c r="L801" s="49">
        <v>3</v>
      </c>
      <c r="M801" s="83">
        <v>0</v>
      </c>
      <c r="N801" s="49">
        <v>0</v>
      </c>
      <c r="O801" s="49">
        <v>0</v>
      </c>
      <c r="P801" s="49">
        <v>1</v>
      </c>
      <c r="Q801" s="58">
        <v>0</v>
      </c>
      <c r="R801" s="42">
        <v>1</v>
      </c>
      <c r="S801" s="83" t="s">
        <v>283</v>
      </c>
      <c r="T801" s="49">
        <v>12</v>
      </c>
      <c r="U801" s="83">
        <v>1</v>
      </c>
      <c r="V801" s="49">
        <v>1</v>
      </c>
      <c r="W801" s="49">
        <v>2</v>
      </c>
      <c r="X801" s="58"/>
      <c r="Y801" s="83">
        <v>0</v>
      </c>
      <c r="AJ801" s="49">
        <v>0</v>
      </c>
      <c r="AK801" s="83">
        <v>0</v>
      </c>
      <c r="AL801" s="49">
        <v>0</v>
      </c>
      <c r="AM801" s="49">
        <v>0</v>
      </c>
      <c r="AN801" s="49">
        <v>0</v>
      </c>
      <c r="AO801" s="58">
        <v>0</v>
      </c>
      <c r="AP801" s="174" t="s">
        <v>284</v>
      </c>
      <c r="AQ801" s="175" t="s">
        <v>284</v>
      </c>
      <c r="AR801" s="175" t="s">
        <v>284</v>
      </c>
      <c r="AS801" s="175" t="s">
        <v>284</v>
      </c>
      <c r="AT801" s="175" t="s">
        <v>284</v>
      </c>
      <c r="AU801" s="175" t="s">
        <v>284</v>
      </c>
      <c r="AV801" s="175" t="s">
        <v>284</v>
      </c>
      <c r="AW801" s="175" t="s">
        <v>284</v>
      </c>
      <c r="AX801" s="83">
        <v>0</v>
      </c>
      <c r="AY801" s="49">
        <v>0</v>
      </c>
      <c r="AZ801" s="49">
        <v>0</v>
      </c>
      <c r="BA801" s="49">
        <v>0</v>
      </c>
      <c r="BB801" s="58">
        <v>0</v>
      </c>
      <c r="BC801" s="42">
        <v>108</v>
      </c>
      <c r="BE801" s="49"/>
      <c r="BS801" s="58"/>
      <c r="BT801" s="83"/>
      <c r="CE801" s="83"/>
      <c r="CK801" s="58"/>
      <c r="CL801" s="83"/>
      <c r="CO801" s="58"/>
      <c r="CP801" s="83"/>
      <c r="CR801" s="58"/>
      <c r="CS801" s="83"/>
      <c r="CY801" s="83"/>
      <c r="DG801" s="58"/>
      <c r="DH801" s="83"/>
      <c r="DQ801" s="83"/>
      <c r="EE801" s="58"/>
      <c r="EF801" s="83"/>
      <c r="EI801" s="83"/>
      <c r="EK801" s="58"/>
      <c r="EL801" s="83"/>
      <c r="EO801" s="58"/>
      <c r="EP801" s="83"/>
      <c r="EQ801" s="58"/>
      <c r="ER801" s="83"/>
      <c r="ES801" s="58"/>
      <c r="ET801" s="83"/>
      <c r="EU801" s="58"/>
    </row>
    <row r="802" spans="1:151">
      <c r="A802" s="42" t="s">
        <v>321</v>
      </c>
      <c r="B802" s="173" t="s">
        <v>252</v>
      </c>
      <c r="C802" s="173" t="s">
        <v>519</v>
      </c>
      <c r="D802" s="83" t="s">
        <v>255</v>
      </c>
      <c r="E802" s="49" t="s">
        <v>1</v>
      </c>
      <c r="F802" s="49" t="s">
        <v>287</v>
      </c>
      <c r="G802" s="60">
        <v>2.7285333333333335</v>
      </c>
      <c r="H802" s="49">
        <v>4331</v>
      </c>
      <c r="I802" s="49">
        <v>861</v>
      </c>
      <c r="J802" s="159">
        <v>1.3842443729903537</v>
      </c>
      <c r="K802" s="49">
        <v>4</v>
      </c>
      <c r="L802" s="49">
        <v>3</v>
      </c>
      <c r="M802" s="83">
        <v>0</v>
      </c>
      <c r="N802" s="49">
        <v>3</v>
      </c>
      <c r="O802" s="49">
        <v>0</v>
      </c>
      <c r="P802" s="49">
        <v>0</v>
      </c>
      <c r="Q802" s="58">
        <v>0</v>
      </c>
      <c r="R802" s="42">
        <v>3</v>
      </c>
      <c r="S802" s="83" t="s">
        <v>283</v>
      </c>
      <c r="T802" s="49">
        <v>6</v>
      </c>
      <c r="U802" s="83">
        <v>1</v>
      </c>
      <c r="V802" s="49">
        <v>3</v>
      </c>
      <c r="W802" s="49">
        <v>2</v>
      </c>
      <c r="X802" s="58"/>
      <c r="Y802" s="83">
        <v>15</v>
      </c>
      <c r="AE802" s="49">
        <v>43</v>
      </c>
      <c r="AG802" s="49">
        <v>287</v>
      </c>
      <c r="AJ802" s="49">
        <v>0</v>
      </c>
      <c r="AK802" s="83">
        <v>0</v>
      </c>
      <c r="AL802" s="49">
        <v>0</v>
      </c>
      <c r="AM802" s="49">
        <v>0</v>
      </c>
      <c r="AN802" s="49">
        <v>0</v>
      </c>
      <c r="AO802" s="58">
        <v>0</v>
      </c>
      <c r="AP802" s="174" t="s">
        <v>284</v>
      </c>
      <c r="AQ802" s="175" t="s">
        <v>284</v>
      </c>
      <c r="AR802" s="175" t="s">
        <v>284</v>
      </c>
      <c r="AS802" s="175" t="s">
        <v>284</v>
      </c>
      <c r="AT802" s="175" t="s">
        <v>284</v>
      </c>
      <c r="AU802" s="175" t="s">
        <v>284</v>
      </c>
      <c r="AV802" s="175" t="s">
        <v>284</v>
      </c>
      <c r="AW802" s="175" t="s">
        <v>284</v>
      </c>
      <c r="AX802" s="83">
        <v>0</v>
      </c>
      <c r="AY802" s="49">
        <v>0</v>
      </c>
      <c r="AZ802" s="49">
        <v>0</v>
      </c>
      <c r="BA802" s="49">
        <v>0</v>
      </c>
      <c r="BB802" s="58">
        <v>0</v>
      </c>
      <c r="BC802" s="42">
        <v>108</v>
      </c>
      <c r="BE802" s="49"/>
      <c r="BS802" s="58"/>
      <c r="BT802" s="83"/>
      <c r="CE802" s="83"/>
      <c r="CK802" s="58"/>
      <c r="CL802" s="83"/>
      <c r="CO802" s="58"/>
      <c r="CP802" s="83"/>
      <c r="CR802" s="58"/>
      <c r="CS802" s="83"/>
      <c r="CY802" s="83"/>
      <c r="DG802" s="58"/>
      <c r="DH802" s="83"/>
      <c r="DQ802" s="83"/>
      <c r="EE802" s="58"/>
      <c r="EF802" s="83"/>
      <c r="EI802" s="83"/>
      <c r="EK802" s="58"/>
      <c r="EL802" s="83"/>
      <c r="EO802" s="58"/>
      <c r="EP802" s="83"/>
      <c r="EQ802" s="58"/>
      <c r="ER802" s="83"/>
      <c r="ES802" s="58"/>
      <c r="ET802" s="83"/>
      <c r="EU802" s="58"/>
    </row>
    <row r="803" spans="1:151">
      <c r="A803" s="42" t="s">
        <v>321</v>
      </c>
      <c r="B803" s="173" t="s">
        <v>252</v>
      </c>
      <c r="C803" s="173" t="s">
        <v>519</v>
      </c>
      <c r="D803" s="83" t="s">
        <v>256</v>
      </c>
      <c r="E803" s="49" t="s">
        <v>0</v>
      </c>
      <c r="F803" s="49" t="s">
        <v>287</v>
      </c>
      <c r="G803" s="60">
        <v>2.7285333333333335</v>
      </c>
      <c r="H803" s="49">
        <v>4331</v>
      </c>
      <c r="I803" s="49">
        <v>637</v>
      </c>
      <c r="J803" s="159">
        <v>1.6719160104986877</v>
      </c>
      <c r="K803" s="49">
        <v>1</v>
      </c>
      <c r="L803" s="49">
        <v>3</v>
      </c>
      <c r="M803" s="83">
        <v>0</v>
      </c>
      <c r="N803" s="49">
        <v>2</v>
      </c>
      <c r="O803" s="49">
        <v>1</v>
      </c>
      <c r="P803" s="49">
        <v>0</v>
      </c>
      <c r="Q803" s="58">
        <v>0</v>
      </c>
      <c r="R803" s="42">
        <v>3</v>
      </c>
      <c r="S803" s="83" t="s">
        <v>283</v>
      </c>
      <c r="T803" s="49">
        <v>3</v>
      </c>
      <c r="U803" s="83">
        <v>1</v>
      </c>
      <c r="V803" s="49">
        <v>2</v>
      </c>
      <c r="W803" s="49">
        <v>2</v>
      </c>
      <c r="X803" s="58"/>
      <c r="Y803" s="83">
        <v>1</v>
      </c>
      <c r="AA803" s="49">
        <v>21</v>
      </c>
      <c r="AH803" s="49">
        <v>8</v>
      </c>
      <c r="AI803" s="49">
        <v>41</v>
      </c>
      <c r="AJ803" s="49">
        <v>0</v>
      </c>
      <c r="AK803" s="83">
        <v>0</v>
      </c>
      <c r="AL803" s="49">
        <v>0</v>
      </c>
      <c r="AM803" s="49">
        <v>0</v>
      </c>
      <c r="AN803" s="49">
        <v>0</v>
      </c>
      <c r="AO803" s="58">
        <v>0</v>
      </c>
      <c r="AP803" s="174" t="s">
        <v>284</v>
      </c>
      <c r="AQ803" s="175" t="s">
        <v>284</v>
      </c>
      <c r="AR803" s="175" t="s">
        <v>284</v>
      </c>
      <c r="AS803" s="175" t="s">
        <v>284</v>
      </c>
      <c r="AT803" s="175" t="s">
        <v>284</v>
      </c>
      <c r="AU803" s="175" t="s">
        <v>284</v>
      </c>
      <c r="AV803" s="175" t="s">
        <v>284</v>
      </c>
      <c r="AW803" s="175" t="s">
        <v>284</v>
      </c>
      <c r="AX803" s="83">
        <v>0</v>
      </c>
      <c r="AY803" s="49">
        <v>0</v>
      </c>
      <c r="AZ803" s="49">
        <v>0</v>
      </c>
      <c r="BA803" s="49">
        <v>0</v>
      </c>
      <c r="BB803" s="58">
        <v>0</v>
      </c>
      <c r="BC803" s="42">
        <v>138</v>
      </c>
      <c r="BE803" s="49"/>
      <c r="BS803" s="58"/>
      <c r="BT803" s="83"/>
      <c r="CE803" s="83"/>
      <c r="CK803" s="58"/>
      <c r="CL803" s="83"/>
      <c r="CO803" s="58"/>
      <c r="CP803" s="83"/>
      <c r="CR803" s="58"/>
      <c r="CS803" s="83"/>
      <c r="CY803" s="83"/>
      <c r="DG803" s="58"/>
      <c r="DH803" s="83"/>
      <c r="DQ803" s="83"/>
      <c r="EE803" s="58"/>
      <c r="EF803" s="83"/>
      <c r="EI803" s="83"/>
      <c r="EK803" s="58"/>
      <c r="EL803" s="83"/>
      <c r="EO803" s="58"/>
      <c r="EP803" s="83"/>
      <c r="EQ803" s="58"/>
      <c r="ER803" s="83"/>
      <c r="ES803" s="58"/>
      <c r="ET803" s="83"/>
      <c r="EU803" s="58"/>
    </row>
    <row r="804" spans="1:151">
      <c r="A804" s="42" t="s">
        <v>321</v>
      </c>
      <c r="B804" s="173" t="s">
        <v>252</v>
      </c>
      <c r="C804" s="173" t="s">
        <v>519</v>
      </c>
      <c r="D804" s="83" t="s">
        <v>256</v>
      </c>
      <c r="E804" s="49" t="s">
        <v>1</v>
      </c>
      <c r="F804" s="49" t="s">
        <v>287</v>
      </c>
      <c r="G804" s="60">
        <v>2.7285333333333335</v>
      </c>
      <c r="H804" s="49">
        <v>4331</v>
      </c>
      <c r="I804" s="49">
        <v>719</v>
      </c>
      <c r="J804" s="159">
        <v>1.7159904534606205</v>
      </c>
      <c r="K804" s="49">
        <v>1</v>
      </c>
      <c r="L804" s="49">
        <v>1</v>
      </c>
      <c r="M804" s="83">
        <v>0</v>
      </c>
      <c r="N804" s="49">
        <v>0</v>
      </c>
      <c r="O804" s="49">
        <v>0</v>
      </c>
      <c r="P804" s="49">
        <v>1</v>
      </c>
      <c r="Q804" s="58">
        <v>0</v>
      </c>
      <c r="R804" s="42">
        <v>1</v>
      </c>
      <c r="S804" s="83" t="s">
        <v>283</v>
      </c>
      <c r="T804" s="49">
        <v>6</v>
      </c>
      <c r="U804" s="83">
        <v>0</v>
      </c>
      <c r="V804" s="49">
        <v>0</v>
      </c>
      <c r="W804" s="49">
        <v>0</v>
      </c>
      <c r="X804" s="58"/>
      <c r="Y804" s="83">
        <v>0</v>
      </c>
      <c r="AJ804" s="49">
        <v>0</v>
      </c>
      <c r="AK804" s="83">
        <v>0</v>
      </c>
      <c r="AL804" s="49">
        <v>1</v>
      </c>
      <c r="AM804" s="49">
        <v>1</v>
      </c>
      <c r="AN804" s="49">
        <v>0</v>
      </c>
      <c r="AO804" s="58">
        <v>0</v>
      </c>
      <c r="AP804" s="174">
        <v>0</v>
      </c>
      <c r="AQ804" s="175">
        <v>211</v>
      </c>
      <c r="AR804" s="175">
        <v>0</v>
      </c>
      <c r="AS804" s="175">
        <v>187</v>
      </c>
      <c r="AT804" s="175" t="s">
        <v>284</v>
      </c>
      <c r="AU804" s="175" t="s">
        <v>284</v>
      </c>
      <c r="AV804" s="175" t="s">
        <v>284</v>
      </c>
      <c r="AW804" s="175" t="s">
        <v>284</v>
      </c>
      <c r="AX804" s="83">
        <v>0</v>
      </c>
      <c r="AY804" s="49">
        <v>0</v>
      </c>
      <c r="AZ804" s="49">
        <v>0</v>
      </c>
      <c r="BA804" s="49">
        <v>0</v>
      </c>
      <c r="BB804" s="58">
        <v>0</v>
      </c>
      <c r="BC804" s="42">
        <v>138</v>
      </c>
      <c r="BE804" s="49"/>
      <c r="BS804" s="58"/>
      <c r="BT804" s="83"/>
      <c r="CE804" s="83"/>
      <c r="CK804" s="58"/>
      <c r="CL804" s="83"/>
      <c r="CO804" s="58"/>
      <c r="CP804" s="83"/>
      <c r="CR804" s="58"/>
      <c r="CS804" s="83"/>
      <c r="CY804" s="83"/>
      <c r="DG804" s="58"/>
      <c r="DH804" s="83"/>
      <c r="DQ804" s="83"/>
      <c r="EE804" s="58"/>
      <c r="EF804" s="83"/>
      <c r="EI804" s="83"/>
      <c r="EK804" s="58"/>
      <c r="EL804" s="83"/>
      <c r="EO804" s="58"/>
      <c r="EP804" s="83"/>
      <c r="EQ804" s="58"/>
      <c r="ER804" s="83"/>
      <c r="ES804" s="58"/>
      <c r="ET804" s="83"/>
      <c r="EU804" s="58"/>
    </row>
    <row r="805" spans="1:151">
      <c r="A805" s="42" t="s">
        <v>321</v>
      </c>
      <c r="B805" s="173" t="s">
        <v>252</v>
      </c>
      <c r="C805" s="173" t="s">
        <v>519</v>
      </c>
      <c r="D805" s="83" t="s">
        <v>256</v>
      </c>
      <c r="E805" s="49" t="s">
        <v>2</v>
      </c>
      <c r="F805" s="49" t="s">
        <v>286</v>
      </c>
      <c r="G805" s="60">
        <v>2.7285333333333335</v>
      </c>
      <c r="H805" s="49">
        <v>4331</v>
      </c>
      <c r="I805" s="49">
        <v>1080</v>
      </c>
      <c r="J805" s="159">
        <v>1.4774281805745555</v>
      </c>
      <c r="K805" s="49">
        <v>1</v>
      </c>
      <c r="L805" s="49">
        <v>2</v>
      </c>
      <c r="M805" s="83">
        <v>0</v>
      </c>
      <c r="N805" s="49">
        <v>2</v>
      </c>
      <c r="O805" s="49">
        <v>1</v>
      </c>
      <c r="P805" s="49">
        <v>1</v>
      </c>
      <c r="Q805" s="58">
        <v>0</v>
      </c>
      <c r="R805" s="42">
        <v>4</v>
      </c>
      <c r="S805" s="83" t="s">
        <v>283</v>
      </c>
      <c r="T805" s="49">
        <v>6</v>
      </c>
      <c r="U805" s="83">
        <v>1</v>
      </c>
      <c r="V805" s="49">
        <v>2</v>
      </c>
      <c r="W805" s="49">
        <v>1</v>
      </c>
      <c r="X805" s="58">
        <v>1</v>
      </c>
      <c r="Y805" s="83">
        <v>0</v>
      </c>
      <c r="AJ805" s="49">
        <v>0</v>
      </c>
      <c r="AK805" s="83">
        <v>0</v>
      </c>
      <c r="AL805" s="49">
        <v>1</v>
      </c>
      <c r="AM805" s="49">
        <v>0</v>
      </c>
      <c r="AN805" s="49">
        <v>0</v>
      </c>
      <c r="AO805" s="58">
        <v>0</v>
      </c>
      <c r="AP805" s="174">
        <v>283</v>
      </c>
      <c r="AQ805" s="175">
        <v>355</v>
      </c>
      <c r="AR805" s="175" t="s">
        <v>284</v>
      </c>
      <c r="AS805" s="175" t="s">
        <v>284</v>
      </c>
      <c r="AT805" s="175" t="s">
        <v>284</v>
      </c>
      <c r="AU805" s="175" t="s">
        <v>284</v>
      </c>
      <c r="AV805" s="175" t="s">
        <v>284</v>
      </c>
      <c r="AW805" s="175" t="s">
        <v>284</v>
      </c>
      <c r="AX805" s="83">
        <v>0</v>
      </c>
      <c r="AY805" s="49">
        <v>0</v>
      </c>
      <c r="AZ805" s="49">
        <v>0</v>
      </c>
      <c r="BA805" s="49">
        <v>0</v>
      </c>
      <c r="BB805" s="58">
        <v>0</v>
      </c>
      <c r="BC805" s="42">
        <v>138</v>
      </c>
      <c r="BS805" s="58"/>
      <c r="BT805" s="83"/>
      <c r="CE805" s="83"/>
      <c r="CK805" s="58"/>
      <c r="CL805" s="83"/>
      <c r="CO805" s="58"/>
      <c r="CP805" s="83"/>
      <c r="CR805" s="58"/>
      <c r="CS805" s="83"/>
      <c r="CY805" s="83"/>
      <c r="DG805" s="58"/>
      <c r="DH805" s="83"/>
      <c r="DQ805" s="83"/>
      <c r="EE805" s="58"/>
      <c r="EF805" s="83"/>
      <c r="EI805" s="83"/>
      <c r="EK805" s="58"/>
      <c r="EL805" s="83"/>
      <c r="EO805" s="58"/>
      <c r="EP805" s="83"/>
      <c r="EQ805" s="58"/>
      <c r="ER805" s="83"/>
      <c r="ES805" s="58"/>
      <c r="ET805" s="83"/>
      <c r="EU805" s="58"/>
    </row>
    <row r="806" spans="1:151">
      <c r="A806" s="42" t="s">
        <v>321</v>
      </c>
      <c r="B806" s="173" t="s">
        <v>252</v>
      </c>
      <c r="C806" s="173" t="s">
        <v>519</v>
      </c>
      <c r="D806" s="83" t="s">
        <v>242</v>
      </c>
      <c r="F806" s="49" t="s">
        <v>286</v>
      </c>
      <c r="G806" s="60">
        <v>2.7285333333333335</v>
      </c>
      <c r="H806" s="49">
        <v>4331</v>
      </c>
      <c r="I806" s="49">
        <v>1783</v>
      </c>
      <c r="J806" s="159">
        <v>2.3155844155844156</v>
      </c>
      <c r="K806" s="49">
        <v>1</v>
      </c>
      <c r="L806" s="49">
        <v>3</v>
      </c>
      <c r="M806" s="83">
        <v>0</v>
      </c>
      <c r="N806" s="49">
        <v>0</v>
      </c>
      <c r="O806" s="49">
        <v>1</v>
      </c>
      <c r="P806" s="49">
        <v>1</v>
      </c>
      <c r="Q806" s="58">
        <v>0</v>
      </c>
      <c r="R806" s="42">
        <v>2</v>
      </c>
      <c r="S806" s="83" t="s">
        <v>283</v>
      </c>
      <c r="T806" s="49">
        <v>9</v>
      </c>
      <c r="U806" s="83">
        <v>2</v>
      </c>
      <c r="V806" s="49">
        <v>3</v>
      </c>
      <c r="W806" s="49">
        <v>1</v>
      </c>
      <c r="X806" s="58">
        <v>3</v>
      </c>
      <c r="Y806" s="83">
        <v>1</v>
      </c>
      <c r="AD806" s="49">
        <v>54</v>
      </c>
      <c r="AE806" s="49">
        <v>454</v>
      </c>
      <c r="AF806" s="49">
        <v>27</v>
      </c>
      <c r="AG806" s="49">
        <v>104</v>
      </c>
      <c r="AJ806" s="49">
        <v>0</v>
      </c>
      <c r="AK806" s="83">
        <v>0</v>
      </c>
      <c r="AL806" s="49">
        <v>0</v>
      </c>
      <c r="AM806" s="49">
        <v>0</v>
      </c>
      <c r="AN806" s="49">
        <v>0</v>
      </c>
      <c r="AO806" s="58">
        <v>0</v>
      </c>
      <c r="AP806" s="174" t="s">
        <v>284</v>
      </c>
      <c r="AQ806" s="175" t="s">
        <v>284</v>
      </c>
      <c r="AR806" s="175" t="s">
        <v>284</v>
      </c>
      <c r="AS806" s="175" t="s">
        <v>284</v>
      </c>
      <c r="AT806" s="175" t="s">
        <v>284</v>
      </c>
      <c r="AU806" s="175" t="s">
        <v>284</v>
      </c>
      <c r="AV806" s="175" t="s">
        <v>284</v>
      </c>
      <c r="AW806" s="175" t="s">
        <v>284</v>
      </c>
      <c r="AX806" s="83">
        <v>0</v>
      </c>
      <c r="AY806" s="49">
        <v>0</v>
      </c>
      <c r="AZ806" s="49">
        <v>0</v>
      </c>
      <c r="BA806" s="49">
        <v>0</v>
      </c>
      <c r="BB806" s="58">
        <v>0</v>
      </c>
      <c r="BC806" s="42">
        <v>117</v>
      </c>
      <c r="BS806" s="58"/>
      <c r="BT806" s="83"/>
      <c r="CE806" s="83"/>
      <c r="CK806" s="58"/>
      <c r="CL806" s="83"/>
      <c r="CO806" s="58"/>
      <c r="CP806" s="83"/>
      <c r="CR806" s="58"/>
      <c r="CS806" s="83"/>
      <c r="CY806" s="83"/>
      <c r="DG806" s="58"/>
      <c r="DH806" s="83"/>
      <c r="DQ806" s="83"/>
      <c r="EE806" s="58"/>
      <c r="EF806" s="83"/>
      <c r="EI806" s="83"/>
      <c r="EK806" s="58"/>
      <c r="EL806" s="83"/>
      <c r="EO806" s="58"/>
      <c r="EP806" s="83"/>
      <c r="EQ806" s="58"/>
      <c r="ER806" s="83"/>
      <c r="ES806" s="58"/>
      <c r="ET806" s="83"/>
      <c r="EU806" s="58"/>
    </row>
    <row r="807" spans="1:151">
      <c r="A807" s="42" t="s">
        <v>321</v>
      </c>
      <c r="B807" s="173" t="s">
        <v>252</v>
      </c>
      <c r="C807" s="173" t="s">
        <v>519</v>
      </c>
      <c r="D807" s="83" t="s">
        <v>243</v>
      </c>
      <c r="F807" s="49" t="s">
        <v>286</v>
      </c>
      <c r="G807" s="60">
        <v>2.7285333333333335</v>
      </c>
      <c r="H807" s="49">
        <v>4331</v>
      </c>
      <c r="I807" s="49">
        <v>1318</v>
      </c>
      <c r="J807" s="159">
        <v>2.0465838509316772</v>
      </c>
      <c r="K807" s="49">
        <v>1</v>
      </c>
      <c r="L807" s="49">
        <v>1</v>
      </c>
      <c r="M807" s="83">
        <v>0</v>
      </c>
      <c r="N807" s="49">
        <v>0</v>
      </c>
      <c r="O807" s="49">
        <v>0</v>
      </c>
      <c r="P807" s="49">
        <v>0</v>
      </c>
      <c r="Q807" s="58">
        <v>0</v>
      </c>
      <c r="R807" s="42">
        <v>0</v>
      </c>
      <c r="S807" s="83" t="s">
        <v>283</v>
      </c>
      <c r="T807" s="49">
        <v>8</v>
      </c>
      <c r="U807" s="83">
        <v>0</v>
      </c>
      <c r="V807" s="49">
        <v>0</v>
      </c>
      <c r="W807" s="49">
        <v>0</v>
      </c>
      <c r="X807" s="58"/>
      <c r="Y807" s="83">
        <v>2</v>
      </c>
      <c r="Z807" s="49">
        <v>10</v>
      </c>
      <c r="AA807" s="49">
        <v>24</v>
      </c>
      <c r="AD807" s="49">
        <v>7</v>
      </c>
      <c r="AE807" s="49">
        <v>42</v>
      </c>
      <c r="AJ807" s="49">
        <v>1</v>
      </c>
      <c r="AK807" s="83"/>
      <c r="AO807" s="58"/>
      <c r="AP807" s="174" t="s">
        <v>284</v>
      </c>
      <c r="AQ807" s="175" t="s">
        <v>284</v>
      </c>
      <c r="AR807" s="175" t="s">
        <v>284</v>
      </c>
      <c r="AS807" s="175" t="s">
        <v>284</v>
      </c>
      <c r="AT807" s="175" t="s">
        <v>284</v>
      </c>
      <c r="AU807" s="175" t="s">
        <v>284</v>
      </c>
      <c r="AV807" s="175" t="s">
        <v>284</v>
      </c>
      <c r="AW807" s="175" t="s">
        <v>284</v>
      </c>
      <c r="AX807" s="83">
        <v>0</v>
      </c>
      <c r="AY807" s="49">
        <v>0</v>
      </c>
      <c r="AZ807" s="49">
        <v>0</v>
      </c>
      <c r="BA807" s="49">
        <v>0</v>
      </c>
      <c r="BB807" s="58">
        <v>0</v>
      </c>
      <c r="BC807" s="42">
        <v>119</v>
      </c>
      <c r="BS807" s="58"/>
      <c r="BT807" s="83"/>
      <c r="CE807" s="83"/>
      <c r="CK807" s="58"/>
      <c r="CL807" s="83"/>
      <c r="CO807" s="58"/>
      <c r="CP807" s="83"/>
      <c r="CR807" s="58"/>
      <c r="CS807" s="83"/>
      <c r="CY807" s="83"/>
      <c r="DG807" s="58"/>
      <c r="DH807" s="83"/>
      <c r="DQ807" s="83"/>
      <c r="EE807" s="58"/>
      <c r="EF807" s="83"/>
      <c r="EI807" s="83"/>
      <c r="EK807" s="58"/>
      <c r="EL807" s="83"/>
      <c r="EO807" s="58"/>
      <c r="EP807" s="83"/>
      <c r="EQ807" s="58"/>
      <c r="ER807" s="83"/>
      <c r="ES807" s="58"/>
      <c r="ET807" s="83"/>
      <c r="EU807" s="58"/>
    </row>
    <row r="808" spans="1:151">
      <c r="A808" s="42" t="s">
        <v>321</v>
      </c>
      <c r="B808" s="173" t="s">
        <v>252</v>
      </c>
      <c r="C808" s="173" t="s">
        <v>519</v>
      </c>
      <c r="D808" s="83" t="s">
        <v>251</v>
      </c>
      <c r="F808" s="49" t="s">
        <v>286</v>
      </c>
      <c r="G808" s="60">
        <v>2.7285333333333335</v>
      </c>
      <c r="H808" s="49">
        <v>4331</v>
      </c>
      <c r="I808" s="49">
        <v>1327</v>
      </c>
      <c r="J808" s="159">
        <v>1.6649937264742785</v>
      </c>
      <c r="K808" s="49">
        <v>1</v>
      </c>
      <c r="L808" s="49">
        <v>2</v>
      </c>
      <c r="M808" s="83">
        <v>0</v>
      </c>
      <c r="N808" s="49">
        <v>4</v>
      </c>
      <c r="O808" s="49">
        <v>0</v>
      </c>
      <c r="P808" s="49">
        <v>0</v>
      </c>
      <c r="Q808" s="58">
        <v>0</v>
      </c>
      <c r="R808" s="42">
        <v>4</v>
      </c>
      <c r="S808" s="83" t="s">
        <v>283</v>
      </c>
      <c r="T808" s="49">
        <v>9</v>
      </c>
      <c r="U808" s="83">
        <v>1</v>
      </c>
      <c r="V808" s="49">
        <v>1</v>
      </c>
      <c r="W808" s="49">
        <v>2</v>
      </c>
      <c r="X808" s="58"/>
      <c r="Y808" s="83">
        <v>10</v>
      </c>
      <c r="Z808" s="49">
        <v>6</v>
      </c>
      <c r="AA808" s="49">
        <v>10</v>
      </c>
      <c r="AD808" s="49">
        <v>9</v>
      </c>
      <c r="AE808" s="49">
        <v>22</v>
      </c>
      <c r="AF808" s="49">
        <v>6</v>
      </c>
      <c r="AG808" s="49">
        <v>412</v>
      </c>
      <c r="AJ808" s="49">
        <v>0</v>
      </c>
      <c r="AK808" s="83">
        <v>0</v>
      </c>
      <c r="AL808" s="49">
        <v>0</v>
      </c>
      <c r="AM808" s="49">
        <v>0</v>
      </c>
      <c r="AN808" s="49">
        <v>0</v>
      </c>
      <c r="AO808" s="58">
        <v>0</v>
      </c>
      <c r="AP808" s="174" t="s">
        <v>284</v>
      </c>
      <c r="AQ808" s="175" t="s">
        <v>284</v>
      </c>
      <c r="AR808" s="175" t="s">
        <v>284</v>
      </c>
      <c r="AS808" s="175" t="s">
        <v>284</v>
      </c>
      <c r="AT808" s="175" t="s">
        <v>284</v>
      </c>
      <c r="AU808" s="175" t="s">
        <v>284</v>
      </c>
      <c r="AV808" s="175" t="s">
        <v>284</v>
      </c>
      <c r="AW808" s="175" t="s">
        <v>284</v>
      </c>
      <c r="AX808" s="83">
        <v>0</v>
      </c>
      <c r="AY808" s="49">
        <v>0</v>
      </c>
      <c r="AZ808" s="49">
        <v>0</v>
      </c>
      <c r="BA808" s="49">
        <v>0</v>
      </c>
      <c r="BB808" s="58">
        <v>0</v>
      </c>
      <c r="BC808" s="42">
        <v>98</v>
      </c>
      <c r="BS808" s="58"/>
      <c r="BT808" s="83"/>
      <c r="CE808" s="83"/>
      <c r="CK808" s="58"/>
      <c r="CL808" s="83"/>
      <c r="CO808" s="58"/>
      <c r="CP808" s="83"/>
      <c r="CR808" s="58"/>
      <c r="CS808" s="83"/>
      <c r="CY808" s="83"/>
      <c r="DG808" s="58"/>
      <c r="DH808" s="83"/>
      <c r="DQ808" s="83"/>
      <c r="EE808" s="58"/>
      <c r="EF808" s="83"/>
      <c r="EI808" s="83"/>
      <c r="EK808" s="58"/>
      <c r="EL808" s="83"/>
      <c r="EO808" s="58"/>
      <c r="EP808" s="83"/>
      <c r="EQ808" s="58"/>
      <c r="ER808" s="83"/>
      <c r="ES808" s="58"/>
      <c r="ET808" s="83"/>
      <c r="EU808" s="58"/>
    </row>
    <row r="809" spans="1:151">
      <c r="A809" s="42" t="s">
        <v>321</v>
      </c>
      <c r="B809" s="173" t="s">
        <v>252</v>
      </c>
      <c r="C809" s="173" t="s">
        <v>519</v>
      </c>
      <c r="D809" s="83" t="s">
        <v>244</v>
      </c>
      <c r="F809" s="49" t="s">
        <v>286</v>
      </c>
      <c r="G809" s="60">
        <v>2.7285333333333335</v>
      </c>
      <c r="H809" s="49">
        <v>4331</v>
      </c>
      <c r="I809" s="49">
        <v>1146</v>
      </c>
      <c r="J809" s="159">
        <v>2.2874251497005988</v>
      </c>
      <c r="K809" s="49">
        <v>4</v>
      </c>
      <c r="L809" s="49">
        <v>4</v>
      </c>
      <c r="M809" s="83">
        <v>0</v>
      </c>
      <c r="N809" s="49">
        <v>0</v>
      </c>
      <c r="O809" s="49">
        <v>1</v>
      </c>
      <c r="P809" s="49">
        <v>1</v>
      </c>
      <c r="Q809" s="58">
        <v>0</v>
      </c>
      <c r="R809" s="42">
        <v>2</v>
      </c>
      <c r="S809" s="83" t="s">
        <v>283</v>
      </c>
      <c r="T809" s="49">
        <v>9</v>
      </c>
      <c r="U809" s="83">
        <v>1</v>
      </c>
      <c r="V809" s="49">
        <v>4</v>
      </c>
      <c r="W809" s="49">
        <v>2</v>
      </c>
      <c r="X809" s="58"/>
      <c r="Y809" s="83">
        <v>0</v>
      </c>
      <c r="AJ809" s="49">
        <v>0</v>
      </c>
      <c r="AK809" s="83">
        <v>0</v>
      </c>
      <c r="AL809" s="49">
        <v>1</v>
      </c>
      <c r="AM809" s="49">
        <v>0</v>
      </c>
      <c r="AN809" s="49">
        <v>0</v>
      </c>
      <c r="AO809" s="58">
        <v>0</v>
      </c>
      <c r="AP809" s="174">
        <v>321</v>
      </c>
      <c r="AQ809" s="175">
        <v>551</v>
      </c>
      <c r="AR809" s="175" t="s">
        <v>284</v>
      </c>
      <c r="AS809" s="175" t="s">
        <v>284</v>
      </c>
      <c r="AT809" s="175" t="s">
        <v>284</v>
      </c>
      <c r="AU809" s="175" t="s">
        <v>284</v>
      </c>
      <c r="AV809" s="175" t="s">
        <v>284</v>
      </c>
      <c r="AW809" s="175" t="s">
        <v>284</v>
      </c>
      <c r="AX809" s="83">
        <v>0</v>
      </c>
      <c r="AY809" s="49">
        <v>0</v>
      </c>
      <c r="AZ809" s="49">
        <v>0</v>
      </c>
      <c r="BA809" s="49">
        <v>0</v>
      </c>
      <c r="BB809" s="58">
        <v>0</v>
      </c>
      <c r="BC809" s="42">
        <v>132</v>
      </c>
      <c r="BS809" s="58"/>
      <c r="BT809" s="83"/>
      <c r="CE809" s="83"/>
      <c r="CK809" s="58"/>
      <c r="CL809" s="83"/>
      <c r="CO809" s="58"/>
      <c r="CP809" s="83"/>
      <c r="CR809" s="58"/>
      <c r="CS809" s="83"/>
      <c r="CY809" s="83"/>
      <c r="DG809" s="58"/>
      <c r="DH809" s="83"/>
      <c r="DQ809" s="83"/>
      <c r="EE809" s="58"/>
      <c r="EF809" s="83"/>
      <c r="EI809" s="83"/>
      <c r="EK809" s="58"/>
      <c r="EL809" s="83"/>
      <c r="EO809" s="58"/>
      <c r="EP809" s="83"/>
      <c r="EQ809" s="58"/>
      <c r="ER809" s="83"/>
      <c r="ES809" s="58"/>
      <c r="ET809" s="83"/>
      <c r="EU809" s="58"/>
    </row>
    <row r="810" spans="1:151" ht="17" thickBot="1">
      <c r="A810" s="55" t="s">
        <v>321</v>
      </c>
      <c r="B810" s="173" t="s">
        <v>252</v>
      </c>
      <c r="C810" s="173" t="s">
        <v>519</v>
      </c>
      <c r="D810" s="83" t="s">
        <v>245</v>
      </c>
      <c r="F810" s="49" t="s">
        <v>286</v>
      </c>
      <c r="G810" s="60">
        <v>2.7285333333333335</v>
      </c>
      <c r="H810" s="49">
        <v>4331</v>
      </c>
      <c r="I810" s="49">
        <v>1474</v>
      </c>
      <c r="J810" s="159">
        <v>1.4784353059177533</v>
      </c>
      <c r="K810" s="49">
        <v>4</v>
      </c>
      <c r="L810" s="49">
        <v>3</v>
      </c>
      <c r="M810" s="83">
        <v>0</v>
      </c>
      <c r="N810" s="49">
        <v>5</v>
      </c>
      <c r="O810" s="49">
        <v>0</v>
      </c>
      <c r="P810" s="49">
        <v>1</v>
      </c>
      <c r="Q810" s="58">
        <v>0</v>
      </c>
      <c r="R810" s="42">
        <v>6</v>
      </c>
      <c r="S810" s="83" t="s">
        <v>283</v>
      </c>
      <c r="T810" s="49">
        <v>11</v>
      </c>
      <c r="U810" s="83">
        <v>1</v>
      </c>
      <c r="V810" s="49">
        <v>3</v>
      </c>
      <c r="W810" s="49">
        <v>1</v>
      </c>
      <c r="X810" s="58">
        <v>2</v>
      </c>
      <c r="Y810" s="83">
        <v>30</v>
      </c>
      <c r="Z810" s="49">
        <v>4</v>
      </c>
      <c r="AA810" s="49">
        <v>29</v>
      </c>
      <c r="AF810" s="49">
        <v>9</v>
      </c>
      <c r="AG810" s="49">
        <v>34</v>
      </c>
      <c r="AH810" s="49">
        <v>14</v>
      </c>
      <c r="AI810" s="49">
        <v>426</v>
      </c>
      <c r="AJ810" s="49">
        <v>0</v>
      </c>
      <c r="AK810" s="83">
        <v>0</v>
      </c>
      <c r="AL810" s="49">
        <v>0</v>
      </c>
      <c r="AM810" s="49">
        <v>1</v>
      </c>
      <c r="AN810" s="49">
        <v>0</v>
      </c>
      <c r="AO810" s="58">
        <v>0</v>
      </c>
      <c r="AP810" s="174" t="s">
        <v>284</v>
      </c>
      <c r="AQ810" s="175" t="s">
        <v>284</v>
      </c>
      <c r="AR810" s="175" t="s">
        <v>501</v>
      </c>
      <c r="AS810" s="175" t="s">
        <v>501</v>
      </c>
      <c r="AT810" s="175" t="s">
        <v>284</v>
      </c>
      <c r="AU810" s="175" t="s">
        <v>284</v>
      </c>
      <c r="AV810" s="175" t="s">
        <v>284</v>
      </c>
      <c r="AW810" s="175" t="s">
        <v>284</v>
      </c>
      <c r="AX810" s="83">
        <v>0</v>
      </c>
      <c r="AY810" s="49">
        <v>0</v>
      </c>
      <c r="AZ810" s="49">
        <v>0</v>
      </c>
      <c r="BA810" s="49">
        <v>0</v>
      </c>
      <c r="BB810" s="58">
        <v>0</v>
      </c>
      <c r="BC810" s="42">
        <v>125</v>
      </c>
      <c r="BS810" s="58"/>
      <c r="BT810" s="83"/>
      <c r="CE810" s="83"/>
      <c r="CK810" s="58"/>
      <c r="CL810" s="83"/>
      <c r="CO810" s="58"/>
      <c r="CP810" s="83"/>
      <c r="CR810" s="58"/>
      <c r="CS810" s="83"/>
      <c r="CY810" s="83"/>
      <c r="DG810" s="58"/>
      <c r="DH810" s="83"/>
      <c r="DQ810" s="83"/>
      <c r="EE810" s="58"/>
      <c r="EF810" s="83"/>
      <c r="EI810" s="83"/>
      <c r="EK810" s="58"/>
      <c r="EL810" s="83"/>
      <c r="EO810" s="58"/>
      <c r="EP810" s="83"/>
      <c r="EQ810" s="58"/>
      <c r="ER810" s="83"/>
      <c r="ES810" s="58"/>
      <c r="ET810" s="83"/>
      <c r="EU810" s="58"/>
    </row>
    <row r="811" spans="1:151">
      <c r="A811" s="83" t="s">
        <v>321</v>
      </c>
      <c r="B811" s="7" t="s">
        <v>257</v>
      </c>
      <c r="C811" s="7" t="s">
        <v>519</v>
      </c>
      <c r="D811" s="147" t="s">
        <v>64</v>
      </c>
      <c r="E811" s="148"/>
      <c r="F811" s="148" t="s">
        <v>287</v>
      </c>
      <c r="G811" s="73">
        <v>2.7285333333333335</v>
      </c>
      <c r="H811" s="148">
        <v>4331</v>
      </c>
      <c r="I811" s="148">
        <v>509</v>
      </c>
      <c r="J811" s="158">
        <v>2.8920454545454546</v>
      </c>
      <c r="K811" s="148">
        <v>1</v>
      </c>
      <c r="L811" s="148">
        <v>2</v>
      </c>
      <c r="M811" s="147">
        <v>0</v>
      </c>
      <c r="N811" s="148">
        <v>1</v>
      </c>
      <c r="O811" s="148">
        <v>0</v>
      </c>
      <c r="P811" s="148">
        <v>0</v>
      </c>
      <c r="Q811" s="149">
        <v>0</v>
      </c>
      <c r="R811" s="87">
        <v>1</v>
      </c>
      <c r="S811" s="147" t="s">
        <v>283</v>
      </c>
      <c r="T811" s="148">
        <v>1</v>
      </c>
      <c r="U811" s="147">
        <v>0</v>
      </c>
      <c r="V811" s="148">
        <v>0</v>
      </c>
      <c r="W811" s="148">
        <v>0</v>
      </c>
      <c r="X811" s="149"/>
      <c r="Y811" s="147">
        <v>1</v>
      </c>
      <c r="Z811" s="148"/>
      <c r="AA811" s="148"/>
      <c r="AB811" s="148"/>
      <c r="AC811" s="148"/>
      <c r="AD811" s="148">
        <v>6</v>
      </c>
      <c r="AE811" s="148">
        <v>23</v>
      </c>
      <c r="AF811" s="148"/>
      <c r="AG811" s="148"/>
      <c r="AH811" s="148"/>
      <c r="AI811" s="148"/>
      <c r="AJ811" s="148">
        <v>0</v>
      </c>
      <c r="AK811" s="147">
        <v>0</v>
      </c>
      <c r="AL811" s="148">
        <v>0</v>
      </c>
      <c r="AM811" s="148">
        <v>0</v>
      </c>
      <c r="AN811" s="148">
        <v>0</v>
      </c>
      <c r="AO811" s="149">
        <v>0</v>
      </c>
      <c r="AP811" s="169" t="s">
        <v>284</v>
      </c>
      <c r="AQ811" s="170" t="s">
        <v>284</v>
      </c>
      <c r="AR811" s="170" t="s">
        <v>284</v>
      </c>
      <c r="AS811" s="170" t="s">
        <v>284</v>
      </c>
      <c r="AT811" s="170" t="s">
        <v>284</v>
      </c>
      <c r="AU811" s="170" t="s">
        <v>284</v>
      </c>
      <c r="AV811" s="170" t="s">
        <v>284</v>
      </c>
      <c r="AW811" s="170" t="s">
        <v>284</v>
      </c>
      <c r="AX811" s="147">
        <v>0</v>
      </c>
      <c r="AY811" s="148">
        <v>0</v>
      </c>
      <c r="AZ811" s="148">
        <v>0</v>
      </c>
      <c r="BA811" s="148">
        <v>0</v>
      </c>
      <c r="BB811" s="149">
        <v>0</v>
      </c>
      <c r="BC811" s="87">
        <v>93</v>
      </c>
      <c r="BD811" s="148"/>
      <c r="BE811" s="158"/>
      <c r="BF811" s="148"/>
      <c r="BG811" s="148"/>
      <c r="BH811" s="148"/>
      <c r="BI811" s="148"/>
      <c r="BJ811" s="148"/>
      <c r="BK811" s="148"/>
      <c r="BL811" s="148"/>
      <c r="BM811" s="148"/>
      <c r="BN811" s="148"/>
      <c r="BO811" s="148"/>
      <c r="BP811" s="148"/>
      <c r="BQ811" s="148"/>
      <c r="BR811" s="148"/>
      <c r="BS811" s="149"/>
      <c r="BT811" s="147"/>
      <c r="BU811" s="148"/>
      <c r="BV811" s="148"/>
      <c r="BW811" s="148"/>
      <c r="BX811" s="148"/>
      <c r="BY811" s="148"/>
      <c r="BZ811" s="148"/>
      <c r="CA811" s="148"/>
      <c r="CB811" s="148"/>
      <c r="CC811" s="148"/>
      <c r="CD811" s="148"/>
      <c r="CE811" s="147"/>
      <c r="CF811" s="148"/>
      <c r="CG811" s="148"/>
      <c r="CH811" s="148"/>
      <c r="CI811" s="148"/>
      <c r="CJ811" s="148"/>
      <c r="CK811" s="149"/>
      <c r="CL811" s="147"/>
      <c r="CM811" s="148"/>
      <c r="CN811" s="148"/>
      <c r="CO811" s="149"/>
      <c r="CP811" s="147"/>
      <c r="CQ811" s="148"/>
      <c r="CR811" s="149"/>
      <c r="CS811" s="147"/>
      <c r="CT811" s="148"/>
      <c r="CU811" s="148"/>
      <c r="CV811" s="148"/>
      <c r="CW811" s="148"/>
      <c r="CX811" s="148"/>
      <c r="CY811" s="147"/>
      <c r="CZ811" s="148"/>
      <c r="DA811" s="148"/>
      <c r="DB811" s="148"/>
      <c r="DC811" s="148"/>
      <c r="DD811" s="148"/>
      <c r="DE811" s="148"/>
      <c r="DF811" s="148"/>
      <c r="DG811" s="149"/>
      <c r="DH811" s="147"/>
      <c r="DI811" s="148"/>
      <c r="DJ811" s="148"/>
      <c r="DK811" s="148"/>
      <c r="DL811" s="148"/>
      <c r="DM811" s="148"/>
      <c r="DN811" s="148"/>
      <c r="DO811" s="148"/>
      <c r="DP811" s="148"/>
      <c r="DQ811" s="147"/>
      <c r="DR811" s="148"/>
      <c r="DS811" s="148"/>
      <c r="DT811" s="148"/>
      <c r="DU811" s="148"/>
      <c r="DV811" s="148"/>
      <c r="DW811" s="148"/>
      <c r="DX811" s="148"/>
      <c r="DY811" s="148"/>
      <c r="DZ811" s="148"/>
      <c r="EA811" s="148"/>
      <c r="EB811" s="148"/>
      <c r="EC811" s="148"/>
      <c r="ED811" s="148"/>
      <c r="EE811" s="149"/>
      <c r="EF811" s="147"/>
      <c r="EG811" s="148"/>
      <c r="EH811" s="148"/>
      <c r="EI811" s="147"/>
      <c r="EJ811" s="148"/>
      <c r="EK811" s="149"/>
      <c r="EL811" s="147"/>
      <c r="EM811" s="148"/>
      <c r="EN811" s="148"/>
      <c r="EO811" s="149"/>
      <c r="EP811" s="147"/>
      <c r="EQ811" s="149"/>
      <c r="ER811" s="147"/>
      <c r="ES811" s="149"/>
      <c r="ET811" s="147"/>
      <c r="EU811" s="149"/>
    </row>
    <row r="812" spans="1:151">
      <c r="A812" s="83" t="s">
        <v>321</v>
      </c>
      <c r="B812" s="173" t="s">
        <v>257</v>
      </c>
      <c r="C812" s="173" t="s">
        <v>519</v>
      </c>
      <c r="D812" s="83" t="s">
        <v>69</v>
      </c>
      <c r="F812" s="49" t="s">
        <v>287</v>
      </c>
      <c r="G812" s="60">
        <v>2.7285333333333335</v>
      </c>
      <c r="I812" s="49">
        <v>884</v>
      </c>
      <c r="J812" s="159">
        <v>1.4444444444444444</v>
      </c>
      <c r="K812" s="49">
        <v>4</v>
      </c>
      <c r="L812" s="49">
        <v>3</v>
      </c>
      <c r="M812" s="83">
        <v>0</v>
      </c>
      <c r="N812" s="49">
        <v>2</v>
      </c>
      <c r="O812" s="49">
        <v>0</v>
      </c>
      <c r="P812" s="49">
        <v>0</v>
      </c>
      <c r="Q812" s="58">
        <v>0</v>
      </c>
      <c r="R812" s="42">
        <v>2</v>
      </c>
      <c r="S812" s="83">
        <v>1</v>
      </c>
      <c r="T812" s="49">
        <v>6</v>
      </c>
      <c r="U812" s="83">
        <v>1</v>
      </c>
      <c r="V812" s="49">
        <v>4</v>
      </c>
      <c r="W812" s="49">
        <v>2</v>
      </c>
      <c r="X812" s="58"/>
      <c r="Y812" s="83">
        <v>1</v>
      </c>
      <c r="Z812" s="49">
        <v>2</v>
      </c>
      <c r="AA812" s="49">
        <v>37</v>
      </c>
      <c r="AB812" s="49">
        <v>0</v>
      </c>
      <c r="AC812" s="49">
        <v>0</v>
      </c>
      <c r="AD812" s="49">
        <v>5</v>
      </c>
      <c r="AE812" s="49">
        <v>13</v>
      </c>
      <c r="AF812" s="49">
        <v>5</v>
      </c>
      <c r="AG812" s="49">
        <v>11</v>
      </c>
      <c r="AJ812" s="49">
        <v>1</v>
      </c>
      <c r="AK812" s="83">
        <v>0</v>
      </c>
      <c r="AL812" s="49">
        <v>1</v>
      </c>
      <c r="AM812" s="49">
        <v>0</v>
      </c>
      <c r="AN812" s="49">
        <v>0</v>
      </c>
      <c r="AO812" s="58">
        <v>0</v>
      </c>
      <c r="AP812" s="174">
        <v>0</v>
      </c>
      <c r="AQ812" s="175">
        <v>535</v>
      </c>
      <c r="AR812" s="175" t="s">
        <v>284</v>
      </c>
      <c r="AS812" s="175" t="s">
        <v>284</v>
      </c>
      <c r="AT812" s="175" t="s">
        <v>284</v>
      </c>
      <c r="AU812" s="175" t="s">
        <v>284</v>
      </c>
      <c r="AV812" s="175" t="s">
        <v>284</v>
      </c>
      <c r="AW812" s="175" t="s">
        <v>284</v>
      </c>
      <c r="AX812" s="83">
        <v>0</v>
      </c>
      <c r="AY812" s="49">
        <v>0</v>
      </c>
      <c r="AZ812" s="49">
        <v>0</v>
      </c>
      <c r="BA812" s="49">
        <v>0</v>
      </c>
      <c r="BB812" s="58">
        <v>0</v>
      </c>
      <c r="BC812" s="42">
        <v>120</v>
      </c>
      <c r="BS812" s="58"/>
      <c r="BT812" s="83"/>
      <c r="CE812" s="83"/>
      <c r="CK812" s="58"/>
      <c r="CL812" s="83"/>
      <c r="CO812" s="58"/>
      <c r="CP812" s="83"/>
      <c r="CR812" s="58"/>
      <c r="CS812" s="83"/>
      <c r="CY812" s="83"/>
      <c r="DG812" s="58"/>
      <c r="DH812" s="83"/>
      <c r="DQ812" s="83"/>
      <c r="EE812" s="58"/>
      <c r="EF812" s="83"/>
      <c r="EI812" s="83"/>
      <c r="EK812" s="58"/>
      <c r="EL812" s="83"/>
      <c r="EO812" s="58"/>
      <c r="EP812" s="83"/>
      <c r="EQ812" s="58"/>
      <c r="ER812" s="83"/>
      <c r="ES812" s="58"/>
      <c r="ET812" s="83"/>
      <c r="EU812" s="58"/>
    </row>
    <row r="813" spans="1:151">
      <c r="A813" s="83" t="s">
        <v>321</v>
      </c>
      <c r="B813" s="173" t="s">
        <v>257</v>
      </c>
      <c r="C813" s="173" t="s">
        <v>519</v>
      </c>
      <c r="D813" s="83" t="s">
        <v>74</v>
      </c>
      <c r="F813" s="49" t="s">
        <v>286</v>
      </c>
      <c r="G813" s="60">
        <v>2.7285333333333335</v>
      </c>
      <c r="I813" s="49">
        <v>2223</v>
      </c>
      <c r="J813" s="159">
        <v>2.8573264781491003</v>
      </c>
      <c r="K813" s="49">
        <v>1</v>
      </c>
      <c r="L813" s="49">
        <v>3</v>
      </c>
      <c r="M813" s="83">
        <v>1</v>
      </c>
      <c r="N813" s="49">
        <v>0</v>
      </c>
      <c r="O813" s="49">
        <v>0</v>
      </c>
      <c r="P813" s="49">
        <v>1</v>
      </c>
      <c r="Q813" s="58">
        <v>0</v>
      </c>
      <c r="R813" s="42">
        <v>2</v>
      </c>
      <c r="S813" s="83">
        <v>1</v>
      </c>
      <c r="T813" s="49">
        <v>4</v>
      </c>
      <c r="U813" s="83">
        <v>0</v>
      </c>
      <c r="V813" s="49">
        <v>0</v>
      </c>
      <c r="W813" s="49">
        <v>0</v>
      </c>
      <c r="X813" s="58"/>
      <c r="Y813" s="83">
        <v>1</v>
      </c>
      <c r="AF813" s="49">
        <v>7</v>
      </c>
      <c r="AG813" s="49">
        <v>56</v>
      </c>
      <c r="AI813" s="49">
        <v>123</v>
      </c>
      <c r="AJ813" s="49">
        <v>1</v>
      </c>
      <c r="AK813" s="83">
        <v>0</v>
      </c>
      <c r="AL813" s="49">
        <v>1</v>
      </c>
      <c r="AM813" s="49">
        <v>0</v>
      </c>
      <c r="AN813" s="49">
        <v>0</v>
      </c>
      <c r="AO813" s="58">
        <v>0</v>
      </c>
      <c r="AP813" s="174">
        <v>183</v>
      </c>
      <c r="AQ813" s="175">
        <v>486</v>
      </c>
      <c r="AR813" s="175" t="s">
        <v>284</v>
      </c>
      <c r="AS813" s="175" t="s">
        <v>284</v>
      </c>
      <c r="AT813" s="175" t="s">
        <v>284</v>
      </c>
      <c r="AU813" s="175" t="s">
        <v>284</v>
      </c>
      <c r="AV813" s="175" t="s">
        <v>284</v>
      </c>
      <c r="AW813" s="175" t="s">
        <v>284</v>
      </c>
      <c r="AX813" s="83">
        <v>0</v>
      </c>
      <c r="AY813" s="49">
        <v>0</v>
      </c>
      <c r="AZ813" s="49">
        <v>0</v>
      </c>
      <c r="BA813" s="49">
        <v>0</v>
      </c>
      <c r="BB813" s="58">
        <v>0</v>
      </c>
      <c r="BC813" s="42">
        <v>99</v>
      </c>
      <c r="BD813" s="183">
        <v>78</v>
      </c>
      <c r="BE813" s="49">
        <v>77.599999999999994</v>
      </c>
      <c r="BS813" s="58"/>
      <c r="BT813" s="83">
        <v>80.680000000000007</v>
      </c>
      <c r="BU813" s="49">
        <v>83.76</v>
      </c>
      <c r="CE813" s="83">
        <v>83.54</v>
      </c>
      <c r="CK813" s="58"/>
      <c r="CL813" s="83"/>
      <c r="CO813" s="58"/>
      <c r="CP813" s="83"/>
      <c r="CR813" s="58"/>
      <c r="CS813" s="83"/>
      <c r="CY813" s="83"/>
      <c r="DG813" s="58"/>
      <c r="DH813" s="83"/>
      <c r="DQ813" s="83"/>
      <c r="EE813" s="58"/>
      <c r="EF813" s="83"/>
      <c r="EI813" s="83"/>
      <c r="EK813" s="58"/>
      <c r="EL813" s="83"/>
      <c r="EO813" s="58"/>
      <c r="EP813" s="83"/>
      <c r="EQ813" s="58"/>
      <c r="ER813" s="83"/>
      <c r="ES813" s="58"/>
      <c r="ET813" s="83"/>
      <c r="EU813" s="58"/>
    </row>
    <row r="814" spans="1:151">
      <c r="A814" s="83" t="s">
        <v>321</v>
      </c>
      <c r="B814" s="173" t="s">
        <v>257</v>
      </c>
      <c r="C814" s="173" t="s">
        <v>519</v>
      </c>
      <c r="D814" s="83" t="s">
        <v>75</v>
      </c>
      <c r="F814" s="49" t="s">
        <v>286</v>
      </c>
      <c r="G814" s="60">
        <v>2.7285333333333335</v>
      </c>
      <c r="I814" s="49">
        <v>1349</v>
      </c>
      <c r="J814" s="159">
        <v>1.803475935828877</v>
      </c>
      <c r="K814" s="49">
        <v>4</v>
      </c>
      <c r="L814" s="49">
        <v>5</v>
      </c>
      <c r="M814" s="83">
        <v>0</v>
      </c>
      <c r="N814" s="49">
        <v>0</v>
      </c>
      <c r="O814" s="49">
        <v>1</v>
      </c>
      <c r="P814" s="49">
        <v>0</v>
      </c>
      <c r="Q814" s="58">
        <v>0</v>
      </c>
      <c r="R814" s="42">
        <v>1</v>
      </c>
      <c r="S814" s="83">
        <v>1</v>
      </c>
      <c r="U814" s="83">
        <v>1</v>
      </c>
      <c r="V814" s="49">
        <v>5</v>
      </c>
      <c r="W814" s="49">
        <v>1</v>
      </c>
      <c r="X814" s="58">
        <v>1</v>
      </c>
      <c r="Y814" s="83">
        <v>0</v>
      </c>
      <c r="AJ814" s="49">
        <v>0</v>
      </c>
      <c r="AK814" s="83">
        <v>0</v>
      </c>
      <c r="AL814" s="49">
        <v>1</v>
      </c>
      <c r="AM814" s="49">
        <v>0</v>
      </c>
      <c r="AN814" s="49">
        <v>0</v>
      </c>
      <c r="AO814" s="58">
        <v>0</v>
      </c>
      <c r="AP814" s="174">
        <v>0</v>
      </c>
      <c r="AQ814" s="175">
        <v>521</v>
      </c>
      <c r="AR814" s="175" t="s">
        <v>284</v>
      </c>
      <c r="AS814" s="175" t="s">
        <v>284</v>
      </c>
      <c r="AT814" s="175" t="s">
        <v>284</v>
      </c>
      <c r="AU814" s="175" t="s">
        <v>284</v>
      </c>
      <c r="AV814" s="175" t="s">
        <v>284</v>
      </c>
      <c r="AW814" s="175" t="s">
        <v>284</v>
      </c>
      <c r="AX814" s="83"/>
      <c r="BB814" s="58">
        <v>0</v>
      </c>
      <c r="BC814" s="42">
        <v>21</v>
      </c>
      <c r="BS814" s="58"/>
      <c r="BT814" s="83"/>
      <c r="CE814" s="83"/>
      <c r="CK814" s="58"/>
      <c r="CL814" s="83"/>
      <c r="CO814" s="58"/>
      <c r="CP814" s="83"/>
      <c r="CR814" s="58"/>
      <c r="CS814" s="83"/>
      <c r="CY814" s="83"/>
      <c r="DG814" s="58"/>
      <c r="DH814" s="83"/>
      <c r="DQ814" s="83"/>
      <c r="EE814" s="58"/>
      <c r="EF814" s="83"/>
      <c r="EI814" s="83"/>
      <c r="EK814" s="58"/>
      <c r="EL814" s="83"/>
      <c r="EO814" s="58"/>
      <c r="EP814" s="83"/>
      <c r="EQ814" s="58"/>
      <c r="ER814" s="83"/>
      <c r="ES814" s="58"/>
      <c r="ET814" s="83"/>
      <c r="EU814" s="58"/>
    </row>
    <row r="815" spans="1:151">
      <c r="A815" s="83" t="s">
        <v>321</v>
      </c>
      <c r="B815" s="173" t="s">
        <v>257</v>
      </c>
      <c r="C815" s="173" t="s">
        <v>519</v>
      </c>
      <c r="D815" s="83" t="s">
        <v>81</v>
      </c>
      <c r="F815" s="49" t="s">
        <v>287</v>
      </c>
      <c r="G815" s="60">
        <v>2.7285333333333335</v>
      </c>
      <c r="H815" s="49">
        <v>4331</v>
      </c>
      <c r="I815" s="49">
        <v>583</v>
      </c>
      <c r="J815" s="159">
        <v>1.4184914841849148</v>
      </c>
      <c r="K815" s="49">
        <v>1</v>
      </c>
      <c r="L815" s="49">
        <v>2</v>
      </c>
      <c r="M815" s="83">
        <v>0</v>
      </c>
      <c r="N815" s="49">
        <v>2</v>
      </c>
      <c r="O815" s="49">
        <v>1</v>
      </c>
      <c r="P815" s="49">
        <v>1</v>
      </c>
      <c r="Q815" s="58">
        <v>0</v>
      </c>
      <c r="R815" s="42">
        <v>4</v>
      </c>
      <c r="S815" s="83" t="s">
        <v>283</v>
      </c>
      <c r="T815" s="49">
        <v>1</v>
      </c>
      <c r="U815" s="83">
        <v>1</v>
      </c>
      <c r="V815" s="49">
        <v>3</v>
      </c>
      <c r="W815" s="49">
        <v>1</v>
      </c>
      <c r="X815" s="58">
        <v>1</v>
      </c>
      <c r="Y815" s="83">
        <v>5</v>
      </c>
      <c r="Z815" s="49">
        <v>2</v>
      </c>
      <c r="AA815" s="49">
        <v>45</v>
      </c>
      <c r="AF815" s="49">
        <v>22</v>
      </c>
      <c r="AG815" s="49">
        <v>42</v>
      </c>
      <c r="AJ815" s="49">
        <v>1</v>
      </c>
      <c r="AK815" s="83">
        <v>0</v>
      </c>
      <c r="AL815" s="49">
        <v>0</v>
      </c>
      <c r="AM815" s="49">
        <v>0</v>
      </c>
      <c r="AN815" s="49">
        <v>0</v>
      </c>
      <c r="AO815" s="58">
        <v>0</v>
      </c>
      <c r="AP815" s="174" t="s">
        <v>284</v>
      </c>
      <c r="AQ815" s="175" t="s">
        <v>284</v>
      </c>
      <c r="AR815" s="175" t="s">
        <v>284</v>
      </c>
      <c r="AS815" s="175" t="s">
        <v>284</v>
      </c>
      <c r="AT815" s="175" t="s">
        <v>284</v>
      </c>
      <c r="AU815" s="175" t="s">
        <v>284</v>
      </c>
      <c r="AV815" s="175" t="s">
        <v>284</v>
      </c>
      <c r="AW815" s="175" t="s">
        <v>284</v>
      </c>
      <c r="AX815" s="83">
        <v>0</v>
      </c>
      <c r="AY815" s="49">
        <v>0</v>
      </c>
      <c r="AZ815" s="49">
        <v>0</v>
      </c>
      <c r="BA815" s="49">
        <v>0</v>
      </c>
      <c r="BB815" s="58">
        <v>0</v>
      </c>
      <c r="BC815" s="42">
        <v>17</v>
      </c>
      <c r="BD815" s="49">
        <v>83.19</v>
      </c>
      <c r="BS815" s="58"/>
      <c r="BT815" s="83">
        <v>80.17</v>
      </c>
      <c r="CE815" s="83"/>
      <c r="CK815" s="58"/>
      <c r="CL815" s="83"/>
      <c r="CO815" s="58"/>
      <c r="CP815" s="83"/>
      <c r="CR815" s="58"/>
      <c r="CS815" s="83"/>
      <c r="CY815" s="83"/>
      <c r="DG815" s="58"/>
      <c r="DH815" s="83"/>
      <c r="DQ815" s="83">
        <v>74.97</v>
      </c>
      <c r="DR815" s="49">
        <v>79.52</v>
      </c>
      <c r="EE815" s="58"/>
      <c r="EF815" s="83"/>
      <c r="EI815" s="83"/>
      <c r="EK815" s="58"/>
      <c r="EL815" s="83"/>
      <c r="EO815" s="58"/>
      <c r="EP815" s="83"/>
      <c r="EQ815" s="58"/>
      <c r="ER815" s="83"/>
      <c r="ES815" s="58"/>
      <c r="ET815" s="83"/>
      <c r="EU815" s="58"/>
    </row>
    <row r="816" spans="1:151">
      <c r="A816" s="83" t="s">
        <v>321</v>
      </c>
      <c r="B816" s="173" t="s">
        <v>257</v>
      </c>
      <c r="C816" s="173" t="s">
        <v>519</v>
      </c>
      <c r="D816" s="83" t="s">
        <v>87</v>
      </c>
      <c r="F816" s="49" t="s">
        <v>286</v>
      </c>
      <c r="G816" s="60">
        <v>2.7285333333333335</v>
      </c>
      <c r="H816" s="49">
        <v>4331</v>
      </c>
      <c r="I816" s="49">
        <v>1503</v>
      </c>
      <c r="J816" s="159">
        <v>1.1002928257686677</v>
      </c>
      <c r="K816" s="49">
        <v>4</v>
      </c>
      <c r="L816" s="49">
        <v>5</v>
      </c>
      <c r="M816" s="83">
        <v>0</v>
      </c>
      <c r="N816" s="49">
        <v>0</v>
      </c>
      <c r="O816" s="49">
        <v>0</v>
      </c>
      <c r="P816" s="49">
        <v>0</v>
      </c>
      <c r="Q816" s="58">
        <v>0</v>
      </c>
      <c r="R816" s="42">
        <v>0</v>
      </c>
      <c r="S816" s="83" t="s">
        <v>284</v>
      </c>
      <c r="U816" s="83">
        <v>1</v>
      </c>
      <c r="V816" s="49">
        <v>5</v>
      </c>
      <c r="W816" s="49">
        <v>2</v>
      </c>
      <c r="X816" s="58"/>
      <c r="Y816" s="83">
        <v>2</v>
      </c>
      <c r="Z816" s="49">
        <v>9</v>
      </c>
      <c r="AA816" s="49">
        <v>34</v>
      </c>
      <c r="AD816" s="49">
        <v>11</v>
      </c>
      <c r="AE816" s="49">
        <v>14</v>
      </c>
      <c r="AF816" s="49">
        <v>15</v>
      </c>
      <c r="AG816" s="49">
        <v>181</v>
      </c>
      <c r="AJ816" s="49">
        <v>1</v>
      </c>
      <c r="AK816" s="83">
        <v>0</v>
      </c>
      <c r="AL816" s="49">
        <v>0</v>
      </c>
      <c r="AM816" s="49">
        <v>0</v>
      </c>
      <c r="AN816" s="49">
        <v>0</v>
      </c>
      <c r="AO816" s="58">
        <v>0</v>
      </c>
      <c r="AP816" s="174" t="s">
        <v>284</v>
      </c>
      <c r="AQ816" s="175" t="s">
        <v>284</v>
      </c>
      <c r="AR816" s="175" t="s">
        <v>284</v>
      </c>
      <c r="AS816" s="175" t="s">
        <v>284</v>
      </c>
      <c r="AT816" s="175" t="s">
        <v>284</v>
      </c>
      <c r="AU816" s="175" t="s">
        <v>284</v>
      </c>
      <c r="AV816" s="175" t="s">
        <v>284</v>
      </c>
      <c r="AW816" s="175" t="s">
        <v>284</v>
      </c>
      <c r="AX816" s="83">
        <v>0</v>
      </c>
      <c r="AY816" s="49">
        <v>0</v>
      </c>
      <c r="AZ816" s="49">
        <v>0</v>
      </c>
      <c r="BA816" s="49">
        <v>0</v>
      </c>
      <c r="BB816" s="58">
        <v>0</v>
      </c>
      <c r="BC816" s="42">
        <v>41</v>
      </c>
      <c r="BS816" s="58"/>
      <c r="BT816" s="83"/>
      <c r="CE816" s="83"/>
      <c r="CK816" s="58"/>
      <c r="CL816" s="83"/>
      <c r="CO816" s="58"/>
      <c r="CP816" s="83"/>
      <c r="CR816" s="58"/>
      <c r="CS816" s="83"/>
      <c r="CY816" s="83"/>
      <c r="DG816" s="58"/>
      <c r="DH816" s="83"/>
      <c r="DQ816" s="83"/>
      <c r="EE816" s="58"/>
      <c r="EF816" s="83"/>
      <c r="EI816" s="83"/>
      <c r="EK816" s="58"/>
      <c r="EL816" s="83"/>
      <c r="EO816" s="58"/>
      <c r="EP816" s="83"/>
      <c r="EQ816" s="58"/>
      <c r="ER816" s="83"/>
      <c r="ES816" s="58"/>
      <c r="ET816" s="83"/>
      <c r="EU816" s="58"/>
    </row>
    <row r="817" spans="1:151">
      <c r="A817" s="83" t="s">
        <v>321</v>
      </c>
      <c r="B817" s="173" t="s">
        <v>257</v>
      </c>
      <c r="C817" s="173" t="s">
        <v>519</v>
      </c>
      <c r="D817" s="83" t="s">
        <v>88</v>
      </c>
      <c r="F817" s="49" t="s">
        <v>287</v>
      </c>
      <c r="G817" s="60">
        <v>2.7285333333333335</v>
      </c>
      <c r="H817" s="49">
        <v>4331</v>
      </c>
      <c r="I817" s="49">
        <v>918</v>
      </c>
      <c r="J817" s="159">
        <v>1.2893258426966292</v>
      </c>
      <c r="K817" s="49">
        <v>1</v>
      </c>
      <c r="L817" s="49">
        <v>2</v>
      </c>
      <c r="M817" s="83">
        <v>0</v>
      </c>
      <c r="N817" s="49">
        <v>1</v>
      </c>
      <c r="O817" s="49">
        <v>1</v>
      </c>
      <c r="P817" s="49">
        <v>1</v>
      </c>
      <c r="Q817" s="58">
        <v>0</v>
      </c>
      <c r="R817" s="42">
        <v>3</v>
      </c>
      <c r="S817" s="83" t="s">
        <v>283</v>
      </c>
      <c r="T817" s="49">
        <v>10</v>
      </c>
      <c r="U817" s="83">
        <v>2</v>
      </c>
      <c r="V817" s="49">
        <v>2</v>
      </c>
      <c r="W817" s="49">
        <v>3</v>
      </c>
      <c r="X817" s="58">
        <v>2</v>
      </c>
      <c r="Y817" s="83" t="s">
        <v>78</v>
      </c>
      <c r="AD817" s="49">
        <v>13</v>
      </c>
      <c r="AE817" s="49">
        <v>35</v>
      </c>
      <c r="AJ817" s="49">
        <v>0</v>
      </c>
      <c r="AK817" s="83">
        <v>0</v>
      </c>
      <c r="AL817" s="49">
        <v>1</v>
      </c>
      <c r="AM817" s="49">
        <v>1</v>
      </c>
      <c r="AN817" s="49">
        <v>0</v>
      </c>
      <c r="AO817" s="58">
        <v>0</v>
      </c>
      <c r="AP817" s="174">
        <v>0</v>
      </c>
      <c r="AQ817" s="175">
        <v>49</v>
      </c>
      <c r="AR817" s="175">
        <v>9</v>
      </c>
      <c r="AS817" s="175">
        <v>19</v>
      </c>
      <c r="AT817" s="175" t="s">
        <v>284</v>
      </c>
      <c r="AU817" s="175" t="s">
        <v>284</v>
      </c>
      <c r="AV817" s="175" t="s">
        <v>284</v>
      </c>
      <c r="AW817" s="175" t="s">
        <v>284</v>
      </c>
      <c r="AX817" s="83">
        <v>0</v>
      </c>
      <c r="AY817" s="49">
        <v>0</v>
      </c>
      <c r="AZ817" s="49">
        <v>0</v>
      </c>
      <c r="BA817" s="49">
        <v>0</v>
      </c>
      <c r="BB817" s="58">
        <v>0</v>
      </c>
      <c r="BC817" s="42">
        <v>19</v>
      </c>
      <c r="BS817" s="58"/>
      <c r="BT817" s="83"/>
      <c r="CE817" s="83"/>
      <c r="CK817" s="58"/>
      <c r="CL817" s="83"/>
      <c r="CO817" s="58"/>
      <c r="CP817" s="83"/>
      <c r="CR817" s="58"/>
      <c r="CS817" s="83"/>
      <c r="CY817" s="83"/>
      <c r="DG817" s="58"/>
      <c r="DH817" s="83"/>
      <c r="DQ817" s="83"/>
      <c r="EE817" s="58"/>
      <c r="EF817" s="83"/>
      <c r="EI817" s="83"/>
      <c r="EK817" s="58"/>
      <c r="EL817" s="83"/>
      <c r="EO817" s="58"/>
      <c r="EP817" s="83"/>
      <c r="EQ817" s="58"/>
      <c r="ER817" s="83"/>
      <c r="ES817" s="58"/>
      <c r="ET817" s="83"/>
      <c r="EU817" s="58"/>
    </row>
    <row r="818" spans="1:151">
      <c r="A818" s="83" t="s">
        <v>321</v>
      </c>
      <c r="B818" s="173" t="s">
        <v>257</v>
      </c>
      <c r="C818" s="173" t="s">
        <v>519</v>
      </c>
      <c r="D818" s="83" t="s">
        <v>111</v>
      </c>
      <c r="F818" s="49" t="s">
        <v>287</v>
      </c>
      <c r="G818" s="60">
        <v>2.7285333333333335</v>
      </c>
      <c r="H818" s="49">
        <v>4331</v>
      </c>
      <c r="I818" s="49">
        <v>931</v>
      </c>
      <c r="J818" s="159">
        <v>1.3591240875912409</v>
      </c>
      <c r="K818" s="49">
        <v>4</v>
      </c>
      <c r="L818" s="49">
        <v>5</v>
      </c>
      <c r="M818" s="83">
        <v>0</v>
      </c>
      <c r="N818" s="49">
        <v>0</v>
      </c>
      <c r="O818" s="49">
        <v>0</v>
      </c>
      <c r="P818" s="49">
        <v>0</v>
      </c>
      <c r="Q818" s="58">
        <v>0</v>
      </c>
      <c r="R818" s="42">
        <v>0</v>
      </c>
      <c r="S818" s="83" t="s">
        <v>283</v>
      </c>
      <c r="T818" s="49">
        <v>2</v>
      </c>
      <c r="U818" s="83">
        <v>1</v>
      </c>
      <c r="V818" s="49">
        <v>5</v>
      </c>
      <c r="W818" s="49">
        <v>2</v>
      </c>
      <c r="X818" s="58"/>
      <c r="Y818" s="83">
        <v>0</v>
      </c>
      <c r="AJ818" s="49">
        <v>0</v>
      </c>
      <c r="AK818" s="83">
        <v>0</v>
      </c>
      <c r="AL818" s="49">
        <v>0</v>
      </c>
      <c r="AM818" s="49">
        <v>0</v>
      </c>
      <c r="AN818" s="49">
        <v>0</v>
      </c>
      <c r="AO818" s="58">
        <v>0</v>
      </c>
      <c r="AP818" s="174" t="s">
        <v>284</v>
      </c>
      <c r="AQ818" s="175" t="s">
        <v>284</v>
      </c>
      <c r="AR818" s="175" t="s">
        <v>284</v>
      </c>
      <c r="AS818" s="175" t="s">
        <v>284</v>
      </c>
      <c r="AT818" s="175" t="s">
        <v>284</v>
      </c>
      <c r="AU818" s="175" t="s">
        <v>284</v>
      </c>
      <c r="AV818" s="175" t="s">
        <v>284</v>
      </c>
      <c r="AW818" s="175" t="s">
        <v>284</v>
      </c>
      <c r="AX818" s="83">
        <v>0</v>
      </c>
      <c r="AY818" s="49">
        <v>0</v>
      </c>
      <c r="AZ818" s="49">
        <v>0</v>
      </c>
      <c r="BA818" s="49">
        <v>0</v>
      </c>
      <c r="BB818" s="58">
        <v>0</v>
      </c>
      <c r="BC818" s="42">
        <v>32</v>
      </c>
      <c r="BS818" s="58"/>
      <c r="BT818" s="83"/>
      <c r="CE818" s="83"/>
      <c r="CK818" s="58"/>
      <c r="CL818" s="83"/>
      <c r="CO818" s="58"/>
      <c r="CP818" s="83"/>
      <c r="CR818" s="58"/>
      <c r="CS818" s="83"/>
      <c r="CY818" s="83"/>
      <c r="DG818" s="58"/>
      <c r="DH818" s="83"/>
      <c r="DQ818" s="83"/>
      <c r="EE818" s="58"/>
      <c r="EF818" s="83"/>
      <c r="EI818" s="83"/>
      <c r="EK818" s="58"/>
      <c r="EL818" s="83"/>
      <c r="EO818" s="58"/>
      <c r="EP818" s="83"/>
      <c r="EQ818" s="58"/>
      <c r="ER818" s="83"/>
      <c r="ES818" s="58"/>
      <c r="ET818" s="83"/>
      <c r="EU818" s="58"/>
    </row>
    <row r="819" spans="1:151">
      <c r="A819" s="83" t="s">
        <v>321</v>
      </c>
      <c r="B819" s="173" t="s">
        <v>257</v>
      </c>
      <c r="C819" s="173" t="s">
        <v>519</v>
      </c>
      <c r="D819" s="83" t="s">
        <v>92</v>
      </c>
      <c r="F819" s="49" t="s">
        <v>286</v>
      </c>
      <c r="G819" s="60">
        <v>2.7285333333333335</v>
      </c>
      <c r="H819" s="49">
        <v>4331</v>
      </c>
      <c r="I819" s="49">
        <v>1297</v>
      </c>
      <c r="J819" s="159">
        <v>1.390139335476956</v>
      </c>
      <c r="K819" s="49">
        <v>1</v>
      </c>
      <c r="L819" s="49">
        <v>3</v>
      </c>
      <c r="M819" s="83">
        <v>0</v>
      </c>
      <c r="N819" s="49">
        <v>2</v>
      </c>
      <c r="O819" s="49">
        <v>1</v>
      </c>
      <c r="P819" s="49">
        <v>1</v>
      </c>
      <c r="Q819" s="58">
        <v>0</v>
      </c>
      <c r="R819" s="42">
        <v>4</v>
      </c>
      <c r="S819" s="83" t="s">
        <v>284</v>
      </c>
      <c r="U819" s="83">
        <v>2</v>
      </c>
      <c r="V819" s="49">
        <v>2</v>
      </c>
      <c r="W819" s="49">
        <v>1</v>
      </c>
      <c r="X819" s="58">
        <v>3</v>
      </c>
      <c r="Y819" s="83">
        <v>2</v>
      </c>
      <c r="Z819" s="49">
        <v>3</v>
      </c>
      <c r="AA819" s="49">
        <v>7</v>
      </c>
      <c r="AD819" s="49">
        <v>6</v>
      </c>
      <c r="AE819" s="49">
        <v>40</v>
      </c>
      <c r="AF819" s="49">
        <v>5</v>
      </c>
      <c r="AG819" s="49">
        <v>98</v>
      </c>
      <c r="AH819" s="49">
        <v>18</v>
      </c>
      <c r="AI819" s="49">
        <v>60</v>
      </c>
      <c r="AJ819" s="49">
        <v>1</v>
      </c>
      <c r="AK819" s="83">
        <v>0</v>
      </c>
      <c r="AL819" s="49">
        <v>0</v>
      </c>
      <c r="AM819" s="49">
        <v>0</v>
      </c>
      <c r="AN819" s="49">
        <v>0</v>
      </c>
      <c r="AO819" s="58">
        <v>0</v>
      </c>
      <c r="AP819" s="174" t="s">
        <v>284</v>
      </c>
      <c r="AQ819" s="175" t="s">
        <v>284</v>
      </c>
      <c r="AR819" s="175" t="s">
        <v>284</v>
      </c>
      <c r="AS819" s="175" t="s">
        <v>284</v>
      </c>
      <c r="AT819" s="175" t="s">
        <v>284</v>
      </c>
      <c r="AU819" s="175" t="s">
        <v>284</v>
      </c>
      <c r="AV819" s="175" t="s">
        <v>284</v>
      </c>
      <c r="AW819" s="175" t="s">
        <v>284</v>
      </c>
      <c r="AX819" s="83">
        <v>0</v>
      </c>
      <c r="AY819" s="49">
        <v>0</v>
      </c>
      <c r="AZ819" s="49">
        <v>0</v>
      </c>
      <c r="BA819" s="49">
        <v>0</v>
      </c>
      <c r="BB819" s="58">
        <v>0</v>
      </c>
      <c r="BC819" s="42">
        <v>36</v>
      </c>
      <c r="BS819" s="58"/>
      <c r="BT819" s="83"/>
      <c r="CE819" s="83"/>
      <c r="CK819" s="58"/>
      <c r="CL819" s="83"/>
      <c r="CO819" s="58"/>
      <c r="CP819" s="83"/>
      <c r="CR819" s="58"/>
      <c r="CS819" s="83"/>
      <c r="CY819" s="83"/>
      <c r="DG819" s="58"/>
      <c r="DH819" s="83"/>
      <c r="DQ819" s="83"/>
      <c r="EE819" s="58"/>
      <c r="EF819" s="83"/>
      <c r="EI819" s="83"/>
      <c r="EK819" s="58"/>
      <c r="EL819" s="83"/>
      <c r="EO819" s="58"/>
      <c r="EP819" s="83"/>
      <c r="EQ819" s="58"/>
      <c r="ER819" s="83"/>
      <c r="ES819" s="58"/>
      <c r="ET819" s="83"/>
      <c r="EU819" s="58"/>
    </row>
    <row r="820" spans="1:151">
      <c r="A820" s="83" t="s">
        <v>321</v>
      </c>
      <c r="B820" s="173" t="s">
        <v>257</v>
      </c>
      <c r="C820" s="173" t="s">
        <v>519</v>
      </c>
      <c r="D820" s="83" t="s">
        <v>93</v>
      </c>
      <c r="F820" s="49" t="s">
        <v>286</v>
      </c>
      <c r="G820" s="60">
        <v>2.7285333333333335</v>
      </c>
      <c r="H820" s="49">
        <v>4331</v>
      </c>
      <c r="I820" s="49">
        <v>1708</v>
      </c>
      <c r="J820" s="159">
        <v>3.168831168831169</v>
      </c>
      <c r="K820" s="49">
        <v>1</v>
      </c>
      <c r="L820" s="49">
        <v>3</v>
      </c>
      <c r="M820" s="83">
        <v>0</v>
      </c>
      <c r="N820" s="49">
        <v>3</v>
      </c>
      <c r="O820" s="49">
        <v>0</v>
      </c>
      <c r="P820" s="49">
        <v>0</v>
      </c>
      <c r="Q820" s="58">
        <v>0</v>
      </c>
      <c r="R820" s="42">
        <v>3</v>
      </c>
      <c r="S820" s="83" t="s">
        <v>283</v>
      </c>
      <c r="T820" s="49">
        <v>12</v>
      </c>
      <c r="U820" s="83">
        <v>1</v>
      </c>
      <c r="V820" s="49">
        <v>3</v>
      </c>
      <c r="W820" s="49">
        <v>2</v>
      </c>
      <c r="X820" s="58"/>
      <c r="Y820" s="83">
        <v>3</v>
      </c>
      <c r="Z820" s="49">
        <v>4</v>
      </c>
      <c r="AA820" s="49">
        <v>9</v>
      </c>
      <c r="AF820" s="49">
        <v>3</v>
      </c>
      <c r="AG820" s="49">
        <v>52</v>
      </c>
      <c r="AH820" s="49">
        <v>10</v>
      </c>
      <c r="AI820" s="49">
        <v>149</v>
      </c>
      <c r="AJ820" s="49">
        <v>1</v>
      </c>
      <c r="AK820" s="83">
        <v>0</v>
      </c>
      <c r="AL820" s="49">
        <v>0</v>
      </c>
      <c r="AM820" s="49">
        <v>1</v>
      </c>
      <c r="AN820" s="49">
        <v>0</v>
      </c>
      <c r="AO820" s="58">
        <v>0</v>
      </c>
      <c r="AP820" s="174" t="s">
        <v>284</v>
      </c>
      <c r="AQ820" s="175" t="s">
        <v>284</v>
      </c>
      <c r="AR820" s="175" t="s">
        <v>501</v>
      </c>
      <c r="AS820" s="175" t="s">
        <v>501</v>
      </c>
      <c r="AT820" s="175" t="s">
        <v>284</v>
      </c>
      <c r="AU820" s="175" t="s">
        <v>284</v>
      </c>
      <c r="AV820" s="175" t="s">
        <v>284</v>
      </c>
      <c r="AW820" s="175" t="s">
        <v>284</v>
      </c>
      <c r="AX820" s="83">
        <v>0</v>
      </c>
      <c r="AY820" s="49">
        <v>0</v>
      </c>
      <c r="AZ820" s="49">
        <v>0</v>
      </c>
      <c r="BA820" s="49">
        <v>0</v>
      </c>
      <c r="BB820" s="58">
        <v>0</v>
      </c>
      <c r="BC820" s="42">
        <v>80</v>
      </c>
      <c r="BD820" s="49">
        <v>81.59</v>
      </c>
      <c r="BE820" s="159">
        <v>83.58</v>
      </c>
      <c r="BS820" s="58"/>
      <c r="BT820" s="83"/>
      <c r="CE820" s="83"/>
      <c r="CK820" s="58"/>
      <c r="CL820" s="83">
        <v>74.260000000000005</v>
      </c>
      <c r="CO820" s="58"/>
      <c r="CP820" s="83"/>
      <c r="CR820" s="58"/>
      <c r="CS820" s="83"/>
      <c r="CY820" s="83"/>
      <c r="DG820" s="58"/>
      <c r="DH820" s="83"/>
      <c r="DQ820" s="83">
        <v>76.489999999999995</v>
      </c>
      <c r="EE820" s="58"/>
      <c r="EF820" s="83"/>
      <c r="EI820" s="83"/>
      <c r="EK820" s="58"/>
      <c r="EL820" s="83"/>
      <c r="EO820" s="58"/>
      <c r="EP820" s="83"/>
      <c r="EQ820" s="58"/>
      <c r="ER820" s="83"/>
      <c r="ES820" s="58"/>
      <c r="ET820" s="83"/>
      <c r="EU820" s="58"/>
    </row>
    <row r="821" spans="1:151">
      <c r="A821" s="83" t="s">
        <v>321</v>
      </c>
      <c r="B821" s="173" t="s">
        <v>257</v>
      </c>
      <c r="C821" s="173" t="s">
        <v>519</v>
      </c>
      <c r="D821" s="83" t="s">
        <v>112</v>
      </c>
      <c r="F821" s="49" t="s">
        <v>286</v>
      </c>
      <c r="G821" s="60">
        <v>2.7285333333333335</v>
      </c>
      <c r="H821" s="49">
        <v>4331</v>
      </c>
      <c r="I821" s="49">
        <v>2333</v>
      </c>
      <c r="J821" s="159">
        <v>2.5665566556655666</v>
      </c>
      <c r="K821" s="49">
        <v>4</v>
      </c>
      <c r="L821" s="49">
        <v>3</v>
      </c>
      <c r="M821" s="83">
        <v>0</v>
      </c>
      <c r="N821" s="49">
        <v>1</v>
      </c>
      <c r="O821" s="49">
        <v>1</v>
      </c>
      <c r="P821" s="49">
        <v>1</v>
      </c>
      <c r="Q821" s="58">
        <v>0</v>
      </c>
      <c r="R821" s="42">
        <v>3</v>
      </c>
      <c r="S821" s="83" t="s">
        <v>284</v>
      </c>
      <c r="U821" s="83">
        <v>2</v>
      </c>
      <c r="V821" s="49">
        <v>3</v>
      </c>
      <c r="W821" s="49">
        <v>3</v>
      </c>
      <c r="X821" s="58">
        <v>1</v>
      </c>
      <c r="Y821" s="83" t="s">
        <v>78</v>
      </c>
      <c r="AF821" s="49">
        <v>6</v>
      </c>
      <c r="AG821" s="49">
        <v>22</v>
      </c>
      <c r="AJ821" s="49">
        <v>0</v>
      </c>
      <c r="AK821" s="83">
        <v>0</v>
      </c>
      <c r="AL821" s="49">
        <v>0</v>
      </c>
      <c r="AM821" s="49">
        <v>0</v>
      </c>
      <c r="AN821" s="49">
        <v>0</v>
      </c>
      <c r="AO821" s="58">
        <v>0</v>
      </c>
      <c r="AP821" s="174" t="s">
        <v>284</v>
      </c>
      <c r="AQ821" s="175" t="s">
        <v>284</v>
      </c>
      <c r="AR821" s="175" t="s">
        <v>284</v>
      </c>
      <c r="AS821" s="175" t="s">
        <v>284</v>
      </c>
      <c r="AT821" s="175" t="s">
        <v>284</v>
      </c>
      <c r="AU821" s="175" t="s">
        <v>284</v>
      </c>
      <c r="AV821" s="175" t="s">
        <v>284</v>
      </c>
      <c r="AW821" s="175" t="s">
        <v>284</v>
      </c>
      <c r="AX821" s="83">
        <v>0</v>
      </c>
      <c r="AY821" s="49">
        <v>0</v>
      </c>
      <c r="AZ821" s="49">
        <v>0</v>
      </c>
      <c r="BA821" s="49">
        <v>0</v>
      </c>
      <c r="BB821" s="58">
        <v>0</v>
      </c>
      <c r="BC821" s="42">
        <v>36</v>
      </c>
      <c r="BS821" s="58"/>
      <c r="BT821" s="83">
        <v>80.89</v>
      </c>
      <c r="BU821" s="49">
        <v>79.03</v>
      </c>
      <c r="BV821" s="49">
        <v>82.27</v>
      </c>
      <c r="CE821" s="83"/>
      <c r="CK821" s="58"/>
      <c r="CL821" s="83"/>
      <c r="CO821" s="58"/>
      <c r="CP821" s="83"/>
      <c r="CR821" s="58"/>
      <c r="CS821" s="83"/>
      <c r="CY821" s="83"/>
      <c r="DG821" s="58"/>
      <c r="DH821" s="83"/>
      <c r="DQ821" s="83"/>
      <c r="EE821" s="58"/>
      <c r="EF821" s="83"/>
      <c r="EI821" s="83"/>
      <c r="EK821" s="58"/>
      <c r="EL821" s="83"/>
      <c r="EO821" s="58"/>
      <c r="EP821" s="83"/>
      <c r="EQ821" s="58"/>
      <c r="ER821" s="83"/>
      <c r="ES821" s="58"/>
      <c r="ET821" s="83"/>
      <c r="EU821" s="58"/>
    </row>
    <row r="822" spans="1:151">
      <c r="A822" s="83" t="s">
        <v>321</v>
      </c>
      <c r="B822" s="173" t="s">
        <v>257</v>
      </c>
      <c r="C822" s="173" t="s">
        <v>519</v>
      </c>
      <c r="D822" s="83" t="s">
        <v>94</v>
      </c>
      <c r="F822" s="49" t="s">
        <v>287</v>
      </c>
      <c r="G822" s="60">
        <v>2.7285333333333335</v>
      </c>
      <c r="H822" s="49">
        <v>4331</v>
      </c>
      <c r="I822" s="49">
        <v>955</v>
      </c>
      <c r="J822" s="159">
        <v>2.3349633251833741</v>
      </c>
      <c r="K822" s="49">
        <v>4</v>
      </c>
      <c r="L822" s="49">
        <v>4</v>
      </c>
      <c r="M822" s="83">
        <v>0</v>
      </c>
      <c r="N822" s="49">
        <v>0</v>
      </c>
      <c r="O822" s="49">
        <v>0</v>
      </c>
      <c r="P822" s="49">
        <v>1</v>
      </c>
      <c r="Q822" s="58">
        <v>0</v>
      </c>
      <c r="R822" s="42">
        <v>1</v>
      </c>
      <c r="S822" s="83" t="s">
        <v>283</v>
      </c>
      <c r="T822" s="49">
        <v>2</v>
      </c>
      <c r="U822" s="83">
        <v>2</v>
      </c>
      <c r="V822" s="49">
        <v>3</v>
      </c>
      <c r="W822" s="49">
        <v>3</v>
      </c>
      <c r="X822" s="58">
        <v>2</v>
      </c>
      <c r="Y822" s="83">
        <v>2</v>
      </c>
      <c r="AD822" s="49">
        <v>6</v>
      </c>
      <c r="AE822" s="49">
        <v>25</v>
      </c>
      <c r="AF822" s="49">
        <v>6</v>
      </c>
      <c r="AG822" s="49">
        <v>15</v>
      </c>
      <c r="AJ822" s="49">
        <v>1</v>
      </c>
      <c r="AK822" s="83">
        <v>0</v>
      </c>
      <c r="AL822" s="49">
        <v>0</v>
      </c>
      <c r="AM822" s="49">
        <v>0</v>
      </c>
      <c r="AN822" s="49">
        <v>0</v>
      </c>
      <c r="AO822" s="58">
        <v>0</v>
      </c>
      <c r="AP822" s="174" t="s">
        <v>284</v>
      </c>
      <c r="AQ822" s="175" t="s">
        <v>284</v>
      </c>
      <c r="AR822" s="175" t="s">
        <v>284</v>
      </c>
      <c r="AS822" s="175" t="s">
        <v>284</v>
      </c>
      <c r="AT822" s="175" t="s">
        <v>284</v>
      </c>
      <c r="AU822" s="175" t="s">
        <v>284</v>
      </c>
      <c r="AV822" s="175" t="s">
        <v>284</v>
      </c>
      <c r="AW822" s="175" t="s">
        <v>284</v>
      </c>
      <c r="AX822" s="83">
        <v>0</v>
      </c>
      <c r="AY822" s="49">
        <v>0</v>
      </c>
      <c r="AZ822" s="49">
        <v>0</v>
      </c>
      <c r="BA822" s="49">
        <v>0</v>
      </c>
      <c r="BB822" s="58">
        <v>0</v>
      </c>
      <c r="BC822" s="42">
        <v>65</v>
      </c>
      <c r="BD822" s="49">
        <v>75.64</v>
      </c>
      <c r="BE822" s="159">
        <v>76.849999999999994</v>
      </c>
      <c r="BS822" s="58"/>
      <c r="BT822" s="83"/>
      <c r="CE822" s="83">
        <v>83.71</v>
      </c>
      <c r="CK822" s="58"/>
      <c r="CL822" s="83"/>
      <c r="CO822" s="58"/>
      <c r="CP822" s="83"/>
      <c r="CR822" s="58"/>
      <c r="CS822" s="83"/>
      <c r="CY822" s="83"/>
      <c r="DG822" s="58"/>
      <c r="DH822" s="83"/>
      <c r="DQ822" s="83"/>
      <c r="EE822" s="58"/>
      <c r="EF822" s="83"/>
      <c r="EI822" s="83"/>
      <c r="EK822" s="58"/>
      <c r="EL822" s="83"/>
      <c r="EO822" s="58"/>
      <c r="EP822" s="83"/>
      <c r="EQ822" s="58"/>
      <c r="ER822" s="83"/>
      <c r="ES822" s="58"/>
      <c r="ET822" s="83"/>
      <c r="EU822" s="58"/>
    </row>
    <row r="823" spans="1:151">
      <c r="A823" s="83" t="s">
        <v>321</v>
      </c>
      <c r="B823" s="173" t="s">
        <v>257</v>
      </c>
      <c r="C823" s="173" t="s">
        <v>519</v>
      </c>
      <c r="D823" s="83" t="s">
        <v>95</v>
      </c>
      <c r="F823" s="49" t="s">
        <v>287</v>
      </c>
      <c r="G823" s="60">
        <v>2.7285333333333335</v>
      </c>
      <c r="H823" s="49">
        <v>4331</v>
      </c>
      <c r="I823" s="49">
        <v>797</v>
      </c>
      <c r="J823" s="159">
        <v>5.7338129496402876</v>
      </c>
      <c r="K823" s="49">
        <v>1</v>
      </c>
      <c r="L823" s="49">
        <v>3</v>
      </c>
      <c r="M823" s="83">
        <v>0</v>
      </c>
      <c r="N823" s="49">
        <v>2</v>
      </c>
      <c r="O823" s="49">
        <v>0</v>
      </c>
      <c r="P823" s="49">
        <v>0</v>
      </c>
      <c r="Q823" s="58">
        <v>0</v>
      </c>
      <c r="R823" s="42">
        <v>2</v>
      </c>
      <c r="S823" s="83" t="s">
        <v>283</v>
      </c>
      <c r="T823" s="49">
        <v>1</v>
      </c>
      <c r="U823" s="83">
        <v>1</v>
      </c>
      <c r="V823" s="49">
        <v>3</v>
      </c>
      <c r="W823" s="49">
        <v>2</v>
      </c>
      <c r="X823" s="58"/>
      <c r="Y823" s="83">
        <v>4</v>
      </c>
      <c r="AF823" s="49">
        <v>9</v>
      </c>
      <c r="AG823" s="49">
        <v>69</v>
      </c>
      <c r="AJ823" s="49">
        <v>1</v>
      </c>
      <c r="AK823" s="83">
        <v>0</v>
      </c>
      <c r="AL823" s="49">
        <v>0</v>
      </c>
      <c r="AM823" s="49">
        <v>0</v>
      </c>
      <c r="AN823" s="49">
        <v>0</v>
      </c>
      <c r="AO823" s="58">
        <v>0</v>
      </c>
      <c r="AP823" s="174" t="s">
        <v>284</v>
      </c>
      <c r="AQ823" s="175" t="s">
        <v>284</v>
      </c>
      <c r="AR823" s="175" t="s">
        <v>284</v>
      </c>
      <c r="AS823" s="175" t="s">
        <v>284</v>
      </c>
      <c r="AT823" s="175" t="s">
        <v>284</v>
      </c>
      <c r="AU823" s="175" t="s">
        <v>284</v>
      </c>
      <c r="AV823" s="175" t="s">
        <v>284</v>
      </c>
      <c r="AW823" s="175" t="s">
        <v>284</v>
      </c>
      <c r="AX823" s="83">
        <v>0</v>
      </c>
      <c r="AY823" s="49">
        <v>0</v>
      </c>
      <c r="AZ823" s="49">
        <v>0</v>
      </c>
      <c r="BA823" s="49">
        <v>0</v>
      </c>
      <c r="BB823" s="58">
        <v>0</v>
      </c>
      <c r="BC823" s="42">
        <v>19</v>
      </c>
      <c r="BS823" s="58"/>
      <c r="BT823" s="83">
        <v>81.2</v>
      </c>
      <c r="BU823" s="49">
        <v>79.03</v>
      </c>
      <c r="BV823" s="49">
        <v>82.27</v>
      </c>
      <c r="BW823" s="49">
        <v>81.2</v>
      </c>
      <c r="CE823" s="83"/>
      <c r="CK823" s="58"/>
      <c r="CL823" s="83"/>
      <c r="CO823" s="58"/>
      <c r="CP823" s="83"/>
      <c r="CR823" s="58"/>
      <c r="CS823" s="83"/>
      <c r="CY823" s="83"/>
      <c r="DG823" s="58"/>
      <c r="DH823" s="83">
        <v>78.930000000000007</v>
      </c>
      <c r="DI823" s="49">
        <v>78.430000000000007</v>
      </c>
      <c r="DQ823" s="83"/>
      <c r="EE823" s="58"/>
      <c r="EF823" s="83"/>
      <c r="EI823" s="83"/>
      <c r="EK823" s="58"/>
      <c r="EL823" s="83"/>
      <c r="EO823" s="58"/>
      <c r="EP823" s="83"/>
      <c r="EQ823" s="58"/>
      <c r="ER823" s="83"/>
      <c r="ES823" s="58"/>
      <c r="ET823" s="83"/>
      <c r="EU823" s="58"/>
    </row>
    <row r="824" spans="1:151">
      <c r="A824" s="83" t="s">
        <v>321</v>
      </c>
      <c r="B824" s="173" t="s">
        <v>257</v>
      </c>
      <c r="C824" s="173" t="s">
        <v>519</v>
      </c>
      <c r="D824" s="83" t="s">
        <v>65</v>
      </c>
      <c r="F824" s="49" t="s">
        <v>286</v>
      </c>
      <c r="G824" s="60">
        <v>2.7285333333333335</v>
      </c>
      <c r="H824" s="49">
        <v>4331</v>
      </c>
      <c r="I824" s="49">
        <v>1245</v>
      </c>
      <c r="J824" s="159">
        <v>2.3184357541899443</v>
      </c>
      <c r="K824" s="49">
        <v>1</v>
      </c>
      <c r="L824" s="49">
        <v>2</v>
      </c>
      <c r="M824" s="83">
        <v>0</v>
      </c>
      <c r="N824" s="49">
        <v>0</v>
      </c>
      <c r="O824" s="49">
        <v>1</v>
      </c>
      <c r="P824" s="49">
        <v>1</v>
      </c>
      <c r="Q824" s="58">
        <v>0</v>
      </c>
      <c r="R824" s="42">
        <v>2</v>
      </c>
      <c r="S824" s="83" t="s">
        <v>283</v>
      </c>
      <c r="T824" s="49">
        <v>3</v>
      </c>
      <c r="U824" s="83">
        <v>1</v>
      </c>
      <c r="V824" s="49">
        <v>2</v>
      </c>
      <c r="W824" s="49">
        <v>1</v>
      </c>
      <c r="X824" s="58">
        <v>2</v>
      </c>
      <c r="Y824" s="83">
        <v>2</v>
      </c>
      <c r="AD824" s="49">
        <v>12</v>
      </c>
      <c r="AE824" s="49">
        <v>42</v>
      </c>
      <c r="AF824" s="49">
        <v>10</v>
      </c>
      <c r="AG824" s="49">
        <v>45</v>
      </c>
      <c r="AH824" s="49">
        <v>30</v>
      </c>
      <c r="AI824" s="49">
        <v>90</v>
      </c>
      <c r="AJ824" s="49">
        <v>0</v>
      </c>
      <c r="AK824" s="83">
        <v>0</v>
      </c>
      <c r="AL824" s="49">
        <v>1</v>
      </c>
      <c r="AM824" s="49">
        <v>0</v>
      </c>
      <c r="AN824" s="49">
        <v>0</v>
      </c>
      <c r="AO824" s="58">
        <v>0</v>
      </c>
      <c r="AP824" s="174">
        <v>256</v>
      </c>
      <c r="AQ824" s="175">
        <v>497</v>
      </c>
      <c r="AR824" s="175" t="s">
        <v>284</v>
      </c>
      <c r="AS824" s="175" t="s">
        <v>284</v>
      </c>
      <c r="AT824" s="175" t="s">
        <v>284</v>
      </c>
      <c r="AU824" s="175" t="s">
        <v>284</v>
      </c>
      <c r="AV824" s="175" t="s">
        <v>284</v>
      </c>
      <c r="AW824" s="175" t="s">
        <v>284</v>
      </c>
      <c r="AX824" s="83">
        <v>0</v>
      </c>
      <c r="AY824" s="49">
        <v>0</v>
      </c>
      <c r="AZ824" s="49">
        <v>0</v>
      </c>
      <c r="BA824" s="49">
        <v>0</v>
      </c>
      <c r="BB824" s="58">
        <v>0</v>
      </c>
      <c r="BC824" s="42">
        <v>90</v>
      </c>
      <c r="BS824" s="58"/>
      <c r="BT824" s="83">
        <v>75.27</v>
      </c>
      <c r="CE824" s="83">
        <v>79.540000000000006</v>
      </c>
      <c r="CK824" s="58"/>
      <c r="CL824" s="83"/>
      <c r="CO824" s="58"/>
      <c r="CP824" s="83"/>
      <c r="CR824" s="58"/>
      <c r="CS824" s="83"/>
      <c r="CY824" s="83"/>
      <c r="DG824" s="58"/>
      <c r="DH824" s="83"/>
      <c r="DQ824" s="83"/>
      <c r="EE824" s="58"/>
      <c r="EF824" s="83"/>
      <c r="EI824" s="83"/>
      <c r="EK824" s="58"/>
      <c r="EL824" s="83"/>
      <c r="EO824" s="58"/>
      <c r="EP824" s="83"/>
      <c r="EQ824" s="58"/>
      <c r="ER824" s="83"/>
      <c r="ES824" s="58"/>
      <c r="ET824" s="83">
        <v>76.37</v>
      </c>
      <c r="EU824" s="58">
        <v>76.17</v>
      </c>
    </row>
    <row r="825" spans="1:151">
      <c r="A825" s="83" t="s">
        <v>321</v>
      </c>
      <c r="B825" s="173" t="s">
        <v>257</v>
      </c>
      <c r="C825" s="173" t="s">
        <v>519</v>
      </c>
      <c r="D825" s="83" t="s">
        <v>96</v>
      </c>
      <c r="F825" s="49" t="s">
        <v>286</v>
      </c>
      <c r="G825" s="60">
        <v>2.7285333333333335</v>
      </c>
      <c r="H825" s="49">
        <v>4331</v>
      </c>
      <c r="I825" s="49">
        <v>1465</v>
      </c>
      <c r="J825" s="159">
        <v>1.8567807351077312</v>
      </c>
      <c r="K825" s="49">
        <v>1</v>
      </c>
      <c r="L825" s="49">
        <v>2</v>
      </c>
      <c r="M825" s="83">
        <v>0</v>
      </c>
      <c r="N825" s="49">
        <v>0</v>
      </c>
      <c r="O825" s="49">
        <v>1</v>
      </c>
      <c r="P825" s="49">
        <v>1</v>
      </c>
      <c r="Q825" s="58">
        <v>0</v>
      </c>
      <c r="R825" s="42">
        <v>2</v>
      </c>
      <c r="S825" s="83" t="s">
        <v>283</v>
      </c>
      <c r="T825" s="49">
        <v>8</v>
      </c>
      <c r="U825" s="83">
        <v>1</v>
      </c>
      <c r="V825" s="49">
        <v>2</v>
      </c>
      <c r="W825" s="49">
        <v>1</v>
      </c>
      <c r="X825" s="58">
        <v>1</v>
      </c>
      <c r="Y825" s="83">
        <v>0</v>
      </c>
      <c r="AJ825" s="49">
        <v>0</v>
      </c>
      <c r="AK825" s="83">
        <v>0</v>
      </c>
      <c r="AL825" s="49">
        <v>0</v>
      </c>
      <c r="AM825" s="49">
        <v>1</v>
      </c>
      <c r="AN825" s="49">
        <v>0</v>
      </c>
      <c r="AO825" s="58">
        <v>0</v>
      </c>
      <c r="AP825" s="174" t="s">
        <v>284</v>
      </c>
      <c r="AQ825" s="175" t="s">
        <v>284</v>
      </c>
      <c r="AR825" s="175" t="s">
        <v>501</v>
      </c>
      <c r="AS825" s="175" t="s">
        <v>501</v>
      </c>
      <c r="AT825" s="175" t="s">
        <v>284</v>
      </c>
      <c r="AU825" s="175" t="s">
        <v>284</v>
      </c>
      <c r="AV825" s="175" t="s">
        <v>284</v>
      </c>
      <c r="AW825" s="175" t="s">
        <v>284</v>
      </c>
      <c r="AX825" s="83">
        <v>0</v>
      </c>
      <c r="AY825" s="49">
        <v>0</v>
      </c>
      <c r="AZ825" s="49">
        <v>0</v>
      </c>
      <c r="BA825" s="49">
        <v>0</v>
      </c>
      <c r="BB825" s="58">
        <v>0</v>
      </c>
      <c r="BC825" s="42">
        <v>30</v>
      </c>
      <c r="BD825" s="49">
        <v>83.11</v>
      </c>
      <c r="BE825" s="159">
        <v>83.3</v>
      </c>
      <c r="BS825" s="58"/>
      <c r="BT825" s="83">
        <v>77.56</v>
      </c>
      <c r="BU825" s="49">
        <v>80.599999999999994</v>
      </c>
      <c r="CE825" s="83"/>
      <c r="CK825" s="58"/>
      <c r="CL825" s="83">
        <v>74.959999999999994</v>
      </c>
      <c r="CO825" s="58"/>
      <c r="CP825" s="83"/>
      <c r="CR825" s="58"/>
      <c r="CS825" s="83"/>
      <c r="CY825" s="83"/>
      <c r="DG825" s="58"/>
      <c r="DH825" s="83"/>
      <c r="DQ825" s="83"/>
      <c r="EE825" s="58"/>
      <c r="EF825" s="83"/>
      <c r="EI825" s="83"/>
      <c r="EK825" s="58"/>
      <c r="EL825" s="83"/>
      <c r="EO825" s="58"/>
      <c r="EP825" s="83"/>
      <c r="EQ825" s="58"/>
      <c r="ER825" s="83"/>
      <c r="ES825" s="58"/>
      <c r="ET825" s="83"/>
      <c r="EU825" s="58"/>
    </row>
    <row r="826" spans="1:151">
      <c r="A826" s="83" t="s">
        <v>321</v>
      </c>
      <c r="B826" s="173" t="s">
        <v>257</v>
      </c>
      <c r="C826" s="173" t="s">
        <v>519</v>
      </c>
      <c r="D826" s="83" t="s">
        <v>98</v>
      </c>
      <c r="F826" s="49" t="s">
        <v>286</v>
      </c>
      <c r="G826" s="60">
        <v>2.7285333333333335</v>
      </c>
      <c r="H826" s="49">
        <v>4331</v>
      </c>
      <c r="I826" s="49">
        <v>2212</v>
      </c>
      <c r="J826" s="159">
        <v>1.4514435695538057</v>
      </c>
      <c r="K826" s="49">
        <v>1</v>
      </c>
      <c r="L826" s="49">
        <v>1</v>
      </c>
      <c r="M826" s="83">
        <v>1</v>
      </c>
      <c r="N826" s="49">
        <v>2</v>
      </c>
      <c r="O826" s="49">
        <v>0</v>
      </c>
      <c r="P826" s="49">
        <v>1</v>
      </c>
      <c r="Q826" s="58">
        <v>0</v>
      </c>
      <c r="R826" s="42">
        <v>4</v>
      </c>
      <c r="S826" s="83">
        <v>0</v>
      </c>
      <c r="T826" s="49">
        <v>4</v>
      </c>
      <c r="U826" s="83">
        <v>0</v>
      </c>
      <c r="V826" s="49">
        <v>0</v>
      </c>
      <c r="W826" s="49">
        <v>0</v>
      </c>
      <c r="X826" s="58"/>
      <c r="Y826" s="83">
        <v>5</v>
      </c>
      <c r="Z826" s="49">
        <v>8</v>
      </c>
      <c r="AA826" s="49">
        <v>29</v>
      </c>
      <c r="AD826" s="49">
        <v>18</v>
      </c>
      <c r="AE826" s="49">
        <v>176</v>
      </c>
      <c r="AF826" s="49">
        <v>17</v>
      </c>
      <c r="AG826" s="49">
        <v>486</v>
      </c>
      <c r="AH826" s="49">
        <v>19</v>
      </c>
      <c r="AI826" s="49">
        <v>262</v>
      </c>
      <c r="AJ826" s="49">
        <v>0</v>
      </c>
      <c r="AK826" s="83">
        <v>0</v>
      </c>
      <c r="AL826" s="49">
        <v>1</v>
      </c>
      <c r="AM826" s="49">
        <v>0</v>
      </c>
      <c r="AN826" s="49">
        <v>0</v>
      </c>
      <c r="AO826" s="58">
        <v>0</v>
      </c>
      <c r="AP826" s="174">
        <v>386</v>
      </c>
      <c r="AQ826" s="175">
        <v>804</v>
      </c>
      <c r="AR826" s="175" t="s">
        <v>284</v>
      </c>
      <c r="AS826" s="175" t="s">
        <v>284</v>
      </c>
      <c r="AT826" s="175" t="s">
        <v>284</v>
      </c>
      <c r="AU826" s="175" t="s">
        <v>284</v>
      </c>
      <c r="AV826" s="175" t="s">
        <v>284</v>
      </c>
      <c r="AW826" s="175" t="s">
        <v>284</v>
      </c>
      <c r="AX826" s="83">
        <v>0</v>
      </c>
      <c r="AY826" s="49">
        <v>0</v>
      </c>
      <c r="AZ826" s="49">
        <v>0</v>
      </c>
      <c r="BA826" s="49">
        <v>0</v>
      </c>
      <c r="BB826" s="58">
        <v>0</v>
      </c>
      <c r="BC826" s="42">
        <v>115</v>
      </c>
      <c r="BS826" s="58"/>
      <c r="BT826" s="83">
        <v>84.23</v>
      </c>
      <c r="CE826" s="83"/>
      <c r="CK826" s="58"/>
      <c r="CL826" s="83"/>
      <c r="CO826" s="58"/>
      <c r="CP826" s="83"/>
      <c r="CR826" s="58"/>
      <c r="CS826" s="83"/>
      <c r="CY826" s="83"/>
      <c r="DG826" s="58"/>
      <c r="DH826" s="83">
        <v>79.8</v>
      </c>
      <c r="DI826" s="49">
        <v>76.77</v>
      </c>
      <c r="DQ826" s="83">
        <v>80.540000000000006</v>
      </c>
      <c r="EE826" s="58"/>
      <c r="EF826" s="83"/>
      <c r="EI826" s="83"/>
      <c r="EK826" s="58"/>
      <c r="EL826" s="83"/>
      <c r="EO826" s="58"/>
      <c r="EP826" s="83"/>
      <c r="EQ826" s="58"/>
      <c r="ER826" s="83"/>
      <c r="ES826" s="58"/>
      <c r="ET826" s="83"/>
      <c r="EU826" s="58"/>
    </row>
    <row r="827" spans="1:151">
      <c r="A827" s="83" t="s">
        <v>321</v>
      </c>
      <c r="B827" s="173" t="s">
        <v>257</v>
      </c>
      <c r="C827" s="173" t="s">
        <v>519</v>
      </c>
      <c r="D827" s="83" t="s">
        <v>99</v>
      </c>
      <c r="F827" s="49" t="s">
        <v>287</v>
      </c>
      <c r="G827" s="60">
        <v>2.7285333333333335</v>
      </c>
      <c r="H827" s="49">
        <v>4331</v>
      </c>
      <c r="I827" s="49">
        <v>630</v>
      </c>
      <c r="J827" s="159">
        <v>4.117647058823529</v>
      </c>
      <c r="K827" s="49">
        <v>2</v>
      </c>
      <c r="L827" s="49">
        <v>2</v>
      </c>
      <c r="M827" s="83">
        <v>0</v>
      </c>
      <c r="N827" s="49">
        <v>0</v>
      </c>
      <c r="O827" s="49">
        <v>0</v>
      </c>
      <c r="P827" s="49">
        <v>1</v>
      </c>
      <c r="Q827" s="58">
        <v>0</v>
      </c>
      <c r="R827" s="42">
        <v>1</v>
      </c>
      <c r="S827" s="83" t="s">
        <v>283</v>
      </c>
      <c r="T827" s="49">
        <v>2</v>
      </c>
      <c r="U827" s="83">
        <v>0</v>
      </c>
      <c r="V827" s="49">
        <v>0</v>
      </c>
      <c r="W827" s="49">
        <v>0</v>
      </c>
      <c r="X827" s="58"/>
      <c r="Y827" s="83">
        <v>5</v>
      </c>
      <c r="AD827" s="49">
        <v>13</v>
      </c>
      <c r="AE827" s="49">
        <v>106</v>
      </c>
      <c r="AJ827" s="49">
        <v>0</v>
      </c>
      <c r="AK827" s="83">
        <v>0</v>
      </c>
      <c r="AL827" s="49">
        <v>0</v>
      </c>
      <c r="AM827" s="49">
        <v>0</v>
      </c>
      <c r="AN827" s="49">
        <v>0</v>
      </c>
      <c r="AO827" s="58">
        <v>0</v>
      </c>
      <c r="AP827" s="174" t="s">
        <v>284</v>
      </c>
      <c r="AQ827" s="175" t="s">
        <v>284</v>
      </c>
      <c r="AR827" s="175" t="s">
        <v>284</v>
      </c>
      <c r="AS827" s="175" t="s">
        <v>284</v>
      </c>
      <c r="AT827" s="175" t="s">
        <v>284</v>
      </c>
      <c r="AU827" s="175" t="s">
        <v>284</v>
      </c>
      <c r="AV827" s="175" t="s">
        <v>284</v>
      </c>
      <c r="AW827" s="175" t="s">
        <v>284</v>
      </c>
      <c r="AX827" s="83">
        <v>0</v>
      </c>
      <c r="AY827" s="49">
        <v>0</v>
      </c>
      <c r="AZ827" s="49">
        <v>0</v>
      </c>
      <c r="BA827" s="49">
        <v>0</v>
      </c>
      <c r="BB827" s="58">
        <v>0</v>
      </c>
      <c r="BC827" s="42">
        <v>93</v>
      </c>
      <c r="BS827" s="58"/>
      <c r="BT827" s="83"/>
      <c r="CE827" s="83"/>
      <c r="CK827" s="58"/>
      <c r="CL827" s="83"/>
      <c r="CO827" s="58"/>
      <c r="CP827" s="83"/>
      <c r="CR827" s="58"/>
      <c r="CS827" s="83"/>
      <c r="CY827" s="83"/>
      <c r="DG827" s="58"/>
      <c r="DH827" s="83"/>
      <c r="DQ827" s="83"/>
      <c r="EE827" s="58"/>
      <c r="EF827" s="83"/>
      <c r="EI827" s="83"/>
      <c r="EK827" s="58"/>
      <c r="EL827" s="83"/>
      <c r="EO827" s="58"/>
      <c r="EP827" s="83"/>
      <c r="EQ827" s="58"/>
      <c r="ER827" s="83"/>
      <c r="ES827" s="58"/>
      <c r="ET827" s="83"/>
      <c r="EU827" s="58"/>
    </row>
    <row r="828" spans="1:151">
      <c r="A828" s="83" t="s">
        <v>321</v>
      </c>
      <c r="B828" s="173" t="s">
        <v>257</v>
      </c>
      <c r="C828" s="173" t="s">
        <v>519</v>
      </c>
      <c r="D828" s="83" t="s">
        <v>100</v>
      </c>
      <c r="F828" s="49" t="s">
        <v>287</v>
      </c>
      <c r="G828" s="60">
        <v>2.7285333333333335</v>
      </c>
      <c r="H828" s="49">
        <v>4331</v>
      </c>
      <c r="I828" s="49">
        <v>593</v>
      </c>
      <c r="J828" s="159">
        <v>4.7063492063492065</v>
      </c>
      <c r="K828" s="49">
        <v>2</v>
      </c>
      <c r="L828" s="49">
        <v>2</v>
      </c>
      <c r="M828" s="83">
        <v>1</v>
      </c>
      <c r="N828" s="49">
        <v>0</v>
      </c>
      <c r="O828" s="49">
        <v>0</v>
      </c>
      <c r="P828" s="49">
        <v>0</v>
      </c>
      <c r="Q828" s="58">
        <v>0</v>
      </c>
      <c r="R828" s="42">
        <v>1</v>
      </c>
      <c r="S828" s="83" t="s">
        <v>283</v>
      </c>
      <c r="T828" s="49">
        <v>2</v>
      </c>
      <c r="U828" s="83">
        <v>0</v>
      </c>
      <c r="V828" s="49">
        <v>0</v>
      </c>
      <c r="W828" s="49">
        <v>0</v>
      </c>
      <c r="X828" s="58"/>
      <c r="Y828" s="83">
        <v>5</v>
      </c>
      <c r="AF828" s="49">
        <v>4</v>
      </c>
      <c r="AG828" s="49">
        <v>256</v>
      </c>
      <c r="AJ828" s="49">
        <v>0</v>
      </c>
      <c r="AK828" s="83">
        <v>0</v>
      </c>
      <c r="AL828" s="49">
        <v>0</v>
      </c>
      <c r="AM828" s="49">
        <v>1</v>
      </c>
      <c r="AN828" s="49">
        <v>0</v>
      </c>
      <c r="AO828" s="58">
        <v>0</v>
      </c>
      <c r="AP828" s="174" t="s">
        <v>284</v>
      </c>
      <c r="AQ828" s="175" t="s">
        <v>284</v>
      </c>
      <c r="AR828" s="175" t="s">
        <v>501</v>
      </c>
      <c r="AS828" s="175" t="s">
        <v>501</v>
      </c>
      <c r="AT828" s="175" t="s">
        <v>284</v>
      </c>
      <c r="AU828" s="175" t="s">
        <v>284</v>
      </c>
      <c r="AV828" s="175" t="s">
        <v>284</v>
      </c>
      <c r="AW828" s="175" t="s">
        <v>284</v>
      </c>
      <c r="AX828" s="83">
        <v>0</v>
      </c>
      <c r="AY828" s="49">
        <v>0</v>
      </c>
      <c r="AZ828" s="49">
        <v>0</v>
      </c>
      <c r="BA828" s="49">
        <v>0</v>
      </c>
      <c r="BB828" s="58">
        <v>0</v>
      </c>
      <c r="BC828" s="42">
        <v>99</v>
      </c>
      <c r="BS828" s="58"/>
      <c r="BT828" s="83"/>
      <c r="CE828" s="83"/>
      <c r="CK828" s="58"/>
      <c r="CL828" s="83"/>
      <c r="CO828" s="58"/>
      <c r="CP828" s="83"/>
      <c r="CR828" s="58"/>
      <c r="CS828" s="83"/>
      <c r="CY828" s="83"/>
      <c r="DG828" s="58"/>
      <c r="DH828" s="83">
        <v>73.94</v>
      </c>
      <c r="DQ828" s="83">
        <v>78.819999999999993</v>
      </c>
      <c r="DR828" s="49">
        <v>73.36</v>
      </c>
      <c r="EE828" s="58"/>
      <c r="EF828" s="83"/>
      <c r="EI828" s="83"/>
      <c r="EK828" s="58"/>
      <c r="EL828" s="83"/>
      <c r="EO828" s="58"/>
      <c r="EP828" s="83"/>
      <c r="EQ828" s="58"/>
      <c r="ER828" s="83"/>
      <c r="ES828" s="58"/>
      <c r="ET828" s="83"/>
      <c r="EU828" s="58"/>
    </row>
    <row r="829" spans="1:151">
      <c r="A829" s="83" t="s">
        <v>321</v>
      </c>
      <c r="B829" s="173" t="s">
        <v>257</v>
      </c>
      <c r="C829" s="173" t="s">
        <v>519</v>
      </c>
      <c r="D829" s="83" t="s">
        <v>114</v>
      </c>
      <c r="F829" s="49" t="s">
        <v>286</v>
      </c>
      <c r="G829" s="60">
        <v>2.7285333333333335</v>
      </c>
      <c r="I829" s="49">
        <v>1821</v>
      </c>
      <c r="J829" s="159">
        <v>1.4372533543804262</v>
      </c>
      <c r="K829" s="49">
        <v>4</v>
      </c>
      <c r="L829" s="49">
        <v>4</v>
      </c>
      <c r="M829" s="83">
        <v>0</v>
      </c>
      <c r="N829" s="49">
        <v>3</v>
      </c>
      <c r="O829" s="49">
        <v>0</v>
      </c>
      <c r="P829" s="49">
        <v>1</v>
      </c>
      <c r="Q829" s="58">
        <v>0</v>
      </c>
      <c r="R829" s="42">
        <v>4</v>
      </c>
      <c r="S829" s="83">
        <v>1</v>
      </c>
      <c r="T829" s="49">
        <v>4</v>
      </c>
      <c r="U829" s="83">
        <v>1</v>
      </c>
      <c r="V829" s="49">
        <v>4</v>
      </c>
      <c r="W829" s="49">
        <v>2</v>
      </c>
      <c r="X829" s="58"/>
      <c r="Y829" s="83">
        <v>10</v>
      </c>
      <c r="AD829" s="49">
        <v>15</v>
      </c>
      <c r="AE829" s="49">
        <v>83</v>
      </c>
      <c r="AF829" s="49">
        <v>17</v>
      </c>
      <c r="AG829" s="49">
        <v>70</v>
      </c>
      <c r="AH829" s="49">
        <v>91</v>
      </c>
      <c r="AI829" s="49">
        <v>266</v>
      </c>
      <c r="AJ829" s="49">
        <v>0</v>
      </c>
      <c r="AK829" s="83">
        <v>0</v>
      </c>
      <c r="AL829" s="49">
        <v>1</v>
      </c>
      <c r="AM829" s="49">
        <v>0</v>
      </c>
      <c r="AN829" s="49">
        <v>0</v>
      </c>
      <c r="AO829" s="58">
        <v>0</v>
      </c>
      <c r="AP829" s="174">
        <v>0</v>
      </c>
      <c r="AQ829" s="175">
        <v>594</v>
      </c>
      <c r="AR829" s="175" t="s">
        <v>284</v>
      </c>
      <c r="AS829" s="175" t="s">
        <v>284</v>
      </c>
      <c r="AT829" s="175" t="s">
        <v>284</v>
      </c>
      <c r="AU829" s="175" t="s">
        <v>284</v>
      </c>
      <c r="AV829" s="175" t="s">
        <v>284</v>
      </c>
      <c r="AW829" s="175" t="s">
        <v>284</v>
      </c>
      <c r="AX829" s="83">
        <v>0</v>
      </c>
      <c r="AY829" s="49">
        <v>0</v>
      </c>
      <c r="AZ829" s="49">
        <v>0</v>
      </c>
      <c r="BA829" s="49">
        <v>0</v>
      </c>
      <c r="BB829" s="58">
        <v>0</v>
      </c>
      <c r="BC829" s="42">
        <v>119</v>
      </c>
      <c r="BS829" s="58"/>
      <c r="BT829" s="83"/>
      <c r="CE829" s="83"/>
      <c r="CK829" s="58"/>
      <c r="CL829" s="83"/>
      <c r="CO829" s="58"/>
      <c r="CP829" s="83"/>
      <c r="CR829" s="58"/>
      <c r="CS829" s="83"/>
      <c r="CY829" s="83"/>
      <c r="DG829" s="58"/>
      <c r="DH829" s="83"/>
      <c r="DQ829" s="83"/>
      <c r="EE829" s="58"/>
      <c r="EF829" s="83"/>
      <c r="EI829" s="83"/>
      <c r="EK829" s="58"/>
      <c r="EL829" s="83"/>
      <c r="EO829" s="58"/>
      <c r="EP829" s="83"/>
      <c r="EQ829" s="58"/>
      <c r="ER829" s="83"/>
      <c r="ES829" s="58"/>
      <c r="ET829" s="83"/>
      <c r="EU829" s="58"/>
    </row>
    <row r="830" spans="1:151">
      <c r="A830" s="83" t="s">
        <v>321</v>
      </c>
      <c r="B830" s="173" t="s">
        <v>257</v>
      </c>
      <c r="C830" s="173" t="s">
        <v>519</v>
      </c>
      <c r="D830" s="83" t="s">
        <v>119</v>
      </c>
      <c r="E830" s="49" t="s">
        <v>0</v>
      </c>
      <c r="F830" s="49" t="s">
        <v>287</v>
      </c>
      <c r="G830" s="60">
        <v>2.7285333333333335</v>
      </c>
      <c r="H830" s="49">
        <v>4331</v>
      </c>
      <c r="I830" s="49">
        <v>362</v>
      </c>
      <c r="J830" s="159">
        <v>1.1419558359621451</v>
      </c>
      <c r="K830" s="49">
        <v>1</v>
      </c>
      <c r="L830" s="49">
        <v>2</v>
      </c>
      <c r="M830" s="83">
        <v>1</v>
      </c>
      <c r="N830" s="49">
        <v>0</v>
      </c>
      <c r="O830" s="49">
        <v>1</v>
      </c>
      <c r="P830" s="49">
        <v>1</v>
      </c>
      <c r="Q830" s="58">
        <v>0</v>
      </c>
      <c r="R830" s="42">
        <v>3</v>
      </c>
      <c r="S830" s="83" t="s">
        <v>283</v>
      </c>
      <c r="T830" s="49">
        <v>3</v>
      </c>
      <c r="U830" s="83">
        <v>2</v>
      </c>
      <c r="V830" s="49">
        <v>2</v>
      </c>
      <c r="W830" s="49">
        <v>1</v>
      </c>
      <c r="X830" s="58">
        <v>3</v>
      </c>
      <c r="Y830" s="83">
        <v>5</v>
      </c>
      <c r="AD830" s="49">
        <v>4</v>
      </c>
      <c r="AE830" s="49">
        <v>74</v>
      </c>
      <c r="AH830" s="49">
        <v>12</v>
      </c>
      <c r="AI830" s="49">
        <v>55</v>
      </c>
      <c r="AJ830" s="49">
        <v>0</v>
      </c>
      <c r="AK830" s="83">
        <v>0</v>
      </c>
      <c r="AL830" s="49">
        <v>0</v>
      </c>
      <c r="AM830" s="49">
        <v>1</v>
      </c>
      <c r="AN830" s="49">
        <v>0</v>
      </c>
      <c r="AO830" s="58">
        <v>0</v>
      </c>
      <c r="AP830" s="174" t="s">
        <v>284</v>
      </c>
      <c r="AQ830" s="175" t="s">
        <v>284</v>
      </c>
      <c r="AR830" s="175">
        <v>0</v>
      </c>
      <c r="AS830" s="175">
        <v>195</v>
      </c>
      <c r="AT830" s="175" t="s">
        <v>284</v>
      </c>
      <c r="AU830" s="175" t="s">
        <v>284</v>
      </c>
      <c r="AV830" s="175" t="s">
        <v>284</v>
      </c>
      <c r="AW830" s="175" t="s">
        <v>284</v>
      </c>
      <c r="AX830" s="83">
        <v>0</v>
      </c>
      <c r="AY830" s="49">
        <v>0</v>
      </c>
      <c r="AZ830" s="49">
        <v>0</v>
      </c>
      <c r="BA830" s="49">
        <v>0</v>
      </c>
      <c r="BB830" s="58">
        <v>0</v>
      </c>
      <c r="BC830" s="42">
        <v>114</v>
      </c>
      <c r="BD830" s="49">
        <v>81.23</v>
      </c>
      <c r="BS830" s="58"/>
      <c r="BT830" s="83">
        <v>76.180000000000007</v>
      </c>
      <c r="CE830" s="83"/>
      <c r="CK830" s="58"/>
      <c r="CL830" s="83"/>
      <c r="CO830" s="58"/>
      <c r="CP830" s="83"/>
      <c r="CR830" s="58"/>
      <c r="CS830" s="83"/>
      <c r="CY830" s="83"/>
      <c r="DG830" s="58"/>
      <c r="DH830" s="83"/>
      <c r="DQ830" s="83"/>
      <c r="EE830" s="58"/>
      <c r="EF830" s="83"/>
      <c r="EI830" s="83"/>
      <c r="EK830" s="58"/>
      <c r="EL830" s="83"/>
      <c r="EO830" s="58"/>
      <c r="EP830" s="83"/>
      <c r="EQ830" s="58"/>
      <c r="ER830" s="83"/>
      <c r="ES830" s="58"/>
      <c r="ET830" s="83"/>
      <c r="EU830" s="58"/>
    </row>
    <row r="831" spans="1:151">
      <c r="A831" s="83" t="s">
        <v>321</v>
      </c>
      <c r="B831" s="173" t="s">
        <v>257</v>
      </c>
      <c r="C831" s="173" t="s">
        <v>519</v>
      </c>
      <c r="D831" s="83" t="s">
        <v>119</v>
      </c>
      <c r="E831" s="49" t="s">
        <v>1</v>
      </c>
      <c r="F831" s="49" t="s">
        <v>287</v>
      </c>
      <c r="G831" s="60">
        <v>2.7285333333333335</v>
      </c>
      <c r="H831" s="49">
        <v>4331</v>
      </c>
      <c r="I831" s="49">
        <v>374</v>
      </c>
      <c r="J831" s="159">
        <v>1.7314814814814814</v>
      </c>
      <c r="K831" s="49">
        <v>1</v>
      </c>
      <c r="L831" s="49">
        <v>2</v>
      </c>
      <c r="M831" s="83">
        <v>0</v>
      </c>
      <c r="N831" s="49">
        <v>1</v>
      </c>
      <c r="O831" s="49">
        <v>1</v>
      </c>
      <c r="P831" s="49">
        <v>1</v>
      </c>
      <c r="Q831" s="58">
        <v>0</v>
      </c>
      <c r="R831" s="42">
        <v>3</v>
      </c>
      <c r="S831" s="83" t="s">
        <v>283</v>
      </c>
      <c r="T831" s="49">
        <v>2</v>
      </c>
      <c r="U831" s="83">
        <v>3</v>
      </c>
      <c r="V831" s="49">
        <v>3</v>
      </c>
      <c r="W831" s="49">
        <v>1</v>
      </c>
      <c r="X831" s="58">
        <v>3</v>
      </c>
      <c r="Y831" s="83">
        <v>3</v>
      </c>
      <c r="AD831" s="49">
        <v>23</v>
      </c>
      <c r="AE831" s="49">
        <v>69</v>
      </c>
      <c r="AH831" s="49">
        <v>11</v>
      </c>
      <c r="AJ831" s="49">
        <v>0</v>
      </c>
      <c r="AK831" s="83">
        <v>0</v>
      </c>
      <c r="AL831" s="49">
        <v>1</v>
      </c>
      <c r="AM831" s="49">
        <v>0</v>
      </c>
      <c r="AN831" s="49">
        <v>0</v>
      </c>
      <c r="AO831" s="58">
        <v>0</v>
      </c>
      <c r="AP831" s="174">
        <v>0</v>
      </c>
      <c r="AQ831" s="175">
        <v>273</v>
      </c>
      <c r="AR831" s="175" t="s">
        <v>284</v>
      </c>
      <c r="AS831" s="175" t="s">
        <v>284</v>
      </c>
      <c r="AT831" s="175" t="s">
        <v>284</v>
      </c>
      <c r="AU831" s="175" t="s">
        <v>284</v>
      </c>
      <c r="AV831" s="175" t="s">
        <v>284</v>
      </c>
      <c r="AW831" s="175" t="s">
        <v>284</v>
      </c>
      <c r="AX831" s="83">
        <v>0</v>
      </c>
      <c r="AY831" s="49">
        <v>0</v>
      </c>
      <c r="AZ831" s="49">
        <v>0</v>
      </c>
      <c r="BA831" s="49">
        <v>0</v>
      </c>
      <c r="BB831" s="58">
        <v>0</v>
      </c>
      <c r="BC831" s="42">
        <v>114</v>
      </c>
      <c r="BD831" s="49">
        <v>82.2</v>
      </c>
      <c r="BS831" s="58"/>
      <c r="BT831" s="83">
        <v>75.63</v>
      </c>
      <c r="CE831" s="83"/>
      <c r="CK831" s="58"/>
      <c r="CL831" s="83"/>
      <c r="CO831" s="58"/>
      <c r="CP831" s="83"/>
      <c r="CR831" s="58"/>
      <c r="CS831" s="83"/>
      <c r="CY831" s="83"/>
      <c r="DG831" s="58"/>
      <c r="DH831" s="83"/>
      <c r="DQ831" s="83">
        <v>76.290000000000006</v>
      </c>
      <c r="DR831" s="49">
        <v>77.069999999999993</v>
      </c>
      <c r="EE831" s="58"/>
      <c r="EF831" s="83"/>
      <c r="EI831" s="83"/>
      <c r="EK831" s="58"/>
      <c r="EL831" s="83"/>
      <c r="EO831" s="58"/>
      <c r="EP831" s="83"/>
      <c r="EQ831" s="58"/>
      <c r="ER831" s="83"/>
      <c r="ES831" s="58"/>
      <c r="ET831" s="83"/>
      <c r="EU831" s="58"/>
    </row>
    <row r="832" spans="1:151">
      <c r="A832" s="83" t="s">
        <v>321</v>
      </c>
      <c r="B832" s="173" t="s">
        <v>257</v>
      </c>
      <c r="C832" s="173" t="s">
        <v>519</v>
      </c>
      <c r="D832" s="83" t="s">
        <v>120</v>
      </c>
      <c r="F832" s="49" t="s">
        <v>287</v>
      </c>
      <c r="G832" s="60">
        <v>2.7285333333333335</v>
      </c>
      <c r="H832" s="49">
        <v>4331</v>
      </c>
      <c r="I832" s="49">
        <v>670</v>
      </c>
      <c r="J832" s="159">
        <v>1.4790286975717439</v>
      </c>
      <c r="K832" s="49">
        <v>4</v>
      </c>
      <c r="L832" s="49">
        <v>3</v>
      </c>
      <c r="M832" s="83">
        <v>0</v>
      </c>
      <c r="N832" s="49">
        <v>0</v>
      </c>
      <c r="O832" s="49">
        <v>1</v>
      </c>
      <c r="P832" s="49">
        <v>1</v>
      </c>
      <c r="Q832" s="58">
        <v>0</v>
      </c>
      <c r="R832" s="42">
        <v>2</v>
      </c>
      <c r="S832" s="83">
        <v>1</v>
      </c>
      <c r="U832" s="83">
        <v>2</v>
      </c>
      <c r="V832" s="49">
        <v>3</v>
      </c>
      <c r="W832" s="49">
        <v>3</v>
      </c>
      <c r="X832" s="58">
        <v>1</v>
      </c>
      <c r="Y832" s="83" t="s">
        <v>78</v>
      </c>
      <c r="Z832" s="49">
        <v>7</v>
      </c>
      <c r="AA832" s="49">
        <v>16</v>
      </c>
      <c r="AE832" s="49">
        <v>21</v>
      </c>
      <c r="AJ832" s="49">
        <v>1</v>
      </c>
      <c r="AK832" s="83">
        <v>0</v>
      </c>
      <c r="AL832" s="49">
        <v>0</v>
      </c>
      <c r="AM832" s="49">
        <v>1</v>
      </c>
      <c r="AN832" s="49">
        <v>0</v>
      </c>
      <c r="AO832" s="58">
        <v>0</v>
      </c>
      <c r="AP832" s="174" t="s">
        <v>284</v>
      </c>
      <c r="AQ832" s="175" t="s">
        <v>284</v>
      </c>
      <c r="AR832" s="175" t="s">
        <v>501</v>
      </c>
      <c r="AS832" s="175" t="s">
        <v>501</v>
      </c>
      <c r="AT832" s="175" t="s">
        <v>284</v>
      </c>
      <c r="AU832" s="175" t="s">
        <v>284</v>
      </c>
      <c r="AV832" s="175" t="s">
        <v>284</v>
      </c>
      <c r="AW832" s="175" t="s">
        <v>284</v>
      </c>
      <c r="AX832" s="83">
        <v>0</v>
      </c>
      <c r="AY832" s="49">
        <v>0</v>
      </c>
      <c r="AZ832" s="49">
        <v>0</v>
      </c>
      <c r="BA832" s="49">
        <v>0</v>
      </c>
      <c r="BB832" s="58">
        <v>0</v>
      </c>
      <c r="BC832" s="42">
        <v>61</v>
      </c>
      <c r="BD832" s="49">
        <v>81.95</v>
      </c>
      <c r="BE832" s="159">
        <v>81.739999999999995</v>
      </c>
      <c r="BS832" s="58"/>
      <c r="BT832" s="83">
        <v>79</v>
      </c>
      <c r="CE832" s="83"/>
      <c r="CK832" s="58"/>
      <c r="CL832" s="83"/>
      <c r="CO832" s="58"/>
      <c r="CP832" s="83"/>
      <c r="CR832" s="58"/>
      <c r="CS832" s="83"/>
      <c r="CY832" s="83"/>
      <c r="DG832" s="58"/>
      <c r="DH832" s="83"/>
      <c r="DQ832" s="83"/>
      <c r="EE832" s="58"/>
      <c r="EF832" s="83"/>
      <c r="EI832" s="83"/>
      <c r="EK832" s="58"/>
      <c r="EL832" s="83"/>
      <c r="EO832" s="58"/>
      <c r="EP832" s="83"/>
      <c r="EQ832" s="58"/>
      <c r="ER832" s="83"/>
      <c r="ES832" s="58"/>
      <c r="ET832" s="83"/>
      <c r="EU832" s="58"/>
    </row>
    <row r="833" spans="1:151">
      <c r="A833" s="83" t="s">
        <v>321</v>
      </c>
      <c r="B833" s="173" t="s">
        <v>257</v>
      </c>
      <c r="C833" s="173" t="s">
        <v>519</v>
      </c>
      <c r="D833" s="83" t="s">
        <v>101</v>
      </c>
      <c r="F833" s="49" t="s">
        <v>286</v>
      </c>
      <c r="G833" s="60">
        <v>2.7285333333333335</v>
      </c>
      <c r="H833" s="49">
        <v>4331</v>
      </c>
      <c r="I833" s="49">
        <v>1946</v>
      </c>
      <c r="J833" s="159">
        <v>1.6477561388653683</v>
      </c>
      <c r="K833" s="49">
        <v>1</v>
      </c>
      <c r="L833" s="49">
        <v>3</v>
      </c>
      <c r="M833" s="83">
        <v>1</v>
      </c>
      <c r="N833" s="49">
        <v>0</v>
      </c>
      <c r="O833" s="49">
        <v>1</v>
      </c>
      <c r="P833" s="49">
        <v>1</v>
      </c>
      <c r="Q833" s="58">
        <v>0</v>
      </c>
      <c r="R833" s="42">
        <v>3</v>
      </c>
      <c r="S833" s="83" t="s">
        <v>283</v>
      </c>
      <c r="T833" s="49">
        <v>7</v>
      </c>
      <c r="U833" s="83">
        <v>2</v>
      </c>
      <c r="V833" s="49">
        <v>3</v>
      </c>
      <c r="W833" s="49">
        <v>3</v>
      </c>
      <c r="X833" s="58">
        <v>2</v>
      </c>
      <c r="Y833" s="83">
        <v>1</v>
      </c>
      <c r="AD833" s="49">
        <v>6</v>
      </c>
      <c r="AE833" s="49">
        <v>46</v>
      </c>
      <c r="AF833" s="49">
        <v>7</v>
      </c>
      <c r="AG833" s="49">
        <v>21</v>
      </c>
      <c r="AJ833" s="49">
        <v>1</v>
      </c>
      <c r="AK833" s="83">
        <v>0</v>
      </c>
      <c r="AL833" s="49">
        <v>1</v>
      </c>
      <c r="AM833" s="49">
        <v>0</v>
      </c>
      <c r="AN833" s="49">
        <v>0</v>
      </c>
      <c r="AO833" s="58"/>
      <c r="AP833" s="174">
        <v>380</v>
      </c>
      <c r="AQ833" s="175">
        <v>461</v>
      </c>
      <c r="AR833" s="175">
        <v>0</v>
      </c>
      <c r="AS833" s="175">
        <v>0</v>
      </c>
      <c r="AT833" s="175">
        <v>0</v>
      </c>
      <c r="AU833" s="175">
        <v>0</v>
      </c>
      <c r="AV833" s="175">
        <v>0</v>
      </c>
      <c r="AW833" s="175">
        <v>0</v>
      </c>
      <c r="AX833" s="83">
        <v>0</v>
      </c>
      <c r="AY833" s="49">
        <v>0</v>
      </c>
      <c r="AZ833" s="49">
        <v>0</v>
      </c>
      <c r="BA833" s="49">
        <v>0</v>
      </c>
      <c r="BB833" s="58">
        <v>0</v>
      </c>
      <c r="BC833" s="42">
        <v>117</v>
      </c>
      <c r="BS833" s="58"/>
      <c r="BT833" s="83"/>
      <c r="CE833" s="83"/>
      <c r="CK833" s="58"/>
      <c r="CL833" s="83"/>
      <c r="CO833" s="58"/>
      <c r="CP833" s="83"/>
      <c r="CR833" s="58"/>
      <c r="CS833" s="83"/>
      <c r="CY833" s="83"/>
      <c r="DG833" s="58"/>
      <c r="DH833" s="83"/>
      <c r="DQ833" s="83"/>
      <c r="EE833" s="58"/>
      <c r="EF833" s="83"/>
      <c r="EI833" s="83"/>
      <c r="EK833" s="58"/>
      <c r="EL833" s="83"/>
      <c r="EO833" s="58"/>
      <c r="EP833" s="83"/>
      <c r="EQ833" s="58"/>
      <c r="ER833" s="83"/>
      <c r="ES833" s="58"/>
      <c r="ET833" s="83"/>
      <c r="EU833" s="58"/>
    </row>
    <row r="834" spans="1:151">
      <c r="A834" s="83" t="s">
        <v>321</v>
      </c>
      <c r="B834" s="173" t="s">
        <v>257</v>
      </c>
      <c r="C834" s="173" t="s">
        <v>519</v>
      </c>
      <c r="D834" s="83" t="s">
        <v>66</v>
      </c>
      <c r="F834" s="49" t="s">
        <v>286</v>
      </c>
      <c r="G834" s="60">
        <v>2.7285333333333335</v>
      </c>
      <c r="H834" s="49">
        <v>4331</v>
      </c>
      <c r="I834" s="49">
        <v>1227</v>
      </c>
      <c r="J834" s="159">
        <v>2.6673913043478259</v>
      </c>
      <c r="K834" s="49">
        <v>1</v>
      </c>
      <c r="L834" s="49">
        <v>3</v>
      </c>
      <c r="M834" s="83">
        <v>1</v>
      </c>
      <c r="N834" s="49">
        <v>4</v>
      </c>
      <c r="O834" s="49">
        <v>1</v>
      </c>
      <c r="P834" s="49">
        <v>0</v>
      </c>
      <c r="Q834" s="58">
        <v>0</v>
      </c>
      <c r="R834" s="42">
        <v>6</v>
      </c>
      <c r="S834" s="83" t="s">
        <v>283</v>
      </c>
      <c r="T834" s="49">
        <v>4</v>
      </c>
      <c r="U834" s="83">
        <v>1</v>
      </c>
      <c r="V834" s="49">
        <v>3</v>
      </c>
      <c r="W834" s="49">
        <v>1</v>
      </c>
      <c r="X834" s="58">
        <v>1</v>
      </c>
      <c r="Y834" s="83">
        <v>10</v>
      </c>
      <c r="Z834" s="49">
        <v>2</v>
      </c>
      <c r="AA834" s="49">
        <v>7</v>
      </c>
      <c r="AD834" s="49">
        <v>5</v>
      </c>
      <c r="AE834" s="49">
        <v>95</v>
      </c>
      <c r="AF834" s="49">
        <v>8</v>
      </c>
      <c r="AG834" s="49">
        <v>199</v>
      </c>
      <c r="AJ834" s="49">
        <v>1</v>
      </c>
      <c r="AK834" s="83">
        <v>0</v>
      </c>
      <c r="AL834" s="49">
        <v>0</v>
      </c>
      <c r="AM834" s="49">
        <v>0</v>
      </c>
      <c r="AN834" s="49">
        <v>0</v>
      </c>
      <c r="AO834" s="58">
        <v>0</v>
      </c>
      <c r="AP834" s="174" t="s">
        <v>284</v>
      </c>
      <c r="AQ834" s="175" t="s">
        <v>284</v>
      </c>
      <c r="AR834" s="175" t="s">
        <v>284</v>
      </c>
      <c r="AS834" s="175" t="s">
        <v>284</v>
      </c>
      <c r="AT834" s="175" t="s">
        <v>284</v>
      </c>
      <c r="AU834" s="175" t="s">
        <v>284</v>
      </c>
      <c r="AV834" s="175" t="s">
        <v>284</v>
      </c>
      <c r="AW834" s="175" t="s">
        <v>284</v>
      </c>
      <c r="AX834" s="83">
        <v>0</v>
      </c>
      <c r="AY834" s="49">
        <v>0</v>
      </c>
      <c r="AZ834" s="49">
        <v>0</v>
      </c>
      <c r="BA834" s="49">
        <v>0</v>
      </c>
      <c r="BB834" s="58">
        <v>0</v>
      </c>
      <c r="BC834" s="42">
        <v>111</v>
      </c>
      <c r="BD834" s="49">
        <v>80.95</v>
      </c>
      <c r="BE834" s="159">
        <v>82.7</v>
      </c>
      <c r="BS834" s="58"/>
      <c r="BT834" s="83"/>
      <c r="CE834" s="83"/>
      <c r="CK834" s="58"/>
      <c r="CL834" s="83">
        <v>68.16</v>
      </c>
      <c r="CO834" s="58"/>
      <c r="CP834" s="83"/>
      <c r="CR834" s="58"/>
      <c r="CS834" s="83"/>
      <c r="CY834" s="83"/>
      <c r="DG834" s="58"/>
      <c r="DH834" s="83"/>
      <c r="DQ834" s="83">
        <v>74.2</v>
      </c>
      <c r="EE834" s="58"/>
      <c r="EF834" s="83"/>
      <c r="EI834" s="83"/>
      <c r="EK834" s="58"/>
      <c r="EL834" s="83"/>
      <c r="EO834" s="58"/>
      <c r="EP834" s="83"/>
      <c r="EQ834" s="58"/>
      <c r="ER834" s="83"/>
      <c r="ES834" s="58"/>
      <c r="ET834" s="83"/>
      <c r="EU834" s="58"/>
    </row>
    <row r="835" spans="1:151">
      <c r="A835" s="83" t="s">
        <v>321</v>
      </c>
      <c r="B835" s="173" t="s">
        <v>257</v>
      </c>
      <c r="C835" s="173" t="s">
        <v>519</v>
      </c>
      <c r="D835" s="83" t="s">
        <v>147</v>
      </c>
      <c r="F835" s="49" t="s">
        <v>286</v>
      </c>
      <c r="G835" s="60">
        <v>2.7285333333333335</v>
      </c>
      <c r="I835" s="49">
        <v>1158</v>
      </c>
      <c r="J835" s="159">
        <v>1.1579999999999999</v>
      </c>
      <c r="K835" s="49">
        <v>1</v>
      </c>
      <c r="L835" s="49">
        <v>2</v>
      </c>
      <c r="M835" s="83">
        <v>0</v>
      </c>
      <c r="N835" s="49">
        <v>0</v>
      </c>
      <c r="O835" s="49">
        <v>1</v>
      </c>
      <c r="P835" s="49">
        <v>0</v>
      </c>
      <c r="Q835" s="58">
        <v>0</v>
      </c>
      <c r="R835" s="42">
        <v>1</v>
      </c>
      <c r="S835" s="83">
        <v>1</v>
      </c>
      <c r="T835" s="49">
        <v>16</v>
      </c>
      <c r="U835" s="83">
        <v>0</v>
      </c>
      <c r="V835" s="49">
        <v>0</v>
      </c>
      <c r="W835" s="49">
        <v>0</v>
      </c>
      <c r="X835" s="58"/>
      <c r="Y835" s="83">
        <v>0</v>
      </c>
      <c r="AJ835" s="49">
        <v>0</v>
      </c>
      <c r="AK835" s="83">
        <v>0</v>
      </c>
      <c r="AL835" s="49">
        <v>1</v>
      </c>
      <c r="AM835" s="49">
        <v>0</v>
      </c>
      <c r="AN835" s="49">
        <v>0</v>
      </c>
      <c r="AO835" s="58">
        <v>0</v>
      </c>
      <c r="AP835" s="174">
        <v>0</v>
      </c>
      <c r="AQ835" s="175">
        <v>1207</v>
      </c>
      <c r="AR835" s="175">
        <v>0</v>
      </c>
      <c r="AS835" s="175">
        <v>0</v>
      </c>
      <c r="AT835" s="175" t="s">
        <v>284</v>
      </c>
      <c r="AU835" s="175" t="s">
        <v>284</v>
      </c>
      <c r="AV835" s="175" t="s">
        <v>284</v>
      </c>
      <c r="AW835" s="175" t="s">
        <v>284</v>
      </c>
      <c r="AX835" s="83">
        <v>0</v>
      </c>
      <c r="AY835" s="49">
        <v>0</v>
      </c>
      <c r="AZ835" s="49">
        <v>0</v>
      </c>
      <c r="BA835" s="49">
        <v>0</v>
      </c>
      <c r="BB835" s="58">
        <v>0</v>
      </c>
      <c r="BC835" s="42">
        <v>101</v>
      </c>
      <c r="BD835" s="49">
        <v>82.7</v>
      </c>
      <c r="BS835" s="58"/>
      <c r="BT835" s="83">
        <v>82.72</v>
      </c>
      <c r="CE835" s="83">
        <v>80.290000000000006</v>
      </c>
      <c r="CK835" s="58"/>
      <c r="CL835" s="83"/>
      <c r="CO835" s="58"/>
      <c r="CP835" s="83"/>
      <c r="CR835" s="58"/>
      <c r="CS835" s="83"/>
      <c r="CY835" s="83"/>
      <c r="DG835" s="58"/>
      <c r="DH835" s="83"/>
      <c r="DQ835" s="83"/>
      <c r="EE835" s="58"/>
      <c r="EF835" s="83"/>
      <c r="EI835" s="83"/>
      <c r="EK835" s="58"/>
      <c r="EL835" s="83">
        <v>83.23</v>
      </c>
      <c r="EO835" s="58"/>
      <c r="EP835" s="83">
        <v>77.66</v>
      </c>
      <c r="EQ835" s="58"/>
      <c r="ER835" s="83"/>
      <c r="ES835" s="58"/>
      <c r="ET835" s="83"/>
      <c r="EU835" s="58"/>
    </row>
    <row r="836" spans="1:151">
      <c r="A836" s="83" t="s">
        <v>321</v>
      </c>
      <c r="B836" s="173" t="s">
        <v>257</v>
      </c>
      <c r="C836" s="173" t="s">
        <v>519</v>
      </c>
      <c r="D836" s="83" t="s">
        <v>103</v>
      </c>
      <c r="F836" s="49" t="s">
        <v>286</v>
      </c>
      <c r="G836" s="60">
        <v>2.7285333333333335</v>
      </c>
      <c r="H836" s="49">
        <v>4331</v>
      </c>
      <c r="I836" s="49">
        <v>2155</v>
      </c>
      <c r="J836" s="159">
        <v>1.4630006788866259</v>
      </c>
      <c r="K836" s="49">
        <v>4</v>
      </c>
      <c r="L836" s="49">
        <v>4</v>
      </c>
      <c r="M836" s="83">
        <v>1</v>
      </c>
      <c r="N836" s="49">
        <v>0</v>
      </c>
      <c r="O836" s="49">
        <v>1</v>
      </c>
      <c r="P836" s="49">
        <v>1</v>
      </c>
      <c r="Q836" s="58">
        <v>0</v>
      </c>
      <c r="R836" s="42">
        <v>3</v>
      </c>
      <c r="S836" s="83">
        <v>1</v>
      </c>
      <c r="U836" s="83">
        <v>1</v>
      </c>
      <c r="V836" s="49">
        <v>4</v>
      </c>
      <c r="W836" s="49">
        <v>1</v>
      </c>
      <c r="X836" s="58">
        <v>2</v>
      </c>
      <c r="Y836" s="83">
        <v>1</v>
      </c>
      <c r="AF836" s="49">
        <v>14</v>
      </c>
      <c r="AG836" s="49">
        <v>54</v>
      </c>
      <c r="AH836" s="49">
        <v>11</v>
      </c>
      <c r="AI836" s="49">
        <v>188</v>
      </c>
      <c r="AJ836" s="49">
        <v>0</v>
      </c>
      <c r="AK836" s="83">
        <v>0</v>
      </c>
      <c r="AL836" s="49">
        <v>1</v>
      </c>
      <c r="AM836" s="49">
        <v>1</v>
      </c>
      <c r="AN836" s="49">
        <v>0</v>
      </c>
      <c r="AO836" s="58">
        <v>0</v>
      </c>
      <c r="AP836" s="174">
        <v>0</v>
      </c>
      <c r="AQ836" s="175">
        <v>640</v>
      </c>
      <c r="AR836" s="175">
        <v>0</v>
      </c>
      <c r="AS836" s="175">
        <v>739</v>
      </c>
      <c r="AT836" s="175">
        <v>0</v>
      </c>
      <c r="AU836" s="175">
        <v>0</v>
      </c>
      <c r="AV836" s="175">
        <v>0</v>
      </c>
      <c r="AW836" s="175">
        <v>0</v>
      </c>
      <c r="AX836" s="83">
        <v>0</v>
      </c>
      <c r="AY836" s="49">
        <v>1</v>
      </c>
      <c r="AZ836" s="49">
        <v>0</v>
      </c>
      <c r="BA836" s="49">
        <v>0</v>
      </c>
      <c r="BB836" s="58">
        <v>3</v>
      </c>
      <c r="BC836" s="42">
        <v>144</v>
      </c>
      <c r="BS836" s="58"/>
      <c r="BT836" s="83">
        <v>72.31</v>
      </c>
      <c r="BU836" s="49">
        <v>72.95</v>
      </c>
      <c r="CE836" s="83">
        <v>80.900000000000006</v>
      </c>
      <c r="CK836" s="58"/>
      <c r="CL836" s="83"/>
      <c r="CO836" s="58"/>
      <c r="CP836" s="83"/>
      <c r="CR836" s="58"/>
      <c r="CS836" s="83"/>
      <c r="CY836" s="83"/>
      <c r="DG836" s="58"/>
      <c r="DH836" s="83"/>
      <c r="DQ836" s="83"/>
      <c r="EE836" s="58"/>
      <c r="EF836" s="83"/>
      <c r="EI836" s="83"/>
      <c r="EK836" s="58"/>
      <c r="EL836" s="83"/>
      <c r="EO836" s="58"/>
      <c r="EP836" s="83"/>
      <c r="EQ836" s="58"/>
      <c r="ER836" s="83"/>
      <c r="ES836" s="58"/>
      <c r="ET836" s="83"/>
      <c r="EU836" s="58"/>
    </row>
    <row r="837" spans="1:151">
      <c r="A837" s="83" t="s">
        <v>321</v>
      </c>
      <c r="B837" s="173" t="s">
        <v>257</v>
      </c>
      <c r="C837" s="173" t="s">
        <v>519</v>
      </c>
      <c r="D837" s="83" t="s">
        <v>148</v>
      </c>
      <c r="F837" s="49" t="s">
        <v>286</v>
      </c>
      <c r="G837" s="60">
        <v>2.7285333333333335</v>
      </c>
      <c r="H837" s="49">
        <v>4331</v>
      </c>
      <c r="I837" s="49">
        <v>2923</v>
      </c>
      <c r="J837" s="159">
        <v>1.7866748166259168</v>
      </c>
      <c r="K837" s="49">
        <v>4</v>
      </c>
      <c r="L837" s="49">
        <v>3</v>
      </c>
      <c r="M837" s="83">
        <v>0</v>
      </c>
      <c r="N837" s="49">
        <v>0</v>
      </c>
      <c r="O837" s="49">
        <v>0</v>
      </c>
      <c r="P837" s="49">
        <v>0</v>
      </c>
      <c r="Q837" s="58">
        <v>0</v>
      </c>
      <c r="R837" s="42">
        <v>0</v>
      </c>
      <c r="S837" s="83" t="s">
        <v>283</v>
      </c>
      <c r="T837" s="49">
        <v>11</v>
      </c>
      <c r="U837" s="83">
        <v>1</v>
      </c>
      <c r="V837" s="49">
        <v>3</v>
      </c>
      <c r="W837" s="49">
        <v>2</v>
      </c>
      <c r="X837" s="58"/>
      <c r="Y837" s="83">
        <v>5</v>
      </c>
      <c r="Z837" s="49">
        <v>6</v>
      </c>
      <c r="AA837" s="49">
        <v>43</v>
      </c>
      <c r="AF837" s="49">
        <v>12</v>
      </c>
      <c r="AG837" s="49">
        <v>42</v>
      </c>
      <c r="AI837" s="49">
        <v>135</v>
      </c>
      <c r="AJ837" s="49">
        <v>1</v>
      </c>
      <c r="AK837" s="83">
        <v>0</v>
      </c>
      <c r="AL837" s="49">
        <v>0</v>
      </c>
      <c r="AM837" s="49">
        <v>0</v>
      </c>
      <c r="AN837" s="49">
        <v>0</v>
      </c>
      <c r="AO837" s="58">
        <v>0</v>
      </c>
      <c r="AP837" s="174" t="s">
        <v>284</v>
      </c>
      <c r="AQ837" s="175" t="s">
        <v>284</v>
      </c>
      <c r="AR837" s="175" t="s">
        <v>284</v>
      </c>
      <c r="AS837" s="175" t="s">
        <v>284</v>
      </c>
      <c r="AT837" s="175" t="s">
        <v>284</v>
      </c>
      <c r="AU837" s="175" t="s">
        <v>284</v>
      </c>
      <c r="AV837" s="175" t="s">
        <v>284</v>
      </c>
      <c r="AW837" s="175" t="s">
        <v>284</v>
      </c>
      <c r="AX837" s="83">
        <v>0</v>
      </c>
      <c r="AY837" s="49">
        <v>0</v>
      </c>
      <c r="AZ837" s="49">
        <v>0</v>
      </c>
      <c r="BA837" s="49">
        <v>0</v>
      </c>
      <c r="BB837" s="58">
        <v>0</v>
      </c>
      <c r="BC837" s="42">
        <v>131</v>
      </c>
      <c r="BS837" s="58"/>
      <c r="BT837" s="83"/>
      <c r="CE837" s="83"/>
      <c r="CK837" s="58"/>
      <c r="CL837" s="83"/>
      <c r="CO837" s="58"/>
      <c r="CP837" s="83"/>
      <c r="CR837" s="58"/>
      <c r="CS837" s="83"/>
      <c r="CY837" s="83"/>
      <c r="DG837" s="58"/>
      <c r="DH837" s="83"/>
      <c r="DQ837" s="83"/>
      <c r="EE837" s="58"/>
      <c r="EF837" s="83"/>
      <c r="EI837" s="83"/>
      <c r="EK837" s="58"/>
      <c r="EL837" s="83"/>
      <c r="EO837" s="58"/>
      <c r="EP837" s="83"/>
      <c r="EQ837" s="58"/>
      <c r="ER837" s="83"/>
      <c r="ES837" s="58"/>
      <c r="ET837" s="83"/>
      <c r="EU837" s="58"/>
    </row>
    <row r="838" spans="1:151">
      <c r="A838" s="83" t="s">
        <v>321</v>
      </c>
      <c r="B838" s="173" t="s">
        <v>257</v>
      </c>
      <c r="C838" s="173" t="s">
        <v>519</v>
      </c>
      <c r="D838" s="83" t="s">
        <v>104</v>
      </c>
      <c r="F838" s="49" t="s">
        <v>286</v>
      </c>
      <c r="G838" s="60">
        <v>2.7285333333333335</v>
      </c>
      <c r="H838" s="49">
        <v>4331</v>
      </c>
      <c r="I838" s="49">
        <v>1795</v>
      </c>
      <c r="J838" s="159">
        <v>1.3557401812688821</v>
      </c>
      <c r="K838" s="49">
        <v>1</v>
      </c>
      <c r="L838" s="49">
        <v>2</v>
      </c>
      <c r="M838" s="83">
        <v>0</v>
      </c>
      <c r="N838" s="49">
        <v>2</v>
      </c>
      <c r="O838" s="49">
        <v>1</v>
      </c>
      <c r="P838" s="49">
        <v>1</v>
      </c>
      <c r="Q838" s="58">
        <v>0</v>
      </c>
      <c r="R838" s="42">
        <v>4</v>
      </c>
      <c r="S838" s="83">
        <v>1</v>
      </c>
      <c r="U838" s="83">
        <v>1</v>
      </c>
      <c r="V838" s="49">
        <v>3</v>
      </c>
      <c r="W838" s="49">
        <v>1</v>
      </c>
      <c r="X838" s="58">
        <v>2</v>
      </c>
      <c r="Y838" s="83" t="s">
        <v>78</v>
      </c>
      <c r="Z838" s="49">
        <v>9</v>
      </c>
      <c r="AA838" s="49">
        <v>31</v>
      </c>
      <c r="AF838" s="49">
        <v>6</v>
      </c>
      <c r="AG838" s="49">
        <v>11</v>
      </c>
      <c r="AJ838" s="49">
        <v>0</v>
      </c>
      <c r="AK838" s="83">
        <v>0</v>
      </c>
      <c r="AL838" s="49">
        <v>1</v>
      </c>
      <c r="AM838" s="49">
        <v>0</v>
      </c>
      <c r="AN838" s="49">
        <v>0</v>
      </c>
      <c r="AO838" s="58">
        <v>0</v>
      </c>
      <c r="AP838" s="174">
        <v>0</v>
      </c>
      <c r="AQ838" s="175">
        <v>766</v>
      </c>
      <c r="AR838" s="175" t="s">
        <v>284</v>
      </c>
      <c r="AS838" s="175" t="s">
        <v>284</v>
      </c>
      <c r="AT838" s="175" t="s">
        <v>284</v>
      </c>
      <c r="AU838" s="175" t="s">
        <v>284</v>
      </c>
      <c r="AV838" s="175" t="s">
        <v>284</v>
      </c>
      <c r="AW838" s="175" t="s">
        <v>284</v>
      </c>
      <c r="AX838" s="83">
        <v>0</v>
      </c>
      <c r="AY838" s="49">
        <v>0</v>
      </c>
      <c r="AZ838" s="49">
        <v>0</v>
      </c>
      <c r="BA838" s="49">
        <v>0</v>
      </c>
      <c r="BB838" s="58">
        <v>0</v>
      </c>
      <c r="BC838" s="42">
        <v>115</v>
      </c>
      <c r="BD838" s="49">
        <v>83.17</v>
      </c>
      <c r="BE838" s="49">
        <v>82.57</v>
      </c>
      <c r="BS838" s="58"/>
      <c r="BT838" s="83">
        <v>85.91</v>
      </c>
      <c r="BU838" s="49">
        <v>80.81</v>
      </c>
      <c r="CE838" s="83"/>
      <c r="CK838" s="58"/>
      <c r="CL838" s="83"/>
      <c r="CO838" s="58"/>
      <c r="CP838" s="83"/>
      <c r="CR838" s="58"/>
      <c r="CS838" s="83"/>
      <c r="CY838" s="83"/>
      <c r="DG838" s="58"/>
      <c r="DH838" s="83"/>
      <c r="DQ838" s="89">
        <v>80.819999999999993</v>
      </c>
      <c r="EE838" s="58"/>
      <c r="EF838" s="83"/>
      <c r="EI838" s="83">
        <v>80.91</v>
      </c>
      <c r="EK838" s="58"/>
      <c r="EL838" s="83">
        <v>81.75</v>
      </c>
      <c r="EO838" s="58"/>
      <c r="EP838" s="83"/>
      <c r="EQ838" s="58"/>
      <c r="ER838" s="83"/>
      <c r="ES838" s="58"/>
      <c r="ET838" s="83"/>
      <c r="EU838" s="58"/>
    </row>
    <row r="839" spans="1:151">
      <c r="A839" s="83" t="s">
        <v>321</v>
      </c>
      <c r="B839" s="173" t="s">
        <v>257</v>
      </c>
      <c r="C839" s="173" t="s">
        <v>519</v>
      </c>
      <c r="D839" s="83" t="s">
        <v>105</v>
      </c>
      <c r="F839" s="49" t="s">
        <v>286</v>
      </c>
      <c r="G839" s="60">
        <v>2.7285333333333335</v>
      </c>
      <c r="H839" s="49">
        <v>4331</v>
      </c>
      <c r="I839" s="49">
        <v>2160</v>
      </c>
      <c r="J839" s="159">
        <v>1.173913043478261</v>
      </c>
      <c r="K839" s="49">
        <v>4</v>
      </c>
      <c r="L839" s="49">
        <v>2</v>
      </c>
      <c r="M839" s="83">
        <v>0</v>
      </c>
      <c r="N839" s="49">
        <v>3</v>
      </c>
      <c r="O839" s="49">
        <v>0</v>
      </c>
      <c r="P839" s="49">
        <v>0</v>
      </c>
      <c r="Q839" s="58">
        <v>0</v>
      </c>
      <c r="R839" s="42">
        <v>3</v>
      </c>
      <c r="S839" s="83" t="s">
        <v>283</v>
      </c>
      <c r="T839" s="49">
        <v>13</v>
      </c>
      <c r="U839" s="83">
        <v>1</v>
      </c>
      <c r="V839" s="49">
        <v>2</v>
      </c>
      <c r="W839" s="49">
        <v>2</v>
      </c>
      <c r="X839" s="58"/>
      <c r="Y839" s="83">
        <v>10</v>
      </c>
      <c r="Z839" s="49">
        <v>10</v>
      </c>
      <c r="AA839" s="49">
        <v>40</v>
      </c>
      <c r="AD839" s="49">
        <v>10</v>
      </c>
      <c r="AE839" s="49">
        <v>160</v>
      </c>
      <c r="AF839" s="49">
        <v>10</v>
      </c>
      <c r="AG839" s="49">
        <v>200</v>
      </c>
      <c r="AI839" s="49">
        <v>820</v>
      </c>
      <c r="AJ839" s="49">
        <v>1</v>
      </c>
      <c r="AK839" s="83">
        <v>0</v>
      </c>
      <c r="AL839" s="49">
        <v>1</v>
      </c>
      <c r="AM839" s="49">
        <v>0</v>
      </c>
      <c r="AN839" s="49">
        <v>0</v>
      </c>
      <c r="AO839" s="58">
        <v>0</v>
      </c>
      <c r="AP839" s="174">
        <v>0</v>
      </c>
      <c r="AQ839" s="175">
        <v>540</v>
      </c>
      <c r="AR839" s="175" t="s">
        <v>284</v>
      </c>
      <c r="AS839" s="175" t="s">
        <v>284</v>
      </c>
      <c r="AT839" s="175" t="s">
        <v>284</v>
      </c>
      <c r="AU839" s="175" t="s">
        <v>284</v>
      </c>
      <c r="AV839" s="175" t="s">
        <v>284</v>
      </c>
      <c r="AW839" s="175" t="s">
        <v>284</v>
      </c>
      <c r="AX839" s="83">
        <v>0</v>
      </c>
      <c r="AY839" s="49">
        <v>0</v>
      </c>
      <c r="AZ839" s="49">
        <v>0</v>
      </c>
      <c r="BA839" s="49">
        <v>0</v>
      </c>
      <c r="BB839" s="58">
        <v>0</v>
      </c>
      <c r="BC839" s="42">
        <v>134</v>
      </c>
      <c r="BS839" s="58"/>
      <c r="BT839" s="83"/>
      <c r="CE839" s="83"/>
      <c r="CK839" s="58"/>
      <c r="CL839" s="83"/>
      <c r="CO839" s="58"/>
      <c r="CP839" s="83"/>
      <c r="CR839" s="58"/>
      <c r="CS839" s="83"/>
      <c r="CY839" s="83"/>
      <c r="DG839" s="58"/>
      <c r="DH839" s="83"/>
      <c r="DQ839" s="83"/>
      <c r="EE839" s="58"/>
      <c r="EF839" s="83"/>
      <c r="EI839" s="83"/>
      <c r="EK839" s="58"/>
      <c r="EL839" s="83"/>
      <c r="EO839" s="58"/>
      <c r="EP839" s="83"/>
      <c r="EQ839" s="58"/>
      <c r="ER839" s="83"/>
      <c r="ES839" s="58"/>
      <c r="ET839" s="83"/>
      <c r="EU839" s="58"/>
    </row>
    <row r="840" spans="1:151">
      <c r="A840" s="83" t="s">
        <v>321</v>
      </c>
      <c r="B840" s="173" t="s">
        <v>257</v>
      </c>
      <c r="C840" s="173" t="s">
        <v>519</v>
      </c>
      <c r="D840" s="83" t="s">
        <v>149</v>
      </c>
      <c r="F840" s="49" t="s">
        <v>287</v>
      </c>
      <c r="G840" s="60">
        <v>2.7285333333333335</v>
      </c>
      <c r="H840" s="49">
        <v>4331</v>
      </c>
      <c r="I840" s="49">
        <v>954</v>
      </c>
      <c r="J840" s="159">
        <v>1.6006711409395973</v>
      </c>
      <c r="K840" s="49">
        <v>1</v>
      </c>
      <c r="L840" s="49">
        <v>2</v>
      </c>
      <c r="M840" s="83">
        <v>0</v>
      </c>
      <c r="N840" s="49">
        <v>2</v>
      </c>
      <c r="O840" s="49">
        <v>0</v>
      </c>
      <c r="P840" s="49">
        <v>0</v>
      </c>
      <c r="Q840" s="58">
        <v>0</v>
      </c>
      <c r="R840" s="42">
        <v>2</v>
      </c>
      <c r="S840" s="83" t="s">
        <v>283</v>
      </c>
      <c r="T840" s="49">
        <v>4</v>
      </c>
      <c r="U840" s="83">
        <v>1</v>
      </c>
      <c r="V840" s="49">
        <v>1</v>
      </c>
      <c r="W840" s="49">
        <v>2</v>
      </c>
      <c r="X840" s="58"/>
      <c r="Y840" s="83">
        <v>15</v>
      </c>
      <c r="Z840" s="49">
        <v>4</v>
      </c>
      <c r="AA840" s="49">
        <v>20</v>
      </c>
      <c r="AD840" s="49">
        <v>4</v>
      </c>
      <c r="AE840" s="49">
        <v>19</v>
      </c>
      <c r="AF840" s="49">
        <v>11</v>
      </c>
      <c r="AG840" s="49">
        <v>277</v>
      </c>
      <c r="AJ840" s="49">
        <v>1</v>
      </c>
      <c r="AK840" s="83">
        <v>0</v>
      </c>
      <c r="AL840" s="49">
        <v>1</v>
      </c>
      <c r="AM840" s="49">
        <v>0</v>
      </c>
      <c r="AN840" s="49">
        <v>0</v>
      </c>
      <c r="AO840" s="58">
        <v>0</v>
      </c>
      <c r="AP840" s="174">
        <v>232</v>
      </c>
      <c r="AQ840" s="175">
        <v>630</v>
      </c>
      <c r="AR840" s="175" t="s">
        <v>284</v>
      </c>
      <c r="AS840" s="175" t="s">
        <v>284</v>
      </c>
      <c r="AT840" s="175" t="s">
        <v>284</v>
      </c>
      <c r="AU840" s="175" t="s">
        <v>284</v>
      </c>
      <c r="AV840" s="175" t="s">
        <v>284</v>
      </c>
      <c r="AW840" s="175" t="s">
        <v>284</v>
      </c>
      <c r="AX840" s="83">
        <v>0</v>
      </c>
      <c r="AY840" s="49">
        <v>0</v>
      </c>
      <c r="AZ840" s="49">
        <v>0</v>
      </c>
      <c r="BA840" s="49">
        <v>0</v>
      </c>
      <c r="BB840" s="58">
        <v>0</v>
      </c>
      <c r="BC840" s="42">
        <v>105</v>
      </c>
      <c r="BD840" s="49">
        <v>83.09</v>
      </c>
      <c r="BS840" s="58"/>
      <c r="BT840" s="83">
        <v>83.8</v>
      </c>
      <c r="CE840" s="83">
        <v>82.21</v>
      </c>
      <c r="CF840" s="49">
        <v>85.15</v>
      </c>
      <c r="CK840" s="58"/>
      <c r="CL840" s="83">
        <v>61.59</v>
      </c>
      <c r="CO840" s="58"/>
      <c r="CP840" s="83"/>
      <c r="CR840" s="58"/>
      <c r="CS840" s="83"/>
      <c r="CY840" s="83"/>
      <c r="DG840" s="58"/>
      <c r="DH840" s="83"/>
      <c r="DQ840" s="83"/>
      <c r="EE840" s="58"/>
      <c r="EF840" s="83"/>
      <c r="EI840" s="83"/>
      <c r="EK840" s="58"/>
      <c r="EL840" s="83">
        <v>81.52</v>
      </c>
      <c r="EO840" s="58"/>
      <c r="EP840" s="83"/>
      <c r="EQ840" s="58"/>
      <c r="ER840" s="83"/>
      <c r="ES840" s="58"/>
      <c r="ET840" s="83">
        <v>77.97</v>
      </c>
      <c r="EU840" s="58"/>
    </row>
    <row r="841" spans="1:151">
      <c r="A841" s="83" t="s">
        <v>321</v>
      </c>
      <c r="B841" s="173" t="s">
        <v>257</v>
      </c>
      <c r="C841" s="173" t="s">
        <v>519</v>
      </c>
      <c r="D841" s="83" t="s">
        <v>106</v>
      </c>
      <c r="F841" s="49" t="s">
        <v>287</v>
      </c>
      <c r="G841" s="60">
        <v>2.7285333333333335</v>
      </c>
      <c r="H841" s="49">
        <v>4331</v>
      </c>
      <c r="I841" s="49">
        <v>803</v>
      </c>
      <c r="J841" s="159">
        <v>2.2747875354107649</v>
      </c>
      <c r="K841" s="49">
        <v>1</v>
      </c>
      <c r="L841" s="49">
        <v>2</v>
      </c>
      <c r="M841" s="83">
        <v>1</v>
      </c>
      <c r="N841" s="49">
        <v>0</v>
      </c>
      <c r="O841" s="49">
        <v>1</v>
      </c>
      <c r="P841" s="49">
        <v>1</v>
      </c>
      <c r="Q841" s="58">
        <v>0</v>
      </c>
      <c r="R841" s="42">
        <v>3</v>
      </c>
      <c r="S841" s="83" t="s">
        <v>283</v>
      </c>
      <c r="T841" s="49">
        <v>2</v>
      </c>
      <c r="U841" s="83">
        <v>2</v>
      </c>
      <c r="V841" s="49">
        <v>2</v>
      </c>
      <c r="W841" s="49">
        <v>1</v>
      </c>
      <c r="X841" s="58">
        <v>3</v>
      </c>
      <c r="Y841" s="83">
        <v>5</v>
      </c>
      <c r="AF841" s="49">
        <v>26</v>
      </c>
      <c r="AG841" s="49">
        <v>118</v>
      </c>
      <c r="AH841" s="49">
        <v>27</v>
      </c>
      <c r="AI841" s="49">
        <v>30</v>
      </c>
      <c r="AJ841" s="49">
        <v>0</v>
      </c>
      <c r="AK841" s="83">
        <v>0</v>
      </c>
      <c r="AL841" s="49">
        <v>0</v>
      </c>
      <c r="AM841" s="49">
        <v>0</v>
      </c>
      <c r="AN841" s="49">
        <v>0</v>
      </c>
      <c r="AO841" s="58">
        <v>0</v>
      </c>
      <c r="AP841" s="174" t="s">
        <v>284</v>
      </c>
      <c r="AQ841" s="175" t="s">
        <v>284</v>
      </c>
      <c r="AR841" s="175" t="s">
        <v>284</v>
      </c>
      <c r="AS841" s="175" t="s">
        <v>284</v>
      </c>
      <c r="AT841" s="175" t="s">
        <v>284</v>
      </c>
      <c r="AU841" s="175" t="s">
        <v>284</v>
      </c>
      <c r="AV841" s="175" t="s">
        <v>284</v>
      </c>
      <c r="AW841" s="175" t="s">
        <v>284</v>
      </c>
      <c r="AX841" s="83">
        <v>0</v>
      </c>
      <c r="AY841" s="49">
        <v>0</v>
      </c>
      <c r="AZ841" s="49">
        <v>0</v>
      </c>
      <c r="BA841" s="49">
        <v>0</v>
      </c>
      <c r="BB841" s="58">
        <v>0</v>
      </c>
      <c r="BC841" s="42">
        <v>91</v>
      </c>
      <c r="BD841" s="49">
        <v>81.39</v>
      </c>
      <c r="BE841" s="49">
        <v>82.25</v>
      </c>
      <c r="BS841" s="58"/>
      <c r="BT841" s="83">
        <v>76.63</v>
      </c>
      <c r="CE841" s="83"/>
      <c r="CK841" s="58"/>
      <c r="CL841" s="83"/>
      <c r="CO841" s="58"/>
      <c r="CP841" s="83"/>
      <c r="CR841" s="58"/>
      <c r="CS841" s="83"/>
      <c r="CY841" s="83"/>
      <c r="DG841" s="58"/>
      <c r="DH841" s="83"/>
      <c r="DQ841" s="83">
        <v>74.400000000000006</v>
      </c>
      <c r="EE841" s="58"/>
      <c r="EF841" s="83"/>
      <c r="EI841" s="83"/>
      <c r="EK841" s="58"/>
      <c r="EL841" s="83"/>
      <c r="EO841" s="58"/>
      <c r="EP841" s="83"/>
      <c r="EQ841" s="58"/>
      <c r="ER841" s="83"/>
      <c r="ES841" s="58"/>
      <c r="ET841" s="83"/>
      <c r="EU841" s="58"/>
    </row>
    <row r="842" spans="1:151">
      <c r="A842" s="83" t="s">
        <v>321</v>
      </c>
      <c r="B842" s="173" t="s">
        <v>257</v>
      </c>
      <c r="C842" s="173" t="s">
        <v>519</v>
      </c>
      <c r="D842" s="83" t="s">
        <v>107</v>
      </c>
      <c r="F842" s="49" t="s">
        <v>286</v>
      </c>
      <c r="G842" s="60">
        <v>2.7285333333333335</v>
      </c>
      <c r="H842" s="49">
        <v>4331</v>
      </c>
      <c r="I842" s="49">
        <v>1009</v>
      </c>
      <c r="J842" s="159">
        <v>1.7189097103918227</v>
      </c>
      <c r="K842" s="49">
        <v>1</v>
      </c>
      <c r="L842" s="49">
        <v>3</v>
      </c>
      <c r="M842" s="83">
        <v>0</v>
      </c>
      <c r="N842" s="49">
        <v>1</v>
      </c>
      <c r="O842" s="49">
        <v>0</v>
      </c>
      <c r="P842" s="49">
        <v>1</v>
      </c>
      <c r="Q842" s="58">
        <v>0</v>
      </c>
      <c r="R842" s="42">
        <v>2</v>
      </c>
      <c r="S842" s="83" t="s">
        <v>283</v>
      </c>
      <c r="T842" s="49">
        <v>5</v>
      </c>
      <c r="U842" s="83">
        <v>2</v>
      </c>
      <c r="V842" s="49">
        <v>3</v>
      </c>
      <c r="W842" s="49">
        <v>3</v>
      </c>
      <c r="X842" s="58">
        <v>2</v>
      </c>
      <c r="Y842" s="83">
        <v>1</v>
      </c>
      <c r="AD842" s="49">
        <v>11</v>
      </c>
      <c r="AE842" s="49">
        <v>52</v>
      </c>
      <c r="AJ842" s="49">
        <v>1</v>
      </c>
      <c r="AK842" s="83">
        <v>0</v>
      </c>
      <c r="AL842" s="49">
        <v>0</v>
      </c>
      <c r="AM842" s="49">
        <v>1</v>
      </c>
      <c r="AN842" s="49">
        <v>0</v>
      </c>
      <c r="AO842" s="58">
        <v>0</v>
      </c>
      <c r="AP842" s="174" t="s">
        <v>284</v>
      </c>
      <c r="AQ842" s="175" t="s">
        <v>284</v>
      </c>
      <c r="AR842" s="175" t="s">
        <v>501</v>
      </c>
      <c r="AS842" s="175" t="s">
        <v>501</v>
      </c>
      <c r="AT842" s="175" t="s">
        <v>284</v>
      </c>
      <c r="AU842" s="175" t="s">
        <v>284</v>
      </c>
      <c r="AV842" s="175" t="s">
        <v>284</v>
      </c>
      <c r="AW842" s="175" t="s">
        <v>284</v>
      </c>
      <c r="AX842" s="83">
        <v>0</v>
      </c>
      <c r="AY842" s="49">
        <v>0</v>
      </c>
      <c r="AZ842" s="49">
        <v>0</v>
      </c>
      <c r="BA842" s="49">
        <v>0</v>
      </c>
      <c r="BB842" s="58">
        <v>0</v>
      </c>
      <c r="BC842" s="42">
        <v>88</v>
      </c>
      <c r="BD842" s="49">
        <v>81.069999999999993</v>
      </c>
      <c r="BE842" s="159">
        <v>81.8</v>
      </c>
      <c r="BS842" s="58"/>
      <c r="BT842" s="83">
        <v>84.73</v>
      </c>
      <c r="BU842" s="49">
        <v>84.69</v>
      </c>
      <c r="CE842" s="83">
        <v>74.75</v>
      </c>
      <c r="CK842" s="58"/>
      <c r="CL842" s="83"/>
      <c r="CO842" s="58"/>
      <c r="CP842" s="83"/>
      <c r="CR842" s="58"/>
      <c r="CS842" s="83"/>
      <c r="CY842" s="83"/>
      <c r="DG842" s="58"/>
      <c r="DH842" s="83"/>
      <c r="DQ842" s="83"/>
      <c r="EE842" s="58"/>
      <c r="EF842" s="83"/>
      <c r="EI842" s="83"/>
      <c r="EK842" s="58"/>
      <c r="EL842" s="83"/>
      <c r="EO842" s="58"/>
      <c r="EP842" s="83"/>
      <c r="EQ842" s="58"/>
      <c r="ER842" s="83"/>
      <c r="ES842" s="58"/>
      <c r="ET842" s="83"/>
      <c r="EU842" s="58"/>
    </row>
    <row r="843" spans="1:151">
      <c r="A843" s="83" t="s">
        <v>321</v>
      </c>
      <c r="B843" s="173" t="s">
        <v>257</v>
      </c>
      <c r="C843" s="173" t="s">
        <v>519</v>
      </c>
      <c r="D843" s="83" t="s">
        <v>150</v>
      </c>
      <c r="F843" s="49" t="s">
        <v>287</v>
      </c>
      <c r="G843" s="60">
        <v>2.7285333333333335</v>
      </c>
      <c r="H843" s="49">
        <v>4331</v>
      </c>
      <c r="I843" s="49">
        <v>471</v>
      </c>
      <c r="J843" s="159">
        <v>1.1687344913151365</v>
      </c>
      <c r="K843" s="49">
        <v>1</v>
      </c>
      <c r="L843" s="49">
        <v>2</v>
      </c>
      <c r="M843" s="83">
        <v>0</v>
      </c>
      <c r="N843" s="49">
        <v>0</v>
      </c>
      <c r="O843" s="49">
        <v>1</v>
      </c>
      <c r="P843" s="49">
        <v>1</v>
      </c>
      <c r="Q843" s="58">
        <v>0</v>
      </c>
      <c r="R843" s="42">
        <v>2</v>
      </c>
      <c r="S843" s="83" t="s">
        <v>283</v>
      </c>
      <c r="T843" s="49">
        <v>3</v>
      </c>
      <c r="U843" s="83">
        <v>1</v>
      </c>
      <c r="V843" s="49">
        <v>3</v>
      </c>
      <c r="W843" s="49">
        <v>1</v>
      </c>
      <c r="X843" s="58">
        <v>2</v>
      </c>
      <c r="Y843" s="83">
        <v>0</v>
      </c>
      <c r="AJ843" s="49">
        <v>0</v>
      </c>
      <c r="AK843" s="83">
        <v>0</v>
      </c>
      <c r="AL843" s="49">
        <v>0</v>
      </c>
      <c r="AM843" s="49">
        <v>1</v>
      </c>
      <c r="AN843" s="49">
        <v>0</v>
      </c>
      <c r="AO843" s="58">
        <v>0</v>
      </c>
      <c r="AP843" s="174" t="s">
        <v>284</v>
      </c>
      <c r="AQ843" s="175" t="s">
        <v>284</v>
      </c>
      <c r="AR843" s="175" t="s">
        <v>501</v>
      </c>
      <c r="AS843" s="175" t="s">
        <v>501</v>
      </c>
      <c r="AT843" s="175" t="s">
        <v>284</v>
      </c>
      <c r="AU843" s="175" t="s">
        <v>284</v>
      </c>
      <c r="AV843" s="175" t="s">
        <v>284</v>
      </c>
      <c r="AW843" s="175" t="s">
        <v>284</v>
      </c>
      <c r="AX843" s="83">
        <v>0</v>
      </c>
      <c r="AY843" s="49">
        <v>0</v>
      </c>
      <c r="AZ843" s="49">
        <v>0</v>
      </c>
      <c r="BA843" s="49">
        <v>0</v>
      </c>
      <c r="BB843" s="58">
        <v>0</v>
      </c>
      <c r="BC843" s="42">
        <v>59</v>
      </c>
      <c r="BS843" s="58"/>
      <c r="BT843" s="83"/>
      <c r="CE843" s="83"/>
      <c r="CK843" s="58"/>
      <c r="CL843" s="83"/>
      <c r="CO843" s="58"/>
      <c r="CP843" s="83"/>
      <c r="CR843" s="58"/>
      <c r="CS843" s="83"/>
      <c r="CY843" s="83"/>
      <c r="DG843" s="58"/>
      <c r="DH843" s="83"/>
      <c r="DQ843" s="83"/>
      <c r="EE843" s="58"/>
      <c r="EF843" s="83"/>
      <c r="EI843" s="83"/>
      <c r="EK843" s="58"/>
      <c r="EL843" s="83"/>
      <c r="EO843" s="58"/>
      <c r="EP843" s="83"/>
      <c r="EQ843" s="58"/>
      <c r="ER843" s="83"/>
      <c r="ES843" s="58"/>
      <c r="ET843" s="83"/>
      <c r="EU843" s="58"/>
    </row>
    <row r="844" spans="1:151">
      <c r="A844" s="83" t="s">
        <v>321</v>
      </c>
      <c r="B844" s="173" t="s">
        <v>257</v>
      </c>
      <c r="C844" s="173" t="s">
        <v>519</v>
      </c>
      <c r="D844" s="83" t="s">
        <v>67</v>
      </c>
      <c r="F844" s="49" t="s">
        <v>286</v>
      </c>
      <c r="G844" s="60">
        <v>2.7285333333333335</v>
      </c>
      <c r="H844" s="49">
        <v>4331</v>
      </c>
      <c r="I844" s="49">
        <v>1206</v>
      </c>
      <c r="J844" s="159">
        <v>1.425531914893617</v>
      </c>
      <c r="K844" s="49">
        <v>4</v>
      </c>
      <c r="L844" s="49">
        <v>3</v>
      </c>
      <c r="M844" s="83">
        <v>0</v>
      </c>
      <c r="N844" s="49">
        <v>0</v>
      </c>
      <c r="O844" s="49">
        <v>1</v>
      </c>
      <c r="P844" s="49">
        <v>1</v>
      </c>
      <c r="Q844" s="58">
        <v>0</v>
      </c>
      <c r="R844" s="42">
        <v>2</v>
      </c>
      <c r="S844" s="83" t="s">
        <v>283</v>
      </c>
      <c r="T844" s="49">
        <v>5</v>
      </c>
      <c r="U844" s="83">
        <v>3</v>
      </c>
      <c r="V844" s="49">
        <v>3</v>
      </c>
      <c r="W844" s="49">
        <v>3</v>
      </c>
      <c r="X844" s="58">
        <v>3</v>
      </c>
      <c r="Y844" s="83">
        <v>0</v>
      </c>
      <c r="AJ844" s="49">
        <v>0</v>
      </c>
      <c r="AK844" s="83">
        <v>0</v>
      </c>
      <c r="AL844" s="49">
        <v>0</v>
      </c>
      <c r="AM844" s="49">
        <v>0</v>
      </c>
      <c r="AN844" s="49">
        <v>0</v>
      </c>
      <c r="AO844" s="58">
        <v>0</v>
      </c>
      <c r="AP844" s="174" t="s">
        <v>284</v>
      </c>
      <c r="AQ844" s="175" t="s">
        <v>284</v>
      </c>
      <c r="AR844" s="175" t="s">
        <v>284</v>
      </c>
      <c r="AS844" s="175" t="s">
        <v>284</v>
      </c>
      <c r="AT844" s="175" t="s">
        <v>284</v>
      </c>
      <c r="AU844" s="175" t="s">
        <v>284</v>
      </c>
      <c r="AV844" s="175" t="s">
        <v>284</v>
      </c>
      <c r="AW844" s="175" t="s">
        <v>284</v>
      </c>
      <c r="AX844" s="83">
        <v>0</v>
      </c>
      <c r="AY844" s="49">
        <v>0</v>
      </c>
      <c r="AZ844" s="49">
        <v>0</v>
      </c>
      <c r="BA844" s="49">
        <v>0</v>
      </c>
      <c r="BB844" s="58">
        <v>0</v>
      </c>
      <c r="BC844" s="42">
        <v>103</v>
      </c>
      <c r="BD844" s="49">
        <v>80.63</v>
      </c>
      <c r="BS844" s="58"/>
      <c r="BT844" s="83">
        <v>78.099999999999994</v>
      </c>
      <c r="BU844" s="49">
        <v>79.87</v>
      </c>
      <c r="BV844" s="49">
        <v>83.45</v>
      </c>
      <c r="BW844" s="49">
        <v>81.459999999999994</v>
      </c>
      <c r="BX844" s="49">
        <v>82.14</v>
      </c>
      <c r="CE844" s="83">
        <v>81.97</v>
      </c>
      <c r="CK844" s="58"/>
      <c r="CL844" s="83"/>
      <c r="CO844" s="58"/>
      <c r="CP844" s="83"/>
      <c r="CR844" s="58"/>
      <c r="CS844" s="83"/>
      <c r="CY844" s="83"/>
      <c r="DG844" s="58"/>
      <c r="DH844" s="83"/>
      <c r="DQ844" s="83"/>
      <c r="EE844" s="58"/>
      <c r="EF844" s="83"/>
      <c r="EI844" s="83"/>
      <c r="EK844" s="58"/>
      <c r="EL844" s="83"/>
      <c r="EO844" s="58"/>
      <c r="EP844" s="83"/>
      <c r="EQ844" s="58"/>
      <c r="ER844" s="83"/>
      <c r="ES844" s="58"/>
      <c r="ET844" s="83"/>
      <c r="EU844" s="58"/>
    </row>
    <row r="845" spans="1:151">
      <c r="A845" s="83" t="s">
        <v>321</v>
      </c>
      <c r="B845" s="173" t="s">
        <v>257</v>
      </c>
      <c r="C845" s="173" t="s">
        <v>519</v>
      </c>
      <c r="D845" s="83" t="s">
        <v>151</v>
      </c>
      <c r="F845" s="49" t="s">
        <v>287</v>
      </c>
      <c r="G845" s="60">
        <v>2.7285333333333335</v>
      </c>
      <c r="H845" s="49">
        <v>4331</v>
      </c>
      <c r="I845" s="49">
        <v>734</v>
      </c>
      <c r="J845" s="159">
        <v>17.069767441860463</v>
      </c>
      <c r="K845" s="49">
        <v>3</v>
      </c>
      <c r="L845" s="49">
        <v>1</v>
      </c>
      <c r="M845" s="83">
        <v>0</v>
      </c>
      <c r="N845" s="49">
        <v>0</v>
      </c>
      <c r="O845" s="49">
        <v>0</v>
      </c>
      <c r="P845" s="49">
        <v>1</v>
      </c>
      <c r="Q845" s="58">
        <v>0</v>
      </c>
      <c r="R845" s="42">
        <v>1</v>
      </c>
      <c r="S845" s="83" t="s">
        <v>283</v>
      </c>
      <c r="T845" s="49">
        <v>2</v>
      </c>
      <c r="U845" s="83">
        <v>0</v>
      </c>
      <c r="V845" s="49">
        <v>0</v>
      </c>
      <c r="W845" s="49">
        <v>0</v>
      </c>
      <c r="X845" s="58"/>
      <c r="Y845" s="83">
        <v>1</v>
      </c>
      <c r="Z845" s="49">
        <v>1</v>
      </c>
      <c r="AA845" s="49">
        <v>2</v>
      </c>
      <c r="AF845" s="49">
        <v>10</v>
      </c>
      <c r="AG845" s="49">
        <v>23</v>
      </c>
      <c r="AJ845" s="49">
        <v>0</v>
      </c>
      <c r="AK845" s="83">
        <v>0</v>
      </c>
      <c r="AL845" s="49">
        <v>1</v>
      </c>
      <c r="AM845" s="49">
        <v>0</v>
      </c>
      <c r="AN845" s="49">
        <v>0</v>
      </c>
      <c r="AO845" s="58">
        <v>0</v>
      </c>
      <c r="AP845" s="174" t="s">
        <v>501</v>
      </c>
      <c r="AQ845" s="175" t="s">
        <v>501</v>
      </c>
      <c r="AR845" s="175" t="s">
        <v>284</v>
      </c>
      <c r="AS845" s="175" t="s">
        <v>284</v>
      </c>
      <c r="AT845" s="175" t="s">
        <v>284</v>
      </c>
      <c r="AU845" s="175" t="s">
        <v>284</v>
      </c>
      <c r="AV845" s="175" t="s">
        <v>284</v>
      </c>
      <c r="AW845" s="175" t="s">
        <v>284</v>
      </c>
      <c r="AX845" s="83">
        <v>0</v>
      </c>
      <c r="AY845" s="49">
        <v>0</v>
      </c>
      <c r="AZ845" s="49">
        <v>0</v>
      </c>
      <c r="BA845" s="49">
        <v>0</v>
      </c>
      <c r="BB845" s="58">
        <v>0</v>
      </c>
      <c r="BC845" s="42">
        <v>79</v>
      </c>
      <c r="BS845" s="58"/>
      <c r="BT845" s="83"/>
      <c r="CE845" s="83"/>
      <c r="CK845" s="58"/>
      <c r="CL845" s="83"/>
      <c r="CO845" s="58"/>
      <c r="CP845" s="83"/>
      <c r="CR845" s="58"/>
      <c r="CS845" s="83"/>
      <c r="CY845" s="83"/>
      <c r="DG845" s="58"/>
      <c r="DH845" s="83"/>
      <c r="DQ845" s="83"/>
      <c r="EE845" s="58"/>
      <c r="EF845" s="83"/>
      <c r="EI845" s="83"/>
      <c r="EK845" s="58"/>
      <c r="EL845" s="83"/>
      <c r="EO845" s="58"/>
      <c r="EP845" s="83"/>
      <c r="EQ845" s="58"/>
      <c r="ER845" s="83"/>
      <c r="ES845" s="58"/>
      <c r="ET845" s="83"/>
      <c r="EU845" s="58"/>
    </row>
    <row r="846" spans="1:151">
      <c r="A846" s="83" t="s">
        <v>321</v>
      </c>
      <c r="B846" s="173" t="s">
        <v>257</v>
      </c>
      <c r="C846" s="173" t="s">
        <v>519</v>
      </c>
      <c r="D846" s="83" t="s">
        <v>152</v>
      </c>
      <c r="F846" s="49" t="s">
        <v>286</v>
      </c>
      <c r="G846" s="60">
        <v>2.7285333333333335</v>
      </c>
      <c r="I846" s="49">
        <v>6092</v>
      </c>
      <c r="J846" s="159">
        <v>1.4408703878902553</v>
      </c>
      <c r="K846" s="49">
        <v>4</v>
      </c>
      <c r="L846" s="49">
        <v>5</v>
      </c>
      <c r="M846" s="83">
        <v>0</v>
      </c>
      <c r="N846" s="49">
        <v>0</v>
      </c>
      <c r="O846" s="49">
        <v>0</v>
      </c>
      <c r="P846" s="49">
        <v>1</v>
      </c>
      <c r="Q846" s="58">
        <v>0</v>
      </c>
      <c r="R846" s="42">
        <v>1</v>
      </c>
      <c r="S846" s="83">
        <v>1</v>
      </c>
      <c r="T846" s="49">
        <v>9</v>
      </c>
      <c r="U846" s="83">
        <v>1</v>
      </c>
      <c r="V846" s="49">
        <v>4</v>
      </c>
      <c r="W846" s="49">
        <v>1</v>
      </c>
      <c r="X846" s="58">
        <v>2</v>
      </c>
      <c r="Y846" s="83">
        <v>10</v>
      </c>
      <c r="Z846" s="49">
        <v>11</v>
      </c>
      <c r="AA846" s="49">
        <v>144</v>
      </c>
      <c r="AD846" s="49">
        <v>20</v>
      </c>
      <c r="AE846" s="49">
        <v>578</v>
      </c>
      <c r="AF846" s="49">
        <v>22</v>
      </c>
      <c r="AG846" s="49">
        <v>57</v>
      </c>
      <c r="AH846" s="49">
        <v>37</v>
      </c>
      <c r="AI846" s="49">
        <v>334</v>
      </c>
      <c r="AJ846" s="49">
        <v>1</v>
      </c>
      <c r="AK846" s="83">
        <v>0</v>
      </c>
      <c r="AL846" s="49">
        <v>0</v>
      </c>
      <c r="AM846" s="49">
        <v>0</v>
      </c>
      <c r="AN846" s="49">
        <v>0</v>
      </c>
      <c r="AO846" s="58">
        <v>0</v>
      </c>
      <c r="AP846" s="174" t="s">
        <v>284</v>
      </c>
      <c r="AQ846" s="175" t="s">
        <v>284</v>
      </c>
      <c r="AR846" s="175" t="s">
        <v>284</v>
      </c>
      <c r="AS846" s="175" t="s">
        <v>284</v>
      </c>
      <c r="AT846" s="175" t="s">
        <v>284</v>
      </c>
      <c r="AU846" s="175" t="s">
        <v>284</v>
      </c>
      <c r="AV846" s="175" t="s">
        <v>284</v>
      </c>
      <c r="AW846" s="175" t="s">
        <v>284</v>
      </c>
      <c r="AX846" s="83">
        <v>1</v>
      </c>
      <c r="AY846" s="49">
        <v>0</v>
      </c>
      <c r="AZ846" s="49">
        <v>0</v>
      </c>
      <c r="BA846" s="49">
        <v>0</v>
      </c>
      <c r="BB846" s="58">
        <v>1</v>
      </c>
      <c r="BC846" s="42">
        <v>148</v>
      </c>
      <c r="BD846" s="49">
        <v>82.93</v>
      </c>
      <c r="BE846" s="159">
        <v>82.94</v>
      </c>
      <c r="BF846" s="49">
        <v>83.31</v>
      </c>
      <c r="BG846" s="49">
        <v>83.27</v>
      </c>
      <c r="BH846" s="49">
        <v>82.17</v>
      </c>
      <c r="BI846" s="49">
        <v>81.739999999999995</v>
      </c>
      <c r="BJ846" s="49">
        <v>81.19</v>
      </c>
      <c r="BS846" s="58"/>
      <c r="BT846" s="83">
        <v>85.1</v>
      </c>
      <c r="BU846" s="49">
        <v>85.53</v>
      </c>
      <c r="BV846" s="49">
        <v>84.96</v>
      </c>
      <c r="CE846" s="83">
        <v>80.03</v>
      </c>
      <c r="CK846" s="58"/>
      <c r="CL846" s="83"/>
      <c r="CO846" s="58"/>
      <c r="CP846" s="83"/>
      <c r="CR846" s="58"/>
      <c r="CS846" s="83"/>
      <c r="CY846" s="83"/>
      <c r="DG846" s="58"/>
      <c r="DH846" s="83"/>
      <c r="DQ846" s="83"/>
      <c r="EE846" s="58"/>
      <c r="EF846" s="83"/>
      <c r="EI846" s="83"/>
      <c r="EK846" s="58"/>
      <c r="EL846" s="83"/>
      <c r="EO846" s="58"/>
      <c r="EP846" s="83"/>
      <c r="EQ846" s="58"/>
      <c r="ER846" s="83"/>
      <c r="ES846" s="58"/>
      <c r="ET846" s="83"/>
      <c r="EU846" s="58"/>
    </row>
    <row r="847" spans="1:151">
      <c r="A847" s="83" t="s">
        <v>321</v>
      </c>
      <c r="B847" s="173" t="s">
        <v>257</v>
      </c>
      <c r="C847" s="173" t="s">
        <v>519</v>
      </c>
      <c r="D847" s="83" t="s">
        <v>153</v>
      </c>
      <c r="F847" s="49" t="s">
        <v>286</v>
      </c>
      <c r="G847" s="60">
        <v>2.7285333333333335</v>
      </c>
      <c r="H847" s="49">
        <v>4331</v>
      </c>
      <c r="I847" s="49">
        <v>7512</v>
      </c>
      <c r="J847" s="159">
        <v>1.3895671476137625</v>
      </c>
      <c r="K847" s="49">
        <v>4</v>
      </c>
      <c r="L847" s="49">
        <v>3</v>
      </c>
      <c r="M847" s="83">
        <v>0</v>
      </c>
      <c r="N847" s="49">
        <v>0</v>
      </c>
      <c r="O847" s="49">
        <v>0</v>
      </c>
      <c r="P847" s="49">
        <v>0</v>
      </c>
      <c r="Q847" s="58">
        <v>0</v>
      </c>
      <c r="R847" s="42">
        <v>0</v>
      </c>
      <c r="S847" s="83" t="s">
        <v>283</v>
      </c>
      <c r="T847" s="49">
        <v>5</v>
      </c>
      <c r="U847" s="83">
        <v>1</v>
      </c>
      <c r="V847" s="49">
        <v>3</v>
      </c>
      <c r="W847" s="49">
        <v>2</v>
      </c>
      <c r="X847" s="58"/>
      <c r="Y847" s="83">
        <v>15</v>
      </c>
      <c r="Z847" s="49">
        <v>10</v>
      </c>
      <c r="AA847" s="49">
        <v>86</v>
      </c>
      <c r="AD847" s="49">
        <v>10</v>
      </c>
      <c r="AE847" s="49">
        <v>450</v>
      </c>
      <c r="AF847" s="49">
        <v>10</v>
      </c>
      <c r="AG847" s="49">
        <v>270</v>
      </c>
      <c r="AH847" s="49">
        <v>93</v>
      </c>
      <c r="AI847" s="49">
        <v>1020</v>
      </c>
      <c r="AJ847" s="49">
        <v>1</v>
      </c>
      <c r="AK847" s="83"/>
      <c r="AO847" s="58"/>
      <c r="AP847" s="174" t="s">
        <v>284</v>
      </c>
      <c r="AQ847" s="175" t="s">
        <v>284</v>
      </c>
      <c r="AR847" s="175" t="s">
        <v>284</v>
      </c>
      <c r="AS847" s="175" t="s">
        <v>284</v>
      </c>
      <c r="AT847" s="175" t="s">
        <v>284</v>
      </c>
      <c r="AU847" s="175" t="s">
        <v>284</v>
      </c>
      <c r="AV847" s="175" t="s">
        <v>284</v>
      </c>
      <c r="AW847" s="175" t="s">
        <v>284</v>
      </c>
      <c r="AX847" s="83">
        <v>0</v>
      </c>
      <c r="AY847" s="49">
        <v>0</v>
      </c>
      <c r="AZ847" s="49">
        <v>0</v>
      </c>
      <c r="BA847" s="49">
        <v>0</v>
      </c>
      <c r="BB847" s="58">
        <v>0</v>
      </c>
      <c r="BC847" s="42">
        <v>103</v>
      </c>
      <c r="BD847" s="49">
        <v>82.03</v>
      </c>
      <c r="BE847" s="159">
        <v>82.2</v>
      </c>
      <c r="BF847" s="49">
        <v>82.06</v>
      </c>
      <c r="BG847" s="49">
        <v>81.05</v>
      </c>
      <c r="BH847" s="49">
        <v>82.12</v>
      </c>
      <c r="BS847" s="58"/>
      <c r="BT847" s="83"/>
      <c r="CE847" s="83"/>
      <c r="CK847" s="58"/>
      <c r="CL847" s="83"/>
      <c r="CO847" s="58"/>
      <c r="CP847" s="83"/>
      <c r="CR847" s="58"/>
      <c r="CS847" s="83"/>
      <c r="CY847" s="83"/>
      <c r="DG847" s="58"/>
      <c r="DH847" s="83"/>
      <c r="DQ847" s="83"/>
      <c r="EE847" s="58"/>
      <c r="EF847" s="83"/>
      <c r="EI847" s="83">
        <v>83.38</v>
      </c>
      <c r="EJ847" s="49">
        <v>82.47</v>
      </c>
      <c r="EK847" s="58"/>
      <c r="EL847" s="83"/>
      <c r="EO847" s="58"/>
      <c r="EP847" s="83">
        <v>80.05</v>
      </c>
      <c r="EQ847" s="58">
        <v>83.59</v>
      </c>
      <c r="ER847" s="83">
        <v>77.239999999999995</v>
      </c>
      <c r="ES847" s="58"/>
      <c r="ET847" s="83"/>
      <c r="EU847" s="58"/>
    </row>
    <row r="848" spans="1:151">
      <c r="A848" s="83" t="s">
        <v>321</v>
      </c>
      <c r="B848" s="173" t="s">
        <v>257</v>
      </c>
      <c r="C848" s="173" t="s">
        <v>519</v>
      </c>
      <c r="D848" s="83" t="s">
        <v>154</v>
      </c>
      <c r="F848" s="49" t="s">
        <v>286</v>
      </c>
      <c r="G848" s="60">
        <v>2.7285333333333335</v>
      </c>
      <c r="H848" s="49">
        <v>4331</v>
      </c>
      <c r="I848" s="49">
        <v>4618</v>
      </c>
      <c r="J848" s="159">
        <v>3.5198170731707319</v>
      </c>
      <c r="K848" s="49">
        <v>1</v>
      </c>
      <c r="L848" s="49">
        <v>2</v>
      </c>
      <c r="M848" s="83">
        <v>0</v>
      </c>
      <c r="N848" s="49">
        <v>0</v>
      </c>
      <c r="O848" s="49">
        <v>1</v>
      </c>
      <c r="P848" s="49">
        <v>1</v>
      </c>
      <c r="Q848" s="58">
        <v>0</v>
      </c>
      <c r="R848" s="42">
        <v>2</v>
      </c>
      <c r="S848" s="83" t="s">
        <v>283</v>
      </c>
      <c r="T848" s="49">
        <v>4</v>
      </c>
      <c r="U848" s="83">
        <v>1</v>
      </c>
      <c r="V848" s="49">
        <v>3</v>
      </c>
      <c r="W848" s="49">
        <v>1</v>
      </c>
      <c r="X848" s="58">
        <v>2</v>
      </c>
      <c r="Y848" s="83">
        <v>1</v>
      </c>
      <c r="Z848" s="49">
        <v>8</v>
      </c>
      <c r="AA848" s="49">
        <v>49</v>
      </c>
      <c r="AF848" s="49">
        <v>10</v>
      </c>
      <c r="AG848" s="49">
        <v>17</v>
      </c>
      <c r="AJ848" s="49">
        <v>0</v>
      </c>
      <c r="AK848" s="83">
        <v>0</v>
      </c>
      <c r="AL848" s="49">
        <v>1</v>
      </c>
      <c r="AM848" s="49">
        <v>0</v>
      </c>
      <c r="AN848" s="49">
        <v>0</v>
      </c>
      <c r="AO848" s="58">
        <v>0</v>
      </c>
      <c r="AP848" s="174">
        <v>0</v>
      </c>
      <c r="AQ848" s="175">
        <v>1827</v>
      </c>
      <c r="AR848" s="175" t="s">
        <v>284</v>
      </c>
      <c r="AS848" s="175" t="s">
        <v>284</v>
      </c>
      <c r="AT848" s="175" t="s">
        <v>284</v>
      </c>
      <c r="AU848" s="175" t="s">
        <v>284</v>
      </c>
      <c r="AV848" s="175" t="s">
        <v>284</v>
      </c>
      <c r="AW848" s="175" t="s">
        <v>284</v>
      </c>
      <c r="AX848" s="83">
        <v>0</v>
      </c>
      <c r="AY848" s="49">
        <v>0</v>
      </c>
      <c r="AZ848" s="49">
        <v>0</v>
      </c>
      <c r="BA848" s="49">
        <v>0</v>
      </c>
      <c r="BB848" s="58">
        <v>0</v>
      </c>
      <c r="BC848" s="42">
        <v>108</v>
      </c>
      <c r="BD848" s="49">
        <v>83.23</v>
      </c>
      <c r="BS848" s="58"/>
      <c r="BT848" s="83">
        <v>84.05</v>
      </c>
      <c r="BU848" s="49">
        <v>80.81</v>
      </c>
      <c r="BV848" s="49">
        <v>85.55</v>
      </c>
      <c r="CE848" s="83">
        <v>83.6</v>
      </c>
      <c r="CK848" s="58"/>
      <c r="CL848" s="83"/>
      <c r="CO848" s="58"/>
      <c r="CP848" s="83"/>
      <c r="CR848" s="58"/>
      <c r="CS848" s="83"/>
      <c r="CY848" s="83"/>
      <c r="DG848" s="58"/>
      <c r="DH848" s="83"/>
      <c r="DQ848" s="83"/>
      <c r="EE848" s="58"/>
      <c r="EF848" s="83"/>
      <c r="EI848" s="83"/>
      <c r="EK848" s="58"/>
      <c r="EL848" s="83"/>
      <c r="EO848" s="58"/>
      <c r="EP848" s="83"/>
      <c r="EQ848" s="58"/>
      <c r="ER848" s="83"/>
      <c r="ES848" s="58"/>
      <c r="ET848" s="83"/>
      <c r="EU848" s="58"/>
    </row>
    <row r="849" spans="1:151">
      <c r="A849" s="83" t="s">
        <v>321</v>
      </c>
      <c r="B849" s="173" t="s">
        <v>257</v>
      </c>
      <c r="C849" s="173" t="s">
        <v>519</v>
      </c>
      <c r="D849" s="83" t="s">
        <v>68</v>
      </c>
      <c r="F849" s="49" t="s">
        <v>286</v>
      </c>
      <c r="G849" s="60">
        <v>2.7285333333333335</v>
      </c>
      <c r="H849" s="49">
        <v>4331</v>
      </c>
      <c r="I849" s="49">
        <v>1143</v>
      </c>
      <c r="J849" s="159">
        <v>1.6661807580174928</v>
      </c>
      <c r="K849" s="49">
        <v>1</v>
      </c>
      <c r="L849" s="49">
        <v>3</v>
      </c>
      <c r="M849" s="83">
        <v>0</v>
      </c>
      <c r="N849" s="49">
        <v>2</v>
      </c>
      <c r="O849" s="49">
        <v>0</v>
      </c>
      <c r="P849" s="49">
        <v>0</v>
      </c>
      <c r="Q849" s="58">
        <v>0</v>
      </c>
      <c r="R849" s="42">
        <v>2</v>
      </c>
      <c r="S849" s="83" t="s">
        <v>283</v>
      </c>
      <c r="T849" s="49">
        <v>2</v>
      </c>
      <c r="U849" s="83">
        <v>1</v>
      </c>
      <c r="V849" s="49">
        <v>3</v>
      </c>
      <c r="W849" s="49">
        <v>2</v>
      </c>
      <c r="X849" s="58"/>
      <c r="Y849" s="83">
        <v>3</v>
      </c>
      <c r="Z849" s="49">
        <v>5</v>
      </c>
      <c r="AA849" s="49">
        <v>43</v>
      </c>
      <c r="AD849" s="49">
        <v>5</v>
      </c>
      <c r="AE849" s="49">
        <v>48</v>
      </c>
      <c r="AF849" s="49">
        <v>2</v>
      </c>
      <c r="AG849" s="49">
        <v>33</v>
      </c>
      <c r="AI849" s="49">
        <v>75</v>
      </c>
      <c r="AJ849" s="49">
        <v>1</v>
      </c>
      <c r="AK849" s="83">
        <v>0</v>
      </c>
      <c r="AL849" s="49">
        <v>0</v>
      </c>
      <c r="AM849" s="49">
        <v>1</v>
      </c>
      <c r="AN849" s="49">
        <v>0</v>
      </c>
      <c r="AO849" s="58">
        <v>0</v>
      </c>
      <c r="AP849" s="174" t="s">
        <v>284</v>
      </c>
      <c r="AQ849" s="175" t="s">
        <v>284</v>
      </c>
      <c r="AR849" s="175">
        <v>0</v>
      </c>
      <c r="AS849" s="175">
        <v>127</v>
      </c>
      <c r="AT849" s="175" t="s">
        <v>284</v>
      </c>
      <c r="AU849" s="175" t="s">
        <v>284</v>
      </c>
      <c r="AV849" s="175" t="s">
        <v>284</v>
      </c>
      <c r="AW849" s="175" t="s">
        <v>284</v>
      </c>
      <c r="AX849" s="83">
        <v>0</v>
      </c>
      <c r="AY849" s="49">
        <v>0</v>
      </c>
      <c r="AZ849" s="49">
        <v>0</v>
      </c>
      <c r="BA849" s="49">
        <v>0</v>
      </c>
      <c r="BB849" s="58">
        <v>0</v>
      </c>
      <c r="BC849" s="42">
        <v>85</v>
      </c>
      <c r="BS849" s="58"/>
      <c r="BT849" s="83"/>
      <c r="CE849" s="83"/>
      <c r="CK849" s="58"/>
      <c r="CL849" s="83"/>
      <c r="CO849" s="58"/>
      <c r="CP849" s="83"/>
      <c r="CR849" s="58"/>
      <c r="CS849" s="83"/>
      <c r="CY849" s="83"/>
      <c r="DG849" s="58"/>
      <c r="DH849" s="83"/>
      <c r="DQ849" s="83"/>
      <c r="EE849" s="58"/>
      <c r="EF849" s="83"/>
      <c r="EI849" s="83"/>
      <c r="EK849" s="58"/>
      <c r="EL849" s="83"/>
      <c r="EO849" s="58"/>
      <c r="EP849" s="83"/>
      <c r="EQ849" s="58"/>
      <c r="ER849" s="83"/>
      <c r="ES849" s="58"/>
      <c r="ET849" s="83"/>
      <c r="EU849" s="58"/>
    </row>
    <row r="850" spans="1:151" ht="17" thickBot="1">
      <c r="A850" s="83" t="s">
        <v>321</v>
      </c>
      <c r="B850" s="47" t="s">
        <v>257</v>
      </c>
      <c r="C850" s="47" t="s">
        <v>519</v>
      </c>
      <c r="D850" s="84" t="s">
        <v>76</v>
      </c>
      <c r="E850" s="57"/>
      <c r="F850" s="57" t="s">
        <v>286</v>
      </c>
      <c r="G850" s="74">
        <v>2.7285333333333335</v>
      </c>
      <c r="H850" s="57">
        <v>4331</v>
      </c>
      <c r="I850" s="57">
        <v>2002</v>
      </c>
      <c r="J850" s="75">
        <v>1.1407407407407408</v>
      </c>
      <c r="K850" s="57">
        <v>1</v>
      </c>
      <c r="L850" s="57">
        <v>3</v>
      </c>
      <c r="M850" s="84">
        <v>0</v>
      </c>
      <c r="N850" s="57">
        <v>2</v>
      </c>
      <c r="O850" s="57">
        <v>1</v>
      </c>
      <c r="P850" s="57">
        <v>1</v>
      </c>
      <c r="Q850" s="56">
        <v>0</v>
      </c>
      <c r="R850" s="55">
        <v>4</v>
      </c>
      <c r="S850" s="84" t="s">
        <v>284</v>
      </c>
      <c r="T850" s="57"/>
      <c r="U850" s="84">
        <v>3</v>
      </c>
      <c r="V850" s="57">
        <v>3</v>
      </c>
      <c r="W850" s="57">
        <v>3</v>
      </c>
      <c r="X850" s="56">
        <v>2</v>
      </c>
      <c r="Y850" s="84">
        <v>10</v>
      </c>
      <c r="Z850" s="57">
        <v>10</v>
      </c>
      <c r="AA850" s="57">
        <v>58</v>
      </c>
      <c r="AB850" s="57"/>
      <c r="AC850" s="57"/>
      <c r="AD850" s="57">
        <v>30</v>
      </c>
      <c r="AE850" s="57">
        <v>146</v>
      </c>
      <c r="AF850" s="57">
        <v>21</v>
      </c>
      <c r="AG850" s="57">
        <v>195</v>
      </c>
      <c r="AH850" s="57">
        <v>21</v>
      </c>
      <c r="AI850" s="57">
        <v>414</v>
      </c>
      <c r="AJ850" s="57">
        <v>1</v>
      </c>
      <c r="AK850" s="84">
        <v>0</v>
      </c>
      <c r="AL850" s="57">
        <v>0</v>
      </c>
      <c r="AM850" s="57">
        <v>0</v>
      </c>
      <c r="AN850" s="57">
        <v>0</v>
      </c>
      <c r="AO850" s="56">
        <v>0</v>
      </c>
      <c r="AP850" s="178" t="s">
        <v>284</v>
      </c>
      <c r="AQ850" s="179" t="s">
        <v>284</v>
      </c>
      <c r="AR850" s="179" t="s">
        <v>284</v>
      </c>
      <c r="AS850" s="179" t="s">
        <v>284</v>
      </c>
      <c r="AT850" s="179" t="s">
        <v>284</v>
      </c>
      <c r="AU850" s="179" t="s">
        <v>284</v>
      </c>
      <c r="AV850" s="179" t="s">
        <v>284</v>
      </c>
      <c r="AW850" s="179" t="s">
        <v>284</v>
      </c>
      <c r="AX850" s="84">
        <v>0</v>
      </c>
      <c r="AY850" s="57">
        <v>0</v>
      </c>
      <c r="AZ850" s="57">
        <v>0</v>
      </c>
      <c r="BA850" s="57">
        <v>0</v>
      </c>
      <c r="BB850" s="56">
        <v>0</v>
      </c>
      <c r="BC850" s="55">
        <v>25</v>
      </c>
      <c r="BD850" s="57">
        <v>76.25</v>
      </c>
      <c r="BE850" s="75"/>
      <c r="BF850" s="57"/>
      <c r="BG850" s="57"/>
      <c r="BH850" s="57"/>
      <c r="BI850" s="57"/>
      <c r="BJ850" s="57"/>
      <c r="BK850" s="57"/>
      <c r="BL850" s="57"/>
      <c r="BM850" s="57"/>
      <c r="BN850" s="57"/>
      <c r="BO850" s="57"/>
      <c r="BP850" s="57"/>
      <c r="BQ850" s="57"/>
      <c r="BR850" s="57"/>
      <c r="BS850" s="56"/>
      <c r="BT850" s="84">
        <v>82.12</v>
      </c>
      <c r="BU850" s="57">
        <v>76.37</v>
      </c>
      <c r="BV850" s="57">
        <v>81.8</v>
      </c>
      <c r="BW850" s="57"/>
      <c r="BX850" s="57"/>
      <c r="BY850" s="57"/>
      <c r="BZ850" s="57"/>
      <c r="CA850" s="57"/>
      <c r="CB850" s="57"/>
      <c r="CC850" s="57"/>
      <c r="CD850" s="57"/>
      <c r="CE850" s="84"/>
      <c r="CF850" s="57"/>
      <c r="CG850" s="57"/>
      <c r="CH850" s="57"/>
      <c r="CI850" s="57"/>
      <c r="CJ850" s="57"/>
      <c r="CK850" s="56"/>
      <c r="CL850" s="84"/>
      <c r="CM850" s="57"/>
      <c r="CN850" s="57"/>
      <c r="CO850" s="56"/>
      <c r="CP850" s="84"/>
      <c r="CQ850" s="57"/>
      <c r="CR850" s="56"/>
      <c r="CS850" s="84"/>
      <c r="CT850" s="57"/>
      <c r="CU850" s="57"/>
      <c r="CV850" s="57"/>
      <c r="CW850" s="57"/>
      <c r="CX850" s="57"/>
      <c r="CY850" s="84"/>
      <c r="CZ850" s="57"/>
      <c r="DA850" s="57"/>
      <c r="DB850" s="57"/>
      <c r="DC850" s="57"/>
      <c r="DD850" s="57"/>
      <c r="DE850" s="57"/>
      <c r="DF850" s="57"/>
      <c r="DG850" s="56"/>
      <c r="DH850" s="84"/>
      <c r="DI850" s="57"/>
      <c r="DJ850" s="57"/>
      <c r="DK850" s="57"/>
      <c r="DL850" s="57"/>
      <c r="DM850" s="57"/>
      <c r="DN850" s="57"/>
      <c r="DO850" s="57"/>
      <c r="DP850" s="57"/>
      <c r="DQ850" s="84">
        <v>77.27</v>
      </c>
      <c r="DR850" s="57"/>
      <c r="DS850" s="57"/>
      <c r="DT850" s="57"/>
      <c r="DU850" s="57"/>
      <c r="DV850" s="57"/>
      <c r="DW850" s="57"/>
      <c r="DX850" s="57"/>
      <c r="DY850" s="57"/>
      <c r="DZ850" s="57"/>
      <c r="EA850" s="57"/>
      <c r="EB850" s="57"/>
      <c r="EC850" s="57"/>
      <c r="ED850" s="57"/>
      <c r="EE850" s="56"/>
      <c r="EF850" s="84"/>
      <c r="EG850" s="57"/>
      <c r="EH850" s="57"/>
      <c r="EI850" s="84"/>
      <c r="EJ850" s="57"/>
      <c r="EK850" s="56"/>
      <c r="EL850" s="84"/>
      <c r="EM850" s="57"/>
      <c r="EN850" s="57"/>
      <c r="EO850" s="56"/>
      <c r="EP850" s="84"/>
      <c r="EQ850" s="56"/>
      <c r="ER850" s="84"/>
      <c r="ES850" s="56"/>
      <c r="ET850" s="84"/>
      <c r="EU850" s="56"/>
    </row>
    <row r="851" spans="1:151">
      <c r="A851" s="87" t="s">
        <v>321</v>
      </c>
      <c r="B851" s="7" t="s">
        <v>258</v>
      </c>
      <c r="C851" s="7" t="s">
        <v>520</v>
      </c>
      <c r="D851" s="147" t="s">
        <v>250</v>
      </c>
      <c r="E851" s="148"/>
      <c r="F851" s="148" t="s">
        <v>287</v>
      </c>
      <c r="G851" s="73">
        <v>2.5602</v>
      </c>
      <c r="H851" s="148">
        <v>4249</v>
      </c>
      <c r="I851" s="148">
        <v>490</v>
      </c>
      <c r="J851" s="158">
        <v>3.0061349693251533</v>
      </c>
      <c r="K851" s="148">
        <v>2</v>
      </c>
      <c r="L851" s="148">
        <v>2</v>
      </c>
      <c r="M851" s="147">
        <v>0</v>
      </c>
      <c r="N851" s="148">
        <v>0</v>
      </c>
      <c r="O851" s="148">
        <v>0</v>
      </c>
      <c r="P851" s="148">
        <v>0</v>
      </c>
      <c r="Q851" s="149">
        <v>0</v>
      </c>
      <c r="R851" s="87">
        <v>0</v>
      </c>
      <c r="S851" s="147" t="s">
        <v>284</v>
      </c>
      <c r="T851" s="148"/>
      <c r="U851" s="147">
        <v>0</v>
      </c>
      <c r="V851" s="148">
        <v>0</v>
      </c>
      <c r="W851" s="148">
        <v>0</v>
      </c>
      <c r="X851" s="149"/>
      <c r="Y851" s="147" t="s">
        <v>78</v>
      </c>
      <c r="Z851" s="148"/>
      <c r="AA851" s="148"/>
      <c r="AB851" s="148"/>
      <c r="AC851" s="148"/>
      <c r="AD851" s="148"/>
      <c r="AE851" s="148">
        <v>20</v>
      </c>
      <c r="AF851" s="148"/>
      <c r="AG851" s="148"/>
      <c r="AH851" s="148"/>
      <c r="AI851" s="148"/>
      <c r="AJ851" s="148">
        <v>0</v>
      </c>
      <c r="AK851" s="147">
        <v>1</v>
      </c>
      <c r="AL851" s="148">
        <v>0</v>
      </c>
      <c r="AM851" s="148">
        <v>0</v>
      </c>
      <c r="AN851" s="148">
        <v>0</v>
      </c>
      <c r="AO851" s="149">
        <v>0</v>
      </c>
      <c r="AP851" s="169" t="s">
        <v>284</v>
      </c>
      <c r="AQ851" s="170" t="s">
        <v>284</v>
      </c>
      <c r="AR851" s="170" t="s">
        <v>284</v>
      </c>
      <c r="AS851" s="170" t="s">
        <v>284</v>
      </c>
      <c r="AT851" s="170" t="s">
        <v>284</v>
      </c>
      <c r="AU851" s="170" t="s">
        <v>284</v>
      </c>
      <c r="AV851" s="170" t="s">
        <v>284</v>
      </c>
      <c r="AW851" s="170" t="s">
        <v>284</v>
      </c>
      <c r="AX851" s="147">
        <v>0</v>
      </c>
      <c r="AY851" s="148">
        <v>0</v>
      </c>
      <c r="AZ851" s="148">
        <v>0</v>
      </c>
      <c r="BA851" s="148">
        <v>0</v>
      </c>
      <c r="BB851" s="149">
        <v>0</v>
      </c>
      <c r="BC851" s="87"/>
      <c r="BD851" s="148"/>
      <c r="BE851" s="158"/>
      <c r="BF851" s="148"/>
      <c r="BG851" s="148"/>
      <c r="BH851" s="148"/>
      <c r="BI851" s="148"/>
      <c r="BJ851" s="148"/>
      <c r="BK851" s="148"/>
      <c r="BL851" s="148"/>
      <c r="BM851" s="148"/>
      <c r="BN851" s="148"/>
      <c r="BO851" s="148"/>
      <c r="BP851" s="148"/>
      <c r="BQ851" s="148"/>
      <c r="BR851" s="148"/>
      <c r="BS851" s="149"/>
      <c r="BT851" s="147"/>
      <c r="BU851" s="148"/>
      <c r="BV851" s="148"/>
      <c r="BW851" s="148"/>
      <c r="BX851" s="148"/>
      <c r="BY851" s="148"/>
      <c r="BZ851" s="148"/>
      <c r="CA851" s="148"/>
      <c r="CB851" s="148"/>
      <c r="CC851" s="148"/>
      <c r="CD851" s="148"/>
      <c r="CE851" s="147"/>
      <c r="CF851" s="148"/>
      <c r="CG851" s="148"/>
      <c r="CH851" s="148"/>
      <c r="CI851" s="148"/>
      <c r="CJ851" s="148"/>
      <c r="CK851" s="149"/>
      <c r="CL851" s="147"/>
      <c r="CM851" s="148"/>
      <c r="CN851" s="148"/>
      <c r="CO851" s="149"/>
      <c r="CP851" s="147"/>
      <c r="CQ851" s="148"/>
      <c r="CR851" s="149"/>
      <c r="CS851" s="147"/>
      <c r="CT851" s="148"/>
      <c r="CU851" s="148"/>
      <c r="CV851" s="148"/>
      <c r="CW851" s="148"/>
      <c r="CX851" s="148"/>
      <c r="CY851" s="147"/>
      <c r="CZ851" s="148"/>
      <c r="DA851" s="148"/>
      <c r="DB851" s="148"/>
      <c r="DC851" s="148"/>
      <c r="DD851" s="148"/>
      <c r="DE851" s="148"/>
      <c r="DF851" s="148"/>
      <c r="DG851" s="149"/>
      <c r="DH851" s="147"/>
      <c r="DI851" s="148"/>
      <c r="DJ851" s="148"/>
      <c r="DK851" s="148"/>
      <c r="DL851" s="148"/>
      <c r="DM851" s="148"/>
      <c r="DN851" s="148"/>
      <c r="DO851" s="148"/>
      <c r="DP851" s="148"/>
      <c r="DQ851" s="147"/>
      <c r="DR851" s="148"/>
      <c r="DS851" s="148"/>
      <c r="DT851" s="148"/>
      <c r="DU851" s="148"/>
      <c r="DV851" s="148"/>
      <c r="DW851" s="148"/>
      <c r="DX851" s="148"/>
      <c r="DY851" s="148"/>
      <c r="DZ851" s="148"/>
      <c r="EA851" s="148"/>
      <c r="EB851" s="148"/>
      <c r="EC851" s="148"/>
      <c r="ED851" s="148"/>
      <c r="EE851" s="149"/>
      <c r="EF851" s="147"/>
      <c r="EG851" s="148"/>
      <c r="EH851" s="148"/>
      <c r="EI851" s="147"/>
      <c r="EJ851" s="148"/>
      <c r="EK851" s="149"/>
      <c r="EL851" s="147"/>
      <c r="EM851" s="148"/>
      <c r="EN851" s="148"/>
      <c r="EO851" s="149"/>
      <c r="EP851" s="147"/>
      <c r="EQ851" s="149"/>
      <c r="ER851" s="147"/>
      <c r="ES851" s="149"/>
      <c r="ET851" s="147"/>
      <c r="EU851" s="149"/>
    </row>
    <row r="852" spans="1:151" ht="17" thickBot="1">
      <c r="A852" s="55" t="s">
        <v>321</v>
      </c>
      <c r="B852" s="47" t="s">
        <v>258</v>
      </c>
      <c r="C852" s="47" t="s">
        <v>520</v>
      </c>
      <c r="D852" s="84" t="s">
        <v>132</v>
      </c>
      <c r="E852" s="57"/>
      <c r="F852" s="57" t="s">
        <v>7</v>
      </c>
      <c r="G852" s="74"/>
      <c r="H852" s="57">
        <v>4249</v>
      </c>
      <c r="I852" s="57">
        <v>1832</v>
      </c>
      <c r="J852" s="75">
        <v>1.4135802469135803</v>
      </c>
      <c r="K852" s="57">
        <v>4</v>
      </c>
      <c r="L852" s="57">
        <v>4</v>
      </c>
      <c r="M852" s="84">
        <v>0</v>
      </c>
      <c r="N852" s="57">
        <v>0</v>
      </c>
      <c r="O852" s="57">
        <v>1</v>
      </c>
      <c r="P852" s="57">
        <v>1</v>
      </c>
      <c r="Q852" s="56">
        <v>0</v>
      </c>
      <c r="R852" s="55">
        <v>2</v>
      </c>
      <c r="S852" s="84">
        <v>1</v>
      </c>
      <c r="T852" s="57"/>
      <c r="U852" s="84">
        <v>3</v>
      </c>
      <c r="V852" s="57">
        <v>4</v>
      </c>
      <c r="W852" s="57">
        <v>3</v>
      </c>
      <c r="X852" s="56">
        <v>3</v>
      </c>
      <c r="Y852" s="84">
        <v>2</v>
      </c>
      <c r="Z852" s="57">
        <v>0</v>
      </c>
      <c r="AA852" s="57">
        <v>0</v>
      </c>
      <c r="AB852" s="57">
        <v>0</v>
      </c>
      <c r="AC852" s="57">
        <v>0</v>
      </c>
      <c r="AD852" s="57">
        <v>0</v>
      </c>
      <c r="AE852" s="57">
        <v>0</v>
      </c>
      <c r="AF852" s="57">
        <v>11</v>
      </c>
      <c r="AG852" s="57">
        <v>54</v>
      </c>
      <c r="AH852" s="57">
        <v>23</v>
      </c>
      <c r="AI852" s="57">
        <v>106</v>
      </c>
      <c r="AJ852" s="57">
        <v>0</v>
      </c>
      <c r="AK852" s="84">
        <v>0</v>
      </c>
      <c r="AL852" s="57">
        <v>0</v>
      </c>
      <c r="AM852" s="57">
        <v>1</v>
      </c>
      <c r="AN852" s="57">
        <v>0</v>
      </c>
      <c r="AO852" s="56">
        <v>0</v>
      </c>
      <c r="AP852" s="178">
        <v>0</v>
      </c>
      <c r="AQ852" s="179">
        <v>0</v>
      </c>
      <c r="AR852" s="179">
        <v>134</v>
      </c>
      <c r="AS852" s="179">
        <v>1094</v>
      </c>
      <c r="AT852" s="179" t="s">
        <v>284</v>
      </c>
      <c r="AU852" s="179" t="s">
        <v>284</v>
      </c>
      <c r="AV852" s="179" t="s">
        <v>284</v>
      </c>
      <c r="AW852" s="179" t="s">
        <v>284</v>
      </c>
      <c r="AX852" s="84">
        <v>0</v>
      </c>
      <c r="AY852" s="57">
        <v>0</v>
      </c>
      <c r="AZ852" s="57">
        <v>0</v>
      </c>
      <c r="BA852" s="57">
        <v>0</v>
      </c>
      <c r="BB852" s="56">
        <v>0</v>
      </c>
      <c r="BC852" s="55">
        <v>129</v>
      </c>
      <c r="BD852" s="57"/>
      <c r="BE852" s="75"/>
      <c r="BF852" s="57"/>
      <c r="BG852" s="57"/>
      <c r="BH852" s="57"/>
      <c r="BI852" s="57"/>
      <c r="BJ852" s="57"/>
      <c r="BK852" s="57"/>
      <c r="BL852" s="57"/>
      <c r="BM852" s="57"/>
      <c r="BN852" s="57"/>
      <c r="BO852" s="57"/>
      <c r="BP852" s="57"/>
      <c r="BQ852" s="57"/>
      <c r="BR852" s="57"/>
      <c r="BS852" s="56"/>
      <c r="BT852" s="84"/>
      <c r="BU852" s="57"/>
      <c r="BV852" s="57"/>
      <c r="BW852" s="57"/>
      <c r="BX852" s="57"/>
      <c r="BY852" s="57"/>
      <c r="BZ852" s="57"/>
      <c r="CA852" s="57"/>
      <c r="CB852" s="57"/>
      <c r="CC852" s="57"/>
      <c r="CD852" s="57"/>
      <c r="CE852" s="84"/>
      <c r="CF852" s="57"/>
      <c r="CG852" s="57"/>
      <c r="CH852" s="57"/>
      <c r="CI852" s="57"/>
      <c r="CJ852" s="57"/>
      <c r="CK852" s="56"/>
      <c r="CL852" s="84"/>
      <c r="CM852" s="57"/>
      <c r="CN852" s="57"/>
      <c r="CO852" s="56"/>
      <c r="CP852" s="84"/>
      <c r="CQ852" s="57"/>
      <c r="CR852" s="56"/>
      <c r="CS852" s="84"/>
      <c r="CT852" s="57"/>
      <c r="CU852" s="57"/>
      <c r="CV852" s="57"/>
      <c r="CW852" s="57"/>
      <c r="CX852" s="57"/>
      <c r="CY852" s="84"/>
      <c r="CZ852" s="57"/>
      <c r="DA852" s="57"/>
      <c r="DB852" s="57"/>
      <c r="DC852" s="57"/>
      <c r="DD852" s="57"/>
      <c r="DE852" s="57"/>
      <c r="DF852" s="57"/>
      <c r="DG852" s="56"/>
      <c r="DH852" s="84"/>
      <c r="DI852" s="57"/>
      <c r="DJ852" s="57"/>
      <c r="DK852" s="57"/>
      <c r="DL852" s="57"/>
      <c r="DM852" s="57"/>
      <c r="DN852" s="57"/>
      <c r="DO852" s="57"/>
      <c r="DP852" s="57"/>
      <c r="DQ852" s="84"/>
      <c r="DR852" s="57"/>
      <c r="DS852" s="57"/>
      <c r="DT852" s="57"/>
      <c r="DU852" s="57"/>
      <c r="DV852" s="57"/>
      <c r="DW852" s="57"/>
      <c r="DX852" s="57"/>
      <c r="DY852" s="57"/>
      <c r="DZ852" s="57"/>
      <c r="EA852" s="57"/>
      <c r="EB852" s="57"/>
      <c r="EC852" s="57"/>
      <c r="ED852" s="57"/>
      <c r="EE852" s="56"/>
      <c r="EF852" s="84"/>
      <c r="EG852" s="57"/>
      <c r="EH852" s="57"/>
      <c r="EI852" s="84"/>
      <c r="EJ852" s="57"/>
      <c r="EK852" s="56"/>
      <c r="EL852" s="84"/>
      <c r="EM852" s="57"/>
      <c r="EN852" s="57"/>
      <c r="EO852" s="56"/>
      <c r="EP852" s="84"/>
      <c r="EQ852" s="56"/>
      <c r="ER852" s="84"/>
      <c r="ES852" s="56"/>
      <c r="ET852" s="84"/>
      <c r="EU852" s="56"/>
    </row>
    <row r="853" spans="1:151" ht="17" thickBot="1">
      <c r="A853" s="83" t="s">
        <v>321</v>
      </c>
      <c r="B853" s="185" t="s">
        <v>259</v>
      </c>
      <c r="C853" s="185" t="s">
        <v>520</v>
      </c>
      <c r="D853" s="85" t="s">
        <v>260</v>
      </c>
      <c r="E853" s="76"/>
      <c r="F853" s="76" t="s">
        <v>286</v>
      </c>
      <c r="G853" s="80">
        <v>2.5602</v>
      </c>
      <c r="H853" s="76">
        <v>4249</v>
      </c>
      <c r="I853" s="76">
        <v>3370</v>
      </c>
      <c r="J853" s="155">
        <v>1.540219378427788</v>
      </c>
      <c r="K853" s="76">
        <v>4</v>
      </c>
      <c r="L853" s="76">
        <v>5</v>
      </c>
      <c r="M853" s="85">
        <v>0</v>
      </c>
      <c r="N853" s="76">
        <v>0</v>
      </c>
      <c r="O853" s="76">
        <v>0</v>
      </c>
      <c r="P853" s="76">
        <v>0</v>
      </c>
      <c r="Q853" s="86">
        <v>0</v>
      </c>
      <c r="R853" s="88">
        <v>0</v>
      </c>
      <c r="S853" s="85" t="s">
        <v>283</v>
      </c>
      <c r="T853" s="76">
        <v>5</v>
      </c>
      <c r="U853" s="85">
        <v>1</v>
      </c>
      <c r="V853" s="76">
        <v>5</v>
      </c>
      <c r="W853" s="76">
        <v>2</v>
      </c>
      <c r="X853" s="86"/>
      <c r="Y853" s="85">
        <v>5</v>
      </c>
      <c r="Z853" s="76">
        <v>11</v>
      </c>
      <c r="AA853" s="76">
        <v>35</v>
      </c>
      <c r="AB853" s="76"/>
      <c r="AC853" s="76"/>
      <c r="AD853" s="76">
        <v>18</v>
      </c>
      <c r="AE853" s="76">
        <v>67</v>
      </c>
      <c r="AF853" s="76">
        <v>19</v>
      </c>
      <c r="AG853" s="76">
        <v>343</v>
      </c>
      <c r="AH853" s="76"/>
      <c r="AI853" s="76">
        <v>131</v>
      </c>
      <c r="AJ853" s="76">
        <v>0</v>
      </c>
      <c r="AK853" s="85">
        <v>0</v>
      </c>
      <c r="AL853" s="76">
        <v>0</v>
      </c>
      <c r="AM853" s="76">
        <v>0</v>
      </c>
      <c r="AN853" s="76">
        <v>0</v>
      </c>
      <c r="AO853" s="86">
        <v>0</v>
      </c>
      <c r="AP853" s="186" t="s">
        <v>284</v>
      </c>
      <c r="AQ853" s="187" t="s">
        <v>284</v>
      </c>
      <c r="AR853" s="187" t="s">
        <v>284</v>
      </c>
      <c r="AS853" s="187" t="s">
        <v>284</v>
      </c>
      <c r="AT853" s="187" t="s">
        <v>284</v>
      </c>
      <c r="AU853" s="187" t="s">
        <v>284</v>
      </c>
      <c r="AV853" s="187" t="s">
        <v>284</v>
      </c>
      <c r="AW853" s="187" t="s">
        <v>284</v>
      </c>
      <c r="AX853" s="85">
        <v>0</v>
      </c>
      <c r="AY853" s="76">
        <v>0</v>
      </c>
      <c r="AZ853" s="76">
        <v>0</v>
      </c>
      <c r="BA853" s="76">
        <v>0</v>
      </c>
      <c r="BB853" s="86">
        <v>0</v>
      </c>
      <c r="BC853" s="88">
        <v>135</v>
      </c>
      <c r="BD853" s="76">
        <v>82.37</v>
      </c>
      <c r="BE853" s="155"/>
      <c r="BF853" s="76"/>
      <c r="BG853" s="76"/>
      <c r="BH853" s="76"/>
      <c r="BI853" s="76"/>
      <c r="BJ853" s="76"/>
      <c r="BK853" s="76"/>
      <c r="BL853" s="76"/>
      <c r="BM853" s="76"/>
      <c r="BN853" s="76"/>
      <c r="BO853" s="76"/>
      <c r="BP853" s="76"/>
      <c r="BQ853" s="76"/>
      <c r="BR853" s="76"/>
      <c r="BS853" s="86"/>
      <c r="BT853" s="85"/>
      <c r="BU853" s="76"/>
      <c r="BV853" s="76"/>
      <c r="BW853" s="76"/>
      <c r="BX853" s="76"/>
      <c r="BY853" s="76"/>
      <c r="BZ853" s="76"/>
      <c r="CA853" s="76"/>
      <c r="CB853" s="76"/>
      <c r="CC853" s="76"/>
      <c r="CD853" s="76"/>
      <c r="CE853" s="85">
        <v>80.09</v>
      </c>
      <c r="CF853" s="76"/>
      <c r="CG853" s="76"/>
      <c r="CH853" s="76"/>
      <c r="CI853" s="76"/>
      <c r="CJ853" s="76"/>
      <c r="CK853" s="86"/>
      <c r="CL853" s="85">
        <v>66.72</v>
      </c>
      <c r="CM853" s="76"/>
      <c r="CN853" s="76"/>
      <c r="CO853" s="86"/>
      <c r="CP853" s="85"/>
      <c r="CQ853" s="76"/>
      <c r="CR853" s="86"/>
      <c r="CS853" s="85"/>
      <c r="CT853" s="76"/>
      <c r="CU853" s="76"/>
      <c r="CV853" s="76"/>
      <c r="CW853" s="76"/>
      <c r="CX853" s="76"/>
      <c r="CY853" s="85"/>
      <c r="CZ853" s="76"/>
      <c r="DA853" s="76"/>
      <c r="DB853" s="76"/>
      <c r="DC853" s="76"/>
      <c r="DD853" s="76"/>
      <c r="DE853" s="76"/>
      <c r="DF853" s="76"/>
      <c r="DG853" s="86"/>
      <c r="DH853" s="85"/>
      <c r="DI853" s="76"/>
      <c r="DJ853" s="76"/>
      <c r="DK853" s="76"/>
      <c r="DL853" s="76"/>
      <c r="DM853" s="76"/>
      <c r="DN853" s="76"/>
      <c r="DO853" s="76"/>
      <c r="DP853" s="76"/>
      <c r="DQ853" s="85"/>
      <c r="DR853" s="76"/>
      <c r="DS853" s="76"/>
      <c r="DT853" s="76"/>
      <c r="DU853" s="76"/>
      <c r="DV853" s="76"/>
      <c r="DW853" s="76"/>
      <c r="DX853" s="76"/>
      <c r="DY853" s="76"/>
      <c r="DZ853" s="76"/>
      <c r="EA853" s="76"/>
      <c r="EB853" s="76"/>
      <c r="EC853" s="76"/>
      <c r="ED853" s="76"/>
      <c r="EE853" s="86"/>
      <c r="EF853" s="85"/>
      <c r="EG853" s="76"/>
      <c r="EH853" s="76"/>
      <c r="EI853" s="85"/>
      <c r="EJ853" s="76"/>
      <c r="EK853" s="86"/>
      <c r="EL853" s="85"/>
      <c r="EM853" s="76"/>
      <c r="EN853" s="76"/>
      <c r="EO853" s="86"/>
      <c r="EP853" s="85"/>
      <c r="EQ853" s="86"/>
      <c r="ER853" s="85"/>
      <c r="ES853" s="86"/>
      <c r="ET853" s="85"/>
      <c r="EU853" s="86"/>
    </row>
    <row r="854" spans="1:151">
      <c r="A854" s="87" t="s">
        <v>320</v>
      </c>
      <c r="B854" s="42" t="s">
        <v>521</v>
      </c>
      <c r="C854" s="42" t="s">
        <v>522</v>
      </c>
      <c r="D854" s="83" t="s">
        <v>65</v>
      </c>
      <c r="E854" s="49" t="s">
        <v>0</v>
      </c>
      <c r="F854" s="49" t="s">
        <v>286</v>
      </c>
      <c r="G854" s="60">
        <v>-0.86499999999999999</v>
      </c>
      <c r="I854" s="49">
        <v>4819</v>
      </c>
      <c r="J854" s="159">
        <v>1.1651353965183753</v>
      </c>
      <c r="K854" s="49">
        <v>4</v>
      </c>
      <c r="L854" s="49">
        <v>4</v>
      </c>
      <c r="M854" s="83">
        <v>0</v>
      </c>
      <c r="N854" s="49">
        <v>0</v>
      </c>
      <c r="O854" s="49">
        <v>1</v>
      </c>
      <c r="P854" s="49">
        <v>1</v>
      </c>
      <c r="Q854" s="58">
        <v>0</v>
      </c>
      <c r="R854" s="42">
        <v>2</v>
      </c>
      <c r="S854" s="83" t="s">
        <v>283</v>
      </c>
      <c r="T854" s="49">
        <v>11</v>
      </c>
      <c r="U854" s="83">
        <v>1</v>
      </c>
      <c r="V854" s="49">
        <v>4</v>
      </c>
      <c r="W854" s="49">
        <v>1</v>
      </c>
      <c r="X854" s="58">
        <v>2</v>
      </c>
      <c r="Y854" s="83">
        <v>3</v>
      </c>
      <c r="AF854" s="49">
        <v>32</v>
      </c>
      <c r="AG854" s="49">
        <v>24</v>
      </c>
      <c r="AH854" s="49">
        <v>548</v>
      </c>
      <c r="AJ854" s="49">
        <v>0</v>
      </c>
      <c r="AK854" s="83">
        <v>0</v>
      </c>
      <c r="AL854" s="49">
        <v>0</v>
      </c>
      <c r="AM854" s="49">
        <v>0</v>
      </c>
      <c r="AN854" s="49">
        <v>0</v>
      </c>
      <c r="AO854" s="58">
        <v>0</v>
      </c>
      <c r="AP854" s="174">
        <v>0</v>
      </c>
      <c r="AQ854" s="175">
        <v>0</v>
      </c>
      <c r="AR854" s="175">
        <v>0</v>
      </c>
      <c r="AS854" s="175">
        <v>0</v>
      </c>
      <c r="AT854" s="175">
        <v>0</v>
      </c>
      <c r="AU854" s="175">
        <v>0</v>
      </c>
      <c r="AV854" s="175">
        <v>0</v>
      </c>
      <c r="AW854" s="175">
        <v>0</v>
      </c>
      <c r="AX854" s="83">
        <v>0</v>
      </c>
      <c r="AY854" s="49">
        <v>0</v>
      </c>
      <c r="AZ854" s="49">
        <v>0</v>
      </c>
      <c r="BA854" s="49">
        <v>0</v>
      </c>
      <c r="BB854" s="58">
        <v>0</v>
      </c>
      <c r="BC854" s="42">
        <v>147</v>
      </c>
      <c r="BD854" s="49">
        <v>63.83</v>
      </c>
      <c r="BE854" s="49">
        <v>64.2</v>
      </c>
      <c r="BF854" s="49">
        <v>64.55</v>
      </c>
      <c r="BS854" s="58"/>
      <c r="BT854" s="83">
        <v>68.64</v>
      </c>
      <c r="BU854" s="49">
        <v>67.900000000000006</v>
      </c>
      <c r="BV854" s="49">
        <v>66.31</v>
      </c>
      <c r="CE854" s="83">
        <v>72.91</v>
      </c>
      <c r="CF854" s="49">
        <v>72.78</v>
      </c>
      <c r="CK854" s="58"/>
      <c r="CL854" s="83"/>
      <c r="CO854" s="58"/>
      <c r="CP854" s="83"/>
      <c r="CR854" s="58"/>
      <c r="CS854" s="83"/>
      <c r="CY854" s="83"/>
      <c r="DG854" s="58"/>
      <c r="DH854" s="83"/>
      <c r="DQ854" s="83"/>
      <c r="EE854" s="58"/>
      <c r="EF854" s="83"/>
      <c r="EI854" s="83"/>
      <c r="EK854" s="58"/>
      <c r="EL854" s="83"/>
      <c r="EO854" s="58"/>
      <c r="EP854" s="83"/>
      <c r="EQ854" s="58"/>
      <c r="ER854" s="83"/>
      <c r="ES854" s="58"/>
      <c r="ET854" s="83"/>
      <c r="EU854" s="58"/>
    </row>
    <row r="855" spans="1:151">
      <c r="A855" s="42" t="s">
        <v>320</v>
      </c>
      <c r="B855" s="42" t="s">
        <v>521</v>
      </c>
      <c r="C855" s="42" t="s">
        <v>522</v>
      </c>
      <c r="D855" s="83" t="s">
        <v>66</v>
      </c>
      <c r="F855" s="49" t="s">
        <v>286</v>
      </c>
      <c r="G855" s="60">
        <v>-0.86499999999999999</v>
      </c>
      <c r="I855" s="49">
        <v>2488</v>
      </c>
      <c r="J855" s="159">
        <v>3.2823218997361479</v>
      </c>
      <c r="K855" s="49">
        <v>4</v>
      </c>
      <c r="L855" s="49">
        <v>3</v>
      </c>
      <c r="M855" s="83">
        <v>1</v>
      </c>
      <c r="N855" s="49">
        <v>1</v>
      </c>
      <c r="O855" s="49">
        <v>0</v>
      </c>
      <c r="P855" s="49">
        <v>0</v>
      </c>
      <c r="Q855" s="58">
        <v>0</v>
      </c>
      <c r="R855" s="42">
        <v>2</v>
      </c>
      <c r="S855" s="83">
        <v>1</v>
      </c>
      <c r="U855" s="83">
        <v>1</v>
      </c>
      <c r="V855" s="49">
        <v>3</v>
      </c>
      <c r="W855" s="49">
        <v>2</v>
      </c>
      <c r="X855" s="58"/>
      <c r="Y855" s="83">
        <v>5</v>
      </c>
      <c r="AD855" s="49">
        <v>50</v>
      </c>
      <c r="AE855" s="49">
        <v>262</v>
      </c>
      <c r="AF855" s="49">
        <v>14</v>
      </c>
      <c r="AG855" s="49">
        <v>939</v>
      </c>
      <c r="AJ855" s="49">
        <v>0</v>
      </c>
      <c r="AK855" s="83">
        <v>0</v>
      </c>
      <c r="AL855" s="49">
        <v>1</v>
      </c>
      <c r="AM855" s="49">
        <v>0</v>
      </c>
      <c r="AN855" s="49">
        <v>0</v>
      </c>
      <c r="AO855" s="58">
        <v>0</v>
      </c>
      <c r="AP855" s="174">
        <v>0</v>
      </c>
      <c r="AQ855" s="175">
        <v>526</v>
      </c>
      <c r="AR855" s="175">
        <v>0</v>
      </c>
      <c r="AS855" s="175">
        <v>0</v>
      </c>
      <c r="AT855" s="175">
        <v>0</v>
      </c>
      <c r="AU855" s="175">
        <v>0</v>
      </c>
      <c r="AV855" s="175">
        <v>0</v>
      </c>
      <c r="AW855" s="175">
        <v>0</v>
      </c>
      <c r="AX855" s="83">
        <v>0</v>
      </c>
      <c r="AY855" s="49">
        <v>0</v>
      </c>
      <c r="AZ855" s="49">
        <v>0</v>
      </c>
      <c r="BA855" s="49">
        <v>1</v>
      </c>
      <c r="BB855" s="58">
        <v>1</v>
      </c>
      <c r="BC855" s="42">
        <v>126</v>
      </c>
      <c r="BE855" s="49"/>
      <c r="BS855" s="58"/>
      <c r="BT855" s="83"/>
      <c r="CE855" s="83"/>
      <c r="CK855" s="58"/>
      <c r="CL855" s="83"/>
      <c r="CO855" s="58"/>
      <c r="CP855" s="83"/>
      <c r="CR855" s="58"/>
      <c r="CS855" s="83"/>
      <c r="CY855" s="83">
        <v>63.77</v>
      </c>
      <c r="CZ855" s="49">
        <v>67.94</v>
      </c>
      <c r="DG855" s="58"/>
      <c r="DH855" s="83"/>
      <c r="DQ855" s="83"/>
      <c r="EE855" s="58"/>
      <c r="EF855" s="83"/>
      <c r="EI855" s="83">
        <v>64.31</v>
      </c>
      <c r="EK855" s="58"/>
      <c r="EL855" s="83">
        <v>71.040000000000006</v>
      </c>
      <c r="EO855" s="58"/>
      <c r="EP855" s="83"/>
      <c r="EQ855" s="58"/>
      <c r="ER855" s="83"/>
      <c r="ES855" s="58"/>
      <c r="ET855" s="83"/>
      <c r="EU855" s="58"/>
    </row>
    <row r="856" spans="1:151">
      <c r="A856" s="42" t="s">
        <v>320</v>
      </c>
      <c r="B856" s="42" t="s">
        <v>521</v>
      </c>
      <c r="C856" s="42" t="s">
        <v>522</v>
      </c>
      <c r="D856" s="83" t="s">
        <v>67</v>
      </c>
      <c r="E856" s="49" t="s">
        <v>0</v>
      </c>
      <c r="F856" s="49" t="s">
        <v>286</v>
      </c>
      <c r="G856" s="60">
        <v>-0.86499999999999999</v>
      </c>
      <c r="I856" s="49">
        <v>1442</v>
      </c>
      <c r="J856" s="159">
        <v>4.6070287539936103</v>
      </c>
      <c r="K856" s="49">
        <v>4</v>
      </c>
      <c r="L856" s="49">
        <v>4</v>
      </c>
      <c r="M856" s="83">
        <v>0</v>
      </c>
      <c r="N856" s="49">
        <v>1</v>
      </c>
      <c r="O856" s="49">
        <v>0</v>
      </c>
      <c r="P856" s="49">
        <v>1</v>
      </c>
      <c r="Q856" s="58">
        <v>0</v>
      </c>
      <c r="R856" s="42">
        <v>2</v>
      </c>
      <c r="S856" s="83">
        <v>1</v>
      </c>
      <c r="U856" s="83">
        <v>1</v>
      </c>
      <c r="V856" s="49">
        <v>4</v>
      </c>
      <c r="W856" s="49">
        <v>2</v>
      </c>
      <c r="X856" s="58"/>
      <c r="Y856" s="83">
        <v>3</v>
      </c>
      <c r="AD856" s="49">
        <v>4</v>
      </c>
      <c r="AE856" s="49">
        <v>191</v>
      </c>
      <c r="AF856" s="49">
        <v>3</v>
      </c>
      <c r="AG856" s="49">
        <v>8</v>
      </c>
      <c r="AJ856" s="49">
        <v>0</v>
      </c>
      <c r="AK856" s="83">
        <v>0</v>
      </c>
      <c r="AL856" s="49">
        <v>0</v>
      </c>
      <c r="AM856" s="49">
        <v>1</v>
      </c>
      <c r="AN856" s="49">
        <v>0</v>
      </c>
      <c r="AO856" s="58">
        <v>0</v>
      </c>
      <c r="AP856" s="174">
        <v>0</v>
      </c>
      <c r="AQ856" s="175">
        <v>0</v>
      </c>
      <c r="AR856" s="175">
        <v>26</v>
      </c>
      <c r="AS856" s="175">
        <v>76</v>
      </c>
      <c r="AT856" s="175">
        <v>0</v>
      </c>
      <c r="AU856" s="175">
        <v>0</v>
      </c>
      <c r="AV856" s="175">
        <v>0</v>
      </c>
      <c r="AW856" s="175">
        <v>0</v>
      </c>
      <c r="AX856" s="83">
        <v>0</v>
      </c>
      <c r="AY856" s="49">
        <v>0</v>
      </c>
      <c r="AZ856" s="49">
        <v>70.59</v>
      </c>
      <c r="BA856" s="49">
        <v>0</v>
      </c>
      <c r="BB856" s="58">
        <v>0</v>
      </c>
      <c r="BC856" s="42">
        <v>112</v>
      </c>
      <c r="BE856" s="49"/>
      <c r="BS856" s="58"/>
      <c r="BT856" s="83">
        <v>76.849999999999994</v>
      </c>
      <c r="CE856" s="83"/>
      <c r="CK856" s="58"/>
      <c r="CL856" s="83"/>
      <c r="CO856" s="58"/>
      <c r="CP856" s="83"/>
      <c r="CR856" s="58"/>
      <c r="CS856" s="83"/>
      <c r="CY856" s="83"/>
      <c r="DG856" s="58"/>
      <c r="DH856" s="83">
        <v>63.28</v>
      </c>
      <c r="DI856" s="49">
        <v>68.37</v>
      </c>
      <c r="DJ856" s="49">
        <v>67.489999999999995</v>
      </c>
      <c r="DQ856" s="83"/>
      <c r="EE856" s="58"/>
      <c r="EF856" s="83"/>
      <c r="EI856" s="83"/>
      <c r="EK856" s="58"/>
      <c r="EL856" s="83"/>
      <c r="EO856" s="58"/>
      <c r="EP856" s="83"/>
      <c r="EQ856" s="58"/>
      <c r="ER856" s="83"/>
      <c r="ES856" s="58"/>
      <c r="ET856" s="83"/>
      <c r="EU856" s="58"/>
    </row>
    <row r="857" spans="1:151">
      <c r="A857" s="42" t="s">
        <v>320</v>
      </c>
      <c r="B857" s="42" t="s">
        <v>521</v>
      </c>
      <c r="C857" s="42" t="s">
        <v>522</v>
      </c>
      <c r="D857" s="83" t="s">
        <v>67</v>
      </c>
      <c r="E857" s="49" t="s">
        <v>1</v>
      </c>
      <c r="F857" s="49" t="s">
        <v>287</v>
      </c>
      <c r="G857" s="60">
        <v>-0.86499999999999999</v>
      </c>
      <c r="I857" s="49">
        <v>457</v>
      </c>
      <c r="J857" s="159">
        <v>1.1511335012594459</v>
      </c>
      <c r="K857" s="49">
        <v>4</v>
      </c>
      <c r="L857" s="49">
        <v>4</v>
      </c>
      <c r="M857" s="83">
        <v>0</v>
      </c>
      <c r="N857" s="49">
        <v>2</v>
      </c>
      <c r="O857" s="49">
        <v>0</v>
      </c>
      <c r="P857" s="49">
        <v>0</v>
      </c>
      <c r="Q857" s="58">
        <v>0</v>
      </c>
      <c r="R857" s="42">
        <v>2</v>
      </c>
      <c r="S857" s="83" t="s">
        <v>283</v>
      </c>
      <c r="T857" s="49">
        <v>8</v>
      </c>
      <c r="U857" s="83">
        <v>1</v>
      </c>
      <c r="V857" s="49">
        <v>4</v>
      </c>
      <c r="W857" s="49">
        <v>2</v>
      </c>
      <c r="X857" s="58"/>
      <c r="Y857" s="83">
        <v>4</v>
      </c>
      <c r="Z857" s="49">
        <v>1</v>
      </c>
      <c r="AA857" s="49">
        <v>6</v>
      </c>
      <c r="AG857" s="49">
        <v>6</v>
      </c>
      <c r="AH857" s="49">
        <v>25</v>
      </c>
      <c r="AI857" s="49">
        <v>101</v>
      </c>
      <c r="AJ857" s="49">
        <v>0</v>
      </c>
      <c r="AK857" s="83">
        <v>0</v>
      </c>
      <c r="AL857" s="49">
        <v>0</v>
      </c>
      <c r="AM857" s="49">
        <v>1</v>
      </c>
      <c r="AN857" s="49">
        <v>0</v>
      </c>
      <c r="AO857" s="58">
        <v>0</v>
      </c>
      <c r="AP857" s="174">
        <v>0</v>
      </c>
      <c r="AQ857" s="175">
        <v>0</v>
      </c>
      <c r="AR857" s="175">
        <v>31</v>
      </c>
      <c r="AS857" s="175">
        <v>34</v>
      </c>
      <c r="AT857" s="175">
        <v>0</v>
      </c>
      <c r="AU857" s="175">
        <v>0</v>
      </c>
      <c r="AV857" s="175">
        <v>0</v>
      </c>
      <c r="AW857" s="175">
        <v>0</v>
      </c>
      <c r="AX857" s="83">
        <v>0</v>
      </c>
      <c r="AY857" s="49">
        <v>0</v>
      </c>
      <c r="AZ857" s="49">
        <v>0</v>
      </c>
      <c r="BA857" s="49">
        <v>0</v>
      </c>
      <c r="BB857" s="58">
        <v>0</v>
      </c>
      <c r="BC857" s="42">
        <v>112</v>
      </c>
      <c r="BD857" s="49">
        <v>64.709999999999994</v>
      </c>
      <c r="BE857" s="49"/>
      <c r="BS857" s="58"/>
      <c r="BT857" s="83">
        <v>76.02</v>
      </c>
      <c r="BU857" s="49">
        <v>68.88</v>
      </c>
      <c r="CE857" s="83"/>
      <c r="CK857" s="58"/>
      <c r="CL857" s="83">
        <v>55.83</v>
      </c>
      <c r="CO857" s="58"/>
      <c r="CP857" s="83"/>
      <c r="CR857" s="58"/>
      <c r="CS857" s="83"/>
      <c r="CY857" s="83"/>
      <c r="DG857" s="58"/>
      <c r="DH857" s="83"/>
      <c r="DQ857" s="83"/>
      <c r="EE857" s="58"/>
      <c r="EF857" s="83"/>
      <c r="EI857" s="83"/>
      <c r="EK857" s="58"/>
      <c r="EL857" s="83"/>
      <c r="EO857" s="58"/>
      <c r="EP857" s="83"/>
      <c r="EQ857" s="58"/>
      <c r="ER857" s="83"/>
      <c r="ES857" s="58"/>
      <c r="ET857" s="83"/>
      <c r="EU857" s="58"/>
    </row>
    <row r="858" spans="1:151">
      <c r="A858" s="42" t="s">
        <v>320</v>
      </c>
      <c r="B858" s="42" t="s">
        <v>521</v>
      </c>
      <c r="C858" s="42" t="s">
        <v>522</v>
      </c>
      <c r="D858" s="83" t="s">
        <v>68</v>
      </c>
      <c r="F858" s="49" t="s">
        <v>286</v>
      </c>
      <c r="G858" s="60">
        <v>-0.86499999999999999</v>
      </c>
      <c r="I858" s="49">
        <v>1469</v>
      </c>
      <c r="J858" s="159">
        <v>1.9797843665768193</v>
      </c>
      <c r="K858" s="49">
        <v>1</v>
      </c>
      <c r="L858" s="49">
        <v>3</v>
      </c>
      <c r="M858" s="83">
        <v>1</v>
      </c>
      <c r="N858" s="49">
        <v>2</v>
      </c>
      <c r="O858" s="49">
        <v>1</v>
      </c>
      <c r="P858" s="49">
        <v>1</v>
      </c>
      <c r="Q858" s="58">
        <v>0</v>
      </c>
      <c r="R858" s="42">
        <v>5</v>
      </c>
      <c r="S858" s="83" t="s">
        <v>283</v>
      </c>
      <c r="T858" s="49">
        <v>7</v>
      </c>
      <c r="U858" s="83">
        <v>2</v>
      </c>
      <c r="V858" s="49">
        <v>4</v>
      </c>
      <c r="W858" s="49">
        <v>3</v>
      </c>
      <c r="X858" s="58">
        <v>1</v>
      </c>
      <c r="Y858" s="83">
        <v>1</v>
      </c>
      <c r="AD858" s="49">
        <v>7</v>
      </c>
      <c r="AE858" s="49">
        <v>10</v>
      </c>
      <c r="AF858" s="49">
        <v>5</v>
      </c>
      <c r="AG858" s="49">
        <v>9</v>
      </c>
      <c r="AJ858" s="49">
        <v>0</v>
      </c>
      <c r="AK858" s="83">
        <v>0</v>
      </c>
      <c r="AL858" s="49">
        <v>0</v>
      </c>
      <c r="AM858" s="49">
        <v>0</v>
      </c>
      <c r="AN858" s="49">
        <v>0</v>
      </c>
      <c r="AO858" s="58">
        <v>0</v>
      </c>
      <c r="AP858" s="174">
        <v>0</v>
      </c>
      <c r="AQ858" s="175">
        <v>0</v>
      </c>
      <c r="AR858" s="175">
        <v>0</v>
      </c>
      <c r="AS858" s="175">
        <v>0</v>
      </c>
      <c r="AT858" s="175">
        <v>0</v>
      </c>
      <c r="AU858" s="175">
        <v>0</v>
      </c>
      <c r="AV858" s="175">
        <v>0</v>
      </c>
      <c r="AW858" s="175">
        <v>0</v>
      </c>
      <c r="AX858" s="83">
        <v>0</v>
      </c>
      <c r="AY858" s="49">
        <v>0</v>
      </c>
      <c r="AZ858" s="49">
        <v>0</v>
      </c>
      <c r="BA858" s="49">
        <v>0</v>
      </c>
      <c r="BB858" s="58">
        <v>0</v>
      </c>
      <c r="BC858" s="42">
        <v>114</v>
      </c>
      <c r="BE858" s="49"/>
      <c r="BS858" s="58"/>
      <c r="BT858" s="83"/>
      <c r="CE858" s="83"/>
      <c r="CK858" s="58"/>
      <c r="CL858" s="83"/>
      <c r="CO858" s="58"/>
      <c r="CP858" s="83"/>
      <c r="CR858" s="58"/>
      <c r="CS858" s="83"/>
      <c r="CY858" s="83"/>
      <c r="DG858" s="58"/>
      <c r="DH858" s="83"/>
      <c r="DQ858" s="83"/>
      <c r="EE858" s="58"/>
      <c r="EF858" s="83"/>
      <c r="EI858" s="83"/>
      <c r="EK858" s="58"/>
      <c r="EL858" s="83"/>
      <c r="EO858" s="58"/>
      <c r="EP858" s="83"/>
      <c r="EQ858" s="58"/>
      <c r="ER858" s="83"/>
      <c r="ES858" s="58"/>
      <c r="ET858" s="83"/>
      <c r="EU858" s="58"/>
    </row>
    <row r="859" spans="1:151">
      <c r="A859" s="42" t="s">
        <v>320</v>
      </c>
      <c r="B859" s="42" t="s">
        <v>521</v>
      </c>
      <c r="C859" s="42" t="s">
        <v>522</v>
      </c>
      <c r="D859" s="83" t="s">
        <v>69</v>
      </c>
      <c r="F859" s="49" t="s">
        <v>286</v>
      </c>
      <c r="G859" s="60">
        <v>-0.86499999999999999</v>
      </c>
      <c r="I859" s="49">
        <v>2310</v>
      </c>
      <c r="J859" s="159">
        <v>2.481203007518797</v>
      </c>
      <c r="K859" s="49">
        <v>4</v>
      </c>
      <c r="L859" s="49">
        <v>5</v>
      </c>
      <c r="M859" s="83">
        <v>1</v>
      </c>
      <c r="N859" s="49">
        <v>0</v>
      </c>
      <c r="O859" s="49">
        <v>1</v>
      </c>
      <c r="P859" s="49">
        <v>1</v>
      </c>
      <c r="Q859" s="58">
        <v>0</v>
      </c>
      <c r="R859" s="42">
        <v>3</v>
      </c>
      <c r="S859" s="83" t="s">
        <v>283</v>
      </c>
      <c r="U859" s="83">
        <v>3</v>
      </c>
      <c r="V859" s="49">
        <v>5</v>
      </c>
      <c r="W859" s="49">
        <v>3</v>
      </c>
      <c r="X859" s="58">
        <v>2</v>
      </c>
      <c r="Y859" s="83">
        <v>0</v>
      </c>
      <c r="AJ859" s="49">
        <v>0</v>
      </c>
      <c r="AK859" s="83">
        <v>0</v>
      </c>
      <c r="AL859" s="49">
        <v>0</v>
      </c>
      <c r="AM859" s="49">
        <v>1</v>
      </c>
      <c r="AN859" s="49">
        <v>0</v>
      </c>
      <c r="AO859" s="58">
        <v>0</v>
      </c>
      <c r="AP859" s="174">
        <v>0</v>
      </c>
      <c r="AQ859" s="175">
        <v>0</v>
      </c>
      <c r="AR859" s="175">
        <v>14</v>
      </c>
      <c r="AS859" s="175">
        <v>115</v>
      </c>
      <c r="AT859" s="175">
        <v>0</v>
      </c>
      <c r="AU859" s="175">
        <v>0</v>
      </c>
      <c r="AV859" s="175">
        <v>0</v>
      </c>
      <c r="AW859" s="175">
        <v>0</v>
      </c>
      <c r="AX859" s="83">
        <v>0</v>
      </c>
      <c r="AY859" s="49">
        <v>0</v>
      </c>
      <c r="AZ859" s="49">
        <v>0</v>
      </c>
      <c r="BA859" s="49">
        <v>0</v>
      </c>
      <c r="BB859" s="58">
        <v>0</v>
      </c>
      <c r="BC859" s="42">
        <v>122</v>
      </c>
      <c r="BD859" s="49">
        <v>66.069999999999993</v>
      </c>
      <c r="BE859" s="49"/>
      <c r="BS859" s="58"/>
      <c r="BT859" s="83">
        <v>70.45</v>
      </c>
      <c r="BU859" s="49">
        <v>67.790000000000006</v>
      </c>
      <c r="CE859" s="83"/>
      <c r="CK859" s="58"/>
      <c r="CL859" s="83"/>
      <c r="CO859" s="58"/>
      <c r="CP859" s="83"/>
      <c r="CR859" s="58"/>
      <c r="CS859" s="83"/>
      <c r="CY859" s="83"/>
      <c r="DG859" s="58"/>
      <c r="DH859" s="83"/>
      <c r="DQ859" s="83"/>
      <c r="EE859" s="58"/>
      <c r="EF859" s="83"/>
      <c r="EI859" s="83"/>
      <c r="EK859" s="58"/>
      <c r="EL859" s="83"/>
      <c r="EO859" s="58"/>
      <c r="EP859" s="83"/>
      <c r="EQ859" s="58"/>
      <c r="ER859" s="83"/>
      <c r="ES859" s="58"/>
      <c r="ET859" s="83"/>
      <c r="EU859" s="58"/>
    </row>
    <row r="860" spans="1:151">
      <c r="A860" s="42" t="s">
        <v>320</v>
      </c>
      <c r="B860" s="42" t="s">
        <v>521</v>
      </c>
      <c r="C860" s="42" t="s">
        <v>522</v>
      </c>
      <c r="D860" s="83" t="s">
        <v>74</v>
      </c>
      <c r="F860" s="49" t="s">
        <v>286</v>
      </c>
      <c r="G860" s="60">
        <v>-0.86499999999999999</v>
      </c>
      <c r="I860" s="49">
        <v>5641</v>
      </c>
      <c r="J860" s="159">
        <v>1.9384879725085911</v>
      </c>
      <c r="K860" s="49">
        <v>1</v>
      </c>
      <c r="L860" s="49">
        <v>3</v>
      </c>
      <c r="M860" s="83">
        <v>0</v>
      </c>
      <c r="N860" s="49">
        <v>2</v>
      </c>
      <c r="O860" s="49">
        <v>0</v>
      </c>
      <c r="P860" s="49">
        <v>0</v>
      </c>
      <c r="Q860" s="58">
        <v>0</v>
      </c>
      <c r="R860" s="42">
        <v>2</v>
      </c>
      <c r="S860" s="83" t="s">
        <v>283</v>
      </c>
      <c r="T860" s="49">
        <v>10</v>
      </c>
      <c r="U860" s="83">
        <v>1</v>
      </c>
      <c r="V860" s="49">
        <v>3</v>
      </c>
      <c r="W860" s="49">
        <v>2</v>
      </c>
      <c r="X860" s="58"/>
      <c r="Y860" s="83">
        <v>5</v>
      </c>
      <c r="Z860" s="49">
        <v>6</v>
      </c>
      <c r="AA860" s="49">
        <v>27</v>
      </c>
      <c r="AD860" s="49">
        <v>9</v>
      </c>
      <c r="AE860" s="49">
        <v>67</v>
      </c>
      <c r="AF860" s="49">
        <v>8</v>
      </c>
      <c r="AG860" s="49">
        <v>370</v>
      </c>
      <c r="AH860" s="49">
        <v>16</v>
      </c>
      <c r="AI860" s="49">
        <v>383</v>
      </c>
      <c r="AJ860" s="49">
        <v>0</v>
      </c>
      <c r="AK860" s="83">
        <v>0</v>
      </c>
      <c r="AL860" s="49">
        <v>0</v>
      </c>
      <c r="AM860" s="49">
        <v>0</v>
      </c>
      <c r="AN860" s="49">
        <v>0</v>
      </c>
      <c r="AO860" s="58">
        <v>0</v>
      </c>
      <c r="AP860" s="174">
        <v>0</v>
      </c>
      <c r="AQ860" s="175">
        <v>0</v>
      </c>
      <c r="AR860" s="175">
        <v>0</v>
      </c>
      <c r="AS860" s="175">
        <v>0</v>
      </c>
      <c r="AT860" s="175">
        <v>0</v>
      </c>
      <c r="AU860" s="175">
        <v>0</v>
      </c>
      <c r="AV860" s="175">
        <v>0</v>
      </c>
      <c r="AW860" s="175">
        <v>0</v>
      </c>
      <c r="AX860" s="83">
        <v>0</v>
      </c>
      <c r="AY860" s="49">
        <v>0</v>
      </c>
      <c r="AZ860" s="49">
        <v>0</v>
      </c>
      <c r="BA860" s="49">
        <v>1</v>
      </c>
      <c r="BB860" s="58">
        <v>1</v>
      </c>
      <c r="BC860" s="42">
        <v>140</v>
      </c>
      <c r="BE860" s="49"/>
      <c r="BS860" s="58"/>
      <c r="BT860" s="83"/>
      <c r="CE860" s="83"/>
      <c r="CK860" s="58"/>
      <c r="CL860" s="83"/>
      <c r="CO860" s="58"/>
      <c r="CP860" s="83"/>
      <c r="CR860" s="58"/>
      <c r="CS860" s="83"/>
      <c r="CY860" s="83"/>
      <c r="DG860" s="58"/>
      <c r="DH860" s="83"/>
      <c r="DQ860" s="83"/>
      <c r="EE860" s="58"/>
      <c r="EF860" s="83"/>
      <c r="EI860" s="83"/>
      <c r="EK860" s="58"/>
      <c r="EL860" s="83"/>
      <c r="EO860" s="58"/>
      <c r="EP860" s="83"/>
      <c r="EQ860" s="58"/>
      <c r="ER860" s="83"/>
      <c r="ES860" s="58"/>
      <c r="ET860" s="83"/>
      <c r="EU860" s="58"/>
    </row>
    <row r="861" spans="1:151" ht="17" thickBot="1">
      <c r="A861" s="55" t="s">
        <v>320</v>
      </c>
      <c r="B861" s="42" t="s">
        <v>521</v>
      </c>
      <c r="C861" s="42" t="s">
        <v>522</v>
      </c>
      <c r="D861" s="83" t="s">
        <v>75</v>
      </c>
      <c r="F861" s="49" t="s">
        <v>286</v>
      </c>
      <c r="G861" s="60">
        <v>-0.86499999999999999</v>
      </c>
      <c r="I861" s="49">
        <v>3175</v>
      </c>
      <c r="J861" s="159">
        <v>1.0461285008237233</v>
      </c>
      <c r="K861" s="49">
        <v>4</v>
      </c>
      <c r="L861" s="49">
        <v>4</v>
      </c>
      <c r="M861" s="83">
        <v>0</v>
      </c>
      <c r="N861" s="49">
        <v>1</v>
      </c>
      <c r="O861" s="49">
        <v>0</v>
      </c>
      <c r="P861" s="49">
        <v>1</v>
      </c>
      <c r="Q861" s="58">
        <v>0</v>
      </c>
      <c r="R861" s="42">
        <v>2</v>
      </c>
      <c r="S861" s="83" t="s">
        <v>283</v>
      </c>
      <c r="T861" s="49">
        <v>6</v>
      </c>
      <c r="U861" s="83">
        <v>1</v>
      </c>
      <c r="V861" s="49">
        <v>4</v>
      </c>
      <c r="W861" s="49">
        <v>1</v>
      </c>
      <c r="X861" s="58">
        <v>2</v>
      </c>
      <c r="Y861" s="83">
        <v>5</v>
      </c>
      <c r="AD861" s="49">
        <v>13</v>
      </c>
      <c r="AE861" s="49">
        <v>66</v>
      </c>
      <c r="AF861" s="49">
        <v>6</v>
      </c>
      <c r="AG861" s="49">
        <v>313</v>
      </c>
      <c r="AH861" s="49">
        <v>31</v>
      </c>
      <c r="AI861" s="49">
        <v>515</v>
      </c>
      <c r="AJ861" s="49">
        <v>0</v>
      </c>
      <c r="AK861" s="83">
        <v>0</v>
      </c>
      <c r="AL861" s="49">
        <v>0</v>
      </c>
      <c r="AM861" s="49">
        <v>0</v>
      </c>
      <c r="AN861" s="49">
        <v>0</v>
      </c>
      <c r="AO861" s="58">
        <v>0</v>
      </c>
      <c r="AP861" s="174">
        <v>0</v>
      </c>
      <c r="AQ861" s="175">
        <v>0</v>
      </c>
      <c r="AR861" s="175">
        <v>0</v>
      </c>
      <c r="AS861" s="175">
        <v>0</v>
      </c>
      <c r="AT861" s="175">
        <v>0</v>
      </c>
      <c r="AU861" s="175">
        <v>0</v>
      </c>
      <c r="AV861" s="175">
        <v>0</v>
      </c>
      <c r="AW861" s="175">
        <v>0</v>
      </c>
      <c r="AX861" s="83">
        <v>0</v>
      </c>
      <c r="AY861" s="49">
        <v>0</v>
      </c>
      <c r="AZ861" s="49">
        <v>0</v>
      </c>
      <c r="BA861" s="49">
        <v>0</v>
      </c>
      <c r="BB861" s="58">
        <v>0</v>
      </c>
      <c r="BC861" s="42">
        <v>109</v>
      </c>
      <c r="BE861" s="49"/>
      <c r="BS861" s="58"/>
      <c r="BT861" s="83"/>
      <c r="CE861" s="83"/>
      <c r="CK861" s="58"/>
      <c r="CL861" s="83"/>
      <c r="CO861" s="58"/>
      <c r="CP861" s="83"/>
      <c r="CR861" s="58"/>
      <c r="CS861" s="83"/>
      <c r="CY861" s="83"/>
      <c r="DG861" s="58"/>
      <c r="DH861" s="83"/>
      <c r="DQ861" s="83"/>
      <c r="EE861" s="58"/>
      <c r="EF861" s="83"/>
      <c r="EI861" s="83"/>
      <c r="EK861" s="58"/>
      <c r="EL861" s="83"/>
      <c r="EO861" s="58"/>
      <c r="EP861" s="83"/>
      <c r="EQ861" s="58"/>
      <c r="ER861" s="83"/>
      <c r="ES861" s="58"/>
      <c r="ET861" s="83"/>
      <c r="EU861" s="58"/>
    </row>
    <row r="862" spans="1:151">
      <c r="A862" s="83" t="s">
        <v>320</v>
      </c>
      <c r="B862" s="7" t="s">
        <v>523</v>
      </c>
      <c r="C862" s="87" t="s">
        <v>522</v>
      </c>
      <c r="D862" s="147" t="s">
        <v>65</v>
      </c>
      <c r="E862" s="148"/>
      <c r="F862" s="148" t="s">
        <v>287</v>
      </c>
      <c r="G862" s="73">
        <v>-0.86499999999999999</v>
      </c>
      <c r="H862" s="148"/>
      <c r="I862" s="148">
        <v>889</v>
      </c>
      <c r="J862" s="158">
        <v>2.6939393939393939</v>
      </c>
      <c r="K862" s="148">
        <v>4</v>
      </c>
      <c r="L862" s="148">
        <v>4</v>
      </c>
      <c r="M862" s="147">
        <v>0</v>
      </c>
      <c r="N862" s="148">
        <v>2</v>
      </c>
      <c r="O862" s="148">
        <v>0</v>
      </c>
      <c r="P862" s="148">
        <v>0</v>
      </c>
      <c r="Q862" s="149">
        <v>0</v>
      </c>
      <c r="R862" s="87">
        <v>2</v>
      </c>
      <c r="S862" s="147">
        <v>1</v>
      </c>
      <c r="T862" s="148"/>
      <c r="U862" s="147">
        <v>1</v>
      </c>
      <c r="V862" s="148">
        <v>4</v>
      </c>
      <c r="W862" s="148">
        <v>2</v>
      </c>
      <c r="X862" s="149"/>
      <c r="Y862" s="147">
        <v>0</v>
      </c>
      <c r="Z862" s="148"/>
      <c r="AA862" s="148"/>
      <c r="AB862" s="148"/>
      <c r="AC862" s="148"/>
      <c r="AD862" s="148"/>
      <c r="AE862" s="148"/>
      <c r="AF862" s="148"/>
      <c r="AG862" s="148"/>
      <c r="AH862" s="148"/>
      <c r="AI862" s="148"/>
      <c r="AJ862" s="148">
        <v>0</v>
      </c>
      <c r="AK862" s="147">
        <v>0</v>
      </c>
      <c r="AL862" s="148">
        <v>0</v>
      </c>
      <c r="AM862" s="148">
        <v>1</v>
      </c>
      <c r="AN862" s="148">
        <v>0</v>
      </c>
      <c r="AO862" s="149">
        <v>0</v>
      </c>
      <c r="AP862" s="169" t="s">
        <v>284</v>
      </c>
      <c r="AQ862" s="170" t="s">
        <v>284</v>
      </c>
      <c r="AR862" s="170" t="s">
        <v>501</v>
      </c>
      <c r="AS862" s="170" t="s">
        <v>501</v>
      </c>
      <c r="AT862" s="170" t="s">
        <v>284</v>
      </c>
      <c r="AU862" s="170" t="s">
        <v>284</v>
      </c>
      <c r="AV862" s="170" t="s">
        <v>284</v>
      </c>
      <c r="AW862" s="170" t="s">
        <v>284</v>
      </c>
      <c r="AX862" s="147">
        <v>0</v>
      </c>
      <c r="AY862" s="148">
        <v>0</v>
      </c>
      <c r="AZ862" s="148">
        <v>0</v>
      </c>
      <c r="BA862" s="148">
        <v>0</v>
      </c>
      <c r="BB862" s="149">
        <v>0</v>
      </c>
      <c r="BC862" s="87">
        <v>108</v>
      </c>
      <c r="BD862" s="148"/>
      <c r="BE862" s="148"/>
      <c r="BF862" s="148"/>
      <c r="BG862" s="148"/>
      <c r="BH862" s="148"/>
      <c r="BI862" s="148"/>
      <c r="BJ862" s="148"/>
      <c r="BK862" s="148"/>
      <c r="BL862" s="148"/>
      <c r="BM862" s="148"/>
      <c r="BN862" s="148"/>
      <c r="BO862" s="148"/>
      <c r="BP862" s="148"/>
      <c r="BQ862" s="148"/>
      <c r="BR862" s="148"/>
      <c r="BS862" s="149"/>
      <c r="BT862" s="147"/>
      <c r="BU862" s="148"/>
      <c r="BV862" s="148"/>
      <c r="BW862" s="148"/>
      <c r="BX862" s="148"/>
      <c r="BY862" s="148"/>
      <c r="BZ862" s="148"/>
      <c r="CA862" s="148"/>
      <c r="CB862" s="148"/>
      <c r="CC862" s="148"/>
      <c r="CD862" s="148"/>
      <c r="CE862" s="147"/>
      <c r="CF862" s="148"/>
      <c r="CG862" s="148"/>
      <c r="CH862" s="148"/>
      <c r="CI862" s="148"/>
      <c r="CJ862" s="148"/>
      <c r="CK862" s="149"/>
      <c r="CL862" s="147"/>
      <c r="CM862" s="148"/>
      <c r="CN862" s="148"/>
      <c r="CO862" s="149"/>
      <c r="CP862" s="147"/>
      <c r="CQ862" s="148"/>
      <c r="CR862" s="149"/>
      <c r="CS862" s="147"/>
      <c r="CT862" s="148"/>
      <c r="CU862" s="148"/>
      <c r="CV862" s="148"/>
      <c r="CW862" s="148"/>
      <c r="CX862" s="148"/>
      <c r="CY862" s="147"/>
      <c r="CZ862" s="148"/>
      <c r="DA862" s="148"/>
      <c r="DB862" s="148"/>
      <c r="DC862" s="148"/>
      <c r="DD862" s="148"/>
      <c r="DE862" s="148"/>
      <c r="DF862" s="148"/>
      <c r="DG862" s="149"/>
      <c r="DH862" s="147"/>
      <c r="DI862" s="148"/>
      <c r="DJ862" s="148"/>
      <c r="DK862" s="148"/>
      <c r="DL862" s="148"/>
      <c r="DM862" s="148"/>
      <c r="DN862" s="148"/>
      <c r="DO862" s="148"/>
      <c r="DP862" s="148"/>
      <c r="DQ862" s="147"/>
      <c r="DR862" s="148"/>
      <c r="DS862" s="148"/>
      <c r="DT862" s="148"/>
      <c r="DU862" s="148"/>
      <c r="DV862" s="148"/>
      <c r="DW862" s="148"/>
      <c r="DX862" s="148"/>
      <c r="DY862" s="148"/>
      <c r="DZ862" s="148"/>
      <c r="EA862" s="148"/>
      <c r="EB862" s="148"/>
      <c r="EC862" s="148"/>
      <c r="ED862" s="148"/>
      <c r="EE862" s="149"/>
      <c r="EF862" s="147"/>
      <c r="EG862" s="148"/>
      <c r="EH862" s="148"/>
      <c r="EI862" s="147"/>
      <c r="EJ862" s="148"/>
      <c r="EK862" s="149"/>
      <c r="EL862" s="147"/>
      <c r="EM862" s="148"/>
      <c r="EN862" s="148"/>
      <c r="EO862" s="149"/>
      <c r="EP862" s="147"/>
      <c r="EQ862" s="149"/>
      <c r="ER862" s="147"/>
      <c r="ES862" s="149"/>
      <c r="ET862" s="147"/>
      <c r="EU862" s="149"/>
    </row>
    <row r="863" spans="1:151">
      <c r="A863" s="83" t="s">
        <v>320</v>
      </c>
      <c r="B863" s="173" t="s">
        <v>523</v>
      </c>
      <c r="C863" s="42" t="s">
        <v>522</v>
      </c>
      <c r="D863" s="83" t="s">
        <v>64</v>
      </c>
      <c r="F863" s="49" t="s">
        <v>286</v>
      </c>
      <c r="G863" s="60">
        <v>-0.86499999999999999</v>
      </c>
      <c r="I863" s="49">
        <v>2139</v>
      </c>
      <c r="J863" s="159">
        <v>1.3138820638820639</v>
      </c>
      <c r="K863" s="49">
        <v>4</v>
      </c>
      <c r="L863" s="49">
        <v>5</v>
      </c>
      <c r="M863" s="83">
        <v>0</v>
      </c>
      <c r="N863" s="49">
        <v>3</v>
      </c>
      <c r="O863" s="49">
        <v>0</v>
      </c>
      <c r="P863" s="49">
        <v>0</v>
      </c>
      <c r="Q863" s="58">
        <v>0</v>
      </c>
      <c r="R863" s="42">
        <v>3</v>
      </c>
      <c r="S863" s="83">
        <v>1</v>
      </c>
      <c r="U863" s="83">
        <v>2</v>
      </c>
      <c r="V863" s="49">
        <v>5</v>
      </c>
      <c r="W863" s="49">
        <v>3</v>
      </c>
      <c r="X863" s="58">
        <v>2</v>
      </c>
      <c r="Y863" s="83">
        <v>2</v>
      </c>
      <c r="Z863" s="49">
        <v>12</v>
      </c>
      <c r="AA863" s="49">
        <v>18</v>
      </c>
      <c r="AD863" s="49">
        <v>31</v>
      </c>
      <c r="AE863" s="49">
        <v>38</v>
      </c>
      <c r="AH863" s="49">
        <v>27</v>
      </c>
      <c r="AI863" s="49">
        <v>191</v>
      </c>
      <c r="AJ863" s="49">
        <v>1</v>
      </c>
      <c r="AK863" s="83">
        <v>0</v>
      </c>
      <c r="AL863" s="49">
        <v>1</v>
      </c>
      <c r="AM863" s="49">
        <v>0</v>
      </c>
      <c r="AN863" s="49">
        <v>0</v>
      </c>
      <c r="AO863" s="58">
        <v>0</v>
      </c>
      <c r="AP863" s="174">
        <v>0</v>
      </c>
      <c r="AQ863" s="175">
        <v>730</v>
      </c>
      <c r="AR863" s="175">
        <v>0</v>
      </c>
      <c r="AS863" s="175">
        <v>0</v>
      </c>
      <c r="AT863" s="175">
        <v>0</v>
      </c>
      <c r="AU863" s="175">
        <v>0</v>
      </c>
      <c r="AV863" s="175">
        <v>0</v>
      </c>
      <c r="AW863" s="175">
        <v>0</v>
      </c>
      <c r="AX863" s="83">
        <v>0</v>
      </c>
      <c r="AY863" s="49">
        <v>0</v>
      </c>
      <c r="AZ863" s="49">
        <v>0</v>
      </c>
      <c r="BA863" s="49">
        <v>0</v>
      </c>
      <c r="BB863" s="58">
        <v>0</v>
      </c>
      <c r="BC863" s="42">
        <v>117</v>
      </c>
      <c r="BE863" s="49"/>
      <c r="BS863" s="58"/>
      <c r="BT863" s="83">
        <v>73.52</v>
      </c>
      <c r="BU863" s="49">
        <v>69.94</v>
      </c>
      <c r="BV863" s="49">
        <v>68.3</v>
      </c>
      <c r="CE863" s="83"/>
      <c r="CK863" s="58"/>
      <c r="CL863" s="83"/>
      <c r="CO863" s="58"/>
      <c r="CP863" s="83"/>
      <c r="CR863" s="58"/>
      <c r="CS863" s="83"/>
      <c r="CY863" s="83"/>
      <c r="DG863" s="58"/>
      <c r="DH863" s="83"/>
      <c r="DQ863" s="83"/>
      <c r="EE863" s="58"/>
      <c r="EF863" s="83"/>
      <c r="EI863" s="83"/>
      <c r="EK863" s="58"/>
      <c r="EL863" s="83"/>
      <c r="EO863" s="58"/>
      <c r="EP863" s="83"/>
      <c r="EQ863" s="58"/>
      <c r="ER863" s="83"/>
      <c r="ES863" s="58"/>
      <c r="ET863" s="83"/>
      <c r="EU863" s="58"/>
    </row>
    <row r="864" spans="1:151">
      <c r="A864" s="83" t="s">
        <v>320</v>
      </c>
      <c r="B864" s="173" t="s">
        <v>523</v>
      </c>
      <c r="C864" s="42" t="s">
        <v>522</v>
      </c>
      <c r="D864" s="83" t="s">
        <v>66</v>
      </c>
      <c r="F864" s="49" t="s">
        <v>286</v>
      </c>
      <c r="G864" s="60">
        <v>-0.86499999999999999</v>
      </c>
      <c r="I864" s="49">
        <v>3801</v>
      </c>
      <c r="J864" s="159">
        <v>2.2692537313432837</v>
      </c>
      <c r="K864" s="49">
        <v>4</v>
      </c>
      <c r="L864" s="49">
        <v>5</v>
      </c>
      <c r="M864" s="83">
        <v>0</v>
      </c>
      <c r="N864" s="49">
        <v>0</v>
      </c>
      <c r="O864" s="49">
        <v>0</v>
      </c>
      <c r="P864" s="49">
        <v>1</v>
      </c>
      <c r="Q864" s="58">
        <v>0</v>
      </c>
      <c r="R864" s="42">
        <v>1</v>
      </c>
      <c r="S864" s="83">
        <v>1</v>
      </c>
      <c r="T864" s="49">
        <v>4</v>
      </c>
      <c r="U864" s="83">
        <v>1</v>
      </c>
      <c r="V864" s="49">
        <v>5</v>
      </c>
      <c r="W864" s="49">
        <v>1</v>
      </c>
      <c r="X864" s="58">
        <v>2</v>
      </c>
      <c r="Y864" s="83">
        <v>1</v>
      </c>
      <c r="Z864" s="49">
        <v>3</v>
      </c>
      <c r="AG864" s="49">
        <v>99</v>
      </c>
      <c r="AH864" s="49">
        <v>612</v>
      </c>
      <c r="AJ864" s="49">
        <v>0</v>
      </c>
      <c r="AK864" s="83">
        <v>0</v>
      </c>
      <c r="AL864" s="49">
        <v>1</v>
      </c>
      <c r="AM864" s="49">
        <v>0</v>
      </c>
      <c r="AN864" s="49">
        <v>0</v>
      </c>
      <c r="AO864" s="58">
        <v>0</v>
      </c>
      <c r="AP864" s="174">
        <v>0</v>
      </c>
      <c r="AQ864" s="175">
        <v>459</v>
      </c>
      <c r="AR864" s="175">
        <v>0</v>
      </c>
      <c r="AS864" s="175">
        <v>0</v>
      </c>
      <c r="AT864" s="175">
        <v>0</v>
      </c>
      <c r="AU864" s="175">
        <v>0</v>
      </c>
      <c r="AV864" s="175">
        <v>0</v>
      </c>
      <c r="AW864" s="175">
        <v>0</v>
      </c>
      <c r="AX864" s="83">
        <v>0</v>
      </c>
      <c r="AY864" s="49">
        <v>0</v>
      </c>
      <c r="AZ864" s="49">
        <v>0</v>
      </c>
      <c r="BA864" s="49">
        <v>0</v>
      </c>
      <c r="BB864" s="58">
        <v>0</v>
      </c>
      <c r="BC864" s="42">
        <v>153</v>
      </c>
      <c r="BE864" s="49"/>
      <c r="BS864" s="58"/>
      <c r="BT864" s="83"/>
      <c r="CE864" s="83"/>
      <c r="CK864" s="58"/>
      <c r="CL864" s="83"/>
      <c r="CO864" s="58"/>
      <c r="CP864" s="83"/>
      <c r="CR864" s="58"/>
      <c r="CS864" s="83"/>
      <c r="CY864" s="83"/>
      <c r="DG864" s="58"/>
      <c r="DH864" s="83"/>
      <c r="DQ864" s="83"/>
      <c r="EE864" s="58"/>
      <c r="EF864" s="83"/>
      <c r="EI864" s="83"/>
      <c r="EK864" s="58"/>
      <c r="EL864" s="83"/>
      <c r="EO864" s="58"/>
      <c r="EP864" s="83"/>
      <c r="EQ864" s="58"/>
      <c r="ER864" s="83"/>
      <c r="ES864" s="58"/>
      <c r="ET864" s="83"/>
      <c r="EU864" s="58"/>
    </row>
    <row r="865" spans="1:151">
      <c r="A865" s="83" t="s">
        <v>320</v>
      </c>
      <c r="B865" s="173" t="s">
        <v>523</v>
      </c>
      <c r="C865" s="42" t="s">
        <v>522</v>
      </c>
      <c r="D865" s="83" t="s">
        <v>67</v>
      </c>
      <c r="F865" s="49" t="s">
        <v>286</v>
      </c>
      <c r="G865" s="60">
        <v>-0.86499999999999999</v>
      </c>
      <c r="I865" s="49">
        <v>4479</v>
      </c>
      <c r="J865" s="159">
        <v>2.281711665817626</v>
      </c>
      <c r="K865" s="49">
        <v>4</v>
      </c>
      <c r="L865" s="49">
        <v>4</v>
      </c>
      <c r="M865" s="83">
        <v>1</v>
      </c>
      <c r="N865" s="49">
        <v>0</v>
      </c>
      <c r="O865" s="49">
        <v>1</v>
      </c>
      <c r="P865" s="49">
        <v>1</v>
      </c>
      <c r="Q865" s="58">
        <v>0</v>
      </c>
      <c r="R865" s="42">
        <v>3</v>
      </c>
      <c r="S865" s="83">
        <v>1</v>
      </c>
      <c r="U865" s="83">
        <v>3</v>
      </c>
      <c r="V865" s="49">
        <v>4</v>
      </c>
      <c r="W865" s="49">
        <v>3</v>
      </c>
      <c r="X865" s="58">
        <v>3</v>
      </c>
      <c r="Y865" s="83">
        <v>1</v>
      </c>
      <c r="Z865" s="49">
        <v>8</v>
      </c>
      <c r="AA865" s="49">
        <v>42</v>
      </c>
      <c r="AD865" s="49">
        <v>12</v>
      </c>
      <c r="AE865" s="49">
        <v>88</v>
      </c>
      <c r="AF865" s="49">
        <v>9</v>
      </c>
      <c r="AG865" s="49">
        <v>66</v>
      </c>
      <c r="AH865" s="49">
        <v>39</v>
      </c>
      <c r="AI865" s="49">
        <v>140</v>
      </c>
      <c r="AJ865" s="49">
        <v>0</v>
      </c>
      <c r="AK865" s="83">
        <v>0</v>
      </c>
      <c r="AL865" s="49">
        <v>0</v>
      </c>
      <c r="AM865" s="49">
        <v>1</v>
      </c>
      <c r="AN865" s="49">
        <v>0</v>
      </c>
      <c r="AO865" s="58">
        <v>0</v>
      </c>
      <c r="AP865" s="174" t="s">
        <v>284</v>
      </c>
      <c r="AQ865" s="175" t="s">
        <v>284</v>
      </c>
      <c r="AR865" s="175" t="s">
        <v>501</v>
      </c>
      <c r="AS865" s="175" t="s">
        <v>501</v>
      </c>
      <c r="AT865" s="175" t="s">
        <v>284</v>
      </c>
      <c r="AU865" s="175" t="s">
        <v>284</v>
      </c>
      <c r="AV865" s="175" t="s">
        <v>284</v>
      </c>
      <c r="AW865" s="175" t="s">
        <v>284</v>
      </c>
      <c r="AX865" s="83">
        <v>0</v>
      </c>
      <c r="AY865" s="49">
        <v>0</v>
      </c>
      <c r="AZ865" s="49">
        <v>0</v>
      </c>
      <c r="BA865" s="49">
        <v>0</v>
      </c>
      <c r="BB865" s="58">
        <v>0</v>
      </c>
      <c r="BC865" s="42">
        <v>145</v>
      </c>
      <c r="BD865" s="49">
        <v>78.36</v>
      </c>
      <c r="BE865" s="49"/>
      <c r="BS865" s="58"/>
      <c r="BT865" s="83">
        <v>77.3</v>
      </c>
      <c r="BU865" s="49">
        <v>74.64</v>
      </c>
      <c r="BV865" s="49">
        <v>72.06</v>
      </c>
      <c r="BW865" s="49">
        <v>72.86</v>
      </c>
      <c r="BX865" s="49">
        <v>76.06</v>
      </c>
      <c r="BY865" s="49">
        <v>68.2</v>
      </c>
      <c r="CE865" s="83">
        <v>63.31</v>
      </c>
      <c r="CK865" s="58"/>
      <c r="CL865" s="83">
        <v>54.82</v>
      </c>
      <c r="CM865" s="49">
        <v>60.32</v>
      </c>
      <c r="CN865" s="49">
        <v>67.2</v>
      </c>
      <c r="CO865" s="58">
        <v>67.52</v>
      </c>
      <c r="CP865" s="83"/>
      <c r="CR865" s="58"/>
      <c r="CS865" s="83"/>
      <c r="CY865" s="83"/>
      <c r="DG865" s="58"/>
      <c r="DH865" s="83"/>
      <c r="DQ865" s="83"/>
      <c r="EE865" s="58"/>
      <c r="EF865" s="83"/>
      <c r="EI865" s="83"/>
      <c r="EK865" s="58"/>
      <c r="EL865" s="83"/>
      <c r="EO865" s="58"/>
      <c r="EP865" s="83"/>
      <c r="EQ865" s="58"/>
      <c r="ER865" s="83"/>
      <c r="ES865" s="58"/>
      <c r="ET865" s="83"/>
      <c r="EU865" s="58"/>
    </row>
    <row r="866" spans="1:151" ht="17" thickBot="1">
      <c r="A866" s="83" t="s">
        <v>320</v>
      </c>
      <c r="B866" s="47" t="s">
        <v>523</v>
      </c>
      <c r="C866" s="55" t="s">
        <v>522</v>
      </c>
      <c r="D866" s="84" t="s">
        <v>68</v>
      </c>
      <c r="E866" s="57"/>
      <c r="F866" s="57" t="s">
        <v>286</v>
      </c>
      <c r="G866" s="74">
        <v>-0.86499999999999999</v>
      </c>
      <c r="H866" s="57"/>
      <c r="I866" s="57">
        <v>7170</v>
      </c>
      <c r="J866" s="75">
        <v>2.1038732394366195</v>
      </c>
      <c r="K866" s="57">
        <v>4</v>
      </c>
      <c r="L866" s="57">
        <v>4</v>
      </c>
      <c r="M866" s="84">
        <v>0</v>
      </c>
      <c r="N866" s="57">
        <v>0</v>
      </c>
      <c r="O866" s="57">
        <v>0</v>
      </c>
      <c r="P866" s="57">
        <v>1</v>
      </c>
      <c r="Q866" s="56">
        <v>0</v>
      </c>
      <c r="R866" s="55">
        <v>1</v>
      </c>
      <c r="S866" s="84">
        <v>1</v>
      </c>
      <c r="T866" s="57"/>
      <c r="U866" s="84">
        <v>1</v>
      </c>
      <c r="V866" s="57">
        <v>5</v>
      </c>
      <c r="W866" s="57">
        <v>2</v>
      </c>
      <c r="X866" s="56"/>
      <c r="Y866" s="84">
        <v>2</v>
      </c>
      <c r="Z866" s="57"/>
      <c r="AA866" s="57"/>
      <c r="AB866" s="57"/>
      <c r="AC866" s="57"/>
      <c r="AD866" s="57">
        <v>20</v>
      </c>
      <c r="AE866" s="57">
        <v>101</v>
      </c>
      <c r="AF866" s="57">
        <v>11</v>
      </c>
      <c r="AG866" s="57">
        <v>95</v>
      </c>
      <c r="AH866" s="57"/>
      <c r="AI866" s="57"/>
      <c r="AJ866" s="57">
        <v>1</v>
      </c>
      <c r="AK866" s="84">
        <v>0</v>
      </c>
      <c r="AL866" s="57">
        <v>0</v>
      </c>
      <c r="AM866" s="57">
        <v>0</v>
      </c>
      <c r="AN866" s="57">
        <v>0</v>
      </c>
      <c r="AO866" s="56">
        <v>0</v>
      </c>
      <c r="AP866" s="178" t="s">
        <v>284</v>
      </c>
      <c r="AQ866" s="179" t="s">
        <v>284</v>
      </c>
      <c r="AR866" s="179" t="s">
        <v>284</v>
      </c>
      <c r="AS866" s="179" t="s">
        <v>284</v>
      </c>
      <c r="AT866" s="179" t="s">
        <v>284</v>
      </c>
      <c r="AU866" s="179" t="s">
        <v>284</v>
      </c>
      <c r="AV866" s="179" t="s">
        <v>284</v>
      </c>
      <c r="AW866" s="179" t="s">
        <v>284</v>
      </c>
      <c r="AX866" s="84"/>
      <c r="AY866" s="57"/>
      <c r="AZ866" s="57"/>
      <c r="BA866" s="57"/>
      <c r="BB866" s="56">
        <v>1</v>
      </c>
      <c r="BC866" s="55">
        <v>148</v>
      </c>
      <c r="BD866" s="57">
        <v>64.59</v>
      </c>
      <c r="BE866" s="75">
        <v>64.19</v>
      </c>
      <c r="BF866" s="57">
        <v>65.25</v>
      </c>
      <c r="BG866" s="57">
        <v>64.34</v>
      </c>
      <c r="BH866" s="57">
        <v>64.73</v>
      </c>
      <c r="BI866" s="57">
        <v>64.33</v>
      </c>
      <c r="BJ866" s="57"/>
      <c r="BK866" s="57"/>
      <c r="BL866" s="57"/>
      <c r="BM866" s="57"/>
      <c r="BN866" s="57"/>
      <c r="BO866" s="57"/>
      <c r="BP866" s="57"/>
      <c r="BQ866" s="57"/>
      <c r="BR866" s="57"/>
      <c r="BS866" s="56"/>
      <c r="BT866" s="84"/>
      <c r="BU866" s="57"/>
      <c r="BV866" s="57"/>
      <c r="BW866" s="57"/>
      <c r="BX866" s="57"/>
      <c r="BY866" s="57"/>
      <c r="BZ866" s="57"/>
      <c r="CA866" s="57"/>
      <c r="CB866" s="57"/>
      <c r="CC866" s="57"/>
      <c r="CD866" s="57"/>
      <c r="CE866" s="84">
        <v>69.05</v>
      </c>
      <c r="CF866" s="57">
        <v>69</v>
      </c>
      <c r="CG866" s="57"/>
      <c r="CH866" s="57"/>
      <c r="CI866" s="57"/>
      <c r="CJ866" s="57"/>
      <c r="CK866" s="56"/>
      <c r="CL866" s="84"/>
      <c r="CM866" s="57"/>
      <c r="CN866" s="57"/>
      <c r="CO866" s="56"/>
      <c r="CP866" s="84"/>
      <c r="CQ866" s="57"/>
      <c r="CR866" s="56"/>
      <c r="CS866" s="84"/>
      <c r="CT866" s="57"/>
      <c r="CU866" s="57"/>
      <c r="CV866" s="57"/>
      <c r="CW866" s="57"/>
      <c r="CX866" s="57"/>
      <c r="CY866" s="84"/>
      <c r="CZ866" s="57"/>
      <c r="DA866" s="57"/>
      <c r="DB866" s="57"/>
      <c r="DC866" s="57"/>
      <c r="DD866" s="57"/>
      <c r="DE866" s="57"/>
      <c r="DF866" s="57"/>
      <c r="DG866" s="56"/>
      <c r="DH866" s="84"/>
      <c r="DI866" s="57"/>
      <c r="DJ866" s="57"/>
      <c r="DK866" s="57"/>
      <c r="DL866" s="57"/>
      <c r="DM866" s="57"/>
      <c r="DN866" s="57"/>
      <c r="DO866" s="57"/>
      <c r="DP866" s="57"/>
      <c r="DQ866" s="84"/>
      <c r="DR866" s="57"/>
      <c r="DS866" s="57"/>
      <c r="DT866" s="57"/>
      <c r="DU866" s="57"/>
      <c r="DV866" s="57"/>
      <c r="DW866" s="57"/>
      <c r="DX866" s="57"/>
      <c r="DY866" s="57"/>
      <c r="DZ866" s="57"/>
      <c r="EA866" s="57"/>
      <c r="EB866" s="57"/>
      <c r="EC866" s="57"/>
      <c r="ED866" s="57"/>
      <c r="EE866" s="56"/>
      <c r="EF866" s="84"/>
      <c r="EG866" s="57"/>
      <c r="EH866" s="57"/>
      <c r="EI866" s="84"/>
      <c r="EJ866" s="57"/>
      <c r="EK866" s="56"/>
      <c r="EL866" s="84"/>
      <c r="EM866" s="57"/>
      <c r="EN866" s="57"/>
      <c r="EO866" s="56"/>
      <c r="EP866" s="84"/>
      <c r="EQ866" s="56"/>
      <c r="ER866" s="84"/>
      <c r="ES866" s="56"/>
      <c r="ET866" s="84"/>
      <c r="EU866" s="56"/>
    </row>
    <row r="867" spans="1:151">
      <c r="A867" s="87" t="s">
        <v>320</v>
      </c>
      <c r="B867" s="87" t="s">
        <v>524</v>
      </c>
      <c r="C867" s="87" t="s">
        <v>525</v>
      </c>
      <c r="D867" s="147" t="s">
        <v>64</v>
      </c>
      <c r="E867" s="148"/>
      <c r="F867" s="148" t="s">
        <v>286</v>
      </c>
      <c r="G867" s="73">
        <v>-2.9071666666666669</v>
      </c>
      <c r="H867" s="148"/>
      <c r="I867" s="148">
        <v>1876</v>
      </c>
      <c r="J867" s="158">
        <v>2.126984126984127</v>
      </c>
      <c r="K867" s="148">
        <v>4</v>
      </c>
      <c r="L867" s="148">
        <v>4</v>
      </c>
      <c r="M867" s="147">
        <v>0</v>
      </c>
      <c r="N867" s="148">
        <v>2</v>
      </c>
      <c r="O867" s="148">
        <v>0</v>
      </c>
      <c r="P867" s="148">
        <v>0</v>
      </c>
      <c r="Q867" s="149">
        <v>0</v>
      </c>
      <c r="R867" s="87">
        <v>2</v>
      </c>
      <c r="S867" s="147" t="s">
        <v>283</v>
      </c>
      <c r="T867" s="148"/>
      <c r="U867" s="147">
        <v>1</v>
      </c>
      <c r="V867" s="148">
        <v>4</v>
      </c>
      <c r="W867" s="148">
        <v>2</v>
      </c>
      <c r="X867" s="149"/>
      <c r="Y867" s="147">
        <v>1</v>
      </c>
      <c r="Z867" s="148">
        <v>5</v>
      </c>
      <c r="AA867" s="148">
        <v>20</v>
      </c>
      <c r="AB867" s="148"/>
      <c r="AC867" s="148"/>
      <c r="AD867" s="148">
        <v>10</v>
      </c>
      <c r="AE867" s="148">
        <v>176</v>
      </c>
      <c r="AF867" s="148">
        <v>11</v>
      </c>
      <c r="AG867" s="148">
        <v>39</v>
      </c>
      <c r="AH867" s="148">
        <v>20</v>
      </c>
      <c r="AI867" s="148">
        <v>148</v>
      </c>
      <c r="AJ867" s="148">
        <v>0</v>
      </c>
      <c r="AK867" s="147">
        <v>0</v>
      </c>
      <c r="AL867" s="148">
        <v>0</v>
      </c>
      <c r="AM867" s="148">
        <v>1</v>
      </c>
      <c r="AN867" s="148">
        <v>0</v>
      </c>
      <c r="AO867" s="149">
        <v>0</v>
      </c>
      <c r="AP867" s="169" t="s">
        <v>284</v>
      </c>
      <c r="AQ867" s="170" t="s">
        <v>284</v>
      </c>
      <c r="AR867" s="170">
        <v>136</v>
      </c>
      <c r="AS867" s="170">
        <v>254</v>
      </c>
      <c r="AT867" s="170" t="s">
        <v>284</v>
      </c>
      <c r="AU867" s="170" t="s">
        <v>284</v>
      </c>
      <c r="AV867" s="170" t="s">
        <v>284</v>
      </c>
      <c r="AW867" s="170" t="s">
        <v>284</v>
      </c>
      <c r="AX867" s="147">
        <v>0</v>
      </c>
      <c r="AY867" s="148">
        <v>0</v>
      </c>
      <c r="AZ867" s="148">
        <v>0</v>
      </c>
      <c r="BA867" s="148">
        <v>0</v>
      </c>
      <c r="BB867" s="149">
        <v>0</v>
      </c>
      <c r="BC867" s="87">
        <v>123</v>
      </c>
      <c r="BD867" s="148"/>
      <c r="BE867" s="148"/>
      <c r="BF867" s="148"/>
      <c r="BG867" s="148"/>
      <c r="BH867" s="148"/>
      <c r="BI867" s="148"/>
      <c r="BJ867" s="148"/>
      <c r="BK867" s="148"/>
      <c r="BL867" s="148"/>
      <c r="BM867" s="148"/>
      <c r="BN867" s="148"/>
      <c r="BO867" s="148"/>
      <c r="BP867" s="148"/>
      <c r="BQ867" s="148"/>
      <c r="BR867" s="148"/>
      <c r="BS867" s="149"/>
      <c r="BT867" s="147"/>
      <c r="BU867" s="148"/>
      <c r="BV867" s="148"/>
      <c r="BW867" s="148"/>
      <c r="BX867" s="148"/>
      <c r="BY867" s="148"/>
      <c r="BZ867" s="148"/>
      <c r="CA867" s="148"/>
      <c r="CB867" s="148"/>
      <c r="CC867" s="148"/>
      <c r="CD867" s="148"/>
      <c r="CE867" s="147"/>
      <c r="CF867" s="148"/>
      <c r="CG867" s="148"/>
      <c r="CH867" s="148"/>
      <c r="CI867" s="148"/>
      <c r="CJ867" s="148"/>
      <c r="CK867" s="149"/>
      <c r="CL867" s="147">
        <v>69.17</v>
      </c>
      <c r="CM867" s="148"/>
      <c r="CN867" s="148"/>
      <c r="CO867" s="149"/>
      <c r="CP867" s="147"/>
      <c r="CQ867" s="148"/>
      <c r="CR867" s="149"/>
      <c r="CS867" s="147"/>
      <c r="CT867" s="148"/>
      <c r="CU867" s="148"/>
      <c r="CV867" s="148"/>
      <c r="CW867" s="148"/>
      <c r="CX867" s="148"/>
      <c r="CY867" s="147">
        <v>82.81</v>
      </c>
      <c r="CZ867" s="148">
        <v>81.11</v>
      </c>
      <c r="DA867" s="148"/>
      <c r="DB867" s="148"/>
      <c r="DC867" s="148"/>
      <c r="DD867" s="148"/>
      <c r="DE867" s="148"/>
      <c r="DF867" s="148"/>
      <c r="DG867" s="149"/>
      <c r="DH867" s="147"/>
      <c r="DI867" s="148"/>
      <c r="DJ867" s="148"/>
      <c r="DK867" s="148"/>
      <c r="DL867" s="148"/>
      <c r="DM867" s="148"/>
      <c r="DN867" s="148"/>
      <c r="DO867" s="148"/>
      <c r="DP867" s="148"/>
      <c r="DQ867" s="147"/>
      <c r="DR867" s="148"/>
      <c r="DS867" s="148"/>
      <c r="DT867" s="148"/>
      <c r="DU867" s="148"/>
      <c r="DV867" s="148"/>
      <c r="DW867" s="148"/>
      <c r="DX867" s="148"/>
      <c r="DY867" s="148"/>
      <c r="DZ867" s="148"/>
      <c r="EA867" s="148"/>
      <c r="EB867" s="148"/>
      <c r="EC867" s="148"/>
      <c r="ED867" s="148"/>
      <c r="EE867" s="149"/>
      <c r="EF867" s="147"/>
      <c r="EG867" s="148"/>
      <c r="EH867" s="148"/>
      <c r="EI867" s="147"/>
      <c r="EJ867" s="148"/>
      <c r="EK867" s="149"/>
      <c r="EL867" s="147"/>
      <c r="EM867" s="148"/>
      <c r="EN867" s="148"/>
      <c r="EO867" s="149"/>
      <c r="EP867" s="147"/>
      <c r="EQ867" s="149"/>
      <c r="ER867" s="147"/>
      <c r="ES867" s="149"/>
      <c r="ET867" s="147"/>
      <c r="EU867" s="149"/>
    </row>
    <row r="868" spans="1:151">
      <c r="A868" s="42" t="s">
        <v>320</v>
      </c>
      <c r="B868" s="42" t="s">
        <v>524</v>
      </c>
      <c r="C868" s="42" t="s">
        <v>525</v>
      </c>
      <c r="D868" s="83" t="s">
        <v>65</v>
      </c>
      <c r="F868" s="49" t="s">
        <v>287</v>
      </c>
      <c r="G868" s="60">
        <v>-2.9071666666666669</v>
      </c>
      <c r="I868" s="49">
        <v>862</v>
      </c>
      <c r="J868" s="159">
        <v>1.68359375</v>
      </c>
      <c r="K868" s="49">
        <v>4</v>
      </c>
      <c r="L868" s="49">
        <v>3</v>
      </c>
      <c r="M868" s="83">
        <v>0</v>
      </c>
      <c r="N868" s="49">
        <v>1</v>
      </c>
      <c r="O868" s="49">
        <v>1</v>
      </c>
      <c r="P868" s="49">
        <v>0</v>
      </c>
      <c r="Q868" s="58">
        <v>0</v>
      </c>
      <c r="R868" s="42">
        <v>2</v>
      </c>
      <c r="S868" s="83" t="s">
        <v>283</v>
      </c>
      <c r="U868" s="83">
        <v>1</v>
      </c>
      <c r="V868" s="49">
        <v>3</v>
      </c>
      <c r="W868" s="49">
        <v>1</v>
      </c>
      <c r="X868" s="58">
        <v>1</v>
      </c>
      <c r="Y868" s="83">
        <v>10</v>
      </c>
      <c r="Z868" s="49">
        <v>6</v>
      </c>
      <c r="AA868" s="49">
        <v>14</v>
      </c>
      <c r="AD868" s="49">
        <v>5</v>
      </c>
      <c r="AE868" s="49">
        <v>120</v>
      </c>
      <c r="AJ868" s="49">
        <v>0</v>
      </c>
      <c r="AK868" s="83">
        <v>0</v>
      </c>
      <c r="AL868" s="49">
        <v>0</v>
      </c>
      <c r="AM868" s="49">
        <v>0</v>
      </c>
      <c r="AN868" s="49">
        <v>0</v>
      </c>
      <c r="AO868" s="58">
        <v>0</v>
      </c>
      <c r="AP868" s="174" t="s">
        <v>284</v>
      </c>
      <c r="AQ868" s="175" t="s">
        <v>284</v>
      </c>
      <c r="AR868" s="175" t="s">
        <v>284</v>
      </c>
      <c r="AS868" s="175" t="s">
        <v>284</v>
      </c>
      <c r="AT868" s="175" t="s">
        <v>284</v>
      </c>
      <c r="AU868" s="175" t="s">
        <v>284</v>
      </c>
      <c r="AV868" s="175" t="s">
        <v>284</v>
      </c>
      <c r="AW868" s="175" t="s">
        <v>284</v>
      </c>
      <c r="AX868" s="83">
        <v>0</v>
      </c>
      <c r="AY868" s="49">
        <v>0</v>
      </c>
      <c r="AZ868" s="49">
        <v>0</v>
      </c>
      <c r="BA868" s="49">
        <v>0</v>
      </c>
      <c r="BB868" s="58">
        <v>0</v>
      </c>
      <c r="BC868" s="42">
        <v>95</v>
      </c>
      <c r="BE868" s="49"/>
      <c r="BS868" s="58"/>
      <c r="BT868" s="83"/>
      <c r="CE868" s="83"/>
      <c r="CK868" s="58"/>
      <c r="CL868" s="83"/>
      <c r="CO868" s="58"/>
      <c r="CP868" s="83"/>
      <c r="CR868" s="58"/>
      <c r="CS868" s="83"/>
      <c r="CY868" s="83"/>
      <c r="DG868" s="58"/>
      <c r="DH868" s="83"/>
      <c r="DQ868" s="83"/>
      <c r="EE868" s="58"/>
      <c r="EF868" s="83"/>
      <c r="EI868" s="83"/>
      <c r="EK868" s="58"/>
      <c r="EL868" s="83"/>
      <c r="EO868" s="58"/>
      <c r="EP868" s="83"/>
      <c r="EQ868" s="58"/>
      <c r="ER868" s="83"/>
      <c r="ES868" s="58"/>
      <c r="ET868" s="83"/>
      <c r="EU868" s="58"/>
    </row>
    <row r="869" spans="1:151">
      <c r="A869" s="42" t="s">
        <v>320</v>
      </c>
      <c r="B869" s="42" t="s">
        <v>524</v>
      </c>
      <c r="C869" s="42" t="s">
        <v>525</v>
      </c>
      <c r="D869" s="83" t="s">
        <v>66</v>
      </c>
      <c r="F869" s="49" t="s">
        <v>286</v>
      </c>
      <c r="G869" s="60">
        <v>-2.9071666666666669</v>
      </c>
      <c r="I869" s="49">
        <v>1378</v>
      </c>
      <c r="J869" s="159">
        <v>8.9480519480519476</v>
      </c>
      <c r="K869" s="49">
        <v>2</v>
      </c>
      <c r="L869" s="49">
        <v>3</v>
      </c>
      <c r="M869" s="83">
        <v>0</v>
      </c>
      <c r="N869" s="49">
        <v>0</v>
      </c>
      <c r="O869" s="49">
        <v>0</v>
      </c>
      <c r="P869" s="49">
        <v>1</v>
      </c>
      <c r="Q869" s="58">
        <v>0</v>
      </c>
      <c r="R869" s="42">
        <v>1</v>
      </c>
      <c r="S869" s="83">
        <v>1</v>
      </c>
      <c r="U869" s="83">
        <v>0</v>
      </c>
      <c r="V869" s="49">
        <v>0</v>
      </c>
      <c r="W869" s="49">
        <v>0</v>
      </c>
      <c r="X869" s="58"/>
      <c r="Y869" s="83">
        <v>20</v>
      </c>
      <c r="AF869" s="49">
        <v>50</v>
      </c>
      <c r="AG869" s="49">
        <v>504</v>
      </c>
      <c r="AJ869" s="49">
        <v>0</v>
      </c>
      <c r="AK869" s="83">
        <v>0</v>
      </c>
      <c r="AL869" s="49">
        <v>0</v>
      </c>
      <c r="AM869" s="49">
        <v>0</v>
      </c>
      <c r="AN869" s="49">
        <v>0</v>
      </c>
      <c r="AO869" s="58">
        <v>0</v>
      </c>
      <c r="AP869" s="174" t="s">
        <v>284</v>
      </c>
      <c r="AQ869" s="175" t="s">
        <v>284</v>
      </c>
      <c r="AR869" s="175" t="s">
        <v>284</v>
      </c>
      <c r="AS869" s="175" t="s">
        <v>284</v>
      </c>
      <c r="AT869" s="175" t="s">
        <v>284</v>
      </c>
      <c r="AU869" s="175" t="s">
        <v>284</v>
      </c>
      <c r="AV869" s="175" t="s">
        <v>284</v>
      </c>
      <c r="AW869" s="175" t="s">
        <v>284</v>
      </c>
      <c r="AX869" s="83">
        <v>0</v>
      </c>
      <c r="AY869" s="49">
        <v>0</v>
      </c>
      <c r="AZ869" s="49">
        <v>0</v>
      </c>
      <c r="BA869" s="49">
        <v>0</v>
      </c>
      <c r="BB869" s="58">
        <v>0</v>
      </c>
      <c r="BC869" s="42">
        <v>118</v>
      </c>
      <c r="BD869" s="49">
        <v>66.819999999999993</v>
      </c>
      <c r="BE869" s="49">
        <v>66.430000000000007</v>
      </c>
      <c r="BS869" s="58"/>
      <c r="BT869" s="83">
        <v>69.05</v>
      </c>
      <c r="CE869" s="83"/>
      <c r="CK869" s="58"/>
      <c r="CL869" s="83"/>
      <c r="CO869" s="58"/>
      <c r="CP869" s="83"/>
      <c r="CR869" s="58"/>
      <c r="CS869" s="83"/>
      <c r="CY869" s="83"/>
      <c r="DG869" s="58"/>
      <c r="DH869" s="83"/>
      <c r="DQ869" s="83"/>
      <c r="EE869" s="58"/>
      <c r="EF869" s="83"/>
      <c r="EI869" s="83"/>
      <c r="EK869" s="58"/>
      <c r="EL869" s="83"/>
      <c r="EO869" s="58"/>
      <c r="EP869" s="83"/>
      <c r="EQ869" s="58"/>
      <c r="ER869" s="83"/>
      <c r="ES869" s="58"/>
      <c r="ET869" s="83"/>
      <c r="EU869" s="58"/>
    </row>
    <row r="870" spans="1:151">
      <c r="A870" s="42" t="s">
        <v>320</v>
      </c>
      <c r="B870" s="42" t="s">
        <v>524</v>
      </c>
      <c r="C870" s="42" t="s">
        <v>525</v>
      </c>
      <c r="D870" s="83" t="s">
        <v>67</v>
      </c>
      <c r="E870" s="49" t="s">
        <v>0</v>
      </c>
      <c r="F870" s="49" t="s">
        <v>286</v>
      </c>
      <c r="G870" s="60">
        <v>-2.9071666666666669</v>
      </c>
      <c r="I870" s="49">
        <v>1006</v>
      </c>
      <c r="J870" s="159">
        <v>4.7677725118483414</v>
      </c>
      <c r="K870" s="49">
        <v>1</v>
      </c>
      <c r="L870" s="49">
        <v>3</v>
      </c>
      <c r="M870" s="83">
        <v>0</v>
      </c>
      <c r="N870" s="49">
        <v>1</v>
      </c>
      <c r="O870" s="49">
        <v>0</v>
      </c>
      <c r="P870" s="49">
        <v>1</v>
      </c>
      <c r="Q870" s="58">
        <v>0</v>
      </c>
      <c r="R870" s="42">
        <v>2</v>
      </c>
      <c r="S870" s="83">
        <v>1</v>
      </c>
      <c r="U870" s="83">
        <v>1</v>
      </c>
      <c r="V870" s="49">
        <v>2</v>
      </c>
      <c r="W870" s="49">
        <v>1</v>
      </c>
      <c r="X870" s="58">
        <v>2</v>
      </c>
      <c r="Y870" s="83">
        <v>1</v>
      </c>
      <c r="AE870" s="49">
        <v>38</v>
      </c>
      <c r="AJ870" s="49">
        <v>0</v>
      </c>
      <c r="AK870" s="83">
        <v>0</v>
      </c>
      <c r="AL870" s="49">
        <v>1</v>
      </c>
      <c r="AM870" s="49">
        <v>0</v>
      </c>
      <c r="AN870" s="49">
        <v>0</v>
      </c>
      <c r="AO870" s="58">
        <v>0</v>
      </c>
      <c r="AP870" s="174">
        <v>0</v>
      </c>
      <c r="AQ870" s="175">
        <v>184</v>
      </c>
      <c r="AR870" s="175">
        <v>0</v>
      </c>
      <c r="AS870" s="175">
        <v>0</v>
      </c>
      <c r="AT870" s="175">
        <v>0</v>
      </c>
      <c r="AU870" s="175">
        <v>0</v>
      </c>
      <c r="AV870" s="175">
        <v>0</v>
      </c>
      <c r="AW870" s="175">
        <v>0</v>
      </c>
      <c r="AX870" s="83">
        <v>0</v>
      </c>
      <c r="AY870" s="49">
        <v>0</v>
      </c>
      <c r="AZ870" s="49">
        <v>0</v>
      </c>
      <c r="BA870" s="49">
        <v>0</v>
      </c>
      <c r="BB870" s="58">
        <v>0</v>
      </c>
      <c r="BC870" s="42">
        <v>111</v>
      </c>
      <c r="BE870" s="49"/>
      <c r="BS870" s="58"/>
      <c r="BT870" s="83"/>
      <c r="CE870" s="83"/>
      <c r="CK870" s="58"/>
      <c r="CL870" s="83"/>
      <c r="CO870" s="58"/>
      <c r="CP870" s="83"/>
      <c r="CR870" s="58"/>
      <c r="CS870" s="83"/>
      <c r="CY870" s="83"/>
      <c r="DG870" s="58"/>
      <c r="DH870" s="83"/>
      <c r="DQ870" s="83"/>
      <c r="EE870" s="58"/>
      <c r="EF870" s="83"/>
      <c r="EI870" s="83"/>
      <c r="EK870" s="58"/>
      <c r="EL870" s="83"/>
      <c r="EO870" s="58"/>
      <c r="EP870" s="83"/>
      <c r="EQ870" s="58"/>
      <c r="ER870" s="83"/>
      <c r="ES870" s="58"/>
      <c r="ET870" s="83"/>
      <c r="EU870" s="58"/>
    </row>
    <row r="871" spans="1:151">
      <c r="A871" s="42" t="s">
        <v>320</v>
      </c>
      <c r="B871" s="42" t="s">
        <v>524</v>
      </c>
      <c r="C871" s="42" t="s">
        <v>525</v>
      </c>
      <c r="D871" s="83" t="s">
        <v>67</v>
      </c>
      <c r="E871" s="49" t="s">
        <v>1</v>
      </c>
      <c r="F871" s="49" t="s">
        <v>287</v>
      </c>
      <c r="G871" s="60">
        <v>-2.9071666666666669</v>
      </c>
      <c r="I871" s="49">
        <v>699</v>
      </c>
      <c r="J871" s="159">
        <v>2.6781609195402298</v>
      </c>
      <c r="K871" s="49">
        <v>1</v>
      </c>
      <c r="L871" s="49">
        <v>2</v>
      </c>
      <c r="M871" s="83">
        <v>0</v>
      </c>
      <c r="N871" s="49">
        <v>0</v>
      </c>
      <c r="O871" s="49">
        <v>0</v>
      </c>
      <c r="P871" s="49">
        <v>1</v>
      </c>
      <c r="Q871" s="58">
        <v>0</v>
      </c>
      <c r="R871" s="42">
        <v>1</v>
      </c>
      <c r="S871" s="83">
        <v>1</v>
      </c>
      <c r="U871" s="83">
        <v>1</v>
      </c>
      <c r="V871" s="49">
        <v>2</v>
      </c>
      <c r="W871" s="49">
        <v>1</v>
      </c>
      <c r="X871" s="58">
        <v>2</v>
      </c>
      <c r="Y871" s="83">
        <v>2</v>
      </c>
      <c r="AG871" s="49">
        <v>90</v>
      </c>
      <c r="AJ871" s="49">
        <v>0</v>
      </c>
      <c r="AK871" s="83">
        <v>0</v>
      </c>
      <c r="AL871" s="49">
        <v>1</v>
      </c>
      <c r="AM871" s="49">
        <v>0</v>
      </c>
      <c r="AN871" s="49">
        <v>0</v>
      </c>
      <c r="AO871" s="58">
        <v>0</v>
      </c>
      <c r="AP871" s="174">
        <v>0</v>
      </c>
      <c r="AQ871" s="175">
        <v>234</v>
      </c>
      <c r="AR871" s="175">
        <v>0</v>
      </c>
      <c r="AS871" s="175">
        <v>0</v>
      </c>
      <c r="AT871" s="175">
        <v>0</v>
      </c>
      <c r="AU871" s="175">
        <v>0</v>
      </c>
      <c r="AV871" s="175">
        <v>0</v>
      </c>
      <c r="AW871" s="175">
        <v>0</v>
      </c>
      <c r="AX871" s="83">
        <v>0</v>
      </c>
      <c r="AY871" s="49">
        <v>0</v>
      </c>
      <c r="AZ871" s="49">
        <v>0</v>
      </c>
      <c r="BA871" s="49">
        <v>0</v>
      </c>
      <c r="BB871" s="58">
        <v>0</v>
      </c>
      <c r="BC871" s="42">
        <v>111</v>
      </c>
      <c r="BE871" s="49"/>
      <c r="BS871" s="58"/>
      <c r="BT871" s="83"/>
      <c r="CE871" s="83"/>
      <c r="CK871" s="58"/>
      <c r="CL871" s="83"/>
      <c r="CO871" s="58"/>
      <c r="CP871" s="83"/>
      <c r="CR871" s="58"/>
      <c r="CS871" s="83"/>
      <c r="CY871" s="83"/>
      <c r="DG871" s="58"/>
      <c r="DH871" s="83"/>
      <c r="DQ871" s="83"/>
      <c r="EE871" s="58"/>
      <c r="EF871" s="83"/>
      <c r="EI871" s="83"/>
      <c r="EK871" s="58"/>
      <c r="EL871" s="83"/>
      <c r="EO871" s="58"/>
      <c r="EP871" s="83"/>
      <c r="EQ871" s="58"/>
      <c r="ER871" s="83"/>
      <c r="ES871" s="58"/>
      <c r="ET871" s="83"/>
      <c r="EU871" s="58"/>
    </row>
    <row r="872" spans="1:151">
      <c r="A872" s="42" t="s">
        <v>320</v>
      </c>
      <c r="B872" s="42" t="s">
        <v>524</v>
      </c>
      <c r="C872" s="42" t="s">
        <v>525</v>
      </c>
      <c r="D872" s="83" t="s">
        <v>68</v>
      </c>
      <c r="F872" s="49" t="s">
        <v>287</v>
      </c>
      <c r="G872" s="60">
        <v>-2.9071666666666669</v>
      </c>
      <c r="I872" s="49">
        <v>881</v>
      </c>
      <c r="J872" s="159">
        <v>10.614457831325302</v>
      </c>
      <c r="K872" s="49">
        <v>3</v>
      </c>
      <c r="L872" s="49">
        <v>2</v>
      </c>
      <c r="M872" s="83">
        <v>1</v>
      </c>
      <c r="N872" s="49">
        <v>0</v>
      </c>
      <c r="O872" s="49">
        <v>0</v>
      </c>
      <c r="P872" s="49">
        <v>0</v>
      </c>
      <c r="Q872" s="58">
        <v>0</v>
      </c>
      <c r="R872" s="42">
        <v>1</v>
      </c>
      <c r="S872" s="83" t="s">
        <v>283</v>
      </c>
      <c r="T872" s="49">
        <v>2</v>
      </c>
      <c r="U872" s="83">
        <v>0</v>
      </c>
      <c r="V872" s="49">
        <v>0</v>
      </c>
      <c r="W872" s="49">
        <v>0</v>
      </c>
      <c r="X872" s="58"/>
      <c r="Y872" s="83">
        <v>8</v>
      </c>
      <c r="AG872" s="49">
        <v>566</v>
      </c>
      <c r="AJ872" s="49">
        <v>0</v>
      </c>
      <c r="AK872" s="83">
        <v>0</v>
      </c>
      <c r="AL872" s="49">
        <v>0</v>
      </c>
      <c r="AM872" s="49">
        <v>1</v>
      </c>
      <c r="AN872" s="49">
        <v>0</v>
      </c>
      <c r="AO872" s="58">
        <v>0</v>
      </c>
      <c r="AP872" s="174" t="s">
        <v>284</v>
      </c>
      <c r="AQ872" s="175" t="s">
        <v>284</v>
      </c>
      <c r="AR872" s="175" t="s">
        <v>501</v>
      </c>
      <c r="AS872" s="175" t="s">
        <v>501</v>
      </c>
      <c r="AT872" s="175" t="s">
        <v>284</v>
      </c>
      <c r="AU872" s="175" t="s">
        <v>284</v>
      </c>
      <c r="AV872" s="175" t="s">
        <v>284</v>
      </c>
      <c r="AW872" s="175" t="s">
        <v>284</v>
      </c>
      <c r="AX872" s="83">
        <v>0</v>
      </c>
      <c r="AY872" s="49">
        <v>0</v>
      </c>
      <c r="AZ872" s="49">
        <v>0</v>
      </c>
      <c r="BA872" s="49">
        <v>0</v>
      </c>
      <c r="BB872" s="58">
        <v>0</v>
      </c>
      <c r="BC872" s="42">
        <v>109</v>
      </c>
      <c r="BD872" s="49">
        <v>66.900000000000006</v>
      </c>
      <c r="BE872" s="49"/>
      <c r="BS872" s="58"/>
      <c r="BT872" s="83">
        <v>67.62</v>
      </c>
      <c r="CE872" s="83">
        <v>62.19</v>
      </c>
      <c r="CK872" s="58"/>
      <c r="CL872" s="83"/>
      <c r="CO872" s="58"/>
      <c r="CP872" s="83"/>
      <c r="CR872" s="58"/>
      <c r="CS872" s="83"/>
      <c r="CY872" s="83"/>
      <c r="DG872" s="58"/>
      <c r="DH872" s="83"/>
      <c r="DQ872" s="83"/>
      <c r="EE872" s="58"/>
      <c r="EF872" s="83"/>
      <c r="EI872" s="83"/>
      <c r="EK872" s="58"/>
      <c r="EL872" s="83"/>
      <c r="EO872" s="58"/>
      <c r="EP872" s="83"/>
      <c r="EQ872" s="58"/>
      <c r="ER872" s="83"/>
      <c r="ES872" s="58"/>
      <c r="ET872" s="83"/>
      <c r="EU872" s="58"/>
    </row>
    <row r="873" spans="1:151">
      <c r="A873" s="42" t="s">
        <v>320</v>
      </c>
      <c r="B873" s="42" t="s">
        <v>524</v>
      </c>
      <c r="C873" s="42" t="s">
        <v>525</v>
      </c>
      <c r="D873" s="83" t="s">
        <v>74</v>
      </c>
      <c r="F873" s="49" t="s">
        <v>287</v>
      </c>
      <c r="G873" s="60">
        <v>-2.9071666666666669</v>
      </c>
      <c r="I873" s="49">
        <v>375</v>
      </c>
      <c r="J873" s="159">
        <v>1.7523364485981308</v>
      </c>
      <c r="K873" s="49">
        <v>1</v>
      </c>
      <c r="L873" s="49">
        <v>2</v>
      </c>
      <c r="M873" s="83">
        <v>0</v>
      </c>
      <c r="N873" s="49">
        <v>1</v>
      </c>
      <c r="O873" s="49">
        <v>0</v>
      </c>
      <c r="P873" s="49">
        <v>0</v>
      </c>
      <c r="Q873" s="58">
        <v>0</v>
      </c>
      <c r="R873" s="42">
        <v>1</v>
      </c>
      <c r="S873" s="83">
        <v>1</v>
      </c>
      <c r="U873" s="83">
        <v>0</v>
      </c>
      <c r="V873" s="49">
        <v>0</v>
      </c>
      <c r="W873" s="49">
        <v>0</v>
      </c>
      <c r="X873" s="58"/>
      <c r="Y873" s="83">
        <v>0</v>
      </c>
      <c r="AJ873" s="49">
        <v>0</v>
      </c>
      <c r="AK873" s="83">
        <v>0</v>
      </c>
      <c r="AL873" s="49">
        <v>1</v>
      </c>
      <c r="AM873" s="49">
        <v>0</v>
      </c>
      <c r="AN873" s="49">
        <v>0</v>
      </c>
      <c r="AO873" s="58">
        <v>0</v>
      </c>
      <c r="AP873" s="174">
        <v>0</v>
      </c>
      <c r="AQ873" s="175">
        <v>387</v>
      </c>
      <c r="AR873" s="175">
        <v>0</v>
      </c>
      <c r="AS873" s="175">
        <v>0</v>
      </c>
      <c r="AT873" s="175">
        <v>0</v>
      </c>
      <c r="AU873" s="175">
        <v>0</v>
      </c>
      <c r="AV873" s="175">
        <v>0</v>
      </c>
      <c r="AW873" s="175">
        <v>0</v>
      </c>
      <c r="AX873" s="83">
        <v>0</v>
      </c>
      <c r="AY873" s="49">
        <v>0</v>
      </c>
      <c r="AZ873" s="49">
        <v>0</v>
      </c>
      <c r="BA873" s="49">
        <v>0</v>
      </c>
      <c r="BB873" s="58">
        <v>0</v>
      </c>
      <c r="BC873" s="42">
        <v>84</v>
      </c>
      <c r="BE873" s="49"/>
      <c r="BS873" s="58"/>
      <c r="BT873" s="83"/>
      <c r="CE873" s="83"/>
      <c r="CK873" s="58"/>
      <c r="CL873" s="83"/>
      <c r="CO873" s="58"/>
      <c r="CP873" s="83"/>
      <c r="CR873" s="58"/>
      <c r="CS873" s="83"/>
      <c r="CY873" s="83"/>
      <c r="DG873" s="58"/>
      <c r="DH873" s="83"/>
      <c r="DQ873" s="83"/>
      <c r="EE873" s="58"/>
      <c r="EF873" s="83"/>
      <c r="EI873" s="83"/>
      <c r="EK873" s="58"/>
      <c r="EL873" s="83"/>
      <c r="EO873" s="58"/>
      <c r="EP873" s="83"/>
      <c r="EQ873" s="58"/>
      <c r="ER873" s="83"/>
      <c r="ES873" s="58"/>
      <c r="ET873" s="83"/>
      <c r="EU873" s="58"/>
    </row>
    <row r="874" spans="1:151">
      <c r="A874" s="42" t="s">
        <v>320</v>
      </c>
      <c r="B874" s="42" t="s">
        <v>524</v>
      </c>
      <c r="C874" s="42" t="s">
        <v>525</v>
      </c>
      <c r="D874" s="83" t="s">
        <v>75</v>
      </c>
      <c r="F874" s="49" t="s">
        <v>286</v>
      </c>
      <c r="G874" s="60">
        <v>-2.9071666666666669</v>
      </c>
      <c r="I874" s="49">
        <v>1557</v>
      </c>
      <c r="J874" s="159">
        <v>13.657894736842104</v>
      </c>
      <c r="K874" s="49">
        <v>2</v>
      </c>
      <c r="L874" s="49">
        <v>2</v>
      </c>
      <c r="M874" s="83">
        <v>1</v>
      </c>
      <c r="N874" s="49">
        <v>0</v>
      </c>
      <c r="O874" s="49">
        <v>0</v>
      </c>
      <c r="P874" s="49">
        <v>0</v>
      </c>
      <c r="Q874" s="58">
        <v>0</v>
      </c>
      <c r="R874" s="42">
        <v>1</v>
      </c>
      <c r="S874" s="83"/>
      <c r="T874" s="49">
        <v>2</v>
      </c>
      <c r="U874" s="83">
        <v>0</v>
      </c>
      <c r="V874" s="49">
        <v>0</v>
      </c>
      <c r="W874" s="49">
        <v>0</v>
      </c>
      <c r="X874" s="58"/>
      <c r="Y874" s="83">
        <v>2</v>
      </c>
      <c r="AD874" s="49">
        <v>7</v>
      </c>
      <c r="AE874" s="49">
        <v>83</v>
      </c>
      <c r="AH874" s="49">
        <v>11</v>
      </c>
      <c r="AI874" s="49">
        <v>116</v>
      </c>
      <c r="AJ874" s="49">
        <v>0</v>
      </c>
      <c r="AK874" s="83">
        <v>0</v>
      </c>
      <c r="AL874" s="49">
        <v>1</v>
      </c>
      <c r="AM874" s="49">
        <v>0</v>
      </c>
      <c r="AN874" s="49">
        <v>0</v>
      </c>
      <c r="AO874" s="58">
        <v>0</v>
      </c>
      <c r="AP874" s="174">
        <v>0</v>
      </c>
      <c r="AQ874" s="175">
        <v>807</v>
      </c>
      <c r="AR874" s="175">
        <v>0</v>
      </c>
      <c r="AS874" s="175">
        <v>0</v>
      </c>
      <c r="AT874" s="175">
        <v>0</v>
      </c>
      <c r="AU874" s="175">
        <v>0</v>
      </c>
      <c r="AV874" s="175">
        <v>0</v>
      </c>
      <c r="AW874" s="175">
        <v>0</v>
      </c>
      <c r="AX874" s="83">
        <v>0</v>
      </c>
      <c r="AY874" s="49">
        <v>0</v>
      </c>
      <c r="AZ874" s="49">
        <v>0</v>
      </c>
      <c r="BA874" s="49">
        <v>0</v>
      </c>
      <c r="BB874" s="58">
        <v>0</v>
      </c>
      <c r="BC874" s="42">
        <v>100</v>
      </c>
      <c r="BD874" s="49">
        <v>68.67</v>
      </c>
      <c r="BE874" s="49"/>
      <c r="BS874" s="58"/>
      <c r="BT874" s="83">
        <v>67.37</v>
      </c>
      <c r="CE874" s="83">
        <v>67.83</v>
      </c>
      <c r="CK874" s="58"/>
      <c r="CL874" s="83"/>
      <c r="CO874" s="58"/>
      <c r="CP874" s="83"/>
      <c r="CR874" s="58"/>
      <c r="CS874" s="83"/>
      <c r="CY874" s="83"/>
      <c r="DG874" s="58"/>
      <c r="DH874" s="83"/>
      <c r="DQ874" s="83"/>
      <c r="EE874" s="58"/>
      <c r="EF874" s="83"/>
      <c r="EI874" s="83"/>
      <c r="EK874" s="58"/>
      <c r="EL874" s="83"/>
      <c r="EO874" s="58"/>
      <c r="EP874" s="83"/>
      <c r="EQ874" s="58"/>
      <c r="ER874" s="83"/>
      <c r="ES874" s="58"/>
      <c r="ET874" s="83"/>
      <c r="EU874" s="58"/>
    </row>
    <row r="875" spans="1:151" ht="17" thickBot="1">
      <c r="A875" s="55" t="s">
        <v>320</v>
      </c>
      <c r="B875" s="47" t="s">
        <v>524</v>
      </c>
      <c r="C875" s="55" t="s">
        <v>525</v>
      </c>
      <c r="D875" s="84" t="s">
        <v>261</v>
      </c>
      <c r="E875" s="57"/>
      <c r="F875" s="57" t="s">
        <v>286</v>
      </c>
      <c r="G875" s="74">
        <v>-2.9071666666666669</v>
      </c>
      <c r="H875" s="57"/>
      <c r="I875" s="57">
        <v>2780</v>
      </c>
      <c r="J875" s="75">
        <v>12.522522522522523</v>
      </c>
      <c r="K875" s="57">
        <v>3</v>
      </c>
      <c r="L875" s="57">
        <v>2</v>
      </c>
      <c r="M875" s="84">
        <v>1</v>
      </c>
      <c r="N875" s="57">
        <v>0</v>
      </c>
      <c r="O875" s="57">
        <v>0</v>
      </c>
      <c r="P875" s="57">
        <v>0</v>
      </c>
      <c r="Q875" s="56">
        <v>0</v>
      </c>
      <c r="R875" s="55">
        <v>1</v>
      </c>
      <c r="S875" s="84" t="s">
        <v>283</v>
      </c>
      <c r="T875" s="57">
        <v>3</v>
      </c>
      <c r="U875" s="84">
        <v>0</v>
      </c>
      <c r="V875" s="57">
        <v>0</v>
      </c>
      <c r="W875" s="57">
        <v>0</v>
      </c>
      <c r="X875" s="56"/>
      <c r="Y875" s="84">
        <v>1</v>
      </c>
      <c r="Z875" s="57"/>
      <c r="AA875" s="57"/>
      <c r="AB875" s="57"/>
      <c r="AC875" s="57"/>
      <c r="AD875" s="57"/>
      <c r="AE875" s="57">
        <v>178</v>
      </c>
      <c r="AF875" s="57"/>
      <c r="AG875" s="57"/>
      <c r="AH875" s="57"/>
      <c r="AI875" s="57">
        <v>92</v>
      </c>
      <c r="AJ875" s="57">
        <v>0</v>
      </c>
      <c r="AK875" s="84">
        <v>0</v>
      </c>
      <c r="AL875" s="57">
        <v>1</v>
      </c>
      <c r="AM875" s="57">
        <v>1</v>
      </c>
      <c r="AN875" s="57">
        <v>0</v>
      </c>
      <c r="AO875" s="56">
        <v>0</v>
      </c>
      <c r="AP875" s="178">
        <v>0</v>
      </c>
      <c r="AQ875" s="179">
        <v>471</v>
      </c>
      <c r="AR875" s="179">
        <v>77</v>
      </c>
      <c r="AS875" s="179">
        <v>287</v>
      </c>
      <c r="AT875" s="179">
        <v>0</v>
      </c>
      <c r="AU875" s="179">
        <v>0</v>
      </c>
      <c r="AV875" s="179" t="s">
        <v>284</v>
      </c>
      <c r="AW875" s="179" t="s">
        <v>284</v>
      </c>
      <c r="AX875" s="84">
        <v>0</v>
      </c>
      <c r="AY875" s="57">
        <v>0</v>
      </c>
      <c r="AZ875" s="57">
        <v>0</v>
      </c>
      <c r="BA875" s="57">
        <v>0</v>
      </c>
      <c r="BB875" s="56">
        <v>0</v>
      </c>
      <c r="BC875" s="55">
        <v>133</v>
      </c>
      <c r="BD875" s="57"/>
      <c r="BE875" s="75"/>
      <c r="BF875" s="57"/>
      <c r="BG875" s="57"/>
      <c r="BH875" s="57"/>
      <c r="BI875" s="57"/>
      <c r="BJ875" s="57"/>
      <c r="BK875" s="57"/>
      <c r="BL875" s="57"/>
      <c r="BM875" s="57"/>
      <c r="BN875" s="57"/>
      <c r="BO875" s="57"/>
      <c r="BP875" s="57"/>
      <c r="BQ875" s="57"/>
      <c r="BR875" s="57"/>
      <c r="BS875" s="56"/>
      <c r="BT875" s="84"/>
      <c r="BU875" s="57"/>
      <c r="BV875" s="57"/>
      <c r="BW875" s="57"/>
      <c r="BX875" s="57"/>
      <c r="BY875" s="57"/>
      <c r="BZ875" s="57"/>
      <c r="CA875" s="57"/>
      <c r="CB875" s="57"/>
      <c r="CC875" s="57"/>
      <c r="CD875" s="57"/>
      <c r="CE875" s="84"/>
      <c r="CF875" s="57"/>
      <c r="CG875" s="57"/>
      <c r="CH875" s="57"/>
      <c r="CI875" s="57"/>
      <c r="CJ875" s="57"/>
      <c r="CK875" s="56"/>
      <c r="CL875" s="84"/>
      <c r="CM875" s="57"/>
      <c r="CN875" s="57"/>
      <c r="CO875" s="56"/>
      <c r="CP875" s="84"/>
      <c r="CQ875" s="57"/>
      <c r="CR875" s="56"/>
      <c r="CS875" s="84"/>
      <c r="CT875" s="57"/>
      <c r="CU875" s="57"/>
      <c r="CV875" s="57"/>
      <c r="CW875" s="57"/>
      <c r="CX875" s="57"/>
      <c r="CY875" s="84"/>
      <c r="CZ875" s="57"/>
      <c r="DA875" s="57"/>
      <c r="DB875" s="57"/>
      <c r="DC875" s="57"/>
      <c r="DD875" s="57"/>
      <c r="DE875" s="57"/>
      <c r="DF875" s="57"/>
      <c r="DG875" s="56"/>
      <c r="DH875" s="84"/>
      <c r="DI875" s="57"/>
      <c r="DJ875" s="57"/>
      <c r="DK875" s="57"/>
      <c r="DL875" s="57"/>
      <c r="DM875" s="57"/>
      <c r="DN875" s="57"/>
      <c r="DO875" s="57"/>
      <c r="DP875" s="57"/>
      <c r="DQ875" s="84"/>
      <c r="DR875" s="57"/>
      <c r="DS875" s="57"/>
      <c r="DT875" s="57"/>
      <c r="DU875" s="57"/>
      <c r="DV875" s="57"/>
      <c r="DW875" s="57"/>
      <c r="DX875" s="57"/>
      <c r="DY875" s="57"/>
      <c r="DZ875" s="57"/>
      <c r="EA875" s="57"/>
      <c r="EB875" s="57"/>
      <c r="EC875" s="57"/>
      <c r="ED875" s="57"/>
      <c r="EE875" s="56"/>
      <c r="EF875" s="84"/>
      <c r="EG875" s="57"/>
      <c r="EH875" s="57"/>
      <c r="EI875" s="84"/>
      <c r="EJ875" s="57"/>
      <c r="EK875" s="56"/>
      <c r="EL875" s="84"/>
      <c r="EM875" s="57"/>
      <c r="EN875" s="57"/>
      <c r="EO875" s="56"/>
      <c r="EP875" s="84"/>
      <c r="EQ875" s="56"/>
      <c r="ER875" s="84"/>
      <c r="ES875" s="56"/>
      <c r="ET875" s="84"/>
      <c r="EU875" s="56"/>
    </row>
    <row r="876" spans="1:151">
      <c r="A876" s="83" t="s">
        <v>320</v>
      </c>
      <c r="B876" s="42" t="s">
        <v>526</v>
      </c>
      <c r="C876" s="42" t="s">
        <v>525</v>
      </c>
      <c r="D876" s="83" t="s">
        <v>64</v>
      </c>
      <c r="F876" s="49" t="s">
        <v>286</v>
      </c>
      <c r="G876" s="60">
        <v>-2.9071666666666669</v>
      </c>
      <c r="I876" s="49">
        <v>1331</v>
      </c>
      <c r="J876" s="159">
        <v>1.0090978013646703</v>
      </c>
      <c r="K876" s="49">
        <v>4</v>
      </c>
      <c r="L876" s="49">
        <v>2</v>
      </c>
      <c r="M876" s="83">
        <v>0</v>
      </c>
      <c r="N876" s="49">
        <v>4</v>
      </c>
      <c r="O876" s="49">
        <v>0</v>
      </c>
      <c r="P876" s="49">
        <v>0</v>
      </c>
      <c r="Q876" s="58">
        <v>0</v>
      </c>
      <c r="R876" s="42">
        <v>4</v>
      </c>
      <c r="S876" s="83" t="s">
        <v>283</v>
      </c>
      <c r="T876" s="49">
        <v>22</v>
      </c>
      <c r="U876" s="83">
        <v>2</v>
      </c>
      <c r="V876" s="49">
        <v>3</v>
      </c>
      <c r="W876" s="49">
        <v>3</v>
      </c>
      <c r="X876" s="58">
        <v>1</v>
      </c>
      <c r="Y876" s="83">
        <v>5</v>
      </c>
      <c r="Z876" s="49">
        <v>3</v>
      </c>
      <c r="AA876" s="49">
        <v>22</v>
      </c>
      <c r="AD876" s="49">
        <v>3</v>
      </c>
      <c r="AE876" s="49">
        <v>32</v>
      </c>
      <c r="AF876" s="49">
        <v>3</v>
      </c>
      <c r="AG876" s="49">
        <v>74</v>
      </c>
      <c r="AH876" s="49">
        <v>6</v>
      </c>
      <c r="AI876" s="49">
        <v>186</v>
      </c>
      <c r="AJ876" s="49">
        <v>0</v>
      </c>
      <c r="AK876" s="83">
        <v>0</v>
      </c>
      <c r="AL876" s="49">
        <v>1</v>
      </c>
      <c r="AM876" s="49">
        <v>0</v>
      </c>
      <c r="AN876" s="49">
        <v>0</v>
      </c>
      <c r="AO876" s="58">
        <v>0</v>
      </c>
      <c r="AP876" s="174">
        <v>0</v>
      </c>
      <c r="AQ876" s="175">
        <v>329</v>
      </c>
      <c r="AR876" s="175">
        <v>0</v>
      </c>
      <c r="AS876" s="175">
        <v>0</v>
      </c>
      <c r="AT876" s="175">
        <v>0</v>
      </c>
      <c r="AU876" s="175">
        <v>0</v>
      </c>
      <c r="AV876" s="175">
        <v>0</v>
      </c>
      <c r="AW876" s="175">
        <v>0</v>
      </c>
      <c r="AX876" s="83">
        <v>0</v>
      </c>
      <c r="AY876" s="49">
        <v>0</v>
      </c>
      <c r="AZ876" s="49">
        <v>0</v>
      </c>
      <c r="BA876" s="49">
        <v>0</v>
      </c>
      <c r="BB876" s="58">
        <v>0</v>
      </c>
      <c r="BC876" s="42">
        <v>114</v>
      </c>
      <c r="BE876" s="49"/>
      <c r="BS876" s="58"/>
      <c r="BT876" s="83">
        <v>81.099999999999994</v>
      </c>
      <c r="CE876" s="83"/>
      <c r="CK876" s="58"/>
      <c r="CL876" s="83">
        <v>67.58</v>
      </c>
      <c r="CO876" s="58"/>
      <c r="CP876" s="83"/>
      <c r="CR876" s="58"/>
      <c r="CS876" s="83"/>
      <c r="CY876" s="83"/>
      <c r="DG876" s="58"/>
      <c r="DH876" s="83"/>
      <c r="DQ876" s="83">
        <v>77.58</v>
      </c>
      <c r="DR876" s="49">
        <v>73.31</v>
      </c>
      <c r="EE876" s="58"/>
      <c r="EF876" s="83"/>
      <c r="EI876" s="83"/>
      <c r="EK876" s="58"/>
      <c r="EL876" s="83"/>
      <c r="EO876" s="58"/>
      <c r="EP876" s="83"/>
      <c r="EQ876" s="58"/>
      <c r="ER876" s="83"/>
      <c r="ES876" s="58"/>
      <c r="ET876" s="83"/>
      <c r="EU876" s="58"/>
    </row>
    <row r="877" spans="1:151">
      <c r="A877" s="83" t="s">
        <v>320</v>
      </c>
      <c r="B877" s="42" t="s">
        <v>526</v>
      </c>
      <c r="C877" s="42" t="s">
        <v>525</v>
      </c>
      <c r="D877" s="83" t="s">
        <v>65</v>
      </c>
      <c r="F877" s="49" t="s">
        <v>286</v>
      </c>
      <c r="G877" s="60">
        <v>-2.9071666666666669</v>
      </c>
      <c r="I877" s="49">
        <v>8356</v>
      </c>
      <c r="J877" s="159">
        <v>1.5633302151543498</v>
      </c>
      <c r="K877" s="49">
        <v>4</v>
      </c>
      <c r="L877" s="49">
        <v>3</v>
      </c>
      <c r="M877" s="83">
        <v>1</v>
      </c>
      <c r="N877" s="49">
        <v>0</v>
      </c>
      <c r="O877" s="49">
        <v>0</v>
      </c>
      <c r="P877" s="49">
        <v>0</v>
      </c>
      <c r="Q877" s="58">
        <v>0</v>
      </c>
      <c r="R877" s="42">
        <v>1</v>
      </c>
      <c r="S877" s="83">
        <v>1</v>
      </c>
      <c r="T877" s="49">
        <v>11</v>
      </c>
      <c r="U877" s="83">
        <v>1</v>
      </c>
      <c r="V877" s="49">
        <v>4</v>
      </c>
      <c r="W877" s="49">
        <v>2</v>
      </c>
      <c r="X877" s="58"/>
      <c r="Y877" s="83">
        <v>1</v>
      </c>
      <c r="AD877" s="49">
        <v>27</v>
      </c>
      <c r="AE877" s="49">
        <v>350</v>
      </c>
      <c r="AH877" s="49">
        <v>49</v>
      </c>
      <c r="AI877" s="49">
        <v>973</v>
      </c>
      <c r="AJ877" s="49">
        <v>0</v>
      </c>
      <c r="AK877" s="83">
        <v>0</v>
      </c>
      <c r="AL877" s="49">
        <v>1</v>
      </c>
      <c r="AM877" s="49">
        <v>0</v>
      </c>
      <c r="AN877" s="49">
        <v>0</v>
      </c>
      <c r="AO877" s="58">
        <v>0</v>
      </c>
      <c r="AP877" s="174">
        <v>0</v>
      </c>
      <c r="AQ877" s="175">
        <v>3595</v>
      </c>
      <c r="AR877" s="175">
        <v>0</v>
      </c>
      <c r="AS877" s="175">
        <v>0</v>
      </c>
      <c r="AT877" s="175">
        <v>0</v>
      </c>
      <c r="AU877" s="175">
        <v>0</v>
      </c>
      <c r="AV877" s="175">
        <v>0</v>
      </c>
      <c r="AW877" s="175">
        <v>0</v>
      </c>
      <c r="AX877" s="83">
        <v>0</v>
      </c>
      <c r="AY877" s="49">
        <v>0</v>
      </c>
      <c r="AZ877" s="49">
        <v>0</v>
      </c>
      <c r="BA877" s="49">
        <v>0</v>
      </c>
      <c r="BB877" s="58">
        <v>0</v>
      </c>
      <c r="BC877" s="42">
        <v>121</v>
      </c>
      <c r="BE877" s="49"/>
      <c r="BS877" s="58"/>
      <c r="BT877" s="83"/>
      <c r="CE877" s="83"/>
      <c r="CK877" s="58"/>
      <c r="CL877" s="83"/>
      <c r="CO877" s="58"/>
      <c r="CP877" s="83"/>
      <c r="CR877" s="58"/>
      <c r="CS877" s="83"/>
      <c r="CY877" s="83"/>
      <c r="DG877" s="58"/>
      <c r="DH877" s="83"/>
      <c r="DQ877" s="83"/>
      <c r="EE877" s="58"/>
      <c r="EF877" s="83"/>
      <c r="EI877" s="83"/>
      <c r="EK877" s="58"/>
      <c r="EL877" s="83"/>
      <c r="EO877" s="58"/>
      <c r="EP877" s="83"/>
      <c r="EQ877" s="58"/>
      <c r="ER877" s="83"/>
      <c r="ES877" s="58"/>
      <c r="ET877" s="83"/>
      <c r="EU877" s="58"/>
    </row>
    <row r="878" spans="1:151">
      <c r="A878" s="83" t="s">
        <v>320</v>
      </c>
      <c r="B878" s="42" t="s">
        <v>526</v>
      </c>
      <c r="C878" s="42" t="s">
        <v>525</v>
      </c>
      <c r="D878" s="83" t="s">
        <v>66</v>
      </c>
      <c r="F878" s="49" t="s">
        <v>286</v>
      </c>
      <c r="G878" s="60">
        <v>-2.9071666666666669</v>
      </c>
      <c r="I878" s="49">
        <v>1322</v>
      </c>
      <c r="J878" s="159">
        <v>2.3274647887323945</v>
      </c>
      <c r="K878" s="49">
        <v>1</v>
      </c>
      <c r="L878" s="49">
        <v>3</v>
      </c>
      <c r="M878" s="83">
        <v>0</v>
      </c>
      <c r="N878" s="49">
        <v>0</v>
      </c>
      <c r="O878" s="49">
        <v>0</v>
      </c>
      <c r="P878" s="49">
        <v>0</v>
      </c>
      <c r="Q878" s="58">
        <v>0</v>
      </c>
      <c r="R878" s="42">
        <v>0</v>
      </c>
      <c r="S878" s="83" t="s">
        <v>283</v>
      </c>
      <c r="T878" s="49">
        <v>7</v>
      </c>
      <c r="U878" s="83">
        <v>1</v>
      </c>
      <c r="V878" s="49">
        <v>4</v>
      </c>
      <c r="W878" s="49">
        <v>2</v>
      </c>
      <c r="X878" s="58"/>
      <c r="Y878" s="83">
        <v>1</v>
      </c>
      <c r="AD878" s="49">
        <v>3</v>
      </c>
      <c r="AE878" s="49">
        <v>97</v>
      </c>
      <c r="AF878" s="49">
        <v>4</v>
      </c>
      <c r="AG878" s="49">
        <v>54</v>
      </c>
      <c r="AH878" s="49">
        <v>5</v>
      </c>
      <c r="AI878" s="49">
        <v>61</v>
      </c>
      <c r="AJ878" s="49">
        <v>0</v>
      </c>
      <c r="AK878" s="83">
        <v>0</v>
      </c>
      <c r="AL878" s="49">
        <v>0</v>
      </c>
      <c r="AM878" s="49">
        <v>0</v>
      </c>
      <c r="AN878" s="49">
        <v>0</v>
      </c>
      <c r="AO878" s="58">
        <v>0</v>
      </c>
      <c r="AP878" s="174">
        <v>0</v>
      </c>
      <c r="AQ878" s="175">
        <v>0</v>
      </c>
      <c r="AR878" s="175">
        <v>0</v>
      </c>
      <c r="AS878" s="175">
        <v>0</v>
      </c>
      <c r="AT878" s="175">
        <v>0</v>
      </c>
      <c r="AU878" s="175">
        <v>0</v>
      </c>
      <c r="AV878" s="175">
        <v>0</v>
      </c>
      <c r="AW878" s="175">
        <v>0</v>
      </c>
      <c r="AX878" s="83">
        <v>0</v>
      </c>
      <c r="AY878" s="49">
        <v>0</v>
      </c>
      <c r="AZ878" s="49">
        <v>0</v>
      </c>
      <c r="BA878" s="49">
        <v>0</v>
      </c>
      <c r="BB878" s="58">
        <v>0</v>
      </c>
      <c r="BC878" s="42">
        <v>109</v>
      </c>
      <c r="BD878" s="49">
        <v>82.27</v>
      </c>
      <c r="BE878" s="49">
        <v>82.77</v>
      </c>
      <c r="BF878" s="49">
        <v>82.96</v>
      </c>
      <c r="BS878" s="58"/>
      <c r="BT878" s="83"/>
      <c r="CE878" s="83"/>
      <c r="CK878" s="58"/>
      <c r="CL878" s="83">
        <v>70.349999999999994</v>
      </c>
      <c r="CO878" s="58"/>
      <c r="CP878" s="83"/>
      <c r="CR878" s="58"/>
      <c r="CS878" s="83"/>
      <c r="CY878" s="83"/>
      <c r="DG878" s="58"/>
      <c r="DH878" s="83"/>
      <c r="DQ878" s="83"/>
      <c r="EE878" s="58"/>
      <c r="EF878" s="83"/>
      <c r="EI878" s="83"/>
      <c r="EK878" s="58"/>
      <c r="EL878" s="83"/>
      <c r="EO878" s="58"/>
      <c r="EP878" s="83"/>
      <c r="EQ878" s="58"/>
      <c r="ER878" s="83"/>
      <c r="ES878" s="58"/>
      <c r="ET878" s="83"/>
      <c r="EU878" s="58"/>
    </row>
    <row r="879" spans="1:151">
      <c r="A879" s="83" t="s">
        <v>320</v>
      </c>
      <c r="B879" s="42" t="s">
        <v>526</v>
      </c>
      <c r="C879" s="42" t="s">
        <v>525</v>
      </c>
      <c r="D879" s="83" t="s">
        <v>67</v>
      </c>
      <c r="F879" s="49" t="s">
        <v>286</v>
      </c>
      <c r="G879" s="60">
        <v>-2.9071666666666669</v>
      </c>
      <c r="I879" s="49">
        <v>4699</v>
      </c>
      <c r="J879" s="159">
        <v>1.4026865671641791</v>
      </c>
      <c r="K879" s="49">
        <v>4</v>
      </c>
      <c r="L879" s="49">
        <v>3</v>
      </c>
      <c r="M879" s="83">
        <v>0</v>
      </c>
      <c r="N879" s="49">
        <v>5</v>
      </c>
      <c r="O879" s="49">
        <v>0</v>
      </c>
      <c r="P879" s="49">
        <v>0</v>
      </c>
      <c r="Q879" s="58">
        <v>0</v>
      </c>
      <c r="R879" s="42">
        <v>5</v>
      </c>
      <c r="S879" s="83" t="s">
        <v>283</v>
      </c>
      <c r="T879" s="49">
        <v>22</v>
      </c>
      <c r="U879" s="83">
        <v>1</v>
      </c>
      <c r="V879" s="49">
        <v>4</v>
      </c>
      <c r="W879" s="49">
        <v>2</v>
      </c>
      <c r="X879" s="58"/>
      <c r="Y879" s="83">
        <v>10</v>
      </c>
      <c r="Z879" s="49">
        <v>8</v>
      </c>
      <c r="AA879" s="49">
        <v>37</v>
      </c>
      <c r="AD879" s="49">
        <v>8</v>
      </c>
      <c r="AE879" s="49">
        <v>343</v>
      </c>
      <c r="AF879" s="49">
        <v>4</v>
      </c>
      <c r="AG879" s="49">
        <v>206</v>
      </c>
      <c r="AH879" s="49">
        <v>22</v>
      </c>
      <c r="AI879" s="49">
        <v>980</v>
      </c>
      <c r="AJ879" s="49">
        <v>0</v>
      </c>
      <c r="AK879" s="83">
        <v>0</v>
      </c>
      <c r="AL879" s="49">
        <v>0</v>
      </c>
      <c r="AM879" s="49">
        <v>0</v>
      </c>
      <c r="AN879" s="49">
        <v>0</v>
      </c>
      <c r="AO879" s="58">
        <v>0</v>
      </c>
      <c r="AP879" s="174">
        <v>0</v>
      </c>
      <c r="AQ879" s="175">
        <v>0</v>
      </c>
      <c r="AR879" s="175">
        <v>0</v>
      </c>
      <c r="AS879" s="175">
        <v>0</v>
      </c>
      <c r="AT879" s="175">
        <v>0</v>
      </c>
      <c r="AU879" s="175">
        <v>0</v>
      </c>
      <c r="AV879" s="175">
        <v>0</v>
      </c>
      <c r="AW879" s="175">
        <v>0</v>
      </c>
      <c r="AX879" s="83">
        <v>0</v>
      </c>
      <c r="AY879" s="49">
        <v>0</v>
      </c>
      <c r="AZ879" s="49">
        <v>0</v>
      </c>
      <c r="BA879" s="49">
        <v>0</v>
      </c>
      <c r="BB879" s="58">
        <v>0</v>
      </c>
      <c r="BC879" s="42">
        <v>114</v>
      </c>
      <c r="BD879" s="49">
        <v>82.78</v>
      </c>
      <c r="BE879" s="49"/>
      <c r="BS879" s="58"/>
      <c r="BT879" s="83">
        <v>80.819999999999993</v>
      </c>
      <c r="CE879" s="83"/>
      <c r="CK879" s="58"/>
      <c r="CL879" s="83">
        <v>67.19</v>
      </c>
      <c r="CO879" s="58"/>
      <c r="CP879" s="83">
        <v>65.180000000000007</v>
      </c>
      <c r="CR879" s="58"/>
      <c r="CS879" s="83"/>
      <c r="CY879" s="83"/>
      <c r="DG879" s="58"/>
      <c r="DH879" s="83"/>
      <c r="DQ879" s="83">
        <v>78.599999999999994</v>
      </c>
      <c r="EE879" s="58"/>
      <c r="EF879" s="83"/>
      <c r="EI879" s="83"/>
      <c r="EK879" s="58"/>
      <c r="EL879" s="83"/>
      <c r="EO879" s="58"/>
      <c r="EP879" s="83"/>
      <c r="EQ879" s="58"/>
      <c r="ER879" s="83"/>
      <c r="ES879" s="58"/>
      <c r="ET879" s="83"/>
      <c r="EU879" s="58"/>
    </row>
    <row r="880" spans="1:151">
      <c r="A880" s="83" t="s">
        <v>320</v>
      </c>
      <c r="B880" s="42" t="s">
        <v>526</v>
      </c>
      <c r="C880" s="42" t="s">
        <v>525</v>
      </c>
      <c r="D880" s="83" t="s">
        <v>68</v>
      </c>
      <c r="F880" s="49" t="s">
        <v>286</v>
      </c>
      <c r="G880" s="60">
        <v>-2.9071666666666669</v>
      </c>
      <c r="I880" s="49">
        <v>8830</v>
      </c>
      <c r="J880" s="159">
        <v>1.526625172890733</v>
      </c>
      <c r="K880" s="49">
        <v>1</v>
      </c>
      <c r="L880" s="49">
        <v>3</v>
      </c>
      <c r="M880" s="83">
        <v>1</v>
      </c>
      <c r="N880" s="49">
        <v>3</v>
      </c>
      <c r="O880" s="49">
        <v>1</v>
      </c>
      <c r="P880" s="49">
        <v>1</v>
      </c>
      <c r="Q880" s="58">
        <v>0</v>
      </c>
      <c r="R880" s="42">
        <v>6</v>
      </c>
      <c r="S880" s="83" t="s">
        <v>283</v>
      </c>
      <c r="T880" s="49">
        <v>30</v>
      </c>
      <c r="U880" s="83">
        <v>2</v>
      </c>
      <c r="V880" s="49">
        <v>3</v>
      </c>
      <c r="W880" s="49">
        <v>3</v>
      </c>
      <c r="X880" s="58">
        <v>1</v>
      </c>
      <c r="Y880" s="83">
        <v>10</v>
      </c>
      <c r="Z880" s="49">
        <v>7</v>
      </c>
      <c r="AA880" s="49">
        <v>257</v>
      </c>
      <c r="AD880" s="49">
        <v>13</v>
      </c>
      <c r="AE880" s="49">
        <v>612</v>
      </c>
      <c r="AF880" s="49">
        <v>13</v>
      </c>
      <c r="AG880" s="49">
        <v>425</v>
      </c>
      <c r="AH880" s="49">
        <v>38</v>
      </c>
      <c r="AI880" s="49">
        <v>1331</v>
      </c>
      <c r="AJ880" s="49">
        <v>0</v>
      </c>
      <c r="AK880" s="83">
        <v>0</v>
      </c>
      <c r="AL880" s="49">
        <v>0</v>
      </c>
      <c r="AM880" s="49">
        <v>0</v>
      </c>
      <c r="AN880" s="49">
        <v>0</v>
      </c>
      <c r="AO880" s="58">
        <v>0</v>
      </c>
      <c r="AP880" s="174">
        <v>0</v>
      </c>
      <c r="AQ880" s="175">
        <v>0</v>
      </c>
      <c r="AR880" s="175">
        <v>0</v>
      </c>
      <c r="AS880" s="175">
        <v>0</v>
      </c>
      <c r="AT880" s="175">
        <v>0</v>
      </c>
      <c r="AU880" s="175">
        <v>0</v>
      </c>
      <c r="AV880" s="175">
        <v>0</v>
      </c>
      <c r="AW880" s="175">
        <v>0</v>
      </c>
      <c r="AX880" s="83">
        <v>0</v>
      </c>
      <c r="AY880" s="49">
        <v>0</v>
      </c>
      <c r="AZ880" s="49">
        <v>0</v>
      </c>
      <c r="BA880" s="49">
        <v>0</v>
      </c>
      <c r="BB880" s="58">
        <v>0</v>
      </c>
      <c r="BC880" s="42">
        <v>133</v>
      </c>
      <c r="BD880" s="49">
        <v>81.05</v>
      </c>
      <c r="BE880" s="49">
        <v>81.180000000000007</v>
      </c>
      <c r="BF880" s="49">
        <v>83.31</v>
      </c>
      <c r="BS880" s="58"/>
      <c r="BT880" s="83">
        <v>78.180000000000007</v>
      </c>
      <c r="BU880" s="49">
        <v>82.13</v>
      </c>
      <c r="CE880" s="83"/>
      <c r="CK880" s="58"/>
      <c r="CL880" s="83">
        <v>67.27</v>
      </c>
      <c r="CO880" s="58"/>
      <c r="CP880" s="83"/>
      <c r="CR880" s="58"/>
      <c r="CS880" s="83"/>
      <c r="CY880" s="83"/>
      <c r="DG880" s="58"/>
      <c r="DH880" s="83"/>
      <c r="DQ880" s="83">
        <v>77.03</v>
      </c>
      <c r="DR880" s="49">
        <v>82.7</v>
      </c>
      <c r="DS880" s="49">
        <v>80.28</v>
      </c>
      <c r="EE880" s="58"/>
      <c r="EF880" s="83"/>
      <c r="EI880" s="83"/>
      <c r="EK880" s="58"/>
      <c r="EL880" s="83"/>
      <c r="EO880" s="58"/>
      <c r="EP880" s="83"/>
      <c r="EQ880" s="58"/>
      <c r="ER880" s="83"/>
      <c r="ES880" s="58"/>
      <c r="ET880" s="83"/>
      <c r="EU880" s="58"/>
    </row>
    <row r="881" spans="1:151">
      <c r="A881" s="83" t="s">
        <v>320</v>
      </c>
      <c r="B881" s="42" t="s">
        <v>526</v>
      </c>
      <c r="C881" s="42" t="s">
        <v>525</v>
      </c>
      <c r="D881" s="83" t="s">
        <v>69</v>
      </c>
      <c r="F881" s="49" t="s">
        <v>286</v>
      </c>
      <c r="G881" s="60">
        <v>-2.9071666666666669</v>
      </c>
      <c r="I881" s="49">
        <v>1115</v>
      </c>
      <c r="J881" s="159">
        <v>2.9812834224598932</v>
      </c>
      <c r="K881" s="49">
        <v>4</v>
      </c>
      <c r="L881" s="49">
        <v>5</v>
      </c>
      <c r="M881" s="83">
        <v>0</v>
      </c>
      <c r="N881" s="49">
        <v>0</v>
      </c>
      <c r="O881" s="49">
        <v>0</v>
      </c>
      <c r="P881" s="49">
        <v>0</v>
      </c>
      <c r="Q881" s="58">
        <v>0</v>
      </c>
      <c r="R881" s="42">
        <v>0</v>
      </c>
      <c r="S881" s="83">
        <v>1</v>
      </c>
      <c r="U881" s="83">
        <v>1</v>
      </c>
      <c r="V881" s="49">
        <v>5</v>
      </c>
      <c r="W881" s="49">
        <v>2</v>
      </c>
      <c r="X881" s="58"/>
      <c r="Y881" s="83">
        <v>1</v>
      </c>
      <c r="AE881" s="49">
        <v>8</v>
      </c>
      <c r="AF881" s="49">
        <v>10</v>
      </c>
      <c r="AG881" s="49">
        <v>94</v>
      </c>
      <c r="AJ881" s="49">
        <v>0</v>
      </c>
      <c r="AK881" s="83">
        <v>0</v>
      </c>
      <c r="AL881" s="49">
        <v>0</v>
      </c>
      <c r="AM881" s="49">
        <v>0</v>
      </c>
      <c r="AN881" s="49">
        <v>0</v>
      </c>
      <c r="AO881" s="58">
        <v>0</v>
      </c>
      <c r="AP881" s="174">
        <v>0</v>
      </c>
      <c r="AQ881" s="175">
        <v>0</v>
      </c>
      <c r="AR881" s="175">
        <v>0</v>
      </c>
      <c r="AS881" s="175">
        <v>0</v>
      </c>
      <c r="AT881" s="175">
        <v>0</v>
      </c>
      <c r="AU881" s="175">
        <v>0</v>
      </c>
      <c r="AV881" s="175">
        <v>0</v>
      </c>
      <c r="AW881" s="175">
        <v>0</v>
      </c>
      <c r="AX881" s="83">
        <v>0</v>
      </c>
      <c r="AY881" s="49">
        <v>0</v>
      </c>
      <c r="AZ881" s="49">
        <v>0</v>
      </c>
      <c r="BA881" s="49">
        <v>0</v>
      </c>
      <c r="BB881" s="58">
        <v>0</v>
      </c>
      <c r="BC881" s="42">
        <v>112</v>
      </c>
      <c r="BD881" s="49">
        <v>82.67</v>
      </c>
      <c r="BE881" s="49">
        <v>81.36</v>
      </c>
      <c r="BS881" s="58"/>
      <c r="BT881" s="83"/>
      <c r="CE881" s="83"/>
      <c r="CK881" s="58"/>
      <c r="CL881" s="83">
        <v>71.010000000000005</v>
      </c>
      <c r="CO881" s="58"/>
      <c r="CP881" s="83"/>
      <c r="CR881" s="58"/>
      <c r="CS881" s="83"/>
      <c r="CY881" s="83"/>
      <c r="DG881" s="58"/>
      <c r="DH881" s="83"/>
      <c r="DQ881" s="83"/>
      <c r="EE881" s="58"/>
      <c r="EF881" s="83"/>
      <c r="EI881" s="83"/>
      <c r="EK881" s="58"/>
      <c r="EL881" s="83"/>
      <c r="EO881" s="58"/>
      <c r="EP881" s="83"/>
      <c r="EQ881" s="58"/>
      <c r="ER881" s="83"/>
      <c r="ES881" s="58"/>
      <c r="ET881" s="83"/>
      <c r="EU881" s="58"/>
    </row>
    <row r="882" spans="1:151" ht="17" thickBot="1">
      <c r="A882" s="83" t="s">
        <v>320</v>
      </c>
      <c r="B882" s="42" t="s">
        <v>526</v>
      </c>
      <c r="C882" s="42" t="s">
        <v>525</v>
      </c>
      <c r="D882" s="83" t="s">
        <v>74</v>
      </c>
      <c r="F882" s="49" t="s">
        <v>286</v>
      </c>
      <c r="G882" s="60">
        <v>-2.9071666666666669</v>
      </c>
      <c r="I882" s="49">
        <v>4844</v>
      </c>
      <c r="J882" s="159">
        <v>2.28060263653484</v>
      </c>
      <c r="K882" s="49">
        <v>4</v>
      </c>
      <c r="L882" s="49">
        <v>5</v>
      </c>
      <c r="M882" s="83">
        <v>0</v>
      </c>
      <c r="N882" s="49">
        <v>4</v>
      </c>
      <c r="O882" s="49">
        <v>0</v>
      </c>
      <c r="P882" s="49">
        <v>0</v>
      </c>
      <c r="Q882" s="58">
        <v>0</v>
      </c>
      <c r="R882" s="42">
        <v>4</v>
      </c>
      <c r="S882" s="83" t="s">
        <v>283</v>
      </c>
      <c r="T882" s="49">
        <v>45</v>
      </c>
      <c r="U882" s="83">
        <v>1</v>
      </c>
      <c r="V882" s="49">
        <v>4</v>
      </c>
      <c r="W882" s="49">
        <v>2</v>
      </c>
      <c r="X882" s="58"/>
      <c r="Y882" s="83">
        <v>15</v>
      </c>
      <c r="Z882" s="49">
        <v>6</v>
      </c>
      <c r="AA882" s="49">
        <v>20</v>
      </c>
      <c r="AD882" s="49">
        <v>6</v>
      </c>
      <c r="AE882" s="49">
        <v>399</v>
      </c>
      <c r="AF882" s="49">
        <v>8</v>
      </c>
      <c r="AG882" s="49">
        <v>513</v>
      </c>
      <c r="AH882" s="49">
        <v>92</v>
      </c>
      <c r="AI882" s="49">
        <v>2654</v>
      </c>
      <c r="AJ882" s="49">
        <v>0</v>
      </c>
      <c r="AK882" s="83">
        <v>0</v>
      </c>
      <c r="AL882" s="49">
        <v>0</v>
      </c>
      <c r="AM882" s="49">
        <v>0</v>
      </c>
      <c r="AN882" s="49">
        <v>0</v>
      </c>
      <c r="AO882" s="58">
        <v>0</v>
      </c>
      <c r="AP882" s="174">
        <v>0</v>
      </c>
      <c r="AQ882" s="175">
        <v>0</v>
      </c>
      <c r="AR882" s="175">
        <v>0</v>
      </c>
      <c r="AS882" s="175">
        <v>0</v>
      </c>
      <c r="AT882" s="175">
        <v>0</v>
      </c>
      <c r="AU882" s="175">
        <v>0</v>
      </c>
      <c r="AV882" s="175">
        <v>0</v>
      </c>
      <c r="AW882" s="175">
        <v>0</v>
      </c>
      <c r="AX882" s="83">
        <v>0</v>
      </c>
      <c r="AY882" s="49">
        <v>0</v>
      </c>
      <c r="AZ882" s="49">
        <v>0</v>
      </c>
      <c r="BA882" s="49">
        <v>0</v>
      </c>
      <c r="BB882" s="58">
        <v>0</v>
      </c>
      <c r="BC882" s="42">
        <v>125</v>
      </c>
      <c r="BD882" s="49">
        <v>81.239999999999995</v>
      </c>
      <c r="BE882" s="49">
        <v>82.71</v>
      </c>
      <c r="BF882" s="49">
        <v>79.959999999999994</v>
      </c>
      <c r="BG882" s="49">
        <v>79.31</v>
      </c>
      <c r="BH882" s="49">
        <v>82.05</v>
      </c>
      <c r="BS882" s="58"/>
      <c r="BT882" s="83"/>
      <c r="CE882" s="83">
        <v>69.42</v>
      </c>
      <c r="CF882" s="49">
        <v>69.010000000000005</v>
      </c>
      <c r="CK882" s="58"/>
      <c r="CL882" s="83">
        <v>60.72</v>
      </c>
      <c r="CO882" s="58"/>
      <c r="CP882" s="83"/>
      <c r="CR882" s="58"/>
      <c r="CS882" s="83">
        <v>79.89</v>
      </c>
      <c r="CT882" s="49">
        <v>80.069999999999993</v>
      </c>
      <c r="CY882" s="83"/>
      <c r="DG882" s="58"/>
      <c r="DH882" s="83"/>
      <c r="DQ882" s="83">
        <v>76.31</v>
      </c>
      <c r="DR882" s="49">
        <v>76.959999999999994</v>
      </c>
      <c r="DS882" s="49">
        <v>77.73</v>
      </c>
      <c r="DT882" s="49">
        <v>77.209999999999994</v>
      </c>
      <c r="EE882" s="58"/>
      <c r="EF882" s="83"/>
      <c r="EI882" s="83"/>
      <c r="EK882" s="58"/>
      <c r="EL882" s="83"/>
      <c r="EO882" s="58"/>
      <c r="EP882" s="83"/>
      <c r="EQ882" s="58"/>
      <c r="ER882" s="83"/>
      <c r="ES882" s="58"/>
      <c r="ET882" s="83"/>
      <c r="EU882" s="58"/>
    </row>
    <row r="883" spans="1:151">
      <c r="A883" s="87" t="s">
        <v>320</v>
      </c>
      <c r="B883" s="7" t="s">
        <v>527</v>
      </c>
      <c r="C883" s="87" t="s">
        <v>525</v>
      </c>
      <c r="D883" s="147" t="s">
        <v>64</v>
      </c>
      <c r="E883" s="148"/>
      <c r="F883" s="148" t="s">
        <v>287</v>
      </c>
      <c r="G883" s="73">
        <v>-0.86499999999999999</v>
      </c>
      <c r="H883" s="148"/>
      <c r="I883" s="148">
        <v>786</v>
      </c>
      <c r="J883" s="158">
        <v>4.2032085561497325</v>
      </c>
      <c r="K883" s="148">
        <v>2</v>
      </c>
      <c r="L883" s="148">
        <v>3</v>
      </c>
      <c r="M883" s="147">
        <v>0</v>
      </c>
      <c r="N883" s="148">
        <v>0</v>
      </c>
      <c r="O883" s="148">
        <v>0</v>
      </c>
      <c r="P883" s="148">
        <v>1</v>
      </c>
      <c r="Q883" s="149">
        <v>0</v>
      </c>
      <c r="R883" s="87">
        <v>1</v>
      </c>
      <c r="S883" s="147">
        <v>1</v>
      </c>
      <c r="T883" s="148"/>
      <c r="U883" s="147">
        <v>0</v>
      </c>
      <c r="V883" s="148">
        <v>0</v>
      </c>
      <c r="W883" s="148">
        <v>0</v>
      </c>
      <c r="X883" s="149"/>
      <c r="Y883" s="147">
        <v>1</v>
      </c>
      <c r="Z883" s="148"/>
      <c r="AA883" s="148"/>
      <c r="AB883" s="148"/>
      <c r="AC883" s="148"/>
      <c r="AD883" s="148"/>
      <c r="AE883" s="148">
        <v>21</v>
      </c>
      <c r="AF883" s="148"/>
      <c r="AG883" s="148"/>
      <c r="AH883" s="148"/>
      <c r="AI883" s="148"/>
      <c r="AJ883" s="148">
        <v>0</v>
      </c>
      <c r="AK883" s="147">
        <v>0</v>
      </c>
      <c r="AL883" s="148">
        <v>0</v>
      </c>
      <c r="AM883" s="148">
        <v>0</v>
      </c>
      <c r="AN883" s="148">
        <v>0</v>
      </c>
      <c r="AO883" s="149">
        <v>0</v>
      </c>
      <c r="AP883" s="169" t="s">
        <v>284</v>
      </c>
      <c r="AQ883" s="170" t="s">
        <v>284</v>
      </c>
      <c r="AR883" s="170" t="s">
        <v>284</v>
      </c>
      <c r="AS883" s="170" t="s">
        <v>284</v>
      </c>
      <c r="AT883" s="170" t="s">
        <v>284</v>
      </c>
      <c r="AU883" s="170" t="s">
        <v>284</v>
      </c>
      <c r="AV883" s="170" t="s">
        <v>284</v>
      </c>
      <c r="AW883" s="170" t="s">
        <v>284</v>
      </c>
      <c r="AX883" s="147">
        <v>0</v>
      </c>
      <c r="AY883" s="148">
        <v>0</v>
      </c>
      <c r="AZ883" s="148">
        <v>0</v>
      </c>
      <c r="BA883" s="148">
        <v>0</v>
      </c>
      <c r="BB883" s="149">
        <v>0</v>
      </c>
      <c r="BC883" s="87">
        <v>118</v>
      </c>
      <c r="BD883" s="148">
        <v>82.18</v>
      </c>
      <c r="BE883" s="158">
        <v>82.52</v>
      </c>
      <c r="BF883" s="148"/>
      <c r="BG883" s="148"/>
      <c r="BH883" s="148"/>
      <c r="BI883" s="148"/>
      <c r="BJ883" s="148"/>
      <c r="BK883" s="148"/>
      <c r="BL883" s="148"/>
      <c r="BM883" s="148"/>
      <c r="BN883" s="148"/>
      <c r="BO883" s="148"/>
      <c r="BP883" s="148"/>
      <c r="BQ883" s="148"/>
      <c r="BR883" s="148"/>
      <c r="BS883" s="149"/>
      <c r="BT883" s="147">
        <v>81.290000000000006</v>
      </c>
      <c r="BU883" s="148"/>
      <c r="BV883" s="148"/>
      <c r="BW883" s="148"/>
      <c r="BX883" s="148"/>
      <c r="BY883" s="148"/>
      <c r="BZ883" s="148"/>
      <c r="CA883" s="148"/>
      <c r="CB883" s="148"/>
      <c r="CC883" s="148"/>
      <c r="CD883" s="148"/>
      <c r="CE883" s="147"/>
      <c r="CF883" s="148"/>
      <c r="CG883" s="148"/>
      <c r="CH883" s="148"/>
      <c r="CI883" s="148"/>
      <c r="CJ883" s="148"/>
      <c r="CK883" s="149"/>
      <c r="CL883" s="147">
        <v>69.78</v>
      </c>
      <c r="CM883" s="148"/>
      <c r="CN883" s="148"/>
      <c r="CO883" s="149"/>
      <c r="CP883" s="147"/>
      <c r="CQ883" s="148"/>
      <c r="CR883" s="149"/>
      <c r="CS883" s="147"/>
      <c r="CT883" s="148"/>
      <c r="CU883" s="148"/>
      <c r="CV883" s="148"/>
      <c r="CW883" s="148"/>
      <c r="CX883" s="148"/>
      <c r="CY883" s="147"/>
      <c r="CZ883" s="148"/>
      <c r="DA883" s="148"/>
      <c r="DB883" s="148"/>
      <c r="DC883" s="148"/>
      <c r="DD883" s="148"/>
      <c r="DE883" s="148"/>
      <c r="DF883" s="148"/>
      <c r="DG883" s="149"/>
      <c r="DH883" s="147"/>
      <c r="DI883" s="148"/>
      <c r="DJ883" s="148"/>
      <c r="DK883" s="148"/>
      <c r="DL883" s="148"/>
      <c r="DM883" s="148"/>
      <c r="DN883" s="148"/>
      <c r="DO883" s="148"/>
      <c r="DP883" s="148"/>
      <c r="DQ883" s="147">
        <v>78.59</v>
      </c>
      <c r="DR883" s="148">
        <v>74.84</v>
      </c>
      <c r="DS883" s="148"/>
      <c r="DT883" s="148"/>
      <c r="DU883" s="148"/>
      <c r="DV883" s="148"/>
      <c r="DW883" s="148"/>
      <c r="DX883" s="148"/>
      <c r="DY883" s="148"/>
      <c r="DZ883" s="148"/>
      <c r="EA883" s="148"/>
      <c r="EB883" s="148"/>
      <c r="EC883" s="148"/>
      <c r="ED883" s="148"/>
      <c r="EE883" s="149"/>
      <c r="EF883" s="147"/>
      <c r="EG883" s="148"/>
      <c r="EH883" s="148"/>
      <c r="EI883" s="147"/>
      <c r="EJ883" s="148"/>
      <c r="EK883" s="149"/>
      <c r="EL883" s="147"/>
      <c r="EM883" s="148"/>
      <c r="EN883" s="148"/>
      <c r="EO883" s="149"/>
      <c r="EP883" s="147"/>
      <c r="EQ883" s="149"/>
      <c r="ER883" s="147"/>
      <c r="ES883" s="149"/>
      <c r="ET883" s="147"/>
      <c r="EU883" s="149"/>
    </row>
    <row r="884" spans="1:151">
      <c r="A884" s="42" t="s">
        <v>320</v>
      </c>
      <c r="B884" s="173" t="s">
        <v>527</v>
      </c>
      <c r="C884" s="42" t="s">
        <v>525</v>
      </c>
      <c r="D884" s="83" t="s">
        <v>262</v>
      </c>
      <c r="E884" s="49" t="s">
        <v>263</v>
      </c>
      <c r="F884" s="49" t="s">
        <v>287</v>
      </c>
      <c r="G884" s="60">
        <v>-0.86499999999999999</v>
      </c>
      <c r="I884" s="49">
        <v>705</v>
      </c>
      <c r="J884" s="159">
        <v>5.7317073170731705</v>
      </c>
      <c r="K884" s="49">
        <v>1</v>
      </c>
      <c r="L884" s="49">
        <v>1</v>
      </c>
      <c r="M884" s="83">
        <v>1</v>
      </c>
      <c r="N884" s="49">
        <v>0</v>
      </c>
      <c r="O884" s="49">
        <v>0</v>
      </c>
      <c r="P884" s="49">
        <v>0</v>
      </c>
      <c r="Q884" s="58">
        <v>0</v>
      </c>
      <c r="R884" s="42">
        <v>1</v>
      </c>
      <c r="S884" s="83">
        <v>1</v>
      </c>
      <c r="U884" s="83">
        <v>0</v>
      </c>
      <c r="V884" s="49">
        <v>0</v>
      </c>
      <c r="W884" s="49">
        <v>0</v>
      </c>
      <c r="X884" s="58"/>
      <c r="Y884" s="83">
        <v>0</v>
      </c>
      <c r="AJ884" s="49">
        <v>0</v>
      </c>
      <c r="AK884" s="83">
        <v>0</v>
      </c>
      <c r="AL884" s="49">
        <v>0</v>
      </c>
      <c r="AM884" s="49">
        <v>0</v>
      </c>
      <c r="AN884" s="49">
        <v>0</v>
      </c>
      <c r="AO884" s="58">
        <v>0</v>
      </c>
      <c r="AP884" s="174" t="s">
        <v>284</v>
      </c>
      <c r="AQ884" s="175" t="s">
        <v>284</v>
      </c>
      <c r="AR884" s="175" t="s">
        <v>284</v>
      </c>
      <c r="AS884" s="175" t="s">
        <v>284</v>
      </c>
      <c r="AT884" s="175" t="s">
        <v>284</v>
      </c>
      <c r="AU884" s="175" t="s">
        <v>284</v>
      </c>
      <c r="AV884" s="175" t="s">
        <v>284</v>
      </c>
      <c r="AW884" s="175" t="s">
        <v>284</v>
      </c>
      <c r="AX884" s="83">
        <v>0</v>
      </c>
      <c r="AY884" s="49">
        <v>0</v>
      </c>
      <c r="AZ884" s="49">
        <v>0</v>
      </c>
      <c r="BA884" s="49">
        <v>0</v>
      </c>
      <c r="BB884" s="58">
        <v>0</v>
      </c>
      <c r="BC884" s="42">
        <v>139</v>
      </c>
      <c r="BS884" s="58"/>
      <c r="BT884" s="83"/>
      <c r="CE884" s="83"/>
      <c r="CK884" s="58"/>
      <c r="CL884" s="83"/>
      <c r="CO884" s="58"/>
      <c r="CP884" s="83"/>
      <c r="CR884" s="58"/>
      <c r="CS884" s="83"/>
      <c r="CY884" s="83"/>
      <c r="DG884" s="58"/>
      <c r="DH884" s="83"/>
      <c r="DQ884" s="83"/>
      <c r="EE884" s="58"/>
      <c r="EF884" s="83"/>
      <c r="EI884" s="83"/>
      <c r="EK884" s="58"/>
      <c r="EL884" s="83"/>
      <c r="EO884" s="58"/>
      <c r="EP884" s="83"/>
      <c r="EQ884" s="58"/>
      <c r="ER884" s="83"/>
      <c r="ES884" s="58"/>
      <c r="ET884" s="83"/>
      <c r="EU884" s="58"/>
    </row>
    <row r="885" spans="1:151">
      <c r="A885" s="42" t="s">
        <v>320</v>
      </c>
      <c r="B885" s="173" t="s">
        <v>527</v>
      </c>
      <c r="C885" s="42" t="s">
        <v>525</v>
      </c>
      <c r="D885" s="83" t="s">
        <v>262</v>
      </c>
      <c r="E885" s="49" t="s">
        <v>264</v>
      </c>
      <c r="F885" s="49" t="s">
        <v>286</v>
      </c>
      <c r="G885" s="60">
        <v>-0.86499999999999999</v>
      </c>
      <c r="I885" s="49">
        <v>1386</v>
      </c>
      <c r="J885" s="159">
        <v>4.985611510791367</v>
      </c>
      <c r="K885" s="49">
        <v>1</v>
      </c>
      <c r="L885" s="49">
        <v>3</v>
      </c>
      <c r="M885" s="83">
        <v>0</v>
      </c>
      <c r="N885" s="49">
        <v>0</v>
      </c>
      <c r="O885" s="49">
        <v>0</v>
      </c>
      <c r="P885" s="49">
        <v>0</v>
      </c>
      <c r="Q885" s="58">
        <v>0</v>
      </c>
      <c r="R885" s="42">
        <v>0</v>
      </c>
      <c r="S885" s="83">
        <v>1</v>
      </c>
      <c r="U885" s="83">
        <v>0</v>
      </c>
      <c r="V885" s="49">
        <v>0</v>
      </c>
      <c r="W885" s="49">
        <v>0</v>
      </c>
      <c r="X885" s="58"/>
      <c r="Y885" s="83">
        <v>0</v>
      </c>
      <c r="AJ885" s="49">
        <v>0</v>
      </c>
      <c r="AK885" s="83">
        <v>0</v>
      </c>
      <c r="AL885" s="49">
        <v>1</v>
      </c>
      <c r="AM885" s="49">
        <v>0</v>
      </c>
      <c r="AN885" s="49">
        <v>0</v>
      </c>
      <c r="AO885" s="58">
        <v>0</v>
      </c>
      <c r="AP885" s="174">
        <v>334</v>
      </c>
      <c r="AQ885" s="175">
        <v>464</v>
      </c>
      <c r="AR885" s="175" t="s">
        <v>284</v>
      </c>
      <c r="AS885" s="175" t="s">
        <v>284</v>
      </c>
      <c r="AT885" s="175" t="s">
        <v>284</v>
      </c>
      <c r="AU885" s="175" t="s">
        <v>284</v>
      </c>
      <c r="AV885" s="175" t="s">
        <v>284</v>
      </c>
      <c r="AW885" s="175" t="s">
        <v>284</v>
      </c>
      <c r="AX885" s="83">
        <v>0</v>
      </c>
      <c r="AY885" s="49">
        <v>0</v>
      </c>
      <c r="AZ885" s="49">
        <v>0</v>
      </c>
      <c r="BA885" s="49">
        <v>0</v>
      </c>
      <c r="BB885" s="58">
        <v>0</v>
      </c>
      <c r="BC885" s="42">
        <v>139</v>
      </c>
      <c r="BS885" s="58"/>
      <c r="BT885" s="83"/>
      <c r="CE885" s="83"/>
      <c r="CK885" s="58"/>
      <c r="CL885" s="83"/>
      <c r="CO885" s="58"/>
      <c r="CP885" s="83"/>
      <c r="CR885" s="58"/>
      <c r="CS885" s="83"/>
      <c r="CY885" s="83"/>
      <c r="DG885" s="58"/>
      <c r="DH885" s="83"/>
      <c r="DQ885" s="83"/>
      <c r="EE885" s="58"/>
      <c r="EF885" s="83"/>
      <c r="EI885" s="83"/>
      <c r="EK885" s="58"/>
      <c r="EL885" s="83"/>
      <c r="EO885" s="58"/>
      <c r="EP885" s="83"/>
      <c r="EQ885" s="58"/>
      <c r="ER885" s="83"/>
      <c r="ES885" s="58"/>
      <c r="ET885" s="83"/>
      <c r="EU885" s="58"/>
    </row>
    <row r="886" spans="1:151">
      <c r="A886" s="42" t="s">
        <v>320</v>
      </c>
      <c r="B886" s="173" t="s">
        <v>527</v>
      </c>
      <c r="C886" s="42" t="s">
        <v>525</v>
      </c>
      <c r="D886" s="83" t="s">
        <v>66</v>
      </c>
      <c r="F886" s="49" t="s">
        <v>287</v>
      </c>
      <c r="G886" s="60">
        <v>-0.86499999999999999</v>
      </c>
      <c r="I886" s="49">
        <v>739</v>
      </c>
      <c r="J886" s="159">
        <v>2.5482758620689654</v>
      </c>
      <c r="K886" s="49">
        <v>4</v>
      </c>
      <c r="L886" s="49">
        <v>3</v>
      </c>
      <c r="M886" s="83">
        <v>0</v>
      </c>
      <c r="N886" s="49">
        <v>1</v>
      </c>
      <c r="O886" s="49">
        <v>0</v>
      </c>
      <c r="P886" s="49">
        <v>0</v>
      </c>
      <c r="Q886" s="58">
        <v>0</v>
      </c>
      <c r="R886" s="42">
        <v>1</v>
      </c>
      <c r="S886" s="83">
        <v>1</v>
      </c>
      <c r="U886" s="83">
        <v>1</v>
      </c>
      <c r="V886" s="49">
        <v>4</v>
      </c>
      <c r="W886" s="49">
        <v>2</v>
      </c>
      <c r="X886" s="58"/>
      <c r="Y886" s="83">
        <v>7</v>
      </c>
      <c r="AD886" s="49">
        <v>10</v>
      </c>
      <c r="AE886" s="49">
        <v>175</v>
      </c>
      <c r="AF886" s="49">
        <v>6</v>
      </c>
      <c r="AG886" s="49">
        <v>30</v>
      </c>
      <c r="AJ886" s="49">
        <v>0</v>
      </c>
      <c r="AK886" s="83">
        <v>0</v>
      </c>
      <c r="AL886" s="49">
        <v>0</v>
      </c>
      <c r="AM886" s="49">
        <v>0</v>
      </c>
      <c r="AN886" s="49">
        <v>0</v>
      </c>
      <c r="AO886" s="58">
        <v>0</v>
      </c>
      <c r="AP886" s="174" t="s">
        <v>284</v>
      </c>
      <c r="AQ886" s="175" t="s">
        <v>284</v>
      </c>
      <c r="AR886" s="175" t="s">
        <v>284</v>
      </c>
      <c r="AS886" s="175" t="s">
        <v>284</v>
      </c>
      <c r="AT886" s="175" t="s">
        <v>284</v>
      </c>
      <c r="AU886" s="175" t="s">
        <v>284</v>
      </c>
      <c r="AV886" s="175" t="s">
        <v>284</v>
      </c>
      <c r="AW886" s="175" t="s">
        <v>284</v>
      </c>
      <c r="AX886" s="83">
        <v>0</v>
      </c>
      <c r="AY886" s="49">
        <v>0</v>
      </c>
      <c r="AZ886" s="49">
        <v>0</v>
      </c>
      <c r="BA886" s="49">
        <v>0</v>
      </c>
      <c r="BB886" s="58">
        <v>0</v>
      </c>
      <c r="BC886" s="42">
        <v>117</v>
      </c>
      <c r="BD886" s="49">
        <v>81.44</v>
      </c>
      <c r="BS886" s="58"/>
      <c r="BT886" s="83"/>
      <c r="CE886" s="83"/>
      <c r="CK886" s="58"/>
      <c r="CL886" s="83">
        <v>67.28</v>
      </c>
      <c r="CO886" s="58"/>
      <c r="CP886" s="83">
        <v>60.94</v>
      </c>
      <c r="CR886" s="58"/>
      <c r="CS886" s="83"/>
      <c r="CY886" s="83"/>
      <c r="DG886" s="58"/>
      <c r="DH886" s="83"/>
      <c r="DQ886" s="83"/>
      <c r="EE886" s="58"/>
      <c r="EF886" s="83"/>
      <c r="EI886" s="83"/>
      <c r="EK886" s="58"/>
      <c r="EL886" s="83"/>
      <c r="EO886" s="58"/>
      <c r="EP886" s="83"/>
      <c r="EQ886" s="58"/>
      <c r="ER886" s="83"/>
      <c r="ES886" s="58"/>
      <c r="ET886" s="83"/>
      <c r="EU886" s="58"/>
    </row>
    <row r="887" spans="1:151">
      <c r="A887" s="42" t="s">
        <v>320</v>
      </c>
      <c r="B887" s="173" t="s">
        <v>527</v>
      </c>
      <c r="C887" s="42" t="s">
        <v>525</v>
      </c>
      <c r="D887" s="83" t="s">
        <v>67</v>
      </c>
      <c r="F887" s="49" t="s">
        <v>286</v>
      </c>
      <c r="G887" s="60">
        <v>-0.86499999999999999</v>
      </c>
      <c r="I887" s="49">
        <v>2675</v>
      </c>
      <c r="J887" s="159">
        <v>1.720257234726688</v>
      </c>
      <c r="K887" s="49">
        <v>4</v>
      </c>
      <c r="L887" s="49">
        <v>3</v>
      </c>
      <c r="M887" s="83">
        <v>0</v>
      </c>
      <c r="N887" s="49">
        <v>3</v>
      </c>
      <c r="O887" s="49">
        <v>0</v>
      </c>
      <c r="P887" s="49">
        <v>1</v>
      </c>
      <c r="Q887" s="58">
        <v>0</v>
      </c>
      <c r="R887" s="42">
        <v>4</v>
      </c>
      <c r="S887" s="83">
        <v>1</v>
      </c>
      <c r="U887" s="83">
        <v>1</v>
      </c>
      <c r="V887" s="49">
        <v>3</v>
      </c>
      <c r="W887" s="49">
        <v>2</v>
      </c>
      <c r="X887" s="58"/>
      <c r="Y887" s="83">
        <v>10</v>
      </c>
      <c r="AD887" s="49">
        <v>12</v>
      </c>
      <c r="AE887" s="49">
        <v>222</v>
      </c>
      <c r="AH887" s="49">
        <v>12</v>
      </c>
      <c r="AI887" s="49">
        <v>716</v>
      </c>
      <c r="AJ887" s="49">
        <v>0</v>
      </c>
      <c r="AK887" s="83">
        <v>0</v>
      </c>
      <c r="AL887" s="49">
        <v>1</v>
      </c>
      <c r="AM887" s="49">
        <v>0</v>
      </c>
      <c r="AN887" s="49">
        <v>0</v>
      </c>
      <c r="AO887" s="58">
        <v>0</v>
      </c>
      <c r="AP887" s="174">
        <v>186</v>
      </c>
      <c r="AQ887" s="175">
        <v>802</v>
      </c>
      <c r="AR887" s="175">
        <v>0</v>
      </c>
      <c r="AS887" s="175">
        <v>0</v>
      </c>
      <c r="AT887" s="175">
        <v>0</v>
      </c>
      <c r="AU887" s="175">
        <v>0</v>
      </c>
      <c r="AV887" s="175">
        <v>0</v>
      </c>
      <c r="AW887" s="175">
        <v>0</v>
      </c>
      <c r="AX887" s="83">
        <v>0</v>
      </c>
      <c r="AY887" s="49">
        <v>0</v>
      </c>
      <c r="AZ887" s="49">
        <v>0</v>
      </c>
      <c r="BA887" s="49">
        <v>0</v>
      </c>
      <c r="BB887" s="58">
        <v>0</v>
      </c>
      <c r="BC887" s="42">
        <v>147</v>
      </c>
      <c r="BD887" s="49">
        <v>66.27</v>
      </c>
      <c r="BS887" s="58"/>
      <c r="BT887" s="83">
        <v>67.39</v>
      </c>
      <c r="CE887" s="83">
        <v>66.319999999999993</v>
      </c>
      <c r="CK887" s="58"/>
      <c r="CL887" s="83">
        <v>54.71</v>
      </c>
      <c r="CO887" s="58"/>
      <c r="CP887" s="83"/>
      <c r="CR887" s="58"/>
      <c r="CS887" s="83"/>
      <c r="CY887" s="83"/>
      <c r="DG887" s="58"/>
      <c r="DH887" s="83"/>
      <c r="DQ887" s="83"/>
      <c r="EE887" s="58"/>
      <c r="EF887" s="83"/>
      <c r="EI887" s="83"/>
      <c r="EK887" s="58"/>
      <c r="EL887" s="83"/>
      <c r="EO887" s="58"/>
      <c r="EP887" s="83"/>
      <c r="EQ887" s="58"/>
      <c r="ER887" s="83"/>
      <c r="ES887" s="58"/>
      <c r="ET887" s="83"/>
      <c r="EU887" s="58"/>
    </row>
    <row r="888" spans="1:151">
      <c r="A888" s="42" t="s">
        <v>320</v>
      </c>
      <c r="B888" s="173" t="s">
        <v>527</v>
      </c>
      <c r="C888" s="42" t="s">
        <v>525</v>
      </c>
      <c r="D888" s="83" t="s">
        <v>68</v>
      </c>
      <c r="F888" s="49" t="s">
        <v>286</v>
      </c>
      <c r="G888" s="60">
        <v>-0.86499999999999999</v>
      </c>
      <c r="I888" s="49">
        <v>1122</v>
      </c>
      <c r="J888" s="159">
        <v>1.1910828025477707</v>
      </c>
      <c r="K888" s="49">
        <v>4</v>
      </c>
      <c r="L888" s="49">
        <v>3</v>
      </c>
      <c r="M888" s="83">
        <v>0</v>
      </c>
      <c r="N888" s="49">
        <v>4</v>
      </c>
      <c r="O888" s="49">
        <v>0</v>
      </c>
      <c r="P888" s="49">
        <v>0</v>
      </c>
      <c r="Q888" s="58">
        <v>0</v>
      </c>
      <c r="R888" s="42">
        <v>4</v>
      </c>
      <c r="S888" s="83">
        <v>1</v>
      </c>
      <c r="U888" s="83">
        <v>1</v>
      </c>
      <c r="V888" s="49">
        <v>4</v>
      </c>
      <c r="W888" s="49">
        <v>2</v>
      </c>
      <c r="X888" s="58"/>
      <c r="Y888" s="83">
        <v>3</v>
      </c>
      <c r="Z888" s="49">
        <v>4</v>
      </c>
      <c r="AA888" s="49">
        <v>9</v>
      </c>
      <c r="AD888" s="49">
        <v>8</v>
      </c>
      <c r="AE888" s="49">
        <v>228</v>
      </c>
      <c r="AG888" s="49">
        <v>62</v>
      </c>
      <c r="AJ888" s="49">
        <v>0</v>
      </c>
      <c r="AK888" s="83">
        <v>0</v>
      </c>
      <c r="AL888" s="49">
        <v>1</v>
      </c>
      <c r="AM888" s="49">
        <v>1</v>
      </c>
      <c r="AN888" s="49">
        <v>0</v>
      </c>
      <c r="AO888" s="58">
        <v>0</v>
      </c>
      <c r="AP888" s="174">
        <v>0</v>
      </c>
      <c r="AQ888" s="175">
        <v>329</v>
      </c>
      <c r="AR888" s="175">
        <v>0</v>
      </c>
      <c r="AS888" s="175">
        <v>120</v>
      </c>
      <c r="AT888" s="175">
        <v>0</v>
      </c>
      <c r="AU888" s="175">
        <v>0</v>
      </c>
      <c r="AV888" s="175">
        <v>0</v>
      </c>
      <c r="AW888" s="175">
        <v>0</v>
      </c>
      <c r="AX888" s="83">
        <v>0</v>
      </c>
      <c r="AY888" s="49">
        <v>0</v>
      </c>
      <c r="AZ888" s="49">
        <v>0</v>
      </c>
      <c r="BA888" s="49">
        <v>0</v>
      </c>
      <c r="BB888" s="58">
        <v>0</v>
      </c>
      <c r="BC888" s="42">
        <v>120</v>
      </c>
      <c r="BS888" s="58"/>
      <c r="BT888" s="83">
        <v>78.930000000000007</v>
      </c>
      <c r="CE888" s="83"/>
      <c r="CK888" s="58"/>
      <c r="CL888" s="83">
        <v>67.78</v>
      </c>
      <c r="CO888" s="58"/>
      <c r="CP888" s="83"/>
      <c r="CR888" s="58"/>
      <c r="CS888" s="83"/>
      <c r="CY888" s="83">
        <v>77.47</v>
      </c>
      <c r="DG888" s="58"/>
      <c r="DH888" s="83"/>
      <c r="DQ888" s="83"/>
      <c r="EE888" s="58"/>
      <c r="EF888" s="83"/>
      <c r="EI888" s="83"/>
      <c r="EK888" s="58"/>
      <c r="EL888" s="83"/>
      <c r="EO888" s="58"/>
      <c r="EP888" s="83"/>
      <c r="EQ888" s="58"/>
      <c r="ER888" s="83"/>
      <c r="ES888" s="58"/>
      <c r="ET888" s="83"/>
      <c r="EU888" s="58"/>
    </row>
    <row r="889" spans="1:151">
      <c r="A889" s="42" t="s">
        <v>320</v>
      </c>
      <c r="B889" s="173" t="s">
        <v>527</v>
      </c>
      <c r="C889" s="42" t="s">
        <v>525</v>
      </c>
      <c r="D889" s="83" t="s">
        <v>69</v>
      </c>
      <c r="F889" s="49" t="s">
        <v>286</v>
      </c>
      <c r="G889" s="60">
        <v>-0.86499999999999999</v>
      </c>
      <c r="I889" s="49">
        <v>1510</v>
      </c>
      <c r="J889" s="159">
        <v>1.6149732620320856</v>
      </c>
      <c r="K889" s="49">
        <v>4</v>
      </c>
      <c r="L889" s="49">
        <v>4</v>
      </c>
      <c r="M889" s="83">
        <v>0</v>
      </c>
      <c r="N889" s="49">
        <v>2</v>
      </c>
      <c r="O889" s="49">
        <v>1</v>
      </c>
      <c r="P889" s="49">
        <v>1</v>
      </c>
      <c r="Q889" s="58">
        <v>0</v>
      </c>
      <c r="R889" s="42">
        <v>4</v>
      </c>
      <c r="S889" s="83" t="s">
        <v>283</v>
      </c>
      <c r="U889" s="83">
        <v>2</v>
      </c>
      <c r="V889" s="49">
        <v>3</v>
      </c>
      <c r="W889" s="49">
        <v>3</v>
      </c>
      <c r="X889" s="58">
        <v>1</v>
      </c>
      <c r="Y889" s="83">
        <v>5</v>
      </c>
      <c r="Z889" s="49">
        <v>4</v>
      </c>
      <c r="AA889" s="49">
        <v>19</v>
      </c>
      <c r="AD889" s="49">
        <v>4</v>
      </c>
      <c r="AE889" s="49">
        <v>42</v>
      </c>
      <c r="AF889" s="49">
        <v>8</v>
      </c>
      <c r="AG889" s="49">
        <v>163</v>
      </c>
      <c r="AJ889" s="49">
        <v>0</v>
      </c>
      <c r="AK889" s="83">
        <v>0</v>
      </c>
      <c r="AL889" s="49">
        <v>0</v>
      </c>
      <c r="AM889" s="49">
        <v>0</v>
      </c>
      <c r="AN889" s="49">
        <v>0</v>
      </c>
      <c r="AO889" s="58">
        <v>0</v>
      </c>
      <c r="AP889" s="174" t="s">
        <v>284</v>
      </c>
      <c r="AQ889" s="175" t="s">
        <v>284</v>
      </c>
      <c r="AR889" s="175" t="s">
        <v>284</v>
      </c>
      <c r="AS889" s="175" t="s">
        <v>284</v>
      </c>
      <c r="AT889" s="175" t="s">
        <v>284</v>
      </c>
      <c r="AU889" s="175" t="s">
        <v>284</v>
      </c>
      <c r="AV889" s="175" t="s">
        <v>284</v>
      </c>
      <c r="AW889" s="175" t="s">
        <v>284</v>
      </c>
      <c r="AX889" s="83">
        <v>0</v>
      </c>
      <c r="AY889" s="49">
        <v>0</v>
      </c>
      <c r="AZ889" s="49">
        <v>0</v>
      </c>
      <c r="BA889" s="49">
        <v>0</v>
      </c>
      <c r="BB889" s="58">
        <v>0</v>
      </c>
      <c r="BC889" s="42">
        <v>103</v>
      </c>
      <c r="BS889" s="58"/>
      <c r="BT889" s="83"/>
      <c r="CE889" s="83"/>
      <c r="CK889" s="58"/>
      <c r="CL889" s="83"/>
      <c r="CO889" s="58"/>
      <c r="CP889" s="83"/>
      <c r="CR889" s="58"/>
      <c r="CS889" s="83"/>
      <c r="CY889" s="83"/>
      <c r="DG889" s="58"/>
      <c r="DH889" s="83"/>
      <c r="DQ889" s="83"/>
      <c r="EE889" s="58"/>
      <c r="EF889" s="83"/>
      <c r="EI889" s="83"/>
      <c r="EK889" s="58"/>
      <c r="EL889" s="83"/>
      <c r="EO889" s="58"/>
      <c r="EP889" s="83"/>
      <c r="EQ889" s="58"/>
      <c r="ER889" s="83"/>
      <c r="ES889" s="58"/>
      <c r="ET889" s="83"/>
      <c r="EU889" s="58"/>
    </row>
    <row r="890" spans="1:151">
      <c r="A890" s="42" t="s">
        <v>320</v>
      </c>
      <c r="B890" s="173" t="s">
        <v>527</v>
      </c>
      <c r="C890" s="42" t="s">
        <v>525</v>
      </c>
      <c r="D890" s="83" t="s">
        <v>74</v>
      </c>
      <c r="F890" s="49" t="s">
        <v>287</v>
      </c>
      <c r="G890" s="60">
        <v>-0.86499999999999999</v>
      </c>
      <c r="I890" s="49">
        <v>788</v>
      </c>
      <c r="J890" s="159">
        <v>10.102564102564102</v>
      </c>
      <c r="K890" s="49">
        <v>3</v>
      </c>
      <c r="L890" s="49">
        <v>2</v>
      </c>
      <c r="M890" s="83">
        <v>1</v>
      </c>
      <c r="N890" s="49">
        <v>0</v>
      </c>
      <c r="O890" s="49">
        <v>0</v>
      </c>
      <c r="P890" s="49">
        <v>0</v>
      </c>
      <c r="Q890" s="58">
        <v>0</v>
      </c>
      <c r="R890" s="42">
        <v>1</v>
      </c>
      <c r="S890" s="83">
        <v>1</v>
      </c>
      <c r="U890" s="83">
        <v>0</v>
      </c>
      <c r="V890" s="49">
        <v>0</v>
      </c>
      <c r="W890" s="49">
        <v>0</v>
      </c>
      <c r="X890" s="58"/>
      <c r="Y890" s="83">
        <v>2</v>
      </c>
      <c r="AE890" s="49">
        <v>491</v>
      </c>
      <c r="AJ890" s="49">
        <v>0</v>
      </c>
      <c r="AK890" s="83">
        <v>0</v>
      </c>
      <c r="AL890" s="49">
        <v>0</v>
      </c>
      <c r="AM890" s="49">
        <v>1</v>
      </c>
      <c r="AN890" s="49">
        <v>0</v>
      </c>
      <c r="AO890" s="58">
        <v>0</v>
      </c>
      <c r="AP890" s="174" t="s">
        <v>284</v>
      </c>
      <c r="AQ890" s="175" t="s">
        <v>284</v>
      </c>
      <c r="AR890" s="175" t="s">
        <v>501</v>
      </c>
      <c r="AS890" s="175" t="s">
        <v>501</v>
      </c>
      <c r="AT890" s="175" t="s">
        <v>284</v>
      </c>
      <c r="AU890" s="175" t="s">
        <v>284</v>
      </c>
      <c r="AV890" s="175" t="s">
        <v>284</v>
      </c>
      <c r="AW890" s="175" t="s">
        <v>284</v>
      </c>
      <c r="AX890" s="83">
        <v>0</v>
      </c>
      <c r="AY890" s="49">
        <v>0</v>
      </c>
      <c r="AZ890" s="49">
        <v>0</v>
      </c>
      <c r="BA890" s="49">
        <v>0</v>
      </c>
      <c r="BB890" s="58">
        <v>0</v>
      </c>
      <c r="BC890" s="42">
        <v>107</v>
      </c>
      <c r="BS890" s="58"/>
      <c r="BT890" s="83">
        <v>65.75</v>
      </c>
      <c r="BU890" s="49">
        <v>65.349999999999994</v>
      </c>
      <c r="CE890" s="83"/>
      <c r="CK890" s="58"/>
      <c r="CL890" s="83">
        <v>62.47</v>
      </c>
      <c r="CO890" s="58"/>
      <c r="CP890" s="83"/>
      <c r="CR890" s="58"/>
      <c r="CS890" s="83"/>
      <c r="CY890" s="83"/>
      <c r="DG890" s="58"/>
      <c r="DH890" s="83"/>
      <c r="DQ890" s="83"/>
      <c r="EE890" s="58"/>
      <c r="EF890" s="83"/>
      <c r="EI890" s="83"/>
      <c r="EK890" s="58"/>
      <c r="EL890" s="83"/>
      <c r="EO890" s="58"/>
      <c r="EP890" s="83"/>
      <c r="EQ890" s="58"/>
      <c r="ER890" s="83"/>
      <c r="ES890" s="58"/>
      <c r="ET890" s="83"/>
      <c r="EU890" s="58"/>
    </row>
    <row r="891" spans="1:151" ht="17" thickBot="1">
      <c r="A891" s="55" t="s">
        <v>320</v>
      </c>
      <c r="B891" s="47" t="s">
        <v>528</v>
      </c>
      <c r="C891" s="55" t="s">
        <v>525</v>
      </c>
      <c r="D891" s="84" t="s">
        <v>66</v>
      </c>
      <c r="E891" s="57"/>
      <c r="F891" s="57" t="s">
        <v>286</v>
      </c>
      <c r="G891" s="74">
        <v>-0.86499999999999999</v>
      </c>
      <c r="H891" s="57"/>
      <c r="I891" s="57">
        <v>1326</v>
      </c>
      <c r="J891" s="75">
        <v>2.7396694214876032</v>
      </c>
      <c r="K891" s="57">
        <v>4</v>
      </c>
      <c r="L891" s="57">
        <v>4</v>
      </c>
      <c r="M891" s="84">
        <v>0</v>
      </c>
      <c r="N891" s="57">
        <v>2</v>
      </c>
      <c r="O891" s="57">
        <v>0</v>
      </c>
      <c r="P891" s="57">
        <v>0</v>
      </c>
      <c r="Q891" s="56">
        <v>0</v>
      </c>
      <c r="R891" s="55">
        <v>2</v>
      </c>
      <c r="S891" s="84" t="s">
        <v>283</v>
      </c>
      <c r="T891" s="57"/>
      <c r="U891" s="84">
        <v>1</v>
      </c>
      <c r="V891" s="57">
        <v>3</v>
      </c>
      <c r="W891" s="57">
        <v>2</v>
      </c>
      <c r="X891" s="56"/>
      <c r="Y891" s="84">
        <v>2</v>
      </c>
      <c r="Z891" s="57"/>
      <c r="AA891" s="57">
        <v>29</v>
      </c>
      <c r="AB891" s="57"/>
      <c r="AC891" s="57"/>
      <c r="AD891" s="57">
        <v>5</v>
      </c>
      <c r="AE891" s="57">
        <v>53</v>
      </c>
      <c r="AF891" s="57"/>
      <c r="AG891" s="57"/>
      <c r="AH891" s="57"/>
      <c r="AI891" s="57"/>
      <c r="AJ891" s="57">
        <v>0</v>
      </c>
      <c r="AK891" s="84">
        <v>0</v>
      </c>
      <c r="AL891" s="57">
        <v>0</v>
      </c>
      <c r="AM891" s="57">
        <v>0</v>
      </c>
      <c r="AN891" s="57">
        <v>0</v>
      </c>
      <c r="AO891" s="56">
        <v>0</v>
      </c>
      <c r="AP891" s="178" t="s">
        <v>284</v>
      </c>
      <c r="AQ891" s="179" t="s">
        <v>284</v>
      </c>
      <c r="AR891" s="179" t="s">
        <v>284</v>
      </c>
      <c r="AS891" s="179" t="s">
        <v>284</v>
      </c>
      <c r="AT891" s="179" t="s">
        <v>284</v>
      </c>
      <c r="AU891" s="179" t="s">
        <v>284</v>
      </c>
      <c r="AV891" s="179" t="s">
        <v>284</v>
      </c>
      <c r="AW891" s="179" t="s">
        <v>284</v>
      </c>
      <c r="AX891" s="84">
        <v>0</v>
      </c>
      <c r="AY891" s="57">
        <v>0</v>
      </c>
      <c r="AZ891" s="57">
        <v>0</v>
      </c>
      <c r="BA891" s="57">
        <v>0</v>
      </c>
      <c r="BB891" s="56">
        <v>0</v>
      </c>
      <c r="BC891" s="55">
        <v>113</v>
      </c>
      <c r="BD891" s="57"/>
      <c r="BE891" s="75"/>
      <c r="BF891" s="57"/>
      <c r="BG891" s="57"/>
      <c r="BH891" s="57"/>
      <c r="BI891" s="57"/>
      <c r="BJ891" s="57"/>
      <c r="BK891" s="57"/>
      <c r="BL891" s="57"/>
      <c r="BM891" s="57"/>
      <c r="BN891" s="57"/>
      <c r="BO891" s="57"/>
      <c r="BP891" s="57"/>
      <c r="BQ891" s="57"/>
      <c r="BR891" s="57"/>
      <c r="BS891" s="56"/>
      <c r="BT891" s="84"/>
      <c r="BU891" s="57"/>
      <c r="BV891" s="57"/>
      <c r="BW891" s="57"/>
      <c r="BX891" s="57"/>
      <c r="BY891" s="57"/>
      <c r="BZ891" s="57"/>
      <c r="CA891" s="57"/>
      <c r="CB891" s="57"/>
      <c r="CC891" s="57"/>
      <c r="CD891" s="57"/>
      <c r="CE891" s="84"/>
      <c r="CF891" s="57"/>
      <c r="CG891" s="57"/>
      <c r="CH891" s="57"/>
      <c r="CI891" s="57"/>
      <c r="CJ891" s="57"/>
      <c r="CK891" s="56"/>
      <c r="CL891" s="84"/>
      <c r="CM891" s="57"/>
      <c r="CN891" s="57"/>
      <c r="CO891" s="56"/>
      <c r="CP891" s="84"/>
      <c r="CQ891" s="57"/>
      <c r="CR891" s="56"/>
      <c r="CS891" s="84"/>
      <c r="CT891" s="57"/>
      <c r="CU891" s="57"/>
      <c r="CV891" s="57"/>
      <c r="CW891" s="57"/>
      <c r="CX891" s="57"/>
      <c r="CY891" s="84"/>
      <c r="CZ891" s="57"/>
      <c r="DA891" s="57"/>
      <c r="DB891" s="57"/>
      <c r="DC891" s="57"/>
      <c r="DD891" s="57"/>
      <c r="DE891" s="57"/>
      <c r="DF891" s="57"/>
      <c r="DG891" s="56"/>
      <c r="DH891" s="84"/>
      <c r="DI891" s="57"/>
      <c r="DJ891" s="57"/>
      <c r="DK891" s="57"/>
      <c r="DL891" s="57"/>
      <c r="DM891" s="57"/>
      <c r="DN891" s="57"/>
      <c r="DO891" s="57"/>
      <c r="DP891" s="57"/>
      <c r="DQ891" s="84"/>
      <c r="DR891" s="57"/>
      <c r="DS891" s="57"/>
      <c r="DT891" s="57"/>
      <c r="DU891" s="57"/>
      <c r="DV891" s="57"/>
      <c r="DW891" s="57"/>
      <c r="DX891" s="57"/>
      <c r="DY891" s="57"/>
      <c r="DZ891" s="57"/>
      <c r="EA891" s="57"/>
      <c r="EB891" s="57"/>
      <c r="EC891" s="57"/>
      <c r="ED891" s="57"/>
      <c r="EE891" s="56"/>
      <c r="EF891" s="84"/>
      <c r="EG891" s="57"/>
      <c r="EH891" s="57"/>
      <c r="EI891" s="84"/>
      <c r="EJ891" s="57"/>
      <c r="EK891" s="56"/>
      <c r="EL891" s="84"/>
      <c r="EM891" s="57"/>
      <c r="EN891" s="57"/>
      <c r="EO891" s="56"/>
      <c r="EP891" s="84"/>
      <c r="EQ891" s="56"/>
      <c r="ER891" s="84"/>
      <c r="ES891" s="56"/>
      <c r="ET891" s="84"/>
      <c r="EU891" s="56"/>
    </row>
    <row r="892" spans="1:151">
      <c r="A892" s="83" t="s">
        <v>320</v>
      </c>
      <c r="B892" s="173" t="s">
        <v>529</v>
      </c>
      <c r="C892" s="173" t="s">
        <v>530</v>
      </c>
      <c r="D892" s="83" t="s">
        <v>69</v>
      </c>
      <c r="F892" s="49" t="s">
        <v>286</v>
      </c>
      <c r="G892" s="60">
        <v>-1.9466666666666668</v>
      </c>
      <c r="I892" s="49">
        <v>1833</v>
      </c>
      <c r="J892" s="159">
        <v>1.8955532574974148</v>
      </c>
      <c r="K892" s="49">
        <v>4</v>
      </c>
      <c r="L892" s="49">
        <v>4</v>
      </c>
      <c r="M892" s="83">
        <v>0</v>
      </c>
      <c r="N892" s="49">
        <v>0</v>
      </c>
      <c r="O892" s="49">
        <v>0</v>
      </c>
      <c r="P892" s="49">
        <v>1</v>
      </c>
      <c r="Q892" s="58">
        <v>0</v>
      </c>
      <c r="R892" s="42">
        <v>1</v>
      </c>
      <c r="S892" s="83">
        <v>1</v>
      </c>
      <c r="U892" s="83">
        <v>1</v>
      </c>
      <c r="V892" s="49">
        <v>4</v>
      </c>
      <c r="W892" s="49">
        <v>1</v>
      </c>
      <c r="X892" s="58">
        <v>2</v>
      </c>
      <c r="Y892" s="83">
        <v>0</v>
      </c>
      <c r="AJ892" s="49">
        <v>0</v>
      </c>
      <c r="AK892" s="83">
        <v>0</v>
      </c>
      <c r="AL892" s="49">
        <v>0</v>
      </c>
      <c r="AM892" s="49">
        <v>1</v>
      </c>
      <c r="AN892" s="49">
        <v>0</v>
      </c>
      <c r="AO892" s="58">
        <v>0</v>
      </c>
      <c r="AP892" s="174" t="s">
        <v>284</v>
      </c>
      <c r="AQ892" s="175" t="s">
        <v>284</v>
      </c>
      <c r="AR892" s="175" t="s">
        <v>501</v>
      </c>
      <c r="AS892" s="175" t="s">
        <v>501</v>
      </c>
      <c r="AT892" s="175" t="s">
        <v>284</v>
      </c>
      <c r="AU892" s="175" t="s">
        <v>284</v>
      </c>
      <c r="AV892" s="175" t="s">
        <v>284</v>
      </c>
      <c r="AW892" s="175" t="s">
        <v>284</v>
      </c>
      <c r="AX892" s="83">
        <v>0</v>
      </c>
      <c r="AY892" s="49">
        <v>0</v>
      </c>
      <c r="AZ892" s="49">
        <v>0</v>
      </c>
      <c r="BA892" s="49">
        <v>0</v>
      </c>
      <c r="BB892" s="58">
        <v>0</v>
      </c>
      <c r="BC892" s="42">
        <v>107</v>
      </c>
      <c r="BD892" s="49">
        <v>63.1</v>
      </c>
      <c r="BS892" s="58"/>
      <c r="BT892" s="83">
        <v>70.27</v>
      </c>
      <c r="BU892" s="49">
        <v>72.64</v>
      </c>
      <c r="CE892" s="83">
        <v>65.739999999999995</v>
      </c>
      <c r="CK892" s="58"/>
      <c r="CL892" s="83"/>
      <c r="CO892" s="58"/>
      <c r="CP892" s="83"/>
      <c r="CR892" s="58"/>
      <c r="CS892" s="83"/>
      <c r="CY892" s="83"/>
      <c r="DG892" s="58"/>
      <c r="DH892" s="83"/>
      <c r="DQ892" s="83"/>
      <c r="EE892" s="58"/>
      <c r="EF892" s="83"/>
      <c r="EI892" s="83"/>
      <c r="EK892" s="58"/>
      <c r="EL892" s="83"/>
      <c r="EO892" s="58"/>
      <c r="EP892" s="83"/>
      <c r="EQ892" s="58"/>
      <c r="ER892" s="83"/>
      <c r="ES892" s="58"/>
      <c r="ET892" s="83"/>
      <c r="EU892" s="58"/>
    </row>
    <row r="893" spans="1:151">
      <c r="A893" s="83" t="s">
        <v>320</v>
      </c>
      <c r="B893" s="173" t="s">
        <v>529</v>
      </c>
      <c r="C893" s="173" t="s">
        <v>530</v>
      </c>
      <c r="D893" s="83" t="s">
        <v>74</v>
      </c>
      <c r="F893" s="49" t="s">
        <v>287</v>
      </c>
      <c r="G893" s="60">
        <v>-1.9466666666666668</v>
      </c>
      <c r="I893" s="49">
        <v>785</v>
      </c>
      <c r="J893" s="159">
        <v>1.9923857868020305</v>
      </c>
      <c r="K893" s="49">
        <v>1</v>
      </c>
      <c r="L893" s="49">
        <v>1</v>
      </c>
      <c r="M893" s="83">
        <v>1</v>
      </c>
      <c r="N893" s="49">
        <v>0</v>
      </c>
      <c r="O893" s="49">
        <v>0</v>
      </c>
      <c r="P893" s="49">
        <v>0</v>
      </c>
      <c r="Q893" s="58">
        <v>0</v>
      </c>
      <c r="R893" s="42">
        <v>1</v>
      </c>
      <c r="S893" s="83">
        <v>1</v>
      </c>
      <c r="U893" s="83">
        <v>1</v>
      </c>
      <c r="V893" s="49">
        <v>2</v>
      </c>
      <c r="W893" s="49">
        <v>1</v>
      </c>
      <c r="X893" s="58">
        <v>2</v>
      </c>
      <c r="Y893" s="83">
        <v>0</v>
      </c>
      <c r="AJ893" s="49">
        <v>0</v>
      </c>
      <c r="AK893" s="83">
        <v>0</v>
      </c>
      <c r="AL893" s="49">
        <v>1</v>
      </c>
      <c r="AM893" s="49">
        <v>0</v>
      </c>
      <c r="AN893" s="49">
        <v>0</v>
      </c>
      <c r="AO893" s="58">
        <v>0</v>
      </c>
      <c r="AP893" s="174">
        <v>0</v>
      </c>
      <c r="AQ893" s="175">
        <v>210</v>
      </c>
      <c r="AR893" s="175" t="s">
        <v>284</v>
      </c>
      <c r="AS893" s="175" t="s">
        <v>284</v>
      </c>
      <c r="AT893" s="175" t="s">
        <v>284</v>
      </c>
      <c r="AU893" s="175" t="s">
        <v>284</v>
      </c>
      <c r="AV893" s="175" t="s">
        <v>284</v>
      </c>
      <c r="AW893" s="175" t="s">
        <v>284</v>
      </c>
      <c r="AX893" s="83">
        <v>0</v>
      </c>
      <c r="AY893" s="49">
        <v>0</v>
      </c>
      <c r="AZ893" s="49">
        <v>0</v>
      </c>
      <c r="BA893" s="49">
        <v>0</v>
      </c>
      <c r="BB893" s="58">
        <v>0</v>
      </c>
      <c r="BC893" s="42">
        <v>114</v>
      </c>
      <c r="BD893" s="49">
        <v>64.75</v>
      </c>
      <c r="BS893" s="58"/>
      <c r="BT893" s="83">
        <v>65.78</v>
      </c>
      <c r="CE893" s="83"/>
      <c r="CK893" s="58"/>
      <c r="CL893" s="83"/>
      <c r="CO893" s="58"/>
      <c r="CP893" s="83"/>
      <c r="CR893" s="58"/>
      <c r="CS893" s="83"/>
      <c r="CY893" s="83"/>
      <c r="DG893" s="58"/>
      <c r="DH893" s="83"/>
      <c r="DQ893" s="83"/>
      <c r="EE893" s="58"/>
      <c r="EF893" s="83"/>
      <c r="EI893" s="83">
        <v>64.91</v>
      </c>
      <c r="EK893" s="58"/>
      <c r="EL893" s="83">
        <v>66.209999999999994</v>
      </c>
      <c r="EO893" s="58"/>
      <c r="EP893" s="83"/>
      <c r="EQ893" s="58"/>
      <c r="ER893" s="83"/>
      <c r="ES893" s="58"/>
      <c r="ET893" s="83"/>
      <c r="EU893" s="58"/>
    </row>
    <row r="894" spans="1:151">
      <c r="A894" s="83" t="s">
        <v>320</v>
      </c>
      <c r="B894" s="173" t="s">
        <v>529</v>
      </c>
      <c r="C894" s="173" t="s">
        <v>530</v>
      </c>
      <c r="D894" s="83" t="s">
        <v>68</v>
      </c>
      <c r="F894" s="49" t="s">
        <v>287</v>
      </c>
      <c r="G894" s="60">
        <v>-1.9466666666666668</v>
      </c>
      <c r="I894" s="49">
        <v>828</v>
      </c>
      <c r="J894" s="159">
        <v>12.738461538461538</v>
      </c>
      <c r="K894" s="49">
        <v>1</v>
      </c>
      <c r="L894" s="49">
        <v>2</v>
      </c>
      <c r="M894" s="83">
        <v>1</v>
      </c>
      <c r="N894" s="49">
        <v>0</v>
      </c>
      <c r="O894" s="49">
        <v>0</v>
      </c>
      <c r="P894" s="49">
        <v>0</v>
      </c>
      <c r="Q894" s="58">
        <v>0</v>
      </c>
      <c r="R894" s="42">
        <v>1</v>
      </c>
      <c r="S894" s="83">
        <v>1</v>
      </c>
      <c r="U894" s="83">
        <v>1</v>
      </c>
      <c r="V894" s="49">
        <v>3</v>
      </c>
      <c r="W894" s="49">
        <v>1</v>
      </c>
      <c r="X894" s="58">
        <v>2</v>
      </c>
      <c r="Y894" s="83">
        <v>1</v>
      </c>
      <c r="AG894" s="49">
        <v>76</v>
      </c>
      <c r="AJ894" s="49">
        <v>0</v>
      </c>
      <c r="AK894" s="83">
        <v>0</v>
      </c>
      <c r="AL894" s="49">
        <v>1</v>
      </c>
      <c r="AM894" s="49">
        <v>0</v>
      </c>
      <c r="AN894" s="49">
        <v>0</v>
      </c>
      <c r="AO894" s="58">
        <v>0</v>
      </c>
      <c r="AP894" s="174">
        <v>0</v>
      </c>
      <c r="AQ894" s="175">
        <v>678</v>
      </c>
      <c r="AR894" s="175" t="s">
        <v>284</v>
      </c>
      <c r="AS894" s="175" t="s">
        <v>284</v>
      </c>
      <c r="AT894" s="175" t="s">
        <v>284</v>
      </c>
      <c r="AU894" s="175" t="s">
        <v>284</v>
      </c>
      <c r="AV894" s="175" t="s">
        <v>284</v>
      </c>
      <c r="AW894" s="175" t="s">
        <v>284</v>
      </c>
      <c r="AX894" s="83">
        <v>0</v>
      </c>
      <c r="AY894" s="49">
        <v>0</v>
      </c>
      <c r="AZ894" s="49">
        <v>0</v>
      </c>
      <c r="BA894" s="49">
        <v>0</v>
      </c>
      <c r="BB894" s="58">
        <v>0</v>
      </c>
      <c r="BC894" s="42">
        <v>91</v>
      </c>
      <c r="BD894" s="49">
        <v>65.19</v>
      </c>
      <c r="BS894" s="58"/>
      <c r="BT894" s="83">
        <v>67.45</v>
      </c>
      <c r="BU894" s="49">
        <v>67.819999999999993</v>
      </c>
      <c r="BV894" s="49">
        <v>65.06</v>
      </c>
      <c r="BW894" s="49">
        <v>67.92</v>
      </c>
      <c r="CE894" s="83">
        <v>65.010000000000005</v>
      </c>
      <c r="CK894" s="58"/>
      <c r="CL894" s="83"/>
      <c r="CO894" s="58"/>
      <c r="CP894" s="83"/>
      <c r="CR894" s="58"/>
      <c r="CS894" s="83"/>
      <c r="CY894" s="83"/>
      <c r="DG894" s="58"/>
      <c r="DH894" s="83"/>
      <c r="DQ894" s="83"/>
      <c r="EE894" s="58"/>
      <c r="EF894" s="83"/>
      <c r="EI894" s="83"/>
      <c r="EK894" s="58"/>
      <c r="EL894" s="83"/>
      <c r="EO894" s="58"/>
      <c r="EP894" s="83"/>
      <c r="EQ894" s="58"/>
      <c r="ER894" s="83"/>
      <c r="ES894" s="58"/>
      <c r="ET894" s="83"/>
      <c r="EU894" s="58"/>
    </row>
    <row r="895" spans="1:151">
      <c r="A895" s="83" t="s">
        <v>320</v>
      </c>
      <c r="B895" s="173" t="s">
        <v>529</v>
      </c>
      <c r="C895" s="173" t="s">
        <v>530</v>
      </c>
      <c r="D895" s="83" t="s">
        <v>65</v>
      </c>
      <c r="F895" s="49" t="s">
        <v>286</v>
      </c>
      <c r="G895" s="60">
        <v>-1.9466666666666668</v>
      </c>
      <c r="I895" s="49">
        <v>2231</v>
      </c>
      <c r="J895" s="159">
        <v>5.997311827956989</v>
      </c>
      <c r="K895" s="49">
        <v>1</v>
      </c>
      <c r="L895" s="49">
        <v>3</v>
      </c>
      <c r="M895" s="83">
        <v>1</v>
      </c>
      <c r="N895" s="49">
        <v>0</v>
      </c>
      <c r="O895" s="49">
        <v>0</v>
      </c>
      <c r="P895" s="49">
        <v>0</v>
      </c>
      <c r="Q895" s="58">
        <v>0</v>
      </c>
      <c r="R895" s="42">
        <v>1</v>
      </c>
      <c r="S895" s="83">
        <v>1</v>
      </c>
      <c r="U895" s="83">
        <v>0</v>
      </c>
      <c r="V895" s="49">
        <v>0</v>
      </c>
      <c r="W895" s="49">
        <v>0</v>
      </c>
      <c r="X895" s="58"/>
      <c r="Y895" s="83">
        <v>0</v>
      </c>
      <c r="AJ895" s="49">
        <v>0</v>
      </c>
      <c r="AK895" s="83">
        <v>0</v>
      </c>
      <c r="AL895" s="49">
        <v>1</v>
      </c>
      <c r="AM895" s="49">
        <v>1</v>
      </c>
      <c r="AN895" s="49">
        <v>0</v>
      </c>
      <c r="AO895" s="58">
        <v>0</v>
      </c>
      <c r="AP895" s="174">
        <v>248</v>
      </c>
      <c r="AQ895" s="175">
        <v>259</v>
      </c>
      <c r="AR895" s="175">
        <v>30</v>
      </c>
      <c r="AS895" s="175">
        <v>175</v>
      </c>
      <c r="AT895" s="175" t="s">
        <v>284</v>
      </c>
      <c r="AU895" s="175" t="s">
        <v>284</v>
      </c>
      <c r="AV895" s="175" t="s">
        <v>284</v>
      </c>
      <c r="AW895" s="175" t="s">
        <v>284</v>
      </c>
      <c r="AX895" s="83">
        <v>0</v>
      </c>
      <c r="AY895" s="49">
        <v>0</v>
      </c>
      <c r="AZ895" s="49">
        <v>0</v>
      </c>
      <c r="BA895" s="49">
        <v>0</v>
      </c>
      <c r="BB895" s="58">
        <v>0</v>
      </c>
      <c r="BC895" s="42">
        <v>83</v>
      </c>
      <c r="BS895" s="58"/>
      <c r="BT895" s="83"/>
      <c r="CE895" s="83"/>
      <c r="CK895" s="58"/>
      <c r="CL895" s="83"/>
      <c r="CO895" s="58"/>
      <c r="CP895" s="83"/>
      <c r="CR895" s="58"/>
      <c r="CS895" s="83"/>
      <c r="CY895" s="83"/>
      <c r="DG895" s="58"/>
      <c r="DH895" s="83"/>
      <c r="DQ895" s="83"/>
      <c r="EE895" s="58"/>
      <c r="EF895" s="83"/>
      <c r="EI895" s="83"/>
      <c r="EK895" s="58"/>
      <c r="EL895" s="83"/>
      <c r="EO895" s="58"/>
      <c r="EP895" s="83"/>
      <c r="EQ895" s="58"/>
      <c r="ER895" s="83"/>
      <c r="ES895" s="58"/>
      <c r="ET895" s="83"/>
      <c r="EU895" s="58"/>
    </row>
    <row r="896" spans="1:151">
      <c r="A896" s="83" t="s">
        <v>320</v>
      </c>
      <c r="B896" s="173" t="s">
        <v>529</v>
      </c>
      <c r="C896" s="173" t="s">
        <v>530</v>
      </c>
      <c r="D896" s="83" t="s">
        <v>66</v>
      </c>
      <c r="F896" s="49" t="s">
        <v>286</v>
      </c>
      <c r="G896" s="60">
        <v>-1.9466666666666668</v>
      </c>
      <c r="I896" s="49">
        <v>1252</v>
      </c>
      <c r="J896" s="159">
        <v>4.6542750929368033</v>
      </c>
      <c r="K896" s="49">
        <v>1</v>
      </c>
      <c r="L896" s="49">
        <v>3</v>
      </c>
      <c r="M896" s="83">
        <v>1</v>
      </c>
      <c r="N896" s="49">
        <v>0</v>
      </c>
      <c r="O896" s="49">
        <v>0</v>
      </c>
      <c r="P896" s="49">
        <v>0</v>
      </c>
      <c r="Q896" s="58">
        <v>0</v>
      </c>
      <c r="R896" s="42">
        <v>1</v>
      </c>
      <c r="S896" s="83">
        <v>1</v>
      </c>
      <c r="U896" s="83">
        <v>0</v>
      </c>
      <c r="V896" s="49">
        <v>0</v>
      </c>
      <c r="W896" s="49">
        <v>0</v>
      </c>
      <c r="X896" s="58"/>
      <c r="Y896" s="83">
        <v>10</v>
      </c>
      <c r="AD896" s="49">
        <v>22</v>
      </c>
      <c r="AE896" s="49">
        <v>509</v>
      </c>
      <c r="AJ896" s="49">
        <v>0</v>
      </c>
      <c r="AK896" s="83">
        <v>0</v>
      </c>
      <c r="AL896" s="49">
        <v>1</v>
      </c>
      <c r="AM896" s="49">
        <v>0</v>
      </c>
      <c r="AN896" s="49">
        <v>0</v>
      </c>
      <c r="AO896" s="58">
        <v>0</v>
      </c>
      <c r="AP896" s="174">
        <v>0</v>
      </c>
      <c r="AQ896" s="175">
        <v>1057</v>
      </c>
      <c r="AR896" s="175">
        <v>0</v>
      </c>
      <c r="AS896" s="175">
        <v>0</v>
      </c>
      <c r="AT896" s="175">
        <v>0</v>
      </c>
      <c r="AU896" s="175">
        <v>0</v>
      </c>
      <c r="AV896" s="175">
        <v>0</v>
      </c>
      <c r="AW896" s="175">
        <v>0</v>
      </c>
      <c r="AX896" s="83">
        <v>0</v>
      </c>
      <c r="AY896" s="49">
        <v>0</v>
      </c>
      <c r="AZ896" s="49">
        <v>0</v>
      </c>
      <c r="BA896" s="49">
        <v>0</v>
      </c>
      <c r="BB896" s="58">
        <v>0</v>
      </c>
      <c r="BC896" s="42">
        <v>104</v>
      </c>
      <c r="BS896" s="58"/>
      <c r="BT896" s="83"/>
      <c r="CE896" s="83"/>
      <c r="CK896" s="58"/>
      <c r="CL896" s="83"/>
      <c r="CO896" s="58"/>
      <c r="CP896" s="83"/>
      <c r="CR896" s="58"/>
      <c r="CS896" s="83"/>
      <c r="CY896" s="83"/>
      <c r="DG896" s="58"/>
      <c r="DH896" s="83"/>
      <c r="DQ896" s="83"/>
      <c r="EE896" s="58"/>
      <c r="EF896" s="83"/>
      <c r="EI896" s="83"/>
      <c r="EK896" s="58"/>
      <c r="EL896" s="83"/>
      <c r="EO896" s="58"/>
      <c r="EP896" s="83"/>
      <c r="EQ896" s="58"/>
      <c r="ER896" s="83"/>
      <c r="ES896" s="58"/>
      <c r="ET896" s="83"/>
      <c r="EU896" s="58"/>
    </row>
    <row r="897" spans="1:151">
      <c r="A897" s="83" t="s">
        <v>320</v>
      </c>
      <c r="B897" s="173" t="s">
        <v>529</v>
      </c>
      <c r="C897" s="173" t="s">
        <v>530</v>
      </c>
      <c r="D897" s="83" t="s">
        <v>76</v>
      </c>
      <c r="F897" s="49" t="s">
        <v>286</v>
      </c>
      <c r="G897" s="60">
        <v>-1.9466666666666668</v>
      </c>
      <c r="I897" s="49">
        <v>4204</v>
      </c>
      <c r="J897" s="159">
        <v>4.3117948717948718</v>
      </c>
      <c r="K897" s="49">
        <v>4</v>
      </c>
      <c r="L897" s="49">
        <v>3</v>
      </c>
      <c r="M897" s="83">
        <v>1</v>
      </c>
      <c r="N897" s="49">
        <v>0</v>
      </c>
      <c r="O897" s="49">
        <v>0</v>
      </c>
      <c r="P897" s="49">
        <v>0</v>
      </c>
      <c r="Q897" s="58">
        <v>0</v>
      </c>
      <c r="R897" s="42">
        <v>1</v>
      </c>
      <c r="S897" s="83">
        <v>1</v>
      </c>
      <c r="U897" s="83">
        <v>1</v>
      </c>
      <c r="V897" s="49">
        <v>3</v>
      </c>
      <c r="W897" s="49">
        <v>2</v>
      </c>
      <c r="X897" s="58"/>
      <c r="Y897" s="83">
        <v>1</v>
      </c>
      <c r="AA897" s="49">
        <v>8</v>
      </c>
      <c r="AD897" s="49">
        <v>26</v>
      </c>
      <c r="AE897" s="49">
        <v>176</v>
      </c>
      <c r="AH897" s="49">
        <v>35</v>
      </c>
      <c r="AI897" s="49">
        <v>115</v>
      </c>
      <c r="AJ897" s="49">
        <v>0</v>
      </c>
      <c r="AK897" s="83">
        <v>0</v>
      </c>
      <c r="AL897" s="49">
        <v>1</v>
      </c>
      <c r="AM897" s="49">
        <v>1</v>
      </c>
      <c r="AN897" s="49">
        <v>1</v>
      </c>
      <c r="AO897" s="58">
        <v>0</v>
      </c>
      <c r="AP897" s="174">
        <v>216</v>
      </c>
      <c r="AQ897" s="175">
        <v>1262</v>
      </c>
      <c r="AR897" s="175">
        <v>88</v>
      </c>
      <c r="AS897" s="175">
        <v>148</v>
      </c>
      <c r="AT897" s="175">
        <v>0</v>
      </c>
      <c r="AU897" s="175">
        <v>631</v>
      </c>
      <c r="AV897" s="175">
        <v>0</v>
      </c>
      <c r="AW897" s="175">
        <v>0</v>
      </c>
      <c r="AX897" s="83">
        <v>0</v>
      </c>
      <c r="AY897" s="49">
        <v>0</v>
      </c>
      <c r="AZ897" s="49">
        <v>0</v>
      </c>
      <c r="BA897" s="49">
        <v>0</v>
      </c>
      <c r="BB897" s="58">
        <v>0</v>
      </c>
      <c r="BC897" s="42">
        <v>110</v>
      </c>
      <c r="BD897" s="49">
        <v>64.39</v>
      </c>
      <c r="BS897" s="58"/>
      <c r="BT897" s="83">
        <v>64.63</v>
      </c>
      <c r="BU897" s="49">
        <v>68.900000000000006</v>
      </c>
      <c r="CE897" s="83">
        <v>62.84</v>
      </c>
      <c r="CF897" s="49">
        <v>62.94</v>
      </c>
      <c r="CK897" s="58"/>
      <c r="CL897" s="83"/>
      <c r="CO897" s="58"/>
      <c r="CP897" s="83"/>
      <c r="CR897" s="58"/>
      <c r="CS897" s="83"/>
      <c r="CY897" s="83"/>
      <c r="DG897" s="58"/>
      <c r="DH897" s="83"/>
      <c r="DQ897" s="83"/>
      <c r="EE897" s="58"/>
      <c r="EF897" s="83"/>
      <c r="EI897" s="83"/>
      <c r="EK897" s="58"/>
      <c r="EL897" s="83"/>
      <c r="EO897" s="58"/>
      <c r="EP897" s="83"/>
      <c r="EQ897" s="58"/>
      <c r="ER897" s="83"/>
      <c r="ES897" s="58"/>
      <c r="ET897" s="83"/>
      <c r="EU897" s="58"/>
    </row>
    <row r="898" spans="1:151">
      <c r="A898" s="83" t="s">
        <v>320</v>
      </c>
      <c r="B898" s="173" t="s">
        <v>529</v>
      </c>
      <c r="C898" s="173" t="s">
        <v>530</v>
      </c>
      <c r="D898" s="83" t="s">
        <v>174</v>
      </c>
      <c r="F898" s="49" t="s">
        <v>286</v>
      </c>
      <c r="G898" s="60">
        <v>-1.9466666666666668</v>
      </c>
      <c r="I898" s="49">
        <v>1455</v>
      </c>
      <c r="J898" s="159">
        <v>1.9297082228116711</v>
      </c>
      <c r="K898" s="49">
        <v>1</v>
      </c>
      <c r="L898" s="49">
        <v>2</v>
      </c>
      <c r="M898" s="83">
        <v>1</v>
      </c>
      <c r="N898" s="49">
        <v>0</v>
      </c>
      <c r="O898" s="49">
        <v>0</v>
      </c>
      <c r="P898" s="49">
        <v>0</v>
      </c>
      <c r="Q898" s="58">
        <v>0</v>
      </c>
      <c r="R898" s="42">
        <v>1</v>
      </c>
      <c r="S898" s="83">
        <v>0</v>
      </c>
      <c r="U898" s="83">
        <v>0</v>
      </c>
      <c r="V898" s="49">
        <v>0</v>
      </c>
      <c r="W898" s="49">
        <v>0</v>
      </c>
      <c r="X898" s="58"/>
      <c r="Y898" s="83">
        <v>1</v>
      </c>
      <c r="AI898" s="49">
        <v>104</v>
      </c>
      <c r="AJ898" s="49">
        <v>0</v>
      </c>
      <c r="AK898" s="83">
        <v>0</v>
      </c>
      <c r="AL898" s="49">
        <v>0</v>
      </c>
      <c r="AM898" s="49">
        <v>1</v>
      </c>
      <c r="AN898" s="49">
        <v>0</v>
      </c>
      <c r="AO898" s="58">
        <v>0</v>
      </c>
      <c r="AP898" s="174" t="s">
        <v>284</v>
      </c>
      <c r="AQ898" s="175" t="s">
        <v>284</v>
      </c>
      <c r="AR898" s="175">
        <v>0</v>
      </c>
      <c r="AS898" s="175">
        <v>833</v>
      </c>
      <c r="AT898" s="175" t="s">
        <v>284</v>
      </c>
      <c r="AU898" s="175" t="s">
        <v>284</v>
      </c>
      <c r="AV898" s="175" t="s">
        <v>284</v>
      </c>
      <c r="AW898" s="175" t="s">
        <v>284</v>
      </c>
      <c r="AX898" s="83">
        <v>1</v>
      </c>
      <c r="AY898" s="49">
        <v>0</v>
      </c>
      <c r="AZ898" s="49">
        <v>0</v>
      </c>
      <c r="BA898" s="49">
        <v>0</v>
      </c>
      <c r="BB898" s="58">
        <v>1</v>
      </c>
      <c r="BC898" s="42">
        <v>100</v>
      </c>
      <c r="BS898" s="58"/>
      <c r="BT898" s="83"/>
      <c r="CE898" s="83"/>
      <c r="CK898" s="58"/>
      <c r="CL898" s="83"/>
      <c r="CO898" s="58"/>
      <c r="CP898" s="83"/>
      <c r="CR898" s="58"/>
      <c r="CS898" s="83"/>
      <c r="CY898" s="83"/>
      <c r="DG898" s="58"/>
      <c r="DH898" s="83"/>
      <c r="DQ898" s="83"/>
      <c r="EE898" s="58"/>
      <c r="EF898" s="83"/>
      <c r="EI898" s="83"/>
      <c r="EK898" s="58"/>
      <c r="EL898" s="83"/>
      <c r="EO898" s="58"/>
      <c r="EP898" s="83"/>
      <c r="EQ898" s="58"/>
      <c r="ER898" s="83"/>
      <c r="ES898" s="58"/>
      <c r="ET898" s="83"/>
      <c r="EU898" s="58"/>
    </row>
    <row r="899" spans="1:151">
      <c r="A899" s="83" t="s">
        <v>320</v>
      </c>
      <c r="B899" s="173" t="s">
        <v>529</v>
      </c>
      <c r="C899" s="173" t="s">
        <v>530</v>
      </c>
      <c r="D899" s="83" t="s">
        <v>200</v>
      </c>
      <c r="E899" s="49" t="s">
        <v>0</v>
      </c>
      <c r="F899" s="49" t="s">
        <v>286</v>
      </c>
      <c r="G899" s="60">
        <v>-1.9466666666666668</v>
      </c>
      <c r="I899" s="49">
        <v>1629</v>
      </c>
      <c r="J899" s="159">
        <v>1.8986013986013985</v>
      </c>
      <c r="K899" s="49">
        <v>1</v>
      </c>
      <c r="L899" s="49">
        <v>2</v>
      </c>
      <c r="M899" s="83">
        <v>1</v>
      </c>
      <c r="N899" s="49">
        <v>0</v>
      </c>
      <c r="O899" s="49">
        <v>1</v>
      </c>
      <c r="P899" s="49">
        <v>0</v>
      </c>
      <c r="Q899" s="58">
        <v>0</v>
      </c>
      <c r="R899" s="42">
        <v>2</v>
      </c>
      <c r="S899" s="83" t="s">
        <v>284</v>
      </c>
      <c r="U899" s="83">
        <v>1</v>
      </c>
      <c r="V899" s="49">
        <v>2</v>
      </c>
      <c r="W899" s="49">
        <v>2</v>
      </c>
      <c r="X899" s="58"/>
      <c r="Y899" s="83">
        <v>1</v>
      </c>
      <c r="AD899" s="49">
        <v>34</v>
      </c>
      <c r="AE899" s="49">
        <v>92</v>
      </c>
      <c r="AG899" s="49">
        <v>14</v>
      </c>
      <c r="AI899" s="49">
        <v>89</v>
      </c>
      <c r="AJ899" s="49">
        <v>0</v>
      </c>
      <c r="AK899" s="83">
        <v>0</v>
      </c>
      <c r="AL899" s="49">
        <v>1</v>
      </c>
      <c r="AM899" s="49">
        <v>1</v>
      </c>
      <c r="AN899" s="49">
        <v>1</v>
      </c>
      <c r="AO899" s="58">
        <v>0</v>
      </c>
      <c r="AP899" s="174">
        <v>0</v>
      </c>
      <c r="AQ899" s="175">
        <v>655</v>
      </c>
      <c r="AR899" s="175">
        <v>0</v>
      </c>
      <c r="AS899" s="175">
        <v>484</v>
      </c>
      <c r="AT899" s="175">
        <v>0</v>
      </c>
      <c r="AU899" s="175">
        <v>435</v>
      </c>
      <c r="AV899" s="175"/>
      <c r="AW899" s="175"/>
      <c r="AX899" s="83">
        <v>0</v>
      </c>
      <c r="AY899" s="49">
        <v>0</v>
      </c>
      <c r="AZ899" s="49">
        <v>0</v>
      </c>
      <c r="BA899" s="49">
        <v>0</v>
      </c>
      <c r="BB899" s="58">
        <v>0</v>
      </c>
      <c r="BC899" s="42">
        <v>115</v>
      </c>
      <c r="BD899" s="49">
        <v>71.53</v>
      </c>
      <c r="BS899" s="58"/>
      <c r="BT899" s="83"/>
      <c r="CE899" s="83"/>
      <c r="CK899" s="58"/>
      <c r="CL899" s="83"/>
      <c r="CO899" s="58"/>
      <c r="CP899" s="83"/>
      <c r="CR899" s="58"/>
      <c r="CS899" s="83"/>
      <c r="CY899" s="83"/>
      <c r="DG899" s="58"/>
      <c r="DH899" s="83"/>
      <c r="DQ899" s="83"/>
      <c r="EE899" s="58"/>
      <c r="EF899" s="83"/>
      <c r="EI899" s="83"/>
      <c r="EK899" s="58"/>
      <c r="EL899" s="83"/>
      <c r="EO899" s="58"/>
      <c r="EP899" s="83"/>
      <c r="EQ899" s="58"/>
      <c r="ER899" s="83"/>
      <c r="ES899" s="58"/>
      <c r="ET899" s="83"/>
      <c r="EU899" s="58"/>
    </row>
    <row r="900" spans="1:151">
      <c r="A900" s="83" t="s">
        <v>320</v>
      </c>
      <c r="B900" s="173" t="s">
        <v>529</v>
      </c>
      <c r="C900" s="173" t="s">
        <v>530</v>
      </c>
      <c r="D900" s="83" t="s">
        <v>200</v>
      </c>
      <c r="E900" s="49" t="s">
        <v>1</v>
      </c>
      <c r="F900" s="49" t="s">
        <v>286</v>
      </c>
      <c r="G900" s="60">
        <v>-1.9466666666666668</v>
      </c>
      <c r="I900" s="49">
        <v>3815</v>
      </c>
      <c r="J900" s="159">
        <v>1.9132397191574724</v>
      </c>
      <c r="K900" s="49">
        <v>1</v>
      </c>
      <c r="L900" s="49">
        <v>2</v>
      </c>
      <c r="M900" s="83">
        <v>1</v>
      </c>
      <c r="N900" s="49">
        <v>0</v>
      </c>
      <c r="O900" s="49">
        <v>1</v>
      </c>
      <c r="P900" s="49">
        <v>1</v>
      </c>
      <c r="Q900" s="58">
        <v>0</v>
      </c>
      <c r="R900" s="42">
        <v>3</v>
      </c>
      <c r="S900" s="83" t="s">
        <v>284</v>
      </c>
      <c r="U900" s="83">
        <v>3</v>
      </c>
      <c r="V900" s="49">
        <v>2</v>
      </c>
      <c r="W900" s="49">
        <v>2</v>
      </c>
      <c r="X900" s="58"/>
      <c r="Y900" s="83">
        <v>1</v>
      </c>
      <c r="AH900" s="49">
        <v>7</v>
      </c>
      <c r="AI900" s="49">
        <v>76</v>
      </c>
      <c r="AJ900" s="49">
        <v>0</v>
      </c>
      <c r="AK900" s="83">
        <v>0</v>
      </c>
      <c r="AL900" s="49">
        <v>0</v>
      </c>
      <c r="AM900" s="49">
        <v>1</v>
      </c>
      <c r="AN900" s="49">
        <v>0</v>
      </c>
      <c r="AO900" s="58">
        <v>0</v>
      </c>
      <c r="AP900" s="174">
        <v>0</v>
      </c>
      <c r="AQ900" s="175">
        <v>280</v>
      </c>
      <c r="AR900" s="175">
        <v>369</v>
      </c>
      <c r="AS900" s="175">
        <v>837</v>
      </c>
      <c r="AT900" s="175">
        <v>0</v>
      </c>
      <c r="AU900" s="175">
        <v>0</v>
      </c>
      <c r="AV900" s="175"/>
      <c r="AW900" s="175"/>
      <c r="AX900" s="83">
        <v>0</v>
      </c>
      <c r="AY900" s="49">
        <v>0</v>
      </c>
      <c r="AZ900" s="49">
        <v>0</v>
      </c>
      <c r="BA900" s="49">
        <v>0</v>
      </c>
      <c r="BB900" s="58">
        <v>0</v>
      </c>
      <c r="BC900" s="42">
        <v>115</v>
      </c>
      <c r="BD900" s="49">
        <v>69.650000000000006</v>
      </c>
      <c r="BS900" s="58"/>
      <c r="BT900" s="83">
        <v>70.650000000000006</v>
      </c>
      <c r="BU900" s="49">
        <v>68.39</v>
      </c>
      <c r="BV900" s="49">
        <v>66.66</v>
      </c>
      <c r="BW900" s="49">
        <v>65.61</v>
      </c>
      <c r="CE900" s="83"/>
      <c r="CK900" s="58"/>
      <c r="CL900" s="83"/>
      <c r="CO900" s="58"/>
      <c r="CP900" s="83"/>
      <c r="CR900" s="58"/>
      <c r="CS900" s="83"/>
      <c r="CY900" s="83"/>
      <c r="DG900" s="58"/>
      <c r="DH900" s="83"/>
      <c r="DQ900" s="83"/>
      <c r="EE900" s="58"/>
      <c r="EF900" s="83"/>
      <c r="EI900" s="83"/>
      <c r="EK900" s="58"/>
      <c r="EL900" s="83"/>
      <c r="EO900" s="58"/>
      <c r="EP900" s="83"/>
      <c r="EQ900" s="58"/>
      <c r="ER900" s="83"/>
      <c r="ES900" s="58"/>
      <c r="ET900" s="83"/>
      <c r="EU900" s="58"/>
    </row>
    <row r="901" spans="1:151">
      <c r="A901" s="83" t="s">
        <v>320</v>
      </c>
      <c r="B901" s="173" t="s">
        <v>529</v>
      </c>
      <c r="C901" s="173" t="s">
        <v>530</v>
      </c>
      <c r="D901" s="83" t="s">
        <v>199</v>
      </c>
      <c r="E901" s="49" t="s">
        <v>0</v>
      </c>
      <c r="F901" s="49" t="s">
        <v>287</v>
      </c>
      <c r="G901" s="60">
        <v>-1.9466666666666668</v>
      </c>
      <c r="I901" s="49">
        <v>755</v>
      </c>
      <c r="J901" s="159">
        <v>2.0460704607046072</v>
      </c>
      <c r="K901" s="49">
        <v>1</v>
      </c>
      <c r="L901" s="49">
        <v>2</v>
      </c>
      <c r="M901" s="83">
        <v>0</v>
      </c>
      <c r="N901" s="49">
        <v>0</v>
      </c>
      <c r="O901" s="49">
        <v>0</v>
      </c>
      <c r="P901" s="49">
        <v>1</v>
      </c>
      <c r="Q901" s="58">
        <v>0</v>
      </c>
      <c r="R901" s="42">
        <v>1</v>
      </c>
      <c r="S901" s="83" t="s">
        <v>284</v>
      </c>
      <c r="U901" s="83">
        <v>1</v>
      </c>
      <c r="V901" s="49">
        <v>1</v>
      </c>
      <c r="W901" s="49">
        <v>1</v>
      </c>
      <c r="X901" s="58">
        <v>2</v>
      </c>
      <c r="Y901" s="83">
        <v>0</v>
      </c>
      <c r="AJ901" s="49">
        <v>0</v>
      </c>
      <c r="AK901" s="83">
        <v>0</v>
      </c>
      <c r="AL901" s="49">
        <v>0</v>
      </c>
      <c r="AM901" s="49">
        <v>0</v>
      </c>
      <c r="AN901" s="49">
        <v>0</v>
      </c>
      <c r="AO901" s="58"/>
      <c r="AP901" s="174">
        <v>0</v>
      </c>
      <c r="AQ901" s="175">
        <v>0</v>
      </c>
      <c r="AR901" s="175">
        <v>0</v>
      </c>
      <c r="AS901" s="175">
        <v>0</v>
      </c>
      <c r="AT901" s="175">
        <v>0</v>
      </c>
      <c r="AU901" s="175">
        <v>0</v>
      </c>
      <c r="AV901" s="175"/>
      <c r="AW901" s="175"/>
      <c r="AX901" s="83">
        <v>0</v>
      </c>
      <c r="AY901" s="49">
        <v>0</v>
      </c>
      <c r="AZ901" s="49">
        <v>0</v>
      </c>
      <c r="BA901" s="49">
        <v>0</v>
      </c>
      <c r="BB901" s="58">
        <v>0</v>
      </c>
      <c r="BC901" s="42">
        <v>106</v>
      </c>
      <c r="BS901" s="58"/>
      <c r="BT901" s="83"/>
      <c r="CE901" s="83"/>
      <c r="CK901" s="58"/>
      <c r="CL901" s="83"/>
      <c r="CO901" s="58"/>
      <c r="CP901" s="83"/>
      <c r="CR901" s="58"/>
      <c r="CS901" s="83"/>
      <c r="CY901" s="83"/>
      <c r="DG901" s="58"/>
      <c r="DH901" s="83"/>
      <c r="DQ901" s="83"/>
      <c r="EE901" s="58"/>
      <c r="EF901" s="83"/>
      <c r="EI901" s="83"/>
      <c r="EK901" s="58"/>
      <c r="EL901" s="83"/>
      <c r="EO901" s="58"/>
      <c r="EP901" s="83"/>
      <c r="EQ901" s="58"/>
      <c r="ER901" s="83"/>
      <c r="ES901" s="58"/>
      <c r="ET901" s="83"/>
      <c r="EU901" s="58"/>
    </row>
    <row r="902" spans="1:151" ht="17" thickBot="1">
      <c r="A902" s="83" t="s">
        <v>320</v>
      </c>
      <c r="B902" s="173" t="s">
        <v>529</v>
      </c>
      <c r="C902" s="173" t="s">
        <v>530</v>
      </c>
      <c r="D902" s="83" t="s">
        <v>144</v>
      </c>
      <c r="E902" s="49" t="s">
        <v>1</v>
      </c>
      <c r="F902" s="49" t="s">
        <v>286</v>
      </c>
      <c r="G902" s="60">
        <v>-1.9466666666666668</v>
      </c>
      <c r="I902" s="49">
        <v>1169</v>
      </c>
      <c r="J902" s="159">
        <v>1.0814061054579094</v>
      </c>
      <c r="K902" s="49">
        <v>1</v>
      </c>
      <c r="L902" s="49">
        <v>2</v>
      </c>
      <c r="M902" s="83">
        <v>0</v>
      </c>
      <c r="N902" s="49">
        <v>0</v>
      </c>
      <c r="O902" s="49">
        <v>0</v>
      </c>
      <c r="P902" s="49">
        <v>1</v>
      </c>
      <c r="Q902" s="58">
        <v>0</v>
      </c>
      <c r="R902" s="42">
        <v>1</v>
      </c>
      <c r="S902" s="83" t="s">
        <v>284</v>
      </c>
      <c r="U902" s="83">
        <v>1</v>
      </c>
      <c r="V902" s="49">
        <v>2</v>
      </c>
      <c r="W902" s="49">
        <v>1</v>
      </c>
      <c r="X902" s="58">
        <v>2</v>
      </c>
      <c r="Y902" s="83">
        <v>1</v>
      </c>
      <c r="AD902" s="49">
        <v>8</v>
      </c>
      <c r="AE902" s="49">
        <v>24</v>
      </c>
      <c r="AJ902" s="49">
        <v>0</v>
      </c>
      <c r="AK902" s="83">
        <v>0</v>
      </c>
      <c r="AL902" s="49">
        <v>0</v>
      </c>
      <c r="AM902" s="49">
        <v>1</v>
      </c>
      <c r="AN902" s="49">
        <v>0</v>
      </c>
      <c r="AO902" s="58">
        <v>0</v>
      </c>
      <c r="AP902" s="174">
        <v>0</v>
      </c>
      <c r="AQ902" s="175">
        <v>0</v>
      </c>
      <c r="AR902" s="175">
        <v>31</v>
      </c>
      <c r="AS902" s="175">
        <v>79</v>
      </c>
      <c r="AT902" s="175">
        <v>0</v>
      </c>
      <c r="AU902" s="175">
        <v>0</v>
      </c>
      <c r="AV902" s="175"/>
      <c r="AW902" s="175"/>
      <c r="AX902" s="83">
        <v>0</v>
      </c>
      <c r="AY902" s="49">
        <v>0</v>
      </c>
      <c r="AZ902" s="49">
        <v>0</v>
      </c>
      <c r="BA902" s="49">
        <v>0</v>
      </c>
      <c r="BB902" s="58">
        <v>0</v>
      </c>
      <c r="BC902" s="42">
        <v>106</v>
      </c>
      <c r="BS902" s="58"/>
      <c r="BT902" s="83"/>
      <c r="CE902" s="83"/>
      <c r="CK902" s="58"/>
      <c r="CL902" s="83"/>
      <c r="CO902" s="58"/>
      <c r="CP902" s="83"/>
      <c r="CR902" s="58"/>
      <c r="CS902" s="83"/>
      <c r="CY902" s="83"/>
      <c r="DG902" s="58"/>
      <c r="DH902" s="83"/>
      <c r="DQ902" s="83"/>
      <c r="EE902" s="58"/>
      <c r="EF902" s="83"/>
      <c r="EI902" s="83"/>
      <c r="EK902" s="58"/>
      <c r="EL902" s="83"/>
      <c r="EO902" s="58"/>
      <c r="EP902" s="83"/>
      <c r="EQ902" s="58"/>
      <c r="ER902" s="83"/>
      <c r="ES902" s="58"/>
      <c r="ET902" s="83"/>
      <c r="EU902" s="58"/>
    </row>
    <row r="903" spans="1:151">
      <c r="A903" s="87" t="s">
        <v>320</v>
      </c>
      <c r="B903" s="87" t="s">
        <v>531</v>
      </c>
      <c r="C903" s="7" t="s">
        <v>530</v>
      </c>
      <c r="D903" s="147" t="s">
        <v>64</v>
      </c>
      <c r="E903" s="148"/>
      <c r="F903" s="148" t="s">
        <v>286</v>
      </c>
      <c r="G903" s="73">
        <v>-1.9466666666666668</v>
      </c>
      <c r="H903" s="148"/>
      <c r="I903" s="148">
        <v>2715</v>
      </c>
      <c r="J903" s="158">
        <v>2.7817622950819674</v>
      </c>
      <c r="K903" s="148">
        <v>1</v>
      </c>
      <c r="L903" s="148">
        <v>3</v>
      </c>
      <c r="M903" s="147">
        <v>0</v>
      </c>
      <c r="N903" s="148">
        <v>0</v>
      </c>
      <c r="O903" s="148">
        <v>0</v>
      </c>
      <c r="P903" s="148">
        <v>1</v>
      </c>
      <c r="Q903" s="149">
        <v>0</v>
      </c>
      <c r="R903" s="87">
        <v>1</v>
      </c>
      <c r="S903" s="147" t="s">
        <v>284</v>
      </c>
      <c r="T903" s="148"/>
      <c r="U903" s="147">
        <v>1</v>
      </c>
      <c r="V903" s="148">
        <v>3</v>
      </c>
      <c r="W903" s="148">
        <v>1</v>
      </c>
      <c r="X903" s="149"/>
      <c r="Y903" s="147">
        <v>1</v>
      </c>
      <c r="Z903" s="148"/>
      <c r="AA903" s="148"/>
      <c r="AB903" s="148"/>
      <c r="AC903" s="148"/>
      <c r="AD903" s="148"/>
      <c r="AE903" s="148"/>
      <c r="AF903" s="148"/>
      <c r="AG903" s="148"/>
      <c r="AH903" s="148">
        <v>25</v>
      </c>
      <c r="AI903" s="148">
        <v>76</v>
      </c>
      <c r="AJ903" s="148">
        <v>0</v>
      </c>
      <c r="AK903" s="147">
        <v>0</v>
      </c>
      <c r="AL903" s="148">
        <v>0</v>
      </c>
      <c r="AM903" s="148">
        <v>1</v>
      </c>
      <c r="AN903" s="148">
        <v>0</v>
      </c>
      <c r="AO903" s="149">
        <v>0</v>
      </c>
      <c r="AP903" s="169" t="s">
        <v>284</v>
      </c>
      <c r="AQ903" s="170" t="s">
        <v>284</v>
      </c>
      <c r="AR903" s="170" t="s">
        <v>501</v>
      </c>
      <c r="AS903" s="170" t="s">
        <v>501</v>
      </c>
      <c r="AT903" s="170" t="s">
        <v>284</v>
      </c>
      <c r="AU903" s="170" t="s">
        <v>284</v>
      </c>
      <c r="AV903" s="170" t="s">
        <v>284</v>
      </c>
      <c r="AW903" s="170" t="s">
        <v>284</v>
      </c>
      <c r="AX903" s="147">
        <v>0</v>
      </c>
      <c r="AY903" s="148">
        <v>0</v>
      </c>
      <c r="AZ903" s="148">
        <v>0</v>
      </c>
      <c r="BA903" s="148">
        <v>0</v>
      </c>
      <c r="BB903" s="149">
        <v>0</v>
      </c>
      <c r="BC903" s="87">
        <v>127</v>
      </c>
      <c r="BD903" s="148">
        <v>61.71</v>
      </c>
      <c r="BE903" s="148">
        <v>60.17</v>
      </c>
      <c r="BF903" s="148"/>
      <c r="BG903" s="148"/>
      <c r="BH903" s="148"/>
      <c r="BI903" s="148"/>
      <c r="BJ903" s="148"/>
      <c r="BK903" s="148"/>
      <c r="BL903" s="148"/>
      <c r="BM903" s="148"/>
      <c r="BN903" s="148"/>
      <c r="BO903" s="148"/>
      <c r="BP903" s="148"/>
      <c r="BQ903" s="148"/>
      <c r="BR903" s="148"/>
      <c r="BS903" s="149"/>
      <c r="BT903" s="147">
        <v>68.819999999999993</v>
      </c>
      <c r="BU903" s="148"/>
      <c r="BV903" s="148"/>
      <c r="BW903" s="148"/>
      <c r="BX903" s="148"/>
      <c r="BY903" s="148"/>
      <c r="BZ903" s="148"/>
      <c r="CA903" s="148"/>
      <c r="CB903" s="148"/>
      <c r="CC903" s="148"/>
      <c r="CD903" s="148"/>
      <c r="CE903" s="147"/>
      <c r="CF903" s="148"/>
      <c r="CG903" s="148"/>
      <c r="CH903" s="148"/>
      <c r="CI903" s="148"/>
      <c r="CJ903" s="148"/>
      <c r="CK903" s="149"/>
      <c r="CL903" s="147"/>
      <c r="CM903" s="148"/>
      <c r="CN903" s="148"/>
      <c r="CO903" s="149"/>
      <c r="CP903" s="147"/>
      <c r="CQ903" s="148"/>
      <c r="CR903" s="149"/>
      <c r="CS903" s="147"/>
      <c r="CT903" s="148"/>
      <c r="CU903" s="148"/>
      <c r="CV903" s="148"/>
      <c r="CW903" s="148"/>
      <c r="CX903" s="148"/>
      <c r="CY903" s="147"/>
      <c r="CZ903" s="148"/>
      <c r="DA903" s="148"/>
      <c r="DB903" s="148"/>
      <c r="DC903" s="148"/>
      <c r="DD903" s="148"/>
      <c r="DE903" s="148"/>
      <c r="DF903" s="148"/>
      <c r="DG903" s="149"/>
      <c r="DH903" s="147"/>
      <c r="DI903" s="148"/>
      <c r="DJ903" s="148"/>
      <c r="DK903" s="148"/>
      <c r="DL903" s="148"/>
      <c r="DM903" s="148"/>
      <c r="DN903" s="148"/>
      <c r="DO903" s="148"/>
      <c r="DP903" s="148"/>
      <c r="DQ903" s="147"/>
      <c r="DR903" s="148"/>
      <c r="DS903" s="148"/>
      <c r="DT903" s="148"/>
      <c r="DU903" s="148"/>
      <c r="DV903" s="148"/>
      <c r="DW903" s="148"/>
      <c r="DX903" s="148"/>
      <c r="DY903" s="148"/>
      <c r="DZ903" s="148"/>
      <c r="EA903" s="148"/>
      <c r="EB903" s="148"/>
      <c r="EC903" s="148"/>
      <c r="ED903" s="148"/>
      <c r="EE903" s="149"/>
      <c r="EF903" s="147"/>
      <c r="EG903" s="148"/>
      <c r="EH903" s="148"/>
      <c r="EI903" s="147"/>
      <c r="EJ903" s="148"/>
      <c r="EK903" s="149"/>
      <c r="EL903" s="147"/>
      <c r="EM903" s="148"/>
      <c r="EN903" s="148"/>
      <c r="EO903" s="149"/>
      <c r="EP903" s="147"/>
      <c r="EQ903" s="149"/>
      <c r="ER903" s="147"/>
      <c r="ES903" s="149"/>
      <c r="ET903" s="147"/>
      <c r="EU903" s="149"/>
    </row>
    <row r="904" spans="1:151">
      <c r="A904" s="42" t="s">
        <v>320</v>
      </c>
      <c r="B904" s="42" t="s">
        <v>531</v>
      </c>
      <c r="C904" s="173" t="s">
        <v>530</v>
      </c>
      <c r="D904" s="83" t="s">
        <v>65</v>
      </c>
      <c r="F904" s="49" t="s">
        <v>286</v>
      </c>
      <c r="G904" s="60">
        <v>-1.9466666666666668</v>
      </c>
      <c r="I904" s="49">
        <v>1473</v>
      </c>
      <c r="J904" s="159">
        <v>4.4772036474164132</v>
      </c>
      <c r="K904" s="49">
        <v>1</v>
      </c>
      <c r="L904" s="49">
        <v>2</v>
      </c>
      <c r="M904" s="83">
        <v>1</v>
      </c>
      <c r="N904" s="49">
        <v>0</v>
      </c>
      <c r="O904" s="49">
        <v>0</v>
      </c>
      <c r="P904" s="49">
        <v>1</v>
      </c>
      <c r="Q904" s="58">
        <v>0</v>
      </c>
      <c r="R904" s="42">
        <v>2</v>
      </c>
      <c r="S904" s="83">
        <v>1</v>
      </c>
      <c r="U904" s="83">
        <v>1</v>
      </c>
      <c r="V904" s="49">
        <v>2</v>
      </c>
      <c r="W904" s="49">
        <v>1</v>
      </c>
      <c r="X904" s="58">
        <v>2</v>
      </c>
      <c r="Y904" s="83">
        <v>1</v>
      </c>
      <c r="AE904" s="49">
        <v>11</v>
      </c>
      <c r="AF904" s="49">
        <v>20</v>
      </c>
      <c r="AG904" s="49">
        <v>77</v>
      </c>
      <c r="AH904" s="49">
        <v>16</v>
      </c>
      <c r="AI904" s="49">
        <v>94</v>
      </c>
      <c r="AJ904" s="49">
        <v>0</v>
      </c>
      <c r="AK904" s="83">
        <v>0</v>
      </c>
      <c r="AL904" s="49">
        <v>1</v>
      </c>
      <c r="AM904" s="49">
        <v>0</v>
      </c>
      <c r="AN904" s="49">
        <v>0</v>
      </c>
      <c r="AO904" s="58">
        <v>0</v>
      </c>
      <c r="AP904" s="174">
        <v>0</v>
      </c>
      <c r="AQ904" s="175">
        <v>561</v>
      </c>
      <c r="AR904" s="175">
        <v>0</v>
      </c>
      <c r="AS904" s="175">
        <v>0</v>
      </c>
      <c r="AT904" s="175">
        <v>0</v>
      </c>
      <c r="AU904" s="175">
        <v>0</v>
      </c>
      <c r="AV904" s="175">
        <v>0</v>
      </c>
      <c r="AW904" s="175">
        <v>0</v>
      </c>
      <c r="AX904" s="83">
        <v>0</v>
      </c>
      <c r="AY904" s="49">
        <v>0</v>
      </c>
      <c r="AZ904" s="49">
        <v>0</v>
      </c>
      <c r="BA904" s="49">
        <v>0</v>
      </c>
      <c r="BB904" s="58">
        <v>0</v>
      </c>
      <c r="BC904" s="42">
        <v>120</v>
      </c>
      <c r="BE904" s="49"/>
      <c r="BS904" s="58"/>
      <c r="BT904" s="83"/>
      <c r="CE904" s="83"/>
      <c r="CK904" s="58"/>
      <c r="CL904" s="83"/>
      <c r="CO904" s="58"/>
      <c r="CP904" s="83"/>
      <c r="CR904" s="58"/>
      <c r="CS904" s="83"/>
      <c r="CY904" s="83"/>
      <c r="DG904" s="58"/>
      <c r="DH904" s="83"/>
      <c r="DQ904" s="83"/>
      <c r="EE904" s="58"/>
      <c r="EF904" s="83"/>
      <c r="EI904" s="83"/>
      <c r="EK904" s="58"/>
      <c r="EL904" s="83"/>
      <c r="EO904" s="58"/>
      <c r="EP904" s="83"/>
      <c r="EQ904" s="58"/>
      <c r="ER904" s="83"/>
      <c r="ES904" s="58"/>
      <c r="ET904" s="83"/>
      <c r="EU904" s="58"/>
    </row>
    <row r="905" spans="1:151">
      <c r="A905" s="42" t="s">
        <v>320</v>
      </c>
      <c r="B905" s="42" t="s">
        <v>531</v>
      </c>
      <c r="C905" s="173" t="s">
        <v>530</v>
      </c>
      <c r="D905" s="83" t="s">
        <v>66</v>
      </c>
      <c r="F905" s="49" t="s">
        <v>286</v>
      </c>
      <c r="G905" s="60">
        <v>-1.9466666666666668</v>
      </c>
      <c r="I905" s="49">
        <v>3219</v>
      </c>
      <c r="J905" s="159">
        <v>4.5920114122681879</v>
      </c>
      <c r="K905" s="49">
        <v>1</v>
      </c>
      <c r="L905" s="49">
        <v>3</v>
      </c>
      <c r="M905" s="83">
        <v>1</v>
      </c>
      <c r="N905" s="49">
        <v>0</v>
      </c>
      <c r="O905" s="49">
        <v>0</v>
      </c>
      <c r="P905" s="49">
        <v>1</v>
      </c>
      <c r="Q905" s="58">
        <v>0</v>
      </c>
      <c r="R905" s="42">
        <v>2</v>
      </c>
      <c r="S905" s="83">
        <v>1</v>
      </c>
      <c r="U905" s="83">
        <v>1</v>
      </c>
      <c r="V905" s="49">
        <v>3</v>
      </c>
      <c r="W905" s="49">
        <v>1</v>
      </c>
      <c r="X905" s="58">
        <v>2</v>
      </c>
      <c r="Y905" s="83">
        <v>1</v>
      </c>
      <c r="Z905" s="49">
        <v>4</v>
      </c>
      <c r="AA905" s="49">
        <v>7</v>
      </c>
      <c r="AD905" s="49">
        <v>14</v>
      </c>
      <c r="AE905" s="49">
        <v>220</v>
      </c>
      <c r="AJ905" s="49">
        <v>0</v>
      </c>
      <c r="AK905" s="83">
        <v>0</v>
      </c>
      <c r="AL905" s="49">
        <v>0</v>
      </c>
      <c r="AM905" s="49">
        <v>0</v>
      </c>
      <c r="AN905" s="49">
        <v>0</v>
      </c>
      <c r="AO905" s="58">
        <v>0</v>
      </c>
      <c r="AP905" s="174" t="s">
        <v>284</v>
      </c>
      <c r="AQ905" s="175" t="s">
        <v>284</v>
      </c>
      <c r="AR905" s="175" t="s">
        <v>284</v>
      </c>
      <c r="AS905" s="175" t="s">
        <v>284</v>
      </c>
      <c r="AT905" s="175" t="s">
        <v>284</v>
      </c>
      <c r="AU905" s="175" t="s">
        <v>284</v>
      </c>
      <c r="AV905" s="175" t="s">
        <v>284</v>
      </c>
      <c r="AW905" s="175" t="s">
        <v>284</v>
      </c>
      <c r="AX905" s="83">
        <v>0</v>
      </c>
      <c r="AY905" s="49">
        <v>0</v>
      </c>
      <c r="AZ905" s="49">
        <v>0</v>
      </c>
      <c r="BA905" s="49">
        <v>0</v>
      </c>
      <c r="BB905" s="58">
        <v>0</v>
      </c>
      <c r="BC905" s="42">
        <v>99</v>
      </c>
      <c r="BE905" s="49"/>
      <c r="BS905" s="58"/>
      <c r="BT905" s="83"/>
      <c r="CE905" s="83"/>
      <c r="CK905" s="58"/>
      <c r="CL905" s="83"/>
      <c r="CO905" s="58"/>
      <c r="CP905" s="83"/>
      <c r="CR905" s="58"/>
      <c r="CS905" s="83"/>
      <c r="CY905" s="83"/>
      <c r="DG905" s="58"/>
      <c r="DH905" s="83"/>
      <c r="DQ905" s="83"/>
      <c r="EE905" s="58"/>
      <c r="EF905" s="83"/>
      <c r="EI905" s="83"/>
      <c r="EK905" s="58"/>
      <c r="EL905" s="83"/>
      <c r="EO905" s="58"/>
      <c r="EP905" s="83"/>
      <c r="EQ905" s="58"/>
      <c r="ER905" s="83"/>
      <c r="ES905" s="58"/>
      <c r="ET905" s="83"/>
      <c r="EU905" s="58"/>
    </row>
    <row r="906" spans="1:151">
      <c r="A906" s="42" t="s">
        <v>320</v>
      </c>
      <c r="B906" s="42" t="s">
        <v>531</v>
      </c>
      <c r="C906" s="173" t="s">
        <v>530</v>
      </c>
      <c r="D906" s="83" t="s">
        <v>67</v>
      </c>
      <c r="E906" s="49" t="s">
        <v>0</v>
      </c>
      <c r="F906" s="49" t="s">
        <v>286</v>
      </c>
      <c r="G906" s="60">
        <v>-1.9466666666666668</v>
      </c>
      <c r="I906" s="49">
        <v>2404</v>
      </c>
      <c r="J906" s="159">
        <v>6.4972972972972975</v>
      </c>
      <c r="K906" s="49">
        <v>1</v>
      </c>
      <c r="L906" s="49">
        <v>2</v>
      </c>
      <c r="M906" s="83">
        <v>1</v>
      </c>
      <c r="N906" s="49">
        <v>0</v>
      </c>
      <c r="O906" s="49">
        <v>0</v>
      </c>
      <c r="P906" s="49">
        <v>0</v>
      </c>
      <c r="Q906" s="58">
        <v>0</v>
      </c>
      <c r="R906" s="42">
        <v>1</v>
      </c>
      <c r="S906" s="83">
        <v>1</v>
      </c>
      <c r="U906" s="83">
        <v>1</v>
      </c>
      <c r="V906" s="49">
        <v>5</v>
      </c>
      <c r="W906" s="49">
        <v>2</v>
      </c>
      <c r="X906" s="58"/>
      <c r="Y906" s="83">
        <v>1</v>
      </c>
      <c r="AE906" s="49">
        <v>104</v>
      </c>
      <c r="AG906" s="49">
        <v>207</v>
      </c>
      <c r="AJ906" s="49">
        <v>0</v>
      </c>
      <c r="AK906" s="83">
        <v>0</v>
      </c>
      <c r="AL906" s="49">
        <v>1</v>
      </c>
      <c r="AM906" s="49">
        <v>0</v>
      </c>
      <c r="AN906" s="49">
        <v>0</v>
      </c>
      <c r="AO906" s="58"/>
      <c r="AP906" s="174">
        <v>0</v>
      </c>
      <c r="AQ906" s="175">
        <v>890</v>
      </c>
      <c r="AR906" s="175">
        <v>0</v>
      </c>
      <c r="AS906" s="175">
        <v>0</v>
      </c>
      <c r="AT906" s="175">
        <v>0</v>
      </c>
      <c r="AU906" s="175">
        <v>0</v>
      </c>
      <c r="AV906" s="175">
        <v>0</v>
      </c>
      <c r="AW906" s="175">
        <v>0</v>
      </c>
      <c r="AX906" s="83">
        <v>0</v>
      </c>
      <c r="AY906" s="49">
        <v>0</v>
      </c>
      <c r="AZ906" s="49">
        <v>0</v>
      </c>
      <c r="BA906" s="49">
        <v>0</v>
      </c>
      <c r="BB906" s="58">
        <v>0</v>
      </c>
      <c r="BC906" s="42">
        <v>118</v>
      </c>
      <c r="BE906" s="49"/>
      <c r="BS906" s="58"/>
      <c r="BT906" s="83"/>
      <c r="CE906" s="83"/>
      <c r="CK906" s="58"/>
      <c r="CL906" s="83"/>
      <c r="CO906" s="58"/>
      <c r="CP906" s="83"/>
      <c r="CR906" s="58"/>
      <c r="CS906" s="83"/>
      <c r="CY906" s="83"/>
      <c r="DG906" s="58"/>
      <c r="DH906" s="83"/>
      <c r="DQ906" s="83"/>
      <c r="EE906" s="58"/>
      <c r="EF906" s="83"/>
      <c r="EI906" s="83"/>
      <c r="EK906" s="58"/>
      <c r="EL906" s="83"/>
      <c r="EO906" s="58"/>
      <c r="EP906" s="83"/>
      <c r="EQ906" s="58"/>
      <c r="ER906" s="83"/>
      <c r="ES906" s="58"/>
      <c r="ET906" s="83"/>
      <c r="EU906" s="58"/>
    </row>
    <row r="907" spans="1:151">
      <c r="A907" s="42" t="s">
        <v>320</v>
      </c>
      <c r="B907" s="42" t="s">
        <v>531</v>
      </c>
      <c r="C907" s="173" t="s">
        <v>530</v>
      </c>
      <c r="D907" s="83" t="s">
        <v>67</v>
      </c>
      <c r="E907" s="49" t="s">
        <v>1</v>
      </c>
      <c r="F907" s="49" t="s">
        <v>286</v>
      </c>
      <c r="G907" s="60">
        <v>-1.9466666666666668</v>
      </c>
      <c r="I907" s="49">
        <v>3248</v>
      </c>
      <c r="J907" s="159">
        <v>5.609671848013817</v>
      </c>
      <c r="K907" s="49">
        <v>2</v>
      </c>
      <c r="L907" s="49">
        <v>2</v>
      </c>
      <c r="M907" s="83">
        <v>1</v>
      </c>
      <c r="N907" s="49">
        <v>0</v>
      </c>
      <c r="O907" s="49">
        <v>0</v>
      </c>
      <c r="P907" s="49">
        <v>0</v>
      </c>
      <c r="Q907" s="58">
        <v>0</v>
      </c>
      <c r="R907" s="42">
        <v>1</v>
      </c>
      <c r="S907" s="83">
        <v>1</v>
      </c>
      <c r="U907" s="83">
        <v>0</v>
      </c>
      <c r="V907" s="49">
        <v>0</v>
      </c>
      <c r="W907" s="49">
        <v>0</v>
      </c>
      <c r="X907" s="58"/>
      <c r="Y907" s="83">
        <v>8</v>
      </c>
      <c r="AD907" s="49">
        <v>22</v>
      </c>
      <c r="AE907" s="49">
        <v>87</v>
      </c>
      <c r="AF907" s="49">
        <v>9</v>
      </c>
      <c r="AG907" s="49">
        <v>945</v>
      </c>
      <c r="AJ907" s="49">
        <v>0</v>
      </c>
      <c r="AK907" s="83">
        <v>0</v>
      </c>
      <c r="AM907" s="49">
        <v>0</v>
      </c>
      <c r="AO907" s="58">
        <v>0</v>
      </c>
      <c r="AP907" s="174">
        <v>0</v>
      </c>
      <c r="AQ907" s="175">
        <v>0</v>
      </c>
      <c r="AR907" s="175">
        <v>0</v>
      </c>
      <c r="AS907" s="175">
        <v>0</v>
      </c>
      <c r="AT907" s="175">
        <v>0</v>
      </c>
      <c r="AU907" s="175">
        <v>0</v>
      </c>
      <c r="AV907" s="175">
        <v>0</v>
      </c>
      <c r="AW907" s="175">
        <v>0</v>
      </c>
      <c r="AX907" s="83">
        <v>0</v>
      </c>
      <c r="AY907" s="49">
        <v>0</v>
      </c>
      <c r="AZ907" s="49">
        <v>0</v>
      </c>
      <c r="BA907" s="49">
        <v>0</v>
      </c>
      <c r="BB907" s="58">
        <v>0</v>
      </c>
      <c r="BC907" s="42">
        <v>118</v>
      </c>
      <c r="BE907" s="49"/>
      <c r="BS907" s="58"/>
      <c r="BT907" s="83">
        <v>67.05</v>
      </c>
      <c r="CE907" s="83">
        <v>64.31</v>
      </c>
      <c r="CF907" s="49">
        <v>66.66</v>
      </c>
      <c r="CG907" s="49">
        <v>65.87</v>
      </c>
      <c r="CK907" s="58"/>
      <c r="CL907" s="83"/>
      <c r="CO907" s="58"/>
      <c r="CP907" s="83"/>
      <c r="CR907" s="58"/>
      <c r="CS907" s="83"/>
      <c r="CY907" s="83"/>
      <c r="DG907" s="58"/>
      <c r="DH907" s="83"/>
      <c r="DQ907" s="83"/>
      <c r="EE907" s="58"/>
      <c r="EF907" s="83">
        <v>75.040000000000006</v>
      </c>
      <c r="EH907" s="49">
        <v>68.31</v>
      </c>
      <c r="EI907" s="83"/>
      <c r="EK907" s="58"/>
      <c r="EL907" s="83"/>
      <c r="EO907" s="58"/>
      <c r="EP907" s="83"/>
      <c r="EQ907" s="58"/>
      <c r="ER907" s="83"/>
      <c r="ES907" s="58"/>
      <c r="ET907" s="83"/>
      <c r="EU907" s="58"/>
    </row>
    <row r="908" spans="1:151">
      <c r="A908" s="42" t="s">
        <v>320</v>
      </c>
      <c r="B908" s="42" t="s">
        <v>531</v>
      </c>
      <c r="C908" s="173" t="s">
        <v>530</v>
      </c>
      <c r="D908" s="83" t="s">
        <v>69</v>
      </c>
      <c r="F908" s="49" t="s">
        <v>286</v>
      </c>
      <c r="G908" s="60">
        <v>-1.9466666666666668</v>
      </c>
      <c r="I908" s="49">
        <v>1497</v>
      </c>
      <c r="J908" s="159">
        <v>5.9880000000000004</v>
      </c>
      <c r="K908" s="49">
        <v>1</v>
      </c>
      <c r="L908" s="49">
        <v>2</v>
      </c>
      <c r="M908" s="83">
        <v>1</v>
      </c>
      <c r="N908" s="49">
        <v>0</v>
      </c>
      <c r="O908" s="49">
        <v>0</v>
      </c>
      <c r="P908" s="49">
        <v>1</v>
      </c>
      <c r="Q908" s="58">
        <v>0</v>
      </c>
      <c r="R908" s="42">
        <v>2</v>
      </c>
      <c r="S908" s="83">
        <v>1</v>
      </c>
      <c r="U908" s="83">
        <v>1</v>
      </c>
      <c r="V908" s="49">
        <v>2</v>
      </c>
      <c r="W908" s="49">
        <v>1</v>
      </c>
      <c r="X908" s="58">
        <v>2</v>
      </c>
      <c r="Y908" s="83">
        <v>1</v>
      </c>
      <c r="AD908" s="49">
        <v>38</v>
      </c>
      <c r="AE908" s="49">
        <v>136</v>
      </c>
      <c r="AG908" s="49">
        <v>21</v>
      </c>
      <c r="AJ908" s="49">
        <v>0</v>
      </c>
      <c r="AK908" s="83">
        <v>0</v>
      </c>
      <c r="AL908" s="49">
        <v>1</v>
      </c>
      <c r="AM908" s="49">
        <v>0</v>
      </c>
      <c r="AN908" s="49">
        <v>0</v>
      </c>
      <c r="AO908" s="58">
        <v>0</v>
      </c>
      <c r="AP908" s="174">
        <v>0</v>
      </c>
      <c r="AQ908" s="175">
        <v>313</v>
      </c>
      <c r="AR908" s="175">
        <v>0</v>
      </c>
      <c r="AS908" s="175">
        <v>0</v>
      </c>
      <c r="AT908" s="175">
        <v>0</v>
      </c>
      <c r="AU908" s="175">
        <v>0</v>
      </c>
      <c r="AV908" s="175">
        <v>0</v>
      </c>
      <c r="AW908" s="175">
        <v>0</v>
      </c>
      <c r="AX908" s="83">
        <v>0</v>
      </c>
      <c r="AY908" s="49">
        <v>0</v>
      </c>
      <c r="AZ908" s="49">
        <v>0</v>
      </c>
      <c r="BA908" s="49">
        <v>0</v>
      </c>
      <c r="BB908" s="58">
        <v>0</v>
      </c>
      <c r="BC908" s="42">
        <v>117</v>
      </c>
      <c r="BE908" s="49"/>
      <c r="BS908" s="58"/>
      <c r="BT908" s="83"/>
      <c r="CE908" s="83"/>
      <c r="CK908" s="58"/>
      <c r="CL908" s="83"/>
      <c r="CO908" s="58"/>
      <c r="CP908" s="83"/>
      <c r="CR908" s="58"/>
      <c r="CS908" s="83"/>
      <c r="CY908" s="83"/>
      <c r="DG908" s="58"/>
      <c r="DH908" s="83"/>
      <c r="DQ908" s="83"/>
      <c r="EE908" s="58"/>
      <c r="EF908" s="83"/>
      <c r="EI908" s="83"/>
      <c r="EK908" s="58"/>
      <c r="EL908" s="83"/>
      <c r="EO908" s="58"/>
      <c r="EP908" s="83"/>
      <c r="EQ908" s="58"/>
      <c r="ER908" s="83"/>
      <c r="ES908" s="58"/>
      <c r="ET908" s="83"/>
      <c r="EU908" s="58"/>
    </row>
    <row r="909" spans="1:151">
      <c r="A909" s="42" t="s">
        <v>320</v>
      </c>
      <c r="B909" s="42" t="s">
        <v>531</v>
      </c>
      <c r="C909" s="173" t="s">
        <v>530</v>
      </c>
      <c r="D909" s="83" t="s">
        <v>74</v>
      </c>
      <c r="F909" s="49" t="s">
        <v>286</v>
      </c>
      <c r="G909" s="60">
        <v>-1.9466666666666668</v>
      </c>
      <c r="I909" s="49">
        <v>1442</v>
      </c>
      <c r="J909" s="159">
        <v>5.0954063604240281</v>
      </c>
      <c r="K909" s="49">
        <v>1</v>
      </c>
      <c r="L909" s="49">
        <v>2</v>
      </c>
      <c r="M909" s="83">
        <v>1</v>
      </c>
      <c r="N909" s="49">
        <v>0</v>
      </c>
      <c r="O909" s="49">
        <v>0</v>
      </c>
      <c r="P909" s="49">
        <v>1</v>
      </c>
      <c r="Q909" s="58">
        <v>0</v>
      </c>
      <c r="R909" s="42">
        <v>2</v>
      </c>
      <c r="S909" s="83">
        <v>1</v>
      </c>
      <c r="U909" s="83">
        <v>1</v>
      </c>
      <c r="V909" s="49">
        <v>2</v>
      </c>
      <c r="W909" s="49">
        <v>1</v>
      </c>
      <c r="X909" s="58">
        <v>2</v>
      </c>
      <c r="Y909" s="83">
        <v>1</v>
      </c>
      <c r="AD909" s="49">
        <v>36</v>
      </c>
      <c r="AE909" s="49">
        <v>65</v>
      </c>
      <c r="AJ909" s="49">
        <v>0</v>
      </c>
      <c r="AK909" s="83">
        <v>0</v>
      </c>
      <c r="AL909" s="49">
        <v>1</v>
      </c>
      <c r="AM909" s="49">
        <v>1</v>
      </c>
      <c r="AN909" s="49">
        <v>0</v>
      </c>
      <c r="AO909" s="58">
        <v>0</v>
      </c>
      <c r="AP909" s="174">
        <v>0</v>
      </c>
      <c r="AQ909" s="175">
        <v>842</v>
      </c>
      <c r="AR909" s="175">
        <v>0</v>
      </c>
      <c r="AS909" s="175">
        <v>50</v>
      </c>
      <c r="AT909" s="175">
        <v>0</v>
      </c>
      <c r="AU909" s="175">
        <v>0</v>
      </c>
      <c r="AV909" s="175">
        <v>0</v>
      </c>
      <c r="AW909" s="175">
        <v>0</v>
      </c>
      <c r="AX909" s="83">
        <v>0</v>
      </c>
      <c r="AY909" s="49">
        <v>0</v>
      </c>
      <c r="AZ909" s="49">
        <v>0</v>
      </c>
      <c r="BA909" s="49">
        <v>0</v>
      </c>
      <c r="BB909" s="58">
        <v>0</v>
      </c>
      <c r="BC909" s="42">
        <v>86</v>
      </c>
      <c r="BD909" s="49">
        <v>64.72</v>
      </c>
      <c r="BE909" s="49"/>
      <c r="BS909" s="58"/>
      <c r="BT909" s="83">
        <v>68.5</v>
      </c>
      <c r="BU909" s="49">
        <v>65.97</v>
      </c>
      <c r="CE909" s="83"/>
      <c r="CK909" s="58"/>
      <c r="CL909" s="83"/>
      <c r="CO909" s="58"/>
      <c r="CP909" s="83"/>
      <c r="CR909" s="58"/>
      <c r="CS909" s="83"/>
      <c r="CY909" s="83"/>
      <c r="DG909" s="58"/>
      <c r="DH909" s="83"/>
      <c r="DQ909" s="83"/>
      <c r="EE909" s="58"/>
      <c r="EF909" s="83"/>
      <c r="EI909" s="83"/>
      <c r="EK909" s="58"/>
      <c r="EL909" s="83"/>
      <c r="EO909" s="58"/>
      <c r="EP909" s="83"/>
      <c r="EQ909" s="58"/>
      <c r="ER909" s="83"/>
      <c r="ES909" s="58"/>
      <c r="ET909" s="83"/>
      <c r="EU909" s="58"/>
    </row>
    <row r="910" spans="1:151">
      <c r="A910" s="42" t="s">
        <v>320</v>
      </c>
      <c r="B910" s="42" t="s">
        <v>531</v>
      </c>
      <c r="C910" s="173" t="s">
        <v>530</v>
      </c>
      <c r="D910" s="83" t="s">
        <v>75</v>
      </c>
      <c r="F910" s="49" t="s">
        <v>287</v>
      </c>
      <c r="G910" s="60">
        <v>-1.9466666666666668</v>
      </c>
      <c r="I910" s="49">
        <v>466</v>
      </c>
      <c r="J910" s="159">
        <v>2.6179775280898876</v>
      </c>
      <c r="K910" s="49">
        <v>1</v>
      </c>
      <c r="L910" s="49">
        <v>1</v>
      </c>
      <c r="M910" s="83">
        <v>1</v>
      </c>
      <c r="N910" s="49">
        <v>0</v>
      </c>
      <c r="O910" s="49">
        <v>0</v>
      </c>
      <c r="P910" s="49">
        <v>1</v>
      </c>
      <c r="Q910" s="58">
        <v>0</v>
      </c>
      <c r="R910" s="42">
        <v>2</v>
      </c>
      <c r="S910" s="83" t="s">
        <v>284</v>
      </c>
      <c r="U910" s="83">
        <v>1</v>
      </c>
      <c r="V910" s="49">
        <v>3</v>
      </c>
      <c r="W910" s="49">
        <v>1</v>
      </c>
      <c r="X910" s="58">
        <v>2</v>
      </c>
      <c r="Y910" s="83">
        <v>0</v>
      </c>
      <c r="AJ910" s="49">
        <v>0</v>
      </c>
      <c r="AK910" s="83">
        <v>0</v>
      </c>
      <c r="AL910" s="49">
        <v>0</v>
      </c>
      <c r="AM910" s="49">
        <v>0</v>
      </c>
      <c r="AN910" s="49">
        <v>0</v>
      </c>
      <c r="AO910" s="58">
        <v>0</v>
      </c>
      <c r="AP910" s="174" t="s">
        <v>284</v>
      </c>
      <c r="AQ910" s="175" t="s">
        <v>284</v>
      </c>
      <c r="AR910" s="175" t="s">
        <v>284</v>
      </c>
      <c r="AS910" s="175" t="s">
        <v>284</v>
      </c>
      <c r="AT910" s="175" t="s">
        <v>284</v>
      </c>
      <c r="AU910" s="175" t="s">
        <v>284</v>
      </c>
      <c r="AV910" s="175" t="s">
        <v>284</v>
      </c>
      <c r="AW910" s="175" t="s">
        <v>284</v>
      </c>
      <c r="AX910" s="83">
        <v>0</v>
      </c>
      <c r="AY910" s="49">
        <v>0</v>
      </c>
      <c r="AZ910" s="49">
        <v>0</v>
      </c>
      <c r="BA910" s="49">
        <v>0</v>
      </c>
      <c r="BB910" s="58">
        <v>0</v>
      </c>
      <c r="BC910" s="42">
        <v>105</v>
      </c>
      <c r="BD910" s="49">
        <v>64.19</v>
      </c>
      <c r="BE910" s="49"/>
      <c r="BS910" s="58"/>
      <c r="BT910" s="83">
        <v>64.63</v>
      </c>
      <c r="BU910" s="49">
        <v>68.790000000000006</v>
      </c>
      <c r="CE910" s="83">
        <v>67.37</v>
      </c>
      <c r="CF910" s="49">
        <v>67.72</v>
      </c>
      <c r="CK910" s="58"/>
      <c r="CL910" s="83"/>
      <c r="CO910" s="58"/>
      <c r="CP910" s="83"/>
      <c r="CR910" s="58"/>
      <c r="CS910" s="83"/>
      <c r="CY910" s="83"/>
      <c r="DG910" s="58"/>
      <c r="DH910" s="83"/>
      <c r="DQ910" s="83"/>
      <c r="EE910" s="58"/>
      <c r="EF910" s="83"/>
      <c r="EI910" s="83"/>
      <c r="EK910" s="58"/>
      <c r="EL910" s="83"/>
      <c r="EO910" s="58"/>
      <c r="EP910" s="83"/>
      <c r="EQ910" s="58"/>
      <c r="ER910" s="83"/>
      <c r="ES910" s="58"/>
      <c r="ET910" s="83"/>
      <c r="EU910" s="58"/>
    </row>
    <row r="911" spans="1:151" ht="17" thickBot="1">
      <c r="A911" s="55" t="s">
        <v>320</v>
      </c>
      <c r="B911" s="55" t="s">
        <v>531</v>
      </c>
      <c r="C911" s="47" t="s">
        <v>530</v>
      </c>
      <c r="D911" s="84" t="s">
        <v>76</v>
      </c>
      <c r="E911" s="57"/>
      <c r="F911" s="57" t="s">
        <v>286</v>
      </c>
      <c r="G911" s="74">
        <v>-1.9466666666666668</v>
      </c>
      <c r="H911" s="57"/>
      <c r="I911" s="57">
        <v>1609</v>
      </c>
      <c r="J911" s="75">
        <v>6.1884615384615387</v>
      </c>
      <c r="K911" s="57">
        <v>1</v>
      </c>
      <c r="L911" s="57">
        <v>2</v>
      </c>
      <c r="M911" s="84">
        <v>1</v>
      </c>
      <c r="N911" s="57">
        <v>0</v>
      </c>
      <c r="O911" s="57">
        <v>0</v>
      </c>
      <c r="P911" s="57">
        <v>1</v>
      </c>
      <c r="Q911" s="56">
        <v>0</v>
      </c>
      <c r="R911" s="55">
        <v>2</v>
      </c>
      <c r="S911" s="84">
        <v>1</v>
      </c>
      <c r="T911" s="57"/>
      <c r="U911" s="84">
        <v>0</v>
      </c>
      <c r="V911" s="57">
        <v>0</v>
      </c>
      <c r="W911" s="57">
        <v>0</v>
      </c>
      <c r="X911" s="56"/>
      <c r="Y911" s="84">
        <v>1</v>
      </c>
      <c r="Z911" s="57"/>
      <c r="AA911" s="57"/>
      <c r="AB911" s="57"/>
      <c r="AC911" s="57"/>
      <c r="AD911" s="57">
        <v>21</v>
      </c>
      <c r="AE911" s="57">
        <v>77</v>
      </c>
      <c r="AF911" s="57"/>
      <c r="AG911" s="57">
        <v>357</v>
      </c>
      <c r="AH911" s="57"/>
      <c r="AI911" s="57">
        <v>92</v>
      </c>
      <c r="AJ911" s="57">
        <v>0</v>
      </c>
      <c r="AK911" s="84">
        <v>0</v>
      </c>
      <c r="AL911" s="57">
        <v>1</v>
      </c>
      <c r="AM911" s="57">
        <v>0</v>
      </c>
      <c r="AN911" s="57">
        <v>0</v>
      </c>
      <c r="AO911" s="56">
        <v>0</v>
      </c>
      <c r="AP911" s="178">
        <v>178</v>
      </c>
      <c r="AQ911" s="179">
        <v>349</v>
      </c>
      <c r="AR911" s="179">
        <v>0</v>
      </c>
      <c r="AS911" s="179">
        <v>63</v>
      </c>
      <c r="AT911" s="179">
        <v>0</v>
      </c>
      <c r="AU911" s="179">
        <v>0</v>
      </c>
      <c r="AV911" s="179">
        <v>0</v>
      </c>
      <c r="AW911" s="179">
        <v>0</v>
      </c>
      <c r="AX911" s="84">
        <v>0</v>
      </c>
      <c r="AY911" s="57">
        <v>0</v>
      </c>
      <c r="AZ911" s="57">
        <v>0</v>
      </c>
      <c r="BA911" s="57">
        <v>0</v>
      </c>
      <c r="BB911" s="56">
        <v>0</v>
      </c>
      <c r="BC911" s="55">
        <v>98</v>
      </c>
      <c r="BD911" s="57"/>
      <c r="BE911" s="57"/>
      <c r="BF911" s="57"/>
      <c r="BG911" s="57"/>
      <c r="BH911" s="57"/>
      <c r="BI911" s="57"/>
      <c r="BJ911" s="57"/>
      <c r="BK911" s="57"/>
      <c r="BL911" s="57"/>
      <c r="BM911" s="57"/>
      <c r="BN911" s="57"/>
      <c r="BO911" s="57"/>
      <c r="BP911" s="57"/>
      <c r="BQ911" s="57"/>
      <c r="BR911" s="57"/>
      <c r="BS911" s="56"/>
      <c r="BT911" s="84"/>
      <c r="BU911" s="57"/>
      <c r="BV911" s="57"/>
      <c r="BW911" s="57"/>
      <c r="BX911" s="57"/>
      <c r="BY911" s="57"/>
      <c r="BZ911" s="57"/>
      <c r="CA911" s="57"/>
      <c r="CB911" s="57"/>
      <c r="CC911" s="57"/>
      <c r="CD911" s="57"/>
      <c r="CE911" s="84"/>
      <c r="CF911" s="57"/>
      <c r="CG911" s="57"/>
      <c r="CH911" s="57"/>
      <c r="CI911" s="57"/>
      <c r="CJ911" s="57"/>
      <c r="CK911" s="56"/>
      <c r="CL911" s="84"/>
      <c r="CM911" s="57"/>
      <c r="CN911" s="57"/>
      <c r="CO911" s="56"/>
      <c r="CP911" s="84"/>
      <c r="CQ911" s="57"/>
      <c r="CR911" s="56"/>
      <c r="CS911" s="84"/>
      <c r="CT911" s="57"/>
      <c r="CU911" s="57"/>
      <c r="CV911" s="57"/>
      <c r="CW911" s="57"/>
      <c r="CX911" s="57"/>
      <c r="CY911" s="84"/>
      <c r="CZ911" s="57"/>
      <c r="DA911" s="57"/>
      <c r="DB911" s="57"/>
      <c r="DC911" s="57"/>
      <c r="DD911" s="57"/>
      <c r="DE911" s="57"/>
      <c r="DF911" s="57"/>
      <c r="DG911" s="56"/>
      <c r="DH911" s="84"/>
      <c r="DI911" s="57"/>
      <c r="DJ911" s="57"/>
      <c r="DK911" s="57"/>
      <c r="DL911" s="57"/>
      <c r="DM911" s="57"/>
      <c r="DN911" s="57"/>
      <c r="DO911" s="57"/>
      <c r="DP911" s="57"/>
      <c r="DQ911" s="84"/>
      <c r="DR911" s="57"/>
      <c r="DS911" s="57"/>
      <c r="DT911" s="57"/>
      <c r="DU911" s="57"/>
      <c r="DV911" s="57"/>
      <c r="DW911" s="57"/>
      <c r="DX911" s="57"/>
      <c r="DY911" s="57"/>
      <c r="DZ911" s="57"/>
      <c r="EA911" s="57"/>
      <c r="EB911" s="57"/>
      <c r="EC911" s="57"/>
      <c r="ED911" s="57"/>
      <c r="EE911" s="56"/>
      <c r="EF911" s="84"/>
      <c r="EG911" s="57"/>
      <c r="EH911" s="57"/>
      <c r="EI911" s="84"/>
      <c r="EJ911" s="57"/>
      <c r="EK911" s="56"/>
      <c r="EL911" s="84"/>
      <c r="EM911" s="57"/>
      <c r="EN911" s="57"/>
      <c r="EO911" s="56"/>
      <c r="EP911" s="84"/>
      <c r="EQ911" s="56"/>
      <c r="ER911" s="84"/>
      <c r="ES911" s="56"/>
      <c r="ET911" s="84"/>
      <c r="EU911" s="56"/>
    </row>
    <row r="912" spans="1:151">
      <c r="A912" s="83" t="s">
        <v>320</v>
      </c>
      <c r="B912" s="87" t="s">
        <v>532</v>
      </c>
      <c r="C912" s="7" t="s">
        <v>530</v>
      </c>
      <c r="D912" s="147" t="s">
        <v>68</v>
      </c>
      <c r="E912" s="148"/>
      <c r="F912" s="148" t="s">
        <v>286</v>
      </c>
      <c r="G912" s="73">
        <v>-1.9466666666666668</v>
      </c>
      <c r="H912" s="148"/>
      <c r="I912" s="148">
        <v>1372</v>
      </c>
      <c r="J912" s="158">
        <v>1.0021913805697589</v>
      </c>
      <c r="K912" s="148">
        <v>4</v>
      </c>
      <c r="L912" s="148">
        <v>4</v>
      </c>
      <c r="M912" s="147">
        <v>0</v>
      </c>
      <c r="N912" s="148">
        <v>4</v>
      </c>
      <c r="O912" s="148">
        <v>0</v>
      </c>
      <c r="P912" s="148">
        <v>0</v>
      </c>
      <c r="Q912" s="149">
        <v>0</v>
      </c>
      <c r="R912" s="87">
        <v>4</v>
      </c>
      <c r="S912" s="147" t="s">
        <v>283</v>
      </c>
      <c r="T912" s="148">
        <v>24</v>
      </c>
      <c r="U912" s="147">
        <v>1</v>
      </c>
      <c r="V912" s="148">
        <v>4</v>
      </c>
      <c r="W912" s="148">
        <v>2</v>
      </c>
      <c r="X912" s="149"/>
      <c r="Y912" s="147">
        <v>1</v>
      </c>
      <c r="Z912" s="148">
        <v>13</v>
      </c>
      <c r="AA912" s="148">
        <v>24</v>
      </c>
      <c r="AB912" s="148"/>
      <c r="AC912" s="148"/>
      <c r="AD912" s="148">
        <v>8</v>
      </c>
      <c r="AE912" s="148">
        <v>59</v>
      </c>
      <c r="AF912" s="148">
        <v>10</v>
      </c>
      <c r="AG912" s="148">
        <v>48</v>
      </c>
      <c r="AH912" s="148"/>
      <c r="AI912" s="148">
        <v>37</v>
      </c>
      <c r="AJ912" s="148">
        <v>0</v>
      </c>
      <c r="AK912" s="147">
        <v>0</v>
      </c>
      <c r="AL912" s="148">
        <v>0</v>
      </c>
      <c r="AM912" s="148">
        <v>0</v>
      </c>
      <c r="AN912" s="148">
        <v>0</v>
      </c>
      <c r="AO912" s="149">
        <v>0</v>
      </c>
      <c r="AP912" s="169" t="s">
        <v>284</v>
      </c>
      <c r="AQ912" s="170" t="s">
        <v>284</v>
      </c>
      <c r="AR912" s="170" t="s">
        <v>284</v>
      </c>
      <c r="AS912" s="170" t="s">
        <v>284</v>
      </c>
      <c r="AT912" s="170" t="s">
        <v>284</v>
      </c>
      <c r="AU912" s="170" t="s">
        <v>284</v>
      </c>
      <c r="AV912" s="170" t="s">
        <v>284</v>
      </c>
      <c r="AW912" s="170" t="s">
        <v>284</v>
      </c>
      <c r="AX912" s="147">
        <v>0</v>
      </c>
      <c r="AY912" s="148">
        <v>0</v>
      </c>
      <c r="AZ912" s="148">
        <v>0</v>
      </c>
      <c r="BA912" s="148">
        <v>0</v>
      </c>
      <c r="BB912" s="149">
        <v>0</v>
      </c>
      <c r="BC912" s="87">
        <v>102</v>
      </c>
      <c r="BD912" s="148"/>
      <c r="BE912" s="148"/>
      <c r="BF912" s="148"/>
      <c r="BG912" s="148"/>
      <c r="BH912" s="148"/>
      <c r="BI912" s="148"/>
      <c r="BJ912" s="148"/>
      <c r="BK912" s="148"/>
      <c r="BL912" s="148"/>
      <c r="BM912" s="148"/>
      <c r="BN912" s="148"/>
      <c r="BO912" s="148"/>
      <c r="BP912" s="148"/>
      <c r="BQ912" s="148"/>
      <c r="BR912" s="148"/>
      <c r="BS912" s="149"/>
      <c r="BT912" s="147"/>
      <c r="BU912" s="148"/>
      <c r="BV912" s="148"/>
      <c r="BW912" s="148"/>
      <c r="BX912" s="148"/>
      <c r="BY912" s="148"/>
      <c r="BZ912" s="148"/>
      <c r="CA912" s="148"/>
      <c r="CB912" s="148"/>
      <c r="CC912" s="148"/>
      <c r="CD912" s="148"/>
      <c r="CE912" s="147"/>
      <c r="CF912" s="148"/>
      <c r="CG912" s="148"/>
      <c r="CH912" s="148"/>
      <c r="CI912" s="148"/>
      <c r="CJ912" s="148"/>
      <c r="CK912" s="149"/>
      <c r="CL912" s="147"/>
      <c r="CM912" s="148"/>
      <c r="CN912" s="148"/>
      <c r="CO912" s="149"/>
      <c r="CP912" s="147"/>
      <c r="CQ912" s="148"/>
      <c r="CR912" s="149"/>
      <c r="CS912" s="147"/>
      <c r="CT912" s="148"/>
      <c r="CU912" s="148"/>
      <c r="CV912" s="148"/>
      <c r="CW912" s="148"/>
      <c r="CX912" s="148"/>
      <c r="CY912" s="147"/>
      <c r="CZ912" s="148"/>
      <c r="DA912" s="148"/>
      <c r="DB912" s="148"/>
      <c r="DC912" s="148"/>
      <c r="DD912" s="148"/>
      <c r="DE912" s="148"/>
      <c r="DF912" s="148"/>
      <c r="DG912" s="149"/>
      <c r="DH912" s="147"/>
      <c r="DI912" s="148"/>
      <c r="DJ912" s="148"/>
      <c r="DK912" s="148"/>
      <c r="DL912" s="148"/>
      <c r="DM912" s="148"/>
      <c r="DN912" s="148"/>
      <c r="DO912" s="148"/>
      <c r="DP912" s="148"/>
      <c r="DQ912" s="147"/>
      <c r="DR912" s="148"/>
      <c r="DS912" s="148"/>
      <c r="DT912" s="148"/>
      <c r="DU912" s="148"/>
      <c r="DV912" s="148"/>
      <c r="DW912" s="148"/>
      <c r="DX912" s="148"/>
      <c r="DY912" s="148"/>
      <c r="DZ912" s="148"/>
      <c r="EA912" s="148"/>
      <c r="EB912" s="148"/>
      <c r="EC912" s="148"/>
      <c r="ED912" s="148"/>
      <c r="EE912" s="149"/>
      <c r="EF912" s="147"/>
      <c r="EG912" s="148"/>
      <c r="EH912" s="148"/>
      <c r="EI912" s="147"/>
      <c r="EJ912" s="148"/>
      <c r="EK912" s="149"/>
      <c r="EL912" s="147"/>
      <c r="EM912" s="148"/>
      <c r="EN912" s="148"/>
      <c r="EO912" s="149"/>
      <c r="EP912" s="147"/>
      <c r="EQ912" s="149"/>
      <c r="ER912" s="147"/>
      <c r="ES912" s="149"/>
      <c r="ET912" s="147"/>
      <c r="EU912" s="149"/>
    </row>
    <row r="913" spans="1:151">
      <c r="A913" s="83" t="s">
        <v>320</v>
      </c>
      <c r="B913" s="42" t="s">
        <v>532</v>
      </c>
      <c r="C913" s="173" t="s">
        <v>530</v>
      </c>
      <c r="D913" s="83" t="s">
        <v>67</v>
      </c>
      <c r="F913" s="49" t="s">
        <v>287</v>
      </c>
      <c r="G913" s="60">
        <v>-1.9466666666666668</v>
      </c>
      <c r="I913" s="49">
        <v>814</v>
      </c>
      <c r="J913" s="159">
        <v>1</v>
      </c>
      <c r="K913" s="49">
        <v>1</v>
      </c>
      <c r="L913" s="49">
        <v>2</v>
      </c>
      <c r="M913" s="83">
        <v>1</v>
      </c>
      <c r="N913" s="49">
        <v>0</v>
      </c>
      <c r="O913" s="49">
        <v>1</v>
      </c>
      <c r="P913" s="49">
        <v>1</v>
      </c>
      <c r="Q913" s="58">
        <v>0</v>
      </c>
      <c r="R913" s="42">
        <v>3</v>
      </c>
      <c r="S913" s="83">
        <v>1</v>
      </c>
      <c r="U913" s="83">
        <v>1</v>
      </c>
      <c r="V913" s="49">
        <v>3</v>
      </c>
      <c r="W913" s="49">
        <v>1</v>
      </c>
      <c r="X913" s="58">
        <v>2</v>
      </c>
      <c r="Y913" s="83">
        <v>0</v>
      </c>
      <c r="AJ913" s="49">
        <v>0</v>
      </c>
      <c r="AK913" s="83">
        <v>0</v>
      </c>
      <c r="AL913" s="49">
        <v>1</v>
      </c>
      <c r="AM913" s="49">
        <v>0</v>
      </c>
      <c r="AN913" s="49">
        <v>0</v>
      </c>
      <c r="AO913" s="58">
        <v>0</v>
      </c>
      <c r="AP913" s="174">
        <v>747</v>
      </c>
      <c r="AQ913" s="175">
        <v>1054</v>
      </c>
      <c r="AR913" s="175">
        <v>0</v>
      </c>
      <c r="AS913" s="175">
        <v>0</v>
      </c>
      <c r="AT913" s="175">
        <v>0</v>
      </c>
      <c r="AU913" s="175">
        <v>0</v>
      </c>
      <c r="AV913" s="175">
        <v>0</v>
      </c>
      <c r="AW913" s="175">
        <v>0</v>
      </c>
      <c r="AX913" s="83">
        <v>0</v>
      </c>
      <c r="AY913" s="49">
        <v>0</v>
      </c>
      <c r="AZ913" s="49">
        <v>0</v>
      </c>
      <c r="BA913" s="49">
        <v>0</v>
      </c>
      <c r="BB913" s="58">
        <v>0</v>
      </c>
      <c r="BC913" s="42">
        <v>129</v>
      </c>
      <c r="BE913" s="49"/>
      <c r="BS913" s="58"/>
      <c r="BT913" s="83"/>
      <c r="CE913" s="83"/>
      <c r="CK913" s="58"/>
      <c r="CL913" s="83"/>
      <c r="CO913" s="58"/>
      <c r="CP913" s="83"/>
      <c r="CR913" s="58"/>
      <c r="CS913" s="83"/>
      <c r="CY913" s="83"/>
      <c r="DG913" s="58"/>
      <c r="DH913" s="83"/>
      <c r="DQ913" s="83"/>
      <c r="EE913" s="58"/>
      <c r="EF913" s="83"/>
      <c r="EI913" s="83"/>
      <c r="EK913" s="58"/>
      <c r="EL913" s="83"/>
      <c r="EO913" s="58"/>
      <c r="EP913" s="83"/>
      <c r="EQ913" s="58"/>
      <c r="ER913" s="83"/>
      <c r="ES913" s="58"/>
      <c r="ET913" s="83"/>
      <c r="EU913" s="58"/>
    </row>
    <row r="914" spans="1:151">
      <c r="A914" s="83" t="s">
        <v>320</v>
      </c>
      <c r="B914" s="42" t="s">
        <v>532</v>
      </c>
      <c r="C914" s="173" t="s">
        <v>530</v>
      </c>
      <c r="D914" s="83" t="s">
        <v>265</v>
      </c>
      <c r="F914" s="49" t="s">
        <v>286</v>
      </c>
      <c r="G914" s="60">
        <v>-1.9466666666666668</v>
      </c>
      <c r="I914" s="49">
        <v>3569</v>
      </c>
      <c r="J914" s="159">
        <v>7.9843400447427291</v>
      </c>
      <c r="K914" s="49">
        <v>1</v>
      </c>
      <c r="L914" s="49">
        <v>3</v>
      </c>
      <c r="M914" s="83">
        <v>1</v>
      </c>
      <c r="N914" s="49">
        <v>0</v>
      </c>
      <c r="O914" s="49">
        <v>2</v>
      </c>
      <c r="P914" s="49">
        <v>1</v>
      </c>
      <c r="Q914" s="58">
        <v>0</v>
      </c>
      <c r="R914" s="42">
        <v>4</v>
      </c>
      <c r="S914" s="83">
        <v>1</v>
      </c>
      <c r="T914" s="49">
        <v>5</v>
      </c>
      <c r="U914" s="83">
        <v>1</v>
      </c>
      <c r="V914" s="49">
        <v>3</v>
      </c>
      <c r="W914" s="49">
        <v>1</v>
      </c>
      <c r="X914" s="58">
        <v>2</v>
      </c>
      <c r="Y914" s="83">
        <v>1</v>
      </c>
      <c r="AA914" s="49">
        <v>6</v>
      </c>
      <c r="AE914" s="49">
        <v>73</v>
      </c>
      <c r="AI914" s="49">
        <v>69</v>
      </c>
      <c r="AJ914" s="49">
        <v>0</v>
      </c>
      <c r="AK914" s="83">
        <v>0</v>
      </c>
      <c r="AL914" s="49">
        <v>1</v>
      </c>
      <c r="AM914" s="49">
        <v>0</v>
      </c>
      <c r="AN914" s="49">
        <v>0</v>
      </c>
      <c r="AO914" s="58">
        <v>0</v>
      </c>
      <c r="AP914" s="174">
        <v>292</v>
      </c>
      <c r="AQ914" s="175">
        <v>1101</v>
      </c>
      <c r="AR914" s="175">
        <v>0</v>
      </c>
      <c r="AS914" s="175">
        <v>345</v>
      </c>
      <c r="AT914" s="175">
        <v>0</v>
      </c>
      <c r="AU914" s="175">
        <v>0</v>
      </c>
      <c r="AV914" s="175">
        <v>0</v>
      </c>
      <c r="AW914" s="175">
        <v>0</v>
      </c>
      <c r="AX914" s="83">
        <v>0</v>
      </c>
      <c r="AY914" s="49">
        <v>0</v>
      </c>
      <c r="AZ914" s="49">
        <v>0</v>
      </c>
      <c r="BA914" s="49">
        <v>0</v>
      </c>
      <c r="BB914" s="58">
        <v>0</v>
      </c>
      <c r="BC914" s="42">
        <v>142</v>
      </c>
      <c r="BD914" s="49">
        <v>66.760000000000005</v>
      </c>
      <c r="BE914" s="49"/>
      <c r="BS914" s="58"/>
      <c r="BT914" s="83">
        <v>71.88</v>
      </c>
      <c r="CE914" s="83">
        <v>65.09</v>
      </c>
      <c r="CK914" s="58"/>
      <c r="CL914" s="83"/>
      <c r="CO914" s="58"/>
      <c r="CP914" s="83"/>
      <c r="CR914" s="58"/>
      <c r="CS914" s="83"/>
      <c r="CY914" s="83"/>
      <c r="DG914" s="58"/>
      <c r="DH914" s="83"/>
      <c r="DQ914" s="83"/>
      <c r="EE914" s="58"/>
      <c r="EF914" s="83"/>
      <c r="EI914" s="83">
        <v>65.11</v>
      </c>
      <c r="EK914" s="58"/>
      <c r="EL914" s="83"/>
      <c r="EO914" s="58"/>
      <c r="EP914" s="83"/>
      <c r="EQ914" s="58"/>
      <c r="ER914" s="83"/>
      <c r="ES914" s="58"/>
      <c r="ET914" s="83"/>
      <c r="EU914" s="58"/>
    </row>
    <row r="915" spans="1:151">
      <c r="A915" s="83" t="s">
        <v>320</v>
      </c>
      <c r="B915" s="42" t="s">
        <v>532</v>
      </c>
      <c r="C915" s="173" t="s">
        <v>530</v>
      </c>
      <c r="D915" s="83" t="s">
        <v>69</v>
      </c>
      <c r="F915" s="49" t="s">
        <v>286</v>
      </c>
      <c r="G915" s="60">
        <v>-1.9466666666666668</v>
      </c>
      <c r="I915" s="49">
        <v>2517</v>
      </c>
      <c r="J915" s="159">
        <v>1.3784227820372399</v>
      </c>
      <c r="K915" s="49">
        <v>1</v>
      </c>
      <c r="L915" s="49">
        <v>3</v>
      </c>
      <c r="M915" s="83">
        <v>0</v>
      </c>
      <c r="N915" s="49">
        <v>0</v>
      </c>
      <c r="O915" s="49">
        <v>0</v>
      </c>
      <c r="P915" s="49">
        <v>1</v>
      </c>
      <c r="Q915" s="58">
        <v>0</v>
      </c>
      <c r="R915" s="42">
        <v>1</v>
      </c>
      <c r="S915" s="83" t="s">
        <v>283</v>
      </c>
      <c r="U915" s="83">
        <v>1</v>
      </c>
      <c r="V915" s="49">
        <v>2</v>
      </c>
      <c r="W915" s="49">
        <v>1</v>
      </c>
      <c r="X915" s="58">
        <v>2</v>
      </c>
      <c r="Y915" s="83">
        <v>1</v>
      </c>
      <c r="AG915" s="49">
        <v>145</v>
      </c>
      <c r="AJ915" s="49">
        <v>0</v>
      </c>
      <c r="AK915" s="83">
        <v>0</v>
      </c>
      <c r="AL915" s="49">
        <v>0</v>
      </c>
      <c r="AM915" s="49">
        <v>1</v>
      </c>
      <c r="AN915" s="49">
        <v>0</v>
      </c>
      <c r="AO915" s="58">
        <v>0</v>
      </c>
      <c r="AP915" s="174" t="s">
        <v>284</v>
      </c>
      <c r="AQ915" s="175" t="s">
        <v>284</v>
      </c>
      <c r="AR915" s="175" t="s">
        <v>501</v>
      </c>
      <c r="AS915" s="175" t="s">
        <v>501</v>
      </c>
      <c r="AT915" s="175" t="s">
        <v>284</v>
      </c>
      <c r="AU915" s="175" t="s">
        <v>284</v>
      </c>
      <c r="AV915" s="175" t="s">
        <v>284</v>
      </c>
      <c r="AW915" s="175" t="s">
        <v>284</v>
      </c>
      <c r="AX915" s="83">
        <v>0</v>
      </c>
      <c r="AY915" s="49">
        <v>0</v>
      </c>
      <c r="AZ915" s="49">
        <v>0</v>
      </c>
      <c r="BA915" s="49">
        <v>0</v>
      </c>
      <c r="BB915" s="58">
        <v>0</v>
      </c>
      <c r="BC915" s="42">
        <v>103</v>
      </c>
      <c r="BD915" s="49">
        <v>65.430000000000007</v>
      </c>
      <c r="BE915" s="49">
        <v>65.099999999999994</v>
      </c>
      <c r="BS915" s="58"/>
      <c r="BT915" s="83">
        <v>63.06</v>
      </c>
      <c r="CE915" s="83">
        <v>67.45</v>
      </c>
      <c r="CK915" s="58"/>
      <c r="CL915" s="83"/>
      <c r="CO915" s="58"/>
      <c r="CP915" s="83"/>
      <c r="CR915" s="58"/>
      <c r="CS915" s="83"/>
      <c r="CY915" s="83"/>
      <c r="DG915" s="58"/>
      <c r="DH915" s="83"/>
      <c r="DQ915" s="83"/>
      <c r="EE915" s="58"/>
      <c r="EF915" s="83"/>
      <c r="EI915" s="83"/>
      <c r="EK915" s="58"/>
      <c r="EL915" s="83"/>
      <c r="EO915" s="58"/>
      <c r="EP915" s="83"/>
      <c r="EQ915" s="58"/>
      <c r="ER915" s="83"/>
      <c r="ES915" s="58"/>
      <c r="ET915" s="83"/>
      <c r="EU915" s="58"/>
    </row>
    <row r="916" spans="1:151">
      <c r="A916" s="83" t="s">
        <v>320</v>
      </c>
      <c r="B916" s="42" t="s">
        <v>532</v>
      </c>
      <c r="C916" s="173" t="s">
        <v>530</v>
      </c>
      <c r="D916" s="83" t="s">
        <v>74</v>
      </c>
      <c r="F916" s="49" t="s">
        <v>286</v>
      </c>
      <c r="G916" s="60">
        <v>-1.9466666666666668</v>
      </c>
      <c r="I916" s="49">
        <v>2522</v>
      </c>
      <c r="J916" s="159">
        <v>3.7585692995529061</v>
      </c>
      <c r="K916" s="49">
        <v>1</v>
      </c>
      <c r="L916" s="49">
        <v>3</v>
      </c>
      <c r="M916" s="83">
        <v>0</v>
      </c>
      <c r="N916" s="49">
        <v>0</v>
      </c>
      <c r="O916" s="49">
        <v>0</v>
      </c>
      <c r="P916" s="49">
        <v>1</v>
      </c>
      <c r="Q916" s="58">
        <v>0</v>
      </c>
      <c r="R916" s="42">
        <v>1</v>
      </c>
      <c r="S916" s="83" t="s">
        <v>283</v>
      </c>
      <c r="U916" s="83">
        <v>1</v>
      </c>
      <c r="V916" s="49">
        <v>3</v>
      </c>
      <c r="W916" s="49">
        <v>1</v>
      </c>
      <c r="X916" s="58">
        <v>2</v>
      </c>
      <c r="Y916" s="83">
        <v>0</v>
      </c>
      <c r="AJ916" s="49">
        <v>0</v>
      </c>
      <c r="AK916" s="83">
        <v>0</v>
      </c>
      <c r="AL916" s="49">
        <v>1</v>
      </c>
      <c r="AM916" s="49">
        <v>1</v>
      </c>
      <c r="AN916" s="49">
        <v>0</v>
      </c>
      <c r="AO916" s="58">
        <v>0</v>
      </c>
      <c r="AP916" s="174">
        <v>0</v>
      </c>
      <c r="AQ916" s="175">
        <v>237</v>
      </c>
      <c r="AR916" s="175">
        <v>37</v>
      </c>
      <c r="AS916" s="175">
        <v>77</v>
      </c>
      <c r="AT916" s="175" t="s">
        <v>284</v>
      </c>
      <c r="AU916" s="175" t="s">
        <v>284</v>
      </c>
      <c r="AV916" s="175" t="s">
        <v>284</v>
      </c>
      <c r="AW916" s="175" t="s">
        <v>284</v>
      </c>
      <c r="AX916" s="83">
        <v>0</v>
      </c>
      <c r="AY916" s="49">
        <v>0</v>
      </c>
      <c r="AZ916" s="49">
        <v>0</v>
      </c>
      <c r="BA916" s="49">
        <v>0</v>
      </c>
      <c r="BB916" s="58">
        <v>0</v>
      </c>
      <c r="BC916" s="42">
        <v>128</v>
      </c>
      <c r="BE916" s="49"/>
      <c r="BS916" s="58"/>
      <c r="BT916" s="83"/>
      <c r="CE916" s="83"/>
      <c r="CK916" s="58"/>
      <c r="CL916" s="83"/>
      <c r="CO916" s="58"/>
      <c r="CP916" s="83"/>
      <c r="CR916" s="58"/>
      <c r="CS916" s="83"/>
      <c r="CY916" s="83"/>
      <c r="DG916" s="58"/>
      <c r="DH916" s="83"/>
      <c r="DQ916" s="83"/>
      <c r="EE916" s="58"/>
      <c r="EF916" s="83"/>
      <c r="EI916" s="83"/>
      <c r="EK916" s="58"/>
      <c r="EL916" s="83"/>
      <c r="EO916" s="58"/>
      <c r="EP916" s="83"/>
      <c r="EQ916" s="58"/>
      <c r="ER916" s="83"/>
      <c r="ES916" s="58"/>
      <c r="ET916" s="83"/>
      <c r="EU916" s="58"/>
    </row>
    <row r="917" spans="1:151">
      <c r="A917" s="83" t="s">
        <v>320</v>
      </c>
      <c r="B917" s="42" t="s">
        <v>532</v>
      </c>
      <c r="C917" s="173" t="s">
        <v>530</v>
      </c>
      <c r="D917" s="83" t="s">
        <v>75</v>
      </c>
      <c r="F917" s="49" t="s">
        <v>286</v>
      </c>
      <c r="G917" s="60">
        <v>-1.9466666666666668</v>
      </c>
      <c r="I917" s="49">
        <v>1331</v>
      </c>
      <c r="J917" s="159">
        <v>4.1593749999999998</v>
      </c>
      <c r="K917" s="49">
        <v>1</v>
      </c>
      <c r="L917" s="49">
        <v>1</v>
      </c>
      <c r="M917" s="83">
        <v>1</v>
      </c>
      <c r="N917" s="49">
        <v>0</v>
      </c>
      <c r="O917" s="49">
        <v>0</v>
      </c>
      <c r="P917" s="49">
        <v>1</v>
      </c>
      <c r="Q917" s="58">
        <v>0</v>
      </c>
      <c r="R917" s="42">
        <v>2</v>
      </c>
      <c r="S917" s="83">
        <v>1</v>
      </c>
      <c r="U917" s="83">
        <v>0</v>
      </c>
      <c r="V917" s="49">
        <v>0</v>
      </c>
      <c r="W917" s="49">
        <v>0</v>
      </c>
      <c r="X917" s="58"/>
      <c r="Y917" s="83">
        <v>1</v>
      </c>
      <c r="AE917" s="49">
        <v>18</v>
      </c>
      <c r="AF917" s="49">
        <v>101</v>
      </c>
      <c r="AJ917" s="49">
        <v>0</v>
      </c>
      <c r="AK917" s="83">
        <v>0</v>
      </c>
      <c r="AL917" s="49">
        <v>1</v>
      </c>
      <c r="AM917" s="49">
        <v>0</v>
      </c>
      <c r="AN917" s="49">
        <v>0</v>
      </c>
      <c r="AO917" s="58">
        <v>0</v>
      </c>
      <c r="AP917" s="174">
        <v>0</v>
      </c>
      <c r="AQ917" s="175">
        <v>258</v>
      </c>
      <c r="AR917" s="175">
        <v>0</v>
      </c>
      <c r="AS917" s="175">
        <v>0</v>
      </c>
      <c r="AT917" s="175">
        <v>0</v>
      </c>
      <c r="AU917" s="175">
        <v>0</v>
      </c>
      <c r="AV917" s="175">
        <v>0</v>
      </c>
      <c r="AW917" s="175">
        <v>0</v>
      </c>
      <c r="AX917" s="83">
        <v>0</v>
      </c>
      <c r="AY917" s="49">
        <v>0</v>
      </c>
      <c r="AZ917" s="49">
        <v>0</v>
      </c>
      <c r="BA917" s="49">
        <v>0</v>
      </c>
      <c r="BB917" s="58">
        <v>0</v>
      </c>
      <c r="BC917" s="42">
        <v>98</v>
      </c>
      <c r="BE917" s="49"/>
      <c r="BS917" s="58"/>
      <c r="BT917" s="83"/>
      <c r="CE917" s="83"/>
      <c r="CK917" s="58"/>
      <c r="CL917" s="83"/>
      <c r="CO917" s="58"/>
      <c r="CP917" s="83"/>
      <c r="CR917" s="58"/>
      <c r="CS917" s="83"/>
      <c r="CY917" s="83"/>
      <c r="DG917" s="58"/>
      <c r="DH917" s="83"/>
      <c r="DQ917" s="83"/>
      <c r="EE917" s="58"/>
      <c r="EF917" s="83"/>
      <c r="EI917" s="83"/>
      <c r="EK917" s="58"/>
      <c r="EL917" s="83"/>
      <c r="EO917" s="58"/>
      <c r="EP917" s="83"/>
      <c r="EQ917" s="58"/>
      <c r="ER917" s="83"/>
      <c r="ES917" s="58"/>
      <c r="ET917" s="83"/>
      <c r="EU917" s="58"/>
    </row>
    <row r="918" spans="1:151">
      <c r="A918" s="83" t="s">
        <v>320</v>
      </c>
      <c r="B918" s="42" t="s">
        <v>532</v>
      </c>
      <c r="C918" s="173" t="s">
        <v>530</v>
      </c>
      <c r="D918" s="83" t="s">
        <v>76</v>
      </c>
      <c r="F918" s="49" t="s">
        <v>286</v>
      </c>
      <c r="G918" s="60">
        <v>-1.9466666666666668</v>
      </c>
      <c r="I918" s="49">
        <v>6277</v>
      </c>
      <c r="J918" s="159">
        <v>3.1846778285134452</v>
      </c>
      <c r="K918" s="49">
        <v>1</v>
      </c>
      <c r="L918" s="49">
        <v>2</v>
      </c>
      <c r="M918" s="83">
        <v>1</v>
      </c>
      <c r="N918" s="49">
        <v>0</v>
      </c>
      <c r="O918" s="49">
        <v>1</v>
      </c>
      <c r="P918" s="49">
        <v>1</v>
      </c>
      <c r="Q918" s="58">
        <v>0</v>
      </c>
      <c r="R918" s="42">
        <v>3</v>
      </c>
      <c r="S918" s="83">
        <v>1</v>
      </c>
      <c r="U918" s="83">
        <v>2</v>
      </c>
      <c r="V918" s="49">
        <v>3</v>
      </c>
      <c r="W918" s="49">
        <v>1</v>
      </c>
      <c r="X918" s="58">
        <v>2</v>
      </c>
      <c r="Y918" s="83">
        <v>1</v>
      </c>
      <c r="AD918" s="49">
        <v>36</v>
      </c>
      <c r="AE918" s="49">
        <v>94</v>
      </c>
      <c r="AI918" s="49">
        <v>188</v>
      </c>
      <c r="AJ918" s="49">
        <v>0</v>
      </c>
      <c r="AK918" s="83">
        <v>0</v>
      </c>
      <c r="AL918" s="49">
        <v>1</v>
      </c>
      <c r="AM918" s="49">
        <v>0</v>
      </c>
      <c r="AN918" s="49">
        <v>0</v>
      </c>
      <c r="AO918" s="58">
        <v>0</v>
      </c>
      <c r="AP918" s="174">
        <v>737</v>
      </c>
      <c r="AQ918" s="175">
        <v>880</v>
      </c>
      <c r="AR918" s="175">
        <v>0</v>
      </c>
      <c r="AS918" s="175">
        <v>0</v>
      </c>
      <c r="AT918" s="175">
        <v>0</v>
      </c>
      <c r="AU918" s="175">
        <v>0</v>
      </c>
      <c r="AV918" s="175" t="s">
        <v>284</v>
      </c>
      <c r="AW918" s="175" t="s">
        <v>284</v>
      </c>
      <c r="AX918" s="83">
        <v>0</v>
      </c>
      <c r="AY918" s="49">
        <v>0</v>
      </c>
      <c r="AZ918" s="49">
        <v>0</v>
      </c>
      <c r="BA918" s="49">
        <v>0</v>
      </c>
      <c r="BB918" s="58">
        <v>0</v>
      </c>
      <c r="BC918" s="42">
        <v>123</v>
      </c>
      <c r="BD918" s="49">
        <v>65.36</v>
      </c>
      <c r="BE918" s="49">
        <v>66.760000000000005</v>
      </c>
      <c r="BS918" s="58"/>
      <c r="BT918" s="83">
        <v>71.91</v>
      </c>
      <c r="BU918" s="49">
        <v>74.489999999999995</v>
      </c>
      <c r="BV918" s="49">
        <v>72.989999999999995</v>
      </c>
      <c r="CE918" s="83"/>
      <c r="CK918" s="58"/>
      <c r="CL918" s="83"/>
      <c r="CO918" s="58"/>
      <c r="CP918" s="83"/>
      <c r="CR918" s="58"/>
      <c r="CS918" s="83"/>
      <c r="CY918" s="83"/>
      <c r="DG918" s="58"/>
      <c r="DH918" s="83"/>
      <c r="DQ918" s="83"/>
      <c r="EE918" s="58"/>
      <c r="EF918" s="83"/>
      <c r="EI918" s="83"/>
      <c r="EK918" s="58"/>
      <c r="EL918" s="83"/>
      <c r="EO918" s="58"/>
      <c r="EP918" s="83"/>
      <c r="EQ918" s="58"/>
      <c r="ER918" s="83"/>
      <c r="ES918" s="58"/>
      <c r="ET918" s="83"/>
      <c r="EU918" s="58"/>
    </row>
    <row r="919" spans="1:151">
      <c r="A919" s="83" t="s">
        <v>320</v>
      </c>
      <c r="B919" s="42" t="s">
        <v>532</v>
      </c>
      <c r="C919" s="173" t="s">
        <v>530</v>
      </c>
      <c r="D919" s="83" t="s">
        <v>73</v>
      </c>
      <c r="E919" s="49" t="s">
        <v>0</v>
      </c>
      <c r="F919" s="49" t="s">
        <v>286</v>
      </c>
      <c r="G919" s="60">
        <v>-1.9466666666666668</v>
      </c>
      <c r="I919" s="49">
        <v>2035</v>
      </c>
      <c r="J919" s="159">
        <v>11.831395348837209</v>
      </c>
      <c r="K919" s="49">
        <v>3</v>
      </c>
      <c r="L919" s="49">
        <v>2</v>
      </c>
      <c r="M919" s="83">
        <v>0</v>
      </c>
      <c r="N919" s="49">
        <v>0</v>
      </c>
      <c r="O919" s="49">
        <v>0</v>
      </c>
      <c r="P919" s="49">
        <v>1</v>
      </c>
      <c r="Q919" s="58">
        <v>0</v>
      </c>
      <c r="R919" s="42">
        <v>1</v>
      </c>
      <c r="S919" s="83" t="s">
        <v>283</v>
      </c>
      <c r="T919" s="49">
        <v>6</v>
      </c>
      <c r="U919" s="83">
        <v>0</v>
      </c>
      <c r="V919" s="49">
        <v>0</v>
      </c>
      <c r="W919" s="49">
        <v>0</v>
      </c>
      <c r="X919" s="58"/>
      <c r="Y919" s="83">
        <v>5</v>
      </c>
      <c r="AD919" s="49">
        <v>9</v>
      </c>
      <c r="AE919" s="49">
        <v>481</v>
      </c>
      <c r="AJ919" s="49">
        <v>0</v>
      </c>
      <c r="AK919" s="83">
        <v>0</v>
      </c>
      <c r="AL919" s="49">
        <v>1</v>
      </c>
      <c r="AM919" s="49">
        <v>0</v>
      </c>
      <c r="AN919" s="49">
        <v>0</v>
      </c>
      <c r="AO919" s="58">
        <v>0</v>
      </c>
      <c r="AP919" s="174">
        <v>327</v>
      </c>
      <c r="AQ919" s="175">
        <v>1057</v>
      </c>
      <c r="AR919" s="175">
        <v>0</v>
      </c>
      <c r="AS919" s="175">
        <v>0</v>
      </c>
      <c r="AT919" s="175">
        <v>0</v>
      </c>
      <c r="AU919" s="175">
        <v>0</v>
      </c>
      <c r="AV919" s="175" t="s">
        <v>284</v>
      </c>
      <c r="AW919" s="175" t="s">
        <v>284</v>
      </c>
      <c r="AX919" s="83">
        <v>0</v>
      </c>
      <c r="AY919" s="49">
        <v>0</v>
      </c>
      <c r="AZ919" s="49">
        <v>0</v>
      </c>
      <c r="BA919" s="49">
        <v>0</v>
      </c>
      <c r="BB919" s="58">
        <v>0</v>
      </c>
      <c r="BC919" s="42">
        <v>102</v>
      </c>
      <c r="BE919" s="49"/>
      <c r="BS919" s="58"/>
      <c r="BT919" s="83"/>
      <c r="CE919" s="83"/>
      <c r="CK919" s="58"/>
      <c r="CL919" s="83"/>
      <c r="CO919" s="58"/>
      <c r="CP919" s="83"/>
      <c r="CR919" s="58"/>
      <c r="CS919" s="83"/>
      <c r="CY919" s="83"/>
      <c r="DG919" s="58"/>
      <c r="DH919" s="83"/>
      <c r="DQ919" s="83"/>
      <c r="EE919" s="58"/>
      <c r="EF919" s="83"/>
      <c r="EI919" s="83"/>
      <c r="EK919" s="58"/>
      <c r="EL919" s="83"/>
      <c r="EO919" s="58"/>
      <c r="EP919" s="83"/>
      <c r="EQ919" s="58"/>
      <c r="ER919" s="83"/>
      <c r="ES919" s="58"/>
      <c r="ET919" s="83"/>
      <c r="EU919" s="58"/>
    </row>
    <row r="920" spans="1:151">
      <c r="A920" s="83" t="s">
        <v>320</v>
      </c>
      <c r="B920" s="42" t="s">
        <v>532</v>
      </c>
      <c r="C920" s="173" t="s">
        <v>530</v>
      </c>
      <c r="D920" s="83" t="s">
        <v>73</v>
      </c>
      <c r="E920" s="49" t="s">
        <v>1</v>
      </c>
      <c r="F920" s="49" t="s">
        <v>286</v>
      </c>
      <c r="G920" s="60">
        <v>-1.9466666666666668</v>
      </c>
      <c r="I920" s="49">
        <v>2027</v>
      </c>
      <c r="J920" s="159">
        <v>6.6241830065359473</v>
      </c>
      <c r="K920" s="49">
        <v>1</v>
      </c>
      <c r="L920" s="49">
        <v>1</v>
      </c>
      <c r="M920" s="83">
        <v>1</v>
      </c>
      <c r="N920" s="49">
        <v>0</v>
      </c>
      <c r="O920" s="49">
        <v>0</v>
      </c>
      <c r="P920" s="49">
        <v>0</v>
      </c>
      <c r="Q920" s="58">
        <v>0</v>
      </c>
      <c r="R920" s="42">
        <v>1</v>
      </c>
      <c r="S920" s="83" t="s">
        <v>283</v>
      </c>
      <c r="T920" s="49">
        <v>9</v>
      </c>
      <c r="U920" s="83">
        <v>0</v>
      </c>
      <c r="V920" s="49">
        <v>0</v>
      </c>
      <c r="W920" s="49">
        <v>0</v>
      </c>
      <c r="X920" s="58"/>
      <c r="Y920" s="83">
        <v>0</v>
      </c>
      <c r="AJ920" s="49">
        <v>0</v>
      </c>
      <c r="AK920" s="83">
        <v>0</v>
      </c>
      <c r="AL920" s="49">
        <v>1</v>
      </c>
      <c r="AM920" s="49">
        <v>0</v>
      </c>
      <c r="AN920" s="49">
        <v>0</v>
      </c>
      <c r="AO920" s="58">
        <v>0</v>
      </c>
      <c r="AP920" s="174">
        <v>0</v>
      </c>
      <c r="AQ920" s="175">
        <v>258</v>
      </c>
      <c r="AR920" s="175">
        <v>0</v>
      </c>
      <c r="AS920" s="175">
        <v>0</v>
      </c>
      <c r="AT920" s="175">
        <v>0</v>
      </c>
      <c r="AU920" s="175">
        <v>0</v>
      </c>
      <c r="AV920" s="175" t="s">
        <v>284</v>
      </c>
      <c r="AW920" s="175" t="s">
        <v>284</v>
      </c>
      <c r="AX920" s="83">
        <v>0</v>
      </c>
      <c r="AY920" s="49">
        <v>0</v>
      </c>
      <c r="AZ920" s="49">
        <v>0</v>
      </c>
      <c r="BA920" s="49">
        <v>0</v>
      </c>
      <c r="BB920" s="58">
        <v>0</v>
      </c>
      <c r="BC920" s="42">
        <v>102</v>
      </c>
      <c r="BE920" s="49"/>
      <c r="BS920" s="58"/>
      <c r="BT920" s="83"/>
      <c r="CE920" s="83"/>
      <c r="CK920" s="58"/>
      <c r="CL920" s="83"/>
      <c r="CO920" s="58"/>
      <c r="CP920" s="83"/>
      <c r="CR920" s="58"/>
      <c r="CS920" s="83"/>
      <c r="CY920" s="83"/>
      <c r="DG920" s="58"/>
      <c r="DH920" s="83"/>
      <c r="DQ920" s="83"/>
      <c r="EE920" s="58"/>
      <c r="EF920" s="83"/>
      <c r="EI920" s="83"/>
      <c r="EK920" s="58"/>
      <c r="EL920" s="83"/>
      <c r="EO920" s="58"/>
      <c r="EP920" s="83"/>
      <c r="EQ920" s="58"/>
      <c r="ER920" s="83"/>
      <c r="ES920" s="58"/>
      <c r="ET920" s="83"/>
      <c r="EU920" s="58"/>
    </row>
    <row r="921" spans="1:151">
      <c r="A921" s="83" t="s">
        <v>320</v>
      </c>
      <c r="B921" s="42" t="s">
        <v>532</v>
      </c>
      <c r="C921" s="173" t="s">
        <v>530</v>
      </c>
      <c r="D921" s="83" t="s">
        <v>81</v>
      </c>
      <c r="F921" s="49" t="s">
        <v>286</v>
      </c>
      <c r="G921" s="60">
        <v>-1.9466666666666668</v>
      </c>
      <c r="I921" s="49">
        <v>13985</v>
      </c>
      <c r="J921" s="159">
        <v>4.2187028657616894</v>
      </c>
      <c r="K921" s="49">
        <v>1</v>
      </c>
      <c r="L921" s="49">
        <v>2</v>
      </c>
      <c r="M921" s="83">
        <v>1</v>
      </c>
      <c r="N921" s="49">
        <v>0</v>
      </c>
      <c r="O921" s="49">
        <v>1</v>
      </c>
      <c r="P921" s="49">
        <v>1</v>
      </c>
      <c r="Q921" s="58">
        <v>0</v>
      </c>
      <c r="R921" s="42">
        <v>3</v>
      </c>
      <c r="S921" s="83" t="s">
        <v>284</v>
      </c>
      <c r="U921" s="83">
        <v>3</v>
      </c>
      <c r="V921" s="49">
        <v>3</v>
      </c>
      <c r="W921" s="49">
        <v>3</v>
      </c>
      <c r="X921" s="58">
        <v>3</v>
      </c>
      <c r="Y921" s="83">
        <v>2</v>
      </c>
      <c r="AD921" s="49">
        <v>23</v>
      </c>
      <c r="AE921" s="49">
        <v>930</v>
      </c>
      <c r="AF921" s="49">
        <v>78</v>
      </c>
      <c r="AG921" s="49">
        <v>1301</v>
      </c>
      <c r="AH921" s="49">
        <v>35</v>
      </c>
      <c r="AI921" s="49">
        <v>248</v>
      </c>
      <c r="AJ921" s="49">
        <v>0</v>
      </c>
      <c r="AK921" s="83">
        <v>0</v>
      </c>
      <c r="AL921" s="49">
        <v>1</v>
      </c>
      <c r="AM921" s="49">
        <v>1</v>
      </c>
      <c r="AN921" s="49">
        <v>1</v>
      </c>
      <c r="AO921" s="58">
        <v>0</v>
      </c>
      <c r="AP921" s="174">
        <v>1011</v>
      </c>
      <c r="AQ921" s="175">
        <v>1402</v>
      </c>
      <c r="AR921" s="175">
        <v>914</v>
      </c>
      <c r="AS921" s="175">
        <v>1036</v>
      </c>
      <c r="AT921" s="175">
        <v>423</v>
      </c>
      <c r="AU921" s="175">
        <v>1398</v>
      </c>
      <c r="AV921" s="175" t="s">
        <v>284</v>
      </c>
      <c r="AW921" s="175" t="s">
        <v>284</v>
      </c>
      <c r="AX921" s="83">
        <v>1</v>
      </c>
      <c r="AY921" s="49">
        <v>0</v>
      </c>
      <c r="AZ921" s="49">
        <v>0</v>
      </c>
      <c r="BA921" s="49">
        <v>0</v>
      </c>
      <c r="BB921" s="58">
        <v>1</v>
      </c>
      <c r="BC921" s="42">
        <v>132</v>
      </c>
      <c r="BD921" s="49">
        <v>66.73</v>
      </c>
      <c r="BE921" s="49"/>
      <c r="BS921" s="58"/>
      <c r="BT921" s="83">
        <v>68.650000000000006</v>
      </c>
      <c r="BU921" s="49">
        <v>62.1</v>
      </c>
      <c r="BV921" s="49">
        <v>64.569999999999993</v>
      </c>
      <c r="CE921" s="83">
        <v>64.84</v>
      </c>
      <c r="CF921" s="49">
        <v>64.34</v>
      </c>
      <c r="CK921" s="58"/>
      <c r="CL921" s="83">
        <v>54.44</v>
      </c>
      <c r="CO921" s="58"/>
      <c r="CP921" s="83"/>
      <c r="CR921" s="58"/>
      <c r="CS921" s="83"/>
      <c r="CY921" s="83"/>
      <c r="DG921" s="58"/>
      <c r="DH921" s="83"/>
      <c r="DQ921" s="83"/>
      <c r="EE921" s="58"/>
      <c r="EF921" s="83"/>
      <c r="EI921" s="83"/>
      <c r="EK921" s="58"/>
      <c r="EL921" s="83"/>
      <c r="EO921" s="58"/>
      <c r="EP921" s="83"/>
      <c r="EQ921" s="58"/>
      <c r="ER921" s="83"/>
      <c r="ES921" s="58"/>
      <c r="ET921" s="83"/>
      <c r="EU921" s="58"/>
    </row>
    <row r="922" spans="1:151">
      <c r="A922" s="83" t="s">
        <v>320</v>
      </c>
      <c r="B922" s="42" t="s">
        <v>532</v>
      </c>
      <c r="C922" s="173" t="s">
        <v>530</v>
      </c>
      <c r="D922" s="83" t="s">
        <v>111</v>
      </c>
      <c r="F922" s="49" t="s">
        <v>286</v>
      </c>
      <c r="G922" s="60">
        <v>-1.9466666666666668</v>
      </c>
      <c r="I922" s="49">
        <v>1440</v>
      </c>
      <c r="J922" s="159">
        <v>2.1556886227544911</v>
      </c>
      <c r="K922" s="49">
        <v>1</v>
      </c>
      <c r="L922" s="49">
        <v>2</v>
      </c>
      <c r="M922" s="83">
        <v>1</v>
      </c>
      <c r="N922" s="49">
        <v>0</v>
      </c>
      <c r="O922" s="49">
        <v>0</v>
      </c>
      <c r="P922" s="49">
        <v>1</v>
      </c>
      <c r="Q922" s="58">
        <v>0</v>
      </c>
      <c r="R922" s="42">
        <v>2</v>
      </c>
      <c r="S922" s="83" t="s">
        <v>283</v>
      </c>
      <c r="T922" s="49">
        <v>7</v>
      </c>
      <c r="U922" s="83">
        <v>1</v>
      </c>
      <c r="V922" s="49">
        <v>2</v>
      </c>
      <c r="W922" s="49">
        <v>1</v>
      </c>
      <c r="X922" s="58">
        <v>2</v>
      </c>
      <c r="Y922" s="83">
        <v>2</v>
      </c>
      <c r="AA922" s="49">
        <v>37</v>
      </c>
      <c r="AD922" s="49">
        <v>27</v>
      </c>
      <c r="AE922" s="49">
        <v>192</v>
      </c>
      <c r="AG922" s="49">
        <v>112</v>
      </c>
      <c r="AJ922" s="49">
        <v>0</v>
      </c>
      <c r="AK922" s="83">
        <v>0</v>
      </c>
      <c r="AL922" s="49">
        <v>0</v>
      </c>
      <c r="AM922" s="49">
        <v>1</v>
      </c>
      <c r="AN922" s="49">
        <v>0</v>
      </c>
      <c r="AO922" s="58">
        <v>0</v>
      </c>
      <c r="AP922" s="174" t="s">
        <v>284</v>
      </c>
      <c r="AQ922" s="175" t="s">
        <v>284</v>
      </c>
      <c r="AR922" s="175" t="s">
        <v>501</v>
      </c>
      <c r="AS922" s="175" t="s">
        <v>501</v>
      </c>
      <c r="AT922" s="175" t="s">
        <v>284</v>
      </c>
      <c r="AU922" s="175" t="s">
        <v>284</v>
      </c>
      <c r="AV922" s="175" t="s">
        <v>284</v>
      </c>
      <c r="AW922" s="175" t="s">
        <v>284</v>
      </c>
      <c r="AX922" s="83">
        <v>0</v>
      </c>
      <c r="AY922" s="49">
        <v>0</v>
      </c>
      <c r="AZ922" s="49">
        <v>0</v>
      </c>
      <c r="BA922" s="49">
        <v>0</v>
      </c>
      <c r="BB922" s="58">
        <v>0</v>
      </c>
      <c r="BC922" s="42">
        <v>156</v>
      </c>
      <c r="BE922" s="49"/>
      <c r="BS922" s="58"/>
      <c r="BT922" s="83"/>
      <c r="CE922" s="83"/>
      <c r="CK922" s="58"/>
      <c r="CL922" s="83"/>
      <c r="CO922" s="58"/>
      <c r="CP922" s="83"/>
      <c r="CR922" s="58"/>
      <c r="CS922" s="83"/>
      <c r="CY922" s="83"/>
      <c r="DG922" s="58"/>
      <c r="DH922" s="83"/>
      <c r="DQ922" s="83"/>
      <c r="EE922" s="58"/>
      <c r="EF922" s="83"/>
      <c r="EI922" s="83"/>
      <c r="EK922" s="58"/>
      <c r="EL922" s="83"/>
      <c r="EO922" s="58"/>
      <c r="EP922" s="83"/>
      <c r="EQ922" s="58"/>
      <c r="ER922" s="83"/>
      <c r="ES922" s="58"/>
      <c r="ET922" s="83"/>
      <c r="EU922" s="58"/>
    </row>
    <row r="923" spans="1:151">
      <c r="A923" s="83" t="s">
        <v>320</v>
      </c>
      <c r="B923" s="42" t="s">
        <v>532</v>
      </c>
      <c r="C923" s="173" t="s">
        <v>530</v>
      </c>
      <c r="D923" s="83" t="s">
        <v>92</v>
      </c>
      <c r="F923" s="49" t="s">
        <v>286</v>
      </c>
      <c r="G923" s="60">
        <v>-1.9466666666666668</v>
      </c>
      <c r="I923" s="49">
        <v>5087</v>
      </c>
      <c r="J923" s="159">
        <v>1.8090327169274538</v>
      </c>
      <c r="K923" s="49">
        <v>1</v>
      </c>
      <c r="L923" s="49">
        <v>3</v>
      </c>
      <c r="M923" s="83">
        <v>0</v>
      </c>
      <c r="N923" s="49">
        <v>0</v>
      </c>
      <c r="O923" s="49">
        <v>1</v>
      </c>
      <c r="P923" s="49">
        <v>1</v>
      </c>
      <c r="Q923" s="58">
        <v>0</v>
      </c>
      <c r="R923" s="42">
        <v>2</v>
      </c>
      <c r="S923" s="83">
        <v>1</v>
      </c>
      <c r="U923" s="83">
        <v>3</v>
      </c>
      <c r="V923" s="49">
        <v>3</v>
      </c>
      <c r="W923" s="49">
        <v>1</v>
      </c>
      <c r="X923" s="58">
        <v>3</v>
      </c>
      <c r="Y923" s="83">
        <v>0</v>
      </c>
      <c r="AJ923" s="49">
        <v>0</v>
      </c>
      <c r="AK923" s="83">
        <v>0</v>
      </c>
      <c r="AL923" s="49">
        <v>0</v>
      </c>
      <c r="AM923" s="49">
        <v>1</v>
      </c>
      <c r="AN923" s="49">
        <v>0</v>
      </c>
      <c r="AO923" s="58">
        <v>0</v>
      </c>
      <c r="AP923" s="174" t="s">
        <v>284</v>
      </c>
      <c r="AQ923" s="175" t="s">
        <v>284</v>
      </c>
      <c r="AR923" s="175" t="s">
        <v>501</v>
      </c>
      <c r="AS923" s="175" t="s">
        <v>501</v>
      </c>
      <c r="AT923" s="175" t="s">
        <v>284</v>
      </c>
      <c r="AU923" s="175" t="s">
        <v>284</v>
      </c>
      <c r="AV923" s="175" t="s">
        <v>284</v>
      </c>
      <c r="AW923" s="175" t="s">
        <v>284</v>
      </c>
      <c r="AX923" s="83">
        <v>0</v>
      </c>
      <c r="AY923" s="49">
        <v>0</v>
      </c>
      <c r="AZ923" s="49">
        <v>0</v>
      </c>
      <c r="BA923" s="49">
        <v>0</v>
      </c>
      <c r="BB923" s="58">
        <v>0</v>
      </c>
      <c r="BC923" s="42">
        <v>137</v>
      </c>
      <c r="BE923" s="49"/>
      <c r="BS923" s="58"/>
      <c r="BT923" s="83">
        <v>66.73</v>
      </c>
      <c r="BU923" s="49">
        <v>67.17</v>
      </c>
      <c r="BV923" s="49">
        <v>75.13</v>
      </c>
      <c r="CE923" s="83">
        <v>67.92</v>
      </c>
      <c r="CK923" s="58"/>
      <c r="CL923" s="83">
        <v>62.25</v>
      </c>
      <c r="CO923" s="58"/>
      <c r="CP923" s="83"/>
      <c r="CR923" s="58"/>
      <c r="CS923" s="83"/>
      <c r="CY923" s="83"/>
      <c r="DG923" s="58"/>
      <c r="DH923" s="83"/>
      <c r="DQ923" s="83"/>
      <c r="EE923" s="58"/>
      <c r="EF923" s="83"/>
      <c r="EI923" s="83"/>
      <c r="EK923" s="58"/>
      <c r="EL923" s="83"/>
      <c r="EO923" s="58"/>
      <c r="EP923" s="83"/>
      <c r="EQ923" s="58"/>
      <c r="ER923" s="83"/>
      <c r="ES923" s="58"/>
      <c r="ET923" s="83"/>
      <c r="EU923" s="58"/>
    </row>
    <row r="924" spans="1:151">
      <c r="A924" s="83" t="s">
        <v>320</v>
      </c>
      <c r="B924" s="42" t="s">
        <v>532</v>
      </c>
      <c r="C924" s="173" t="s">
        <v>530</v>
      </c>
      <c r="D924" s="83" t="s">
        <v>93</v>
      </c>
      <c r="F924" s="49" t="s">
        <v>287</v>
      </c>
      <c r="G924" s="60">
        <v>-1.9466666666666668</v>
      </c>
      <c r="I924" s="49">
        <v>752</v>
      </c>
      <c r="J924" s="159">
        <v>2.7955390334572492</v>
      </c>
      <c r="K924" s="49">
        <v>1</v>
      </c>
      <c r="L924" s="49">
        <v>1</v>
      </c>
      <c r="M924" s="83">
        <v>0</v>
      </c>
      <c r="N924" s="49">
        <v>0</v>
      </c>
      <c r="O924" s="49">
        <v>0</v>
      </c>
      <c r="P924" s="49">
        <v>1</v>
      </c>
      <c r="Q924" s="58">
        <v>0</v>
      </c>
      <c r="R924" s="42">
        <v>1</v>
      </c>
      <c r="S924" s="83" t="s">
        <v>283</v>
      </c>
      <c r="T924" s="49">
        <v>5</v>
      </c>
      <c r="U924" s="83">
        <v>1</v>
      </c>
      <c r="V924" s="49">
        <v>2</v>
      </c>
      <c r="W924" s="49">
        <v>1</v>
      </c>
      <c r="X924" s="58">
        <v>2</v>
      </c>
      <c r="Y924" s="83">
        <v>1</v>
      </c>
      <c r="AD924" s="49">
        <v>45</v>
      </c>
      <c r="AE924" s="49">
        <v>99</v>
      </c>
      <c r="AG924" s="49">
        <v>53</v>
      </c>
      <c r="AI924" s="49">
        <v>43</v>
      </c>
      <c r="AJ924" s="49">
        <v>0</v>
      </c>
      <c r="AK924" s="83">
        <v>0</v>
      </c>
      <c r="AL924" s="49">
        <v>0</v>
      </c>
      <c r="AM924" s="49">
        <v>0</v>
      </c>
      <c r="AN924" s="49">
        <v>0</v>
      </c>
      <c r="AO924" s="58">
        <v>0</v>
      </c>
      <c r="AP924" s="174" t="s">
        <v>284</v>
      </c>
      <c r="AQ924" s="175" t="s">
        <v>284</v>
      </c>
      <c r="AR924" s="175" t="s">
        <v>284</v>
      </c>
      <c r="AS924" s="175" t="s">
        <v>284</v>
      </c>
      <c r="AT924" s="175" t="s">
        <v>284</v>
      </c>
      <c r="AU924" s="175" t="s">
        <v>284</v>
      </c>
      <c r="AV924" s="175" t="s">
        <v>284</v>
      </c>
      <c r="AW924" s="175" t="s">
        <v>284</v>
      </c>
      <c r="AX924" s="83">
        <v>0</v>
      </c>
      <c r="AY924" s="49">
        <v>0</v>
      </c>
      <c r="AZ924" s="49">
        <v>0</v>
      </c>
      <c r="BA924" s="49">
        <v>0</v>
      </c>
      <c r="BB924" s="58">
        <v>0</v>
      </c>
      <c r="BC924" s="42">
        <v>103</v>
      </c>
      <c r="BE924" s="49"/>
      <c r="BS924" s="58"/>
      <c r="BT924" s="83"/>
      <c r="CE924" s="83"/>
      <c r="CK924" s="58"/>
      <c r="CL924" s="83"/>
      <c r="CO924" s="58"/>
      <c r="CP924" s="83"/>
      <c r="CR924" s="58"/>
      <c r="CS924" s="83"/>
      <c r="CY924" s="83"/>
      <c r="DG924" s="58"/>
      <c r="DH924" s="83"/>
      <c r="DQ924" s="83"/>
      <c r="EE924" s="58"/>
      <c r="EF924" s="83"/>
      <c r="EI924" s="83"/>
      <c r="EK924" s="58"/>
      <c r="EL924" s="83"/>
      <c r="EO924" s="58"/>
      <c r="EP924" s="83"/>
      <c r="EQ924" s="58"/>
      <c r="ER924" s="83"/>
      <c r="ES924" s="58"/>
      <c r="ET924" s="83"/>
      <c r="EU924" s="58"/>
    </row>
    <row r="925" spans="1:151">
      <c r="A925" s="83" t="s">
        <v>320</v>
      </c>
      <c r="B925" s="42" t="s">
        <v>532</v>
      </c>
      <c r="C925" s="173" t="s">
        <v>530</v>
      </c>
      <c r="D925" s="83" t="s">
        <v>94</v>
      </c>
      <c r="E925" s="49" t="s">
        <v>0</v>
      </c>
      <c r="F925" s="49" t="s">
        <v>287</v>
      </c>
      <c r="G925" s="60">
        <v>-1.9466666666666668</v>
      </c>
      <c r="I925" s="49">
        <v>735</v>
      </c>
      <c r="J925" s="159">
        <v>1.9393139841688654</v>
      </c>
      <c r="K925" s="49">
        <v>1</v>
      </c>
      <c r="L925" s="49">
        <v>2</v>
      </c>
      <c r="M925" s="83">
        <v>1</v>
      </c>
      <c r="N925" s="49">
        <v>0</v>
      </c>
      <c r="O925" s="49">
        <v>0</v>
      </c>
      <c r="P925" s="49">
        <v>1</v>
      </c>
      <c r="Q925" s="58">
        <v>0</v>
      </c>
      <c r="R925" s="42">
        <v>2</v>
      </c>
      <c r="S925" s="83" t="s">
        <v>283</v>
      </c>
      <c r="T925" s="49">
        <v>14</v>
      </c>
      <c r="U925" s="83">
        <v>1</v>
      </c>
      <c r="V925" s="49">
        <v>1</v>
      </c>
      <c r="W925" s="49">
        <v>1</v>
      </c>
      <c r="X925" s="58">
        <v>2</v>
      </c>
      <c r="Y925" s="83">
        <v>2</v>
      </c>
      <c r="AD925" s="49">
        <v>17</v>
      </c>
      <c r="AE925" s="49">
        <v>89</v>
      </c>
      <c r="AI925" s="49">
        <v>194</v>
      </c>
      <c r="AJ925" s="49">
        <v>0</v>
      </c>
      <c r="AK925" s="83">
        <v>0</v>
      </c>
      <c r="AL925" s="49">
        <v>0</v>
      </c>
      <c r="AM925" s="49">
        <v>0</v>
      </c>
      <c r="AN925" s="49">
        <v>1</v>
      </c>
      <c r="AO925" s="58">
        <v>0</v>
      </c>
      <c r="AP925" s="174" t="s">
        <v>284</v>
      </c>
      <c r="AQ925" s="175" t="s">
        <v>284</v>
      </c>
      <c r="AR925" s="175" t="s">
        <v>284</v>
      </c>
      <c r="AS925" s="175" t="s">
        <v>284</v>
      </c>
      <c r="AT925" s="175" t="s">
        <v>501</v>
      </c>
      <c r="AU925" s="175" t="s">
        <v>501</v>
      </c>
      <c r="AV925" s="175" t="s">
        <v>284</v>
      </c>
      <c r="AW925" s="175" t="s">
        <v>284</v>
      </c>
      <c r="AX925" s="83">
        <v>0</v>
      </c>
      <c r="AY925" s="49">
        <v>0</v>
      </c>
      <c r="AZ925" s="49">
        <v>0</v>
      </c>
      <c r="BA925" s="49">
        <v>0</v>
      </c>
      <c r="BB925" s="58">
        <v>0</v>
      </c>
      <c r="BC925" s="42">
        <v>110</v>
      </c>
      <c r="BE925" s="49"/>
      <c r="BS925" s="58"/>
      <c r="BT925" s="83"/>
      <c r="CE925" s="83"/>
      <c r="CK925" s="58"/>
      <c r="CL925" s="83"/>
      <c r="CO925" s="58"/>
      <c r="CP925" s="83"/>
      <c r="CR925" s="58"/>
      <c r="CS925" s="83"/>
      <c r="CY925" s="83"/>
      <c r="DG925" s="58"/>
      <c r="DH925" s="83"/>
      <c r="DQ925" s="83"/>
      <c r="EE925" s="58"/>
      <c r="EF925" s="83"/>
      <c r="EI925" s="83"/>
      <c r="EK925" s="58"/>
      <c r="EL925" s="83"/>
      <c r="EO925" s="58"/>
      <c r="EP925" s="83"/>
      <c r="EQ925" s="58"/>
      <c r="ER925" s="83"/>
      <c r="ES925" s="58"/>
      <c r="ET925" s="83"/>
      <c r="EU925" s="58"/>
    </row>
    <row r="926" spans="1:151">
      <c r="A926" s="83" t="s">
        <v>320</v>
      </c>
      <c r="B926" s="42" t="s">
        <v>532</v>
      </c>
      <c r="C926" s="173" t="s">
        <v>530</v>
      </c>
      <c r="D926" s="83" t="s">
        <v>94</v>
      </c>
      <c r="E926" s="49" t="s">
        <v>1</v>
      </c>
      <c r="F926" s="49" t="s">
        <v>287</v>
      </c>
      <c r="G926" s="60">
        <v>-1.9466666666666668</v>
      </c>
      <c r="I926" s="49">
        <v>430</v>
      </c>
      <c r="J926" s="159">
        <v>1.0643564356435644</v>
      </c>
      <c r="K926" s="49">
        <v>1</v>
      </c>
      <c r="L926" s="49">
        <v>3</v>
      </c>
      <c r="M926" s="83">
        <v>1</v>
      </c>
      <c r="N926" s="49">
        <v>0</v>
      </c>
      <c r="O926" s="49">
        <v>0</v>
      </c>
      <c r="P926" s="49">
        <v>1</v>
      </c>
      <c r="Q926" s="58">
        <v>0</v>
      </c>
      <c r="R926" s="42">
        <v>2</v>
      </c>
      <c r="S926" s="83" t="s">
        <v>283</v>
      </c>
      <c r="T926" s="49">
        <v>8</v>
      </c>
      <c r="U926" s="83">
        <v>1</v>
      </c>
      <c r="V926" s="49">
        <v>1</v>
      </c>
      <c r="W926" s="49">
        <v>1</v>
      </c>
      <c r="X926" s="58">
        <v>2</v>
      </c>
      <c r="Y926" s="83">
        <v>1</v>
      </c>
      <c r="AA926" s="49">
        <v>7</v>
      </c>
      <c r="AI926" s="49">
        <v>19</v>
      </c>
      <c r="AJ926" s="49">
        <v>0</v>
      </c>
      <c r="AK926" s="83">
        <v>0</v>
      </c>
      <c r="AL926" s="49">
        <v>0</v>
      </c>
      <c r="AM926" s="49">
        <v>0</v>
      </c>
      <c r="AN926" s="49">
        <v>0</v>
      </c>
      <c r="AO926" s="58">
        <v>0</v>
      </c>
      <c r="AP926" s="174" t="s">
        <v>284</v>
      </c>
      <c r="AQ926" s="175" t="s">
        <v>284</v>
      </c>
      <c r="AR926" s="175" t="s">
        <v>284</v>
      </c>
      <c r="AS926" s="175" t="s">
        <v>284</v>
      </c>
      <c r="AT926" s="175" t="s">
        <v>284</v>
      </c>
      <c r="AU926" s="175" t="s">
        <v>284</v>
      </c>
      <c r="AV926" s="175" t="s">
        <v>284</v>
      </c>
      <c r="AW926" s="175" t="s">
        <v>284</v>
      </c>
      <c r="AX926" s="83">
        <v>0</v>
      </c>
      <c r="AY926" s="49">
        <v>0</v>
      </c>
      <c r="AZ926" s="49">
        <v>0</v>
      </c>
      <c r="BA926" s="49">
        <v>0</v>
      </c>
      <c r="BB926" s="58">
        <v>0</v>
      </c>
      <c r="BC926" s="42">
        <v>110</v>
      </c>
      <c r="BE926" s="49"/>
      <c r="BS926" s="58"/>
      <c r="BT926" s="83"/>
      <c r="CE926" s="83"/>
      <c r="CK926" s="58"/>
      <c r="CL926" s="83"/>
      <c r="CO926" s="58"/>
      <c r="CP926" s="83"/>
      <c r="CR926" s="58"/>
      <c r="CS926" s="83"/>
      <c r="CY926" s="83"/>
      <c r="DG926" s="58"/>
      <c r="DH926" s="83"/>
      <c r="DQ926" s="83"/>
      <c r="EE926" s="58"/>
      <c r="EF926" s="83"/>
      <c r="EI926" s="83"/>
      <c r="EK926" s="58"/>
      <c r="EL926" s="83"/>
      <c r="EO926" s="58"/>
      <c r="EP926" s="83"/>
      <c r="EQ926" s="58"/>
      <c r="ER926" s="83"/>
      <c r="ES926" s="58"/>
      <c r="ET926" s="83"/>
      <c r="EU926" s="58"/>
    </row>
    <row r="927" spans="1:151">
      <c r="A927" s="83" t="s">
        <v>320</v>
      </c>
      <c r="B927" s="42" t="s">
        <v>533</v>
      </c>
      <c r="C927" s="173" t="s">
        <v>530</v>
      </c>
      <c r="D927" s="83" t="s">
        <v>64</v>
      </c>
      <c r="F927" s="49" t="s">
        <v>286</v>
      </c>
      <c r="G927" s="60">
        <v>-1.9466666666666668</v>
      </c>
      <c r="I927" s="49">
        <v>2637</v>
      </c>
      <c r="J927" s="159">
        <v>5.6954643628509718</v>
      </c>
      <c r="K927" s="49">
        <v>1</v>
      </c>
      <c r="L927" s="49">
        <v>2</v>
      </c>
      <c r="M927" s="83">
        <v>1</v>
      </c>
      <c r="N927" s="49">
        <v>0</v>
      </c>
      <c r="O927" s="49">
        <v>0</v>
      </c>
      <c r="P927" s="49">
        <v>0</v>
      </c>
      <c r="Q927" s="58">
        <v>0</v>
      </c>
      <c r="R927" s="42">
        <v>1</v>
      </c>
      <c r="S927" s="83" t="s">
        <v>284</v>
      </c>
      <c r="U927" s="83">
        <v>0</v>
      </c>
      <c r="V927" s="49">
        <v>0</v>
      </c>
      <c r="W927" s="49">
        <v>0</v>
      </c>
      <c r="X927" s="58"/>
      <c r="Y927" s="83">
        <v>2</v>
      </c>
      <c r="AD927" s="49">
        <v>72</v>
      </c>
      <c r="AE927" s="49">
        <v>356</v>
      </c>
      <c r="AJ927" s="49">
        <v>0</v>
      </c>
      <c r="AK927" s="83">
        <v>0</v>
      </c>
      <c r="AL927" s="49">
        <v>0</v>
      </c>
      <c r="AM927" s="49">
        <v>1</v>
      </c>
      <c r="AN927" s="49">
        <v>0</v>
      </c>
      <c r="AO927" s="58">
        <v>0</v>
      </c>
      <c r="AP927" s="174">
        <v>0</v>
      </c>
      <c r="AQ927" s="175">
        <v>0</v>
      </c>
      <c r="AR927" s="175">
        <v>24</v>
      </c>
      <c r="AS927" s="175">
        <v>165</v>
      </c>
      <c r="AT927" s="175">
        <v>0</v>
      </c>
      <c r="AU927" s="175">
        <v>0</v>
      </c>
      <c r="AV927" s="175">
        <v>0</v>
      </c>
      <c r="AW927" s="175">
        <v>0</v>
      </c>
      <c r="AX927" s="83">
        <v>0</v>
      </c>
      <c r="AY927" s="49">
        <v>0</v>
      </c>
      <c r="AZ927" s="49">
        <v>0</v>
      </c>
      <c r="BA927" s="49">
        <v>0</v>
      </c>
      <c r="BB927" s="58">
        <v>0</v>
      </c>
      <c r="BC927" s="42">
        <v>125</v>
      </c>
      <c r="BE927" s="49"/>
      <c r="BS927" s="58"/>
      <c r="BT927" s="83"/>
      <c r="CE927" s="83"/>
      <c r="CK927" s="58"/>
      <c r="CL927" s="83"/>
      <c r="CO927" s="58"/>
      <c r="CP927" s="83"/>
      <c r="CR927" s="58"/>
      <c r="CS927" s="83"/>
      <c r="CY927" s="83"/>
      <c r="DG927" s="58"/>
      <c r="DH927" s="83"/>
      <c r="DQ927" s="83"/>
      <c r="EE927" s="58"/>
      <c r="EF927" s="83"/>
      <c r="EI927" s="83"/>
      <c r="EK927" s="58"/>
      <c r="EL927" s="83"/>
      <c r="EO927" s="58"/>
      <c r="EP927" s="83"/>
      <c r="EQ927" s="58"/>
      <c r="ER927" s="83"/>
      <c r="ES927" s="58"/>
      <c r="ET927" s="83"/>
      <c r="EU927" s="58"/>
    </row>
    <row r="928" spans="1:151">
      <c r="A928" s="83" t="s">
        <v>320</v>
      </c>
      <c r="B928" s="42" t="s">
        <v>533</v>
      </c>
      <c r="C928" s="173" t="s">
        <v>530</v>
      </c>
      <c r="D928" s="83" t="s">
        <v>66</v>
      </c>
      <c r="F928" s="49" t="s">
        <v>286</v>
      </c>
      <c r="G928" s="60">
        <v>-1.9466666666666668</v>
      </c>
      <c r="I928" s="49">
        <v>3060</v>
      </c>
      <c r="J928" s="159">
        <v>5.6771799628942485</v>
      </c>
      <c r="K928" s="49">
        <v>1</v>
      </c>
      <c r="L928" s="49">
        <v>2</v>
      </c>
      <c r="M928" s="83">
        <v>1</v>
      </c>
      <c r="N928" s="49">
        <v>0</v>
      </c>
      <c r="O928" s="49">
        <v>0</v>
      </c>
      <c r="P928" s="49">
        <v>0</v>
      </c>
      <c r="Q928" s="58">
        <v>0</v>
      </c>
      <c r="R928" s="42">
        <v>1</v>
      </c>
      <c r="S928" s="83" t="s">
        <v>283</v>
      </c>
      <c r="T928" s="49">
        <v>6</v>
      </c>
      <c r="U928" s="83">
        <v>0</v>
      </c>
      <c r="V928" s="49">
        <v>0</v>
      </c>
      <c r="W928" s="49">
        <v>0</v>
      </c>
      <c r="X928" s="58"/>
      <c r="Y928" s="83">
        <v>2</v>
      </c>
      <c r="AD928" s="49">
        <v>35</v>
      </c>
      <c r="AE928" s="49">
        <v>547</v>
      </c>
      <c r="AF928" s="49">
        <v>5</v>
      </c>
      <c r="AG928" s="49">
        <v>524</v>
      </c>
      <c r="AJ928" s="49">
        <v>0</v>
      </c>
      <c r="AK928" s="83">
        <v>0</v>
      </c>
      <c r="AL928" s="49">
        <v>1</v>
      </c>
      <c r="AM928" s="49">
        <v>1</v>
      </c>
      <c r="AN928" s="49">
        <v>0</v>
      </c>
      <c r="AO928" s="58">
        <v>0</v>
      </c>
      <c r="AP928" s="174">
        <v>253</v>
      </c>
      <c r="AQ928" s="175">
        <v>742</v>
      </c>
      <c r="AR928" s="175">
        <v>24</v>
      </c>
      <c r="AS928" s="175">
        <v>130</v>
      </c>
      <c r="AT928" s="175">
        <v>0</v>
      </c>
      <c r="AU928" s="175">
        <v>0</v>
      </c>
      <c r="AV928" s="175">
        <v>0</v>
      </c>
      <c r="AW928" s="175">
        <v>0</v>
      </c>
      <c r="AX928" s="83">
        <v>0</v>
      </c>
      <c r="AY928" s="49">
        <v>0</v>
      </c>
      <c r="AZ928" s="49">
        <v>0</v>
      </c>
      <c r="BA928" s="49">
        <v>0</v>
      </c>
      <c r="BB928" s="58">
        <v>0</v>
      </c>
      <c r="BC928" s="42">
        <v>142</v>
      </c>
      <c r="BE928" s="49"/>
      <c r="BS928" s="58"/>
      <c r="BT928" s="83"/>
      <c r="CE928" s="83"/>
      <c r="CK928" s="58"/>
      <c r="CL928" s="83"/>
      <c r="CO928" s="58"/>
      <c r="CP928" s="83"/>
      <c r="CR928" s="58"/>
      <c r="CS928" s="83"/>
      <c r="CY928" s="83"/>
      <c r="DG928" s="58"/>
      <c r="DH928" s="83"/>
      <c r="DQ928" s="83"/>
      <c r="EE928" s="58"/>
      <c r="EF928" s="83"/>
      <c r="EI928" s="83"/>
      <c r="EK928" s="58"/>
      <c r="EL928" s="83"/>
      <c r="EO928" s="58"/>
      <c r="EP928" s="83"/>
      <c r="EQ928" s="58"/>
      <c r="ER928" s="83"/>
      <c r="ES928" s="58"/>
      <c r="ET928" s="83"/>
      <c r="EU928" s="58"/>
    </row>
    <row r="929" spans="1:151">
      <c r="A929" s="83" t="s">
        <v>320</v>
      </c>
      <c r="B929" s="42" t="s">
        <v>533</v>
      </c>
      <c r="C929" s="173" t="s">
        <v>530</v>
      </c>
      <c r="D929" s="83" t="s">
        <v>67</v>
      </c>
      <c r="F929" s="49" t="s">
        <v>286</v>
      </c>
      <c r="G929" s="60">
        <v>-1.9466666666666668</v>
      </c>
      <c r="I929" s="49">
        <v>1097</v>
      </c>
      <c r="J929" s="159">
        <v>1.0904572564612327</v>
      </c>
      <c r="K929" s="49">
        <v>1</v>
      </c>
      <c r="L929" s="49">
        <v>2</v>
      </c>
      <c r="M929" s="83">
        <v>1</v>
      </c>
      <c r="N929" s="49">
        <v>3</v>
      </c>
      <c r="O929" s="49">
        <v>1</v>
      </c>
      <c r="P929" s="49">
        <v>0</v>
      </c>
      <c r="Q929" s="58">
        <v>0</v>
      </c>
      <c r="R929" s="42">
        <v>5</v>
      </c>
      <c r="S929" s="83">
        <v>1</v>
      </c>
      <c r="T929" s="49">
        <v>7</v>
      </c>
      <c r="U929" s="83">
        <v>0</v>
      </c>
      <c r="V929" s="49">
        <v>0</v>
      </c>
      <c r="W929" s="49">
        <v>0</v>
      </c>
      <c r="X929" s="58"/>
      <c r="Y929" s="83">
        <v>4</v>
      </c>
      <c r="AA929" s="49">
        <v>5</v>
      </c>
      <c r="AD929" s="49">
        <v>4</v>
      </c>
      <c r="AE929" s="49">
        <v>69</v>
      </c>
      <c r="AF929" s="49">
        <v>9</v>
      </c>
      <c r="AG929" s="49">
        <v>230</v>
      </c>
      <c r="AH929" s="49">
        <v>34</v>
      </c>
      <c r="AI929" s="49">
        <v>575</v>
      </c>
      <c r="AJ929" s="49">
        <v>0</v>
      </c>
      <c r="AK929" s="83">
        <v>0</v>
      </c>
      <c r="AL929" s="49">
        <v>1</v>
      </c>
      <c r="AM929" s="49">
        <v>0</v>
      </c>
      <c r="AN929" s="49">
        <v>0</v>
      </c>
      <c r="AO929" s="58">
        <v>0</v>
      </c>
      <c r="AP929" s="174">
        <v>956</v>
      </c>
      <c r="AQ929" s="175">
        <v>987</v>
      </c>
      <c r="AR929" s="175">
        <v>0</v>
      </c>
      <c r="AS929" s="175">
        <v>0</v>
      </c>
      <c r="AT929" s="175">
        <v>0</v>
      </c>
      <c r="AU929" s="175">
        <v>0</v>
      </c>
      <c r="AV929" s="175">
        <v>0</v>
      </c>
      <c r="AW929" s="175">
        <v>0</v>
      </c>
      <c r="AX929" s="83">
        <v>0</v>
      </c>
      <c r="AY929" s="49">
        <v>0</v>
      </c>
      <c r="AZ929" s="49">
        <v>0</v>
      </c>
      <c r="BA929" s="49">
        <v>0</v>
      </c>
      <c r="BB929" s="58">
        <v>0</v>
      </c>
      <c r="BC929" s="42">
        <v>122</v>
      </c>
      <c r="BE929" s="49"/>
      <c r="BS929" s="58"/>
      <c r="BT929" s="83"/>
      <c r="CE929" s="83"/>
      <c r="CK929" s="58"/>
      <c r="CL929" s="83"/>
      <c r="CO929" s="58"/>
      <c r="CP929" s="83"/>
      <c r="CR929" s="58"/>
      <c r="CS929" s="83"/>
      <c r="CY929" s="83"/>
      <c r="DG929" s="58"/>
      <c r="DH929" s="83"/>
      <c r="DQ929" s="83"/>
      <c r="EE929" s="58"/>
      <c r="EF929" s="83"/>
      <c r="EI929" s="83"/>
      <c r="EK929" s="58"/>
      <c r="EL929" s="83"/>
      <c r="EO929" s="58"/>
      <c r="EP929" s="83"/>
      <c r="EQ929" s="58"/>
      <c r="ER929" s="83"/>
      <c r="ES929" s="58"/>
      <c r="ET929" s="83"/>
      <c r="EU929" s="58"/>
    </row>
    <row r="930" spans="1:151">
      <c r="A930" s="83" t="s">
        <v>320</v>
      </c>
      <c r="B930" s="42" t="s">
        <v>533</v>
      </c>
      <c r="C930" s="173" t="s">
        <v>530</v>
      </c>
      <c r="D930" s="83" t="s">
        <v>68</v>
      </c>
      <c r="F930" s="49" t="s">
        <v>286</v>
      </c>
      <c r="G930" s="60">
        <v>-1.9466666666666668</v>
      </c>
      <c r="I930" s="49">
        <v>1004</v>
      </c>
      <c r="J930" s="159">
        <v>1.3622795115332429</v>
      </c>
      <c r="K930" s="49">
        <v>1</v>
      </c>
      <c r="L930" s="49">
        <v>2</v>
      </c>
      <c r="M930" s="83">
        <v>1</v>
      </c>
      <c r="N930" s="49">
        <v>0</v>
      </c>
      <c r="O930" s="49">
        <v>0</v>
      </c>
      <c r="P930" s="49">
        <v>0</v>
      </c>
      <c r="Q930" s="58">
        <v>0</v>
      </c>
      <c r="R930" s="42">
        <v>1</v>
      </c>
      <c r="S930" s="83" t="s">
        <v>283</v>
      </c>
      <c r="T930" s="49">
        <v>4</v>
      </c>
      <c r="U930" s="83">
        <v>1</v>
      </c>
      <c r="V930" s="49">
        <v>2</v>
      </c>
      <c r="W930" s="49">
        <v>2</v>
      </c>
      <c r="X930" s="58"/>
      <c r="Y930" s="83">
        <v>1</v>
      </c>
      <c r="AD930" s="49">
        <v>15</v>
      </c>
      <c r="AE930" s="49">
        <v>29</v>
      </c>
      <c r="AH930" s="49">
        <v>55</v>
      </c>
      <c r="AI930" s="49">
        <v>67</v>
      </c>
      <c r="AJ930" s="49">
        <v>0</v>
      </c>
      <c r="AK930" s="83">
        <v>0</v>
      </c>
      <c r="AL930" s="49">
        <v>0</v>
      </c>
      <c r="AM930" s="49">
        <v>1</v>
      </c>
      <c r="AN930" s="49">
        <v>0</v>
      </c>
      <c r="AO930" s="58">
        <v>0</v>
      </c>
      <c r="AP930" s="174">
        <v>0</v>
      </c>
      <c r="AQ930" s="175">
        <v>0</v>
      </c>
      <c r="AR930" s="175">
        <v>34</v>
      </c>
      <c r="AS930" s="175">
        <v>54</v>
      </c>
      <c r="AT930" s="175">
        <v>0</v>
      </c>
      <c r="AU930" s="175">
        <v>0</v>
      </c>
      <c r="AV930" s="175">
        <v>0</v>
      </c>
      <c r="AW930" s="175">
        <v>0</v>
      </c>
      <c r="AX930" s="83">
        <v>0</v>
      </c>
      <c r="AY930" s="49">
        <v>0</v>
      </c>
      <c r="AZ930" s="49">
        <v>0</v>
      </c>
      <c r="BA930" s="49">
        <v>0</v>
      </c>
      <c r="BB930" s="58">
        <v>0</v>
      </c>
      <c r="BC930" s="42">
        <v>120</v>
      </c>
      <c r="BE930" s="49"/>
      <c r="BS930" s="58"/>
      <c r="BT930" s="83"/>
      <c r="CE930" s="83"/>
      <c r="CK930" s="58"/>
      <c r="CL930" s="83"/>
      <c r="CO930" s="58"/>
      <c r="CP930" s="83"/>
      <c r="CR930" s="58"/>
      <c r="CS930" s="83"/>
      <c r="CY930" s="83"/>
      <c r="DG930" s="58"/>
      <c r="DH930" s="83"/>
      <c r="DQ930" s="83"/>
      <c r="EE930" s="58"/>
      <c r="EF930" s="83"/>
      <c r="EI930" s="83"/>
      <c r="EK930" s="58"/>
      <c r="EL930" s="83"/>
      <c r="EO930" s="58"/>
      <c r="EP930" s="83"/>
      <c r="EQ930" s="58"/>
      <c r="ER930" s="83"/>
      <c r="ES930" s="58"/>
      <c r="ET930" s="83"/>
      <c r="EU930" s="58"/>
    </row>
    <row r="931" spans="1:151">
      <c r="A931" s="83" t="s">
        <v>320</v>
      </c>
      <c r="B931" s="42" t="s">
        <v>533</v>
      </c>
      <c r="C931" s="173" t="s">
        <v>530</v>
      </c>
      <c r="D931" s="83" t="s">
        <v>69</v>
      </c>
      <c r="F931" s="49" t="s">
        <v>286</v>
      </c>
      <c r="G931" s="60">
        <v>-1.9466666666666668</v>
      </c>
      <c r="I931" s="49">
        <v>2041</v>
      </c>
      <c r="J931" s="159">
        <v>1.50849963045085</v>
      </c>
      <c r="K931" s="49">
        <v>1</v>
      </c>
      <c r="L931" s="49">
        <v>2</v>
      </c>
      <c r="M931" s="83">
        <v>1</v>
      </c>
      <c r="N931" s="49">
        <v>4</v>
      </c>
      <c r="O931" s="49">
        <v>1</v>
      </c>
      <c r="P931" s="49">
        <v>1</v>
      </c>
      <c r="Q931" s="58">
        <v>0</v>
      </c>
      <c r="R931" s="42">
        <v>7</v>
      </c>
      <c r="S931" s="83" t="s">
        <v>283</v>
      </c>
      <c r="T931" s="49">
        <v>8</v>
      </c>
      <c r="U931" s="83">
        <v>2</v>
      </c>
      <c r="V931" s="49">
        <v>3</v>
      </c>
      <c r="W931" s="49">
        <v>1</v>
      </c>
      <c r="X931" s="58">
        <v>3</v>
      </c>
      <c r="Y931" s="83">
        <v>5</v>
      </c>
      <c r="Z931" s="49">
        <v>6</v>
      </c>
      <c r="AA931" s="49">
        <v>16</v>
      </c>
      <c r="AD931" s="49">
        <v>8</v>
      </c>
      <c r="AE931" s="49">
        <v>35</v>
      </c>
      <c r="AF931" s="49">
        <v>4</v>
      </c>
      <c r="AG931" s="49">
        <v>672</v>
      </c>
      <c r="AH931" s="49">
        <v>26</v>
      </c>
      <c r="AI931" s="49">
        <v>164</v>
      </c>
      <c r="AJ931" s="49">
        <v>0</v>
      </c>
      <c r="AK931" s="83">
        <v>0</v>
      </c>
      <c r="AL931" s="49">
        <v>0</v>
      </c>
      <c r="AM931" s="49">
        <v>0</v>
      </c>
      <c r="AN931" s="49">
        <v>0</v>
      </c>
      <c r="AO931" s="58">
        <v>0</v>
      </c>
      <c r="AP931" s="174">
        <v>0</v>
      </c>
      <c r="AQ931" s="175">
        <v>0</v>
      </c>
      <c r="AR931" s="175">
        <v>0</v>
      </c>
      <c r="AS931" s="175">
        <v>0</v>
      </c>
      <c r="AT931" s="175">
        <v>0</v>
      </c>
      <c r="AU931" s="175">
        <v>0</v>
      </c>
      <c r="AV931" s="175">
        <v>0</v>
      </c>
      <c r="AW931" s="175">
        <v>0</v>
      </c>
      <c r="AX931" s="83">
        <v>0</v>
      </c>
      <c r="AY931" s="49">
        <v>0</v>
      </c>
      <c r="AZ931" s="49">
        <v>0</v>
      </c>
      <c r="BA931" s="49">
        <v>0</v>
      </c>
      <c r="BB931" s="58">
        <v>0</v>
      </c>
      <c r="BC931" s="42">
        <v>120</v>
      </c>
      <c r="BD931" s="49">
        <v>70.59</v>
      </c>
      <c r="BE931" s="49"/>
      <c r="BS931" s="58"/>
      <c r="BT931" s="83">
        <v>63.69</v>
      </c>
      <c r="CE931" s="83">
        <v>67.67</v>
      </c>
      <c r="CK931" s="58"/>
      <c r="CL931" s="83"/>
      <c r="CO931" s="58"/>
      <c r="CP931" s="83"/>
      <c r="CR931" s="58"/>
      <c r="CS931" s="83"/>
      <c r="CY931" s="83"/>
      <c r="DG931" s="58"/>
      <c r="DH931" s="83"/>
      <c r="DQ931" s="83">
        <v>65.86</v>
      </c>
      <c r="EE931" s="58"/>
      <c r="EF931" s="83"/>
      <c r="EI931" s="83"/>
      <c r="EK931" s="58"/>
      <c r="EL931" s="83"/>
      <c r="EO931" s="58"/>
      <c r="EP931" s="83"/>
      <c r="EQ931" s="58"/>
      <c r="ER931" s="83"/>
      <c r="ES931" s="58"/>
      <c r="ET931" s="83"/>
      <c r="EU931" s="58"/>
    </row>
    <row r="932" spans="1:151">
      <c r="A932" s="83" t="s">
        <v>320</v>
      </c>
      <c r="B932" s="42" t="s">
        <v>533</v>
      </c>
      <c r="C932" s="173" t="s">
        <v>530</v>
      </c>
      <c r="D932" s="83" t="s">
        <v>75</v>
      </c>
      <c r="F932" s="49" t="s">
        <v>286</v>
      </c>
      <c r="G932" s="60">
        <v>-1.9466666666666668</v>
      </c>
      <c r="I932" s="49">
        <v>2904</v>
      </c>
      <c r="J932" s="159">
        <v>2.8003857280617166</v>
      </c>
      <c r="K932" s="49">
        <v>1</v>
      </c>
      <c r="L932" s="49">
        <v>3</v>
      </c>
      <c r="M932" s="83">
        <v>0</v>
      </c>
      <c r="N932" s="49">
        <v>1</v>
      </c>
      <c r="O932" s="49">
        <v>1</v>
      </c>
      <c r="P932" s="49">
        <v>1</v>
      </c>
      <c r="Q932" s="58">
        <v>0</v>
      </c>
      <c r="R932" s="42">
        <v>3</v>
      </c>
      <c r="S932" s="83" t="s">
        <v>283</v>
      </c>
      <c r="T932" s="49">
        <v>8</v>
      </c>
      <c r="U932" s="83">
        <v>2</v>
      </c>
      <c r="V932" s="49">
        <v>3</v>
      </c>
      <c r="W932" s="49">
        <v>2</v>
      </c>
      <c r="X932" s="58"/>
      <c r="Y932" s="83">
        <v>1</v>
      </c>
      <c r="AG932" s="49">
        <v>100</v>
      </c>
      <c r="AJ932" s="49">
        <v>0</v>
      </c>
      <c r="AK932" s="83">
        <v>0</v>
      </c>
      <c r="AL932" s="49">
        <v>0</v>
      </c>
      <c r="AM932" s="49">
        <v>1</v>
      </c>
      <c r="AN932" s="49">
        <v>0</v>
      </c>
      <c r="AO932" s="58">
        <v>0</v>
      </c>
      <c r="AP932" s="174">
        <v>0</v>
      </c>
      <c r="AQ932" s="175">
        <v>0</v>
      </c>
      <c r="AR932" s="175">
        <v>0</v>
      </c>
      <c r="AS932" s="175">
        <v>702</v>
      </c>
      <c r="AT932" s="175">
        <v>0</v>
      </c>
      <c r="AU932" s="175">
        <v>0</v>
      </c>
      <c r="AV932" s="175">
        <v>0</v>
      </c>
      <c r="AW932" s="175">
        <v>0</v>
      </c>
      <c r="AX932" s="83">
        <v>0</v>
      </c>
      <c r="AY932" s="49">
        <v>0</v>
      </c>
      <c r="AZ932" s="49">
        <v>0</v>
      </c>
      <c r="BA932" s="49">
        <v>0</v>
      </c>
      <c r="BB932" s="58">
        <v>0</v>
      </c>
      <c r="BC932" s="42">
        <v>147</v>
      </c>
      <c r="BE932" s="49"/>
      <c r="BS932" s="58"/>
      <c r="BT932" s="83"/>
      <c r="CE932" s="83"/>
      <c r="CK932" s="58"/>
      <c r="CL932" s="83"/>
      <c r="CO932" s="58"/>
      <c r="CP932" s="83"/>
      <c r="CR932" s="58"/>
      <c r="CS932" s="83"/>
      <c r="CY932" s="83"/>
      <c r="DG932" s="58"/>
      <c r="DH932" s="83"/>
      <c r="DQ932" s="83"/>
      <c r="EE932" s="58"/>
      <c r="EF932" s="83"/>
      <c r="EI932" s="83"/>
      <c r="EK932" s="58"/>
      <c r="EL932" s="83"/>
      <c r="EO932" s="58"/>
      <c r="EP932" s="83"/>
      <c r="EQ932" s="58"/>
      <c r="ER932" s="83"/>
      <c r="ES932" s="58"/>
      <c r="ET932" s="83"/>
      <c r="EU932" s="58"/>
    </row>
    <row r="933" spans="1:151">
      <c r="A933" s="83" t="s">
        <v>320</v>
      </c>
      <c r="B933" s="42" t="s">
        <v>533</v>
      </c>
      <c r="C933" s="173" t="s">
        <v>530</v>
      </c>
      <c r="D933" s="83" t="s">
        <v>266</v>
      </c>
      <c r="F933" s="49" t="s">
        <v>286</v>
      </c>
      <c r="G933" s="60">
        <v>-1.9466666666666668</v>
      </c>
      <c r="I933" s="49">
        <v>2686</v>
      </c>
      <c r="J933" s="159">
        <v>4.2976000000000001</v>
      </c>
      <c r="K933" s="49">
        <v>2</v>
      </c>
      <c r="L933" s="49">
        <v>3</v>
      </c>
      <c r="M933" s="83">
        <v>1</v>
      </c>
      <c r="N933" s="49">
        <v>0</v>
      </c>
      <c r="O933" s="49">
        <v>0</v>
      </c>
      <c r="P933" s="49">
        <v>1</v>
      </c>
      <c r="Q933" s="58">
        <v>0</v>
      </c>
      <c r="R933" s="42">
        <v>2</v>
      </c>
      <c r="S933" s="83" t="s">
        <v>283</v>
      </c>
      <c r="T933" s="49">
        <v>6</v>
      </c>
      <c r="U933" s="83">
        <v>0</v>
      </c>
      <c r="V933" s="49">
        <v>0</v>
      </c>
      <c r="W933" s="49">
        <v>0</v>
      </c>
      <c r="X933" s="58"/>
      <c r="Y933" s="83">
        <v>1</v>
      </c>
      <c r="AD933" s="49">
        <v>11</v>
      </c>
      <c r="AE933" s="49">
        <v>267</v>
      </c>
      <c r="AG933" s="49">
        <v>56</v>
      </c>
      <c r="AJ933" s="49">
        <v>0</v>
      </c>
      <c r="AK933" s="83">
        <v>0</v>
      </c>
      <c r="AL933" s="49">
        <v>0</v>
      </c>
      <c r="AM933" s="49">
        <v>1</v>
      </c>
      <c r="AN933" s="49">
        <v>0</v>
      </c>
      <c r="AO933" s="58">
        <v>0</v>
      </c>
      <c r="AP933" s="174">
        <v>0</v>
      </c>
      <c r="AQ933" s="175">
        <v>0</v>
      </c>
      <c r="AR933" s="175">
        <v>0</v>
      </c>
      <c r="AS933" s="175">
        <v>342</v>
      </c>
      <c r="AT933" s="175">
        <v>0</v>
      </c>
      <c r="AU933" s="175">
        <v>0</v>
      </c>
      <c r="AV933" s="175">
        <v>0</v>
      </c>
      <c r="AW933" s="175">
        <v>0</v>
      </c>
      <c r="AX933" s="83">
        <v>0</v>
      </c>
      <c r="AY933" s="49">
        <v>0</v>
      </c>
      <c r="AZ933" s="49">
        <v>0</v>
      </c>
      <c r="BA933" s="49">
        <v>0</v>
      </c>
      <c r="BB933" s="58">
        <v>0</v>
      </c>
      <c r="BC933" s="42">
        <v>130</v>
      </c>
      <c r="BE933" s="49"/>
      <c r="BS933" s="58"/>
      <c r="BT933" s="83"/>
      <c r="CE933" s="83"/>
      <c r="CK933" s="58"/>
      <c r="CL933" s="83"/>
      <c r="CO933" s="58"/>
      <c r="CP933" s="83"/>
      <c r="CR933" s="58"/>
      <c r="CS933" s="83"/>
      <c r="CY933" s="83"/>
      <c r="DG933" s="58"/>
      <c r="DH933" s="83"/>
      <c r="DQ933" s="83"/>
      <c r="EE933" s="58"/>
      <c r="EF933" s="83"/>
      <c r="EI933" s="83"/>
      <c r="EK933" s="58"/>
      <c r="EL933" s="83"/>
      <c r="EO933" s="58"/>
      <c r="EP933" s="83"/>
      <c r="EQ933" s="58"/>
      <c r="ER933" s="83"/>
      <c r="ES933" s="58"/>
      <c r="ET933" s="83"/>
      <c r="EU933" s="58"/>
    </row>
    <row r="934" spans="1:151">
      <c r="A934" s="83" t="s">
        <v>320</v>
      </c>
      <c r="B934" s="42" t="s">
        <v>533</v>
      </c>
      <c r="C934" s="173" t="s">
        <v>530</v>
      </c>
      <c r="D934" s="83" t="s">
        <v>87</v>
      </c>
      <c r="F934" s="49" t="s">
        <v>286</v>
      </c>
      <c r="G934" s="60">
        <v>-1.9466666666666668</v>
      </c>
      <c r="I934" s="49">
        <v>2897</v>
      </c>
      <c r="J934" s="159">
        <v>4.9948275862068963</v>
      </c>
      <c r="K934" s="49">
        <v>1</v>
      </c>
      <c r="L934" s="49">
        <v>1</v>
      </c>
      <c r="M934" s="83">
        <v>0</v>
      </c>
      <c r="N934" s="49">
        <v>0</v>
      </c>
      <c r="O934" s="49">
        <v>0</v>
      </c>
      <c r="P934" s="49">
        <v>1</v>
      </c>
      <c r="Q934" s="58">
        <v>0</v>
      </c>
      <c r="R934" s="42">
        <v>1</v>
      </c>
      <c r="S934" s="83" t="s">
        <v>283</v>
      </c>
      <c r="T934" s="49">
        <v>12</v>
      </c>
      <c r="U934" s="83">
        <v>0</v>
      </c>
      <c r="V934" s="49">
        <v>0</v>
      </c>
      <c r="W934" s="49">
        <v>0</v>
      </c>
      <c r="X934" s="58"/>
      <c r="Y934" s="83">
        <v>1</v>
      </c>
      <c r="AI934" s="49">
        <v>182</v>
      </c>
      <c r="AJ934" s="49">
        <v>0</v>
      </c>
      <c r="AK934" s="83">
        <v>0</v>
      </c>
      <c r="AL934" s="49">
        <v>0</v>
      </c>
      <c r="AM934" s="49">
        <v>0</v>
      </c>
      <c r="AN934" s="49">
        <v>0</v>
      </c>
      <c r="AO934" s="58">
        <v>0</v>
      </c>
      <c r="AP934" s="174">
        <v>0</v>
      </c>
      <c r="AQ934" s="175">
        <v>0</v>
      </c>
      <c r="AR934" s="175">
        <v>0</v>
      </c>
      <c r="AS934" s="175">
        <v>0</v>
      </c>
      <c r="AT934" s="175">
        <v>0</v>
      </c>
      <c r="AU934" s="175">
        <v>0</v>
      </c>
      <c r="AV934" s="175">
        <v>0</v>
      </c>
      <c r="AW934" s="175">
        <v>0</v>
      </c>
      <c r="AX934" s="83">
        <v>0</v>
      </c>
      <c r="AY934" s="49">
        <v>0</v>
      </c>
      <c r="AZ934" s="49">
        <v>0</v>
      </c>
      <c r="BA934" s="49">
        <v>0</v>
      </c>
      <c r="BB934" s="58">
        <v>0</v>
      </c>
      <c r="BC934" s="42">
        <v>152</v>
      </c>
      <c r="BD934" s="49">
        <v>63.86</v>
      </c>
      <c r="BE934" s="49"/>
      <c r="BS934" s="58"/>
      <c r="BT934" s="83">
        <v>69.45</v>
      </c>
      <c r="CE934" s="83"/>
      <c r="CK934" s="58"/>
      <c r="CL934" s="83">
        <v>56.28</v>
      </c>
      <c r="CO934" s="58"/>
      <c r="CP934" s="83"/>
      <c r="CR934" s="58"/>
      <c r="CS934" s="83"/>
      <c r="CY934" s="83"/>
      <c r="DG934" s="58"/>
      <c r="DH934" s="83"/>
      <c r="DQ934" s="83"/>
      <c r="EE934" s="58"/>
      <c r="EF934" s="83"/>
      <c r="EI934" s="83"/>
      <c r="EK934" s="58"/>
      <c r="EL934" s="83"/>
      <c r="EO934" s="58"/>
      <c r="EP934" s="83"/>
      <c r="EQ934" s="58"/>
      <c r="ER934" s="83"/>
      <c r="ES934" s="58"/>
      <c r="ET934" s="83"/>
      <c r="EU934" s="58"/>
    </row>
    <row r="935" spans="1:151" ht="17" thickBot="1">
      <c r="A935" s="83" t="s">
        <v>320</v>
      </c>
      <c r="B935" s="55" t="s">
        <v>533</v>
      </c>
      <c r="C935" s="47" t="s">
        <v>530</v>
      </c>
      <c r="D935" s="84" t="s">
        <v>267</v>
      </c>
      <c r="E935" s="57"/>
      <c r="F935" s="57" t="s">
        <v>286</v>
      </c>
      <c r="G935" s="74">
        <v>-1.9466666666666668</v>
      </c>
      <c r="H935" s="57"/>
      <c r="I935" s="57">
        <v>1572</v>
      </c>
      <c r="J935" s="75">
        <v>2.817204301075269</v>
      </c>
      <c r="K935" s="57">
        <v>1</v>
      </c>
      <c r="L935" s="57">
        <v>1</v>
      </c>
      <c r="M935" s="84">
        <v>1</v>
      </c>
      <c r="N935" s="57">
        <v>0</v>
      </c>
      <c r="O935" s="57">
        <v>0</v>
      </c>
      <c r="P935" s="57">
        <v>1</v>
      </c>
      <c r="Q935" s="56">
        <v>0</v>
      </c>
      <c r="R935" s="55">
        <v>2</v>
      </c>
      <c r="S935" s="84">
        <v>1</v>
      </c>
      <c r="T935" s="57"/>
      <c r="U935" s="84">
        <v>1</v>
      </c>
      <c r="V935" s="57">
        <v>2</v>
      </c>
      <c r="W935" s="57">
        <v>1</v>
      </c>
      <c r="X935" s="56">
        <v>2</v>
      </c>
      <c r="Y935" s="84">
        <v>1</v>
      </c>
      <c r="Z935" s="57"/>
      <c r="AA935" s="57">
        <v>15</v>
      </c>
      <c r="AB935" s="57"/>
      <c r="AC935" s="57"/>
      <c r="AD935" s="57"/>
      <c r="AE935" s="57"/>
      <c r="AF935" s="57"/>
      <c r="AG935" s="57"/>
      <c r="AH935" s="57"/>
      <c r="AI935" s="57">
        <v>361</v>
      </c>
      <c r="AJ935" s="57">
        <v>0</v>
      </c>
      <c r="AK935" s="84">
        <v>0</v>
      </c>
      <c r="AL935" s="57">
        <v>1</v>
      </c>
      <c r="AM935" s="57">
        <v>1</v>
      </c>
      <c r="AN935" s="57">
        <v>0</v>
      </c>
      <c r="AO935" s="56">
        <v>0</v>
      </c>
      <c r="AP935" s="178">
        <v>0</v>
      </c>
      <c r="AQ935" s="179">
        <v>571</v>
      </c>
      <c r="AR935" s="179">
        <v>0</v>
      </c>
      <c r="AS935" s="179">
        <v>883</v>
      </c>
      <c r="AT935" s="179">
        <v>0</v>
      </c>
      <c r="AU935" s="179">
        <v>0</v>
      </c>
      <c r="AV935" s="179">
        <v>0</v>
      </c>
      <c r="AW935" s="179">
        <v>0</v>
      </c>
      <c r="AX935" s="84">
        <v>0</v>
      </c>
      <c r="AY935" s="57">
        <v>0</v>
      </c>
      <c r="AZ935" s="57">
        <v>0</v>
      </c>
      <c r="BA935" s="57">
        <v>0</v>
      </c>
      <c r="BB935" s="56">
        <v>0</v>
      </c>
      <c r="BC935" s="55">
        <v>133</v>
      </c>
      <c r="BD935" s="57">
        <v>61.04</v>
      </c>
      <c r="BE935" s="57"/>
      <c r="BF935" s="57"/>
      <c r="BG935" s="57"/>
      <c r="BH935" s="57"/>
      <c r="BI935" s="57"/>
      <c r="BJ935" s="57"/>
      <c r="BK935" s="57"/>
      <c r="BL935" s="57"/>
      <c r="BM935" s="57"/>
      <c r="BN935" s="57"/>
      <c r="BO935" s="57"/>
      <c r="BP935" s="57"/>
      <c r="BQ935" s="57"/>
      <c r="BR935" s="57"/>
      <c r="BS935" s="56"/>
      <c r="BT935" s="84"/>
      <c r="BU935" s="57"/>
      <c r="BV935" s="57"/>
      <c r="BW935" s="57"/>
      <c r="BX935" s="57"/>
      <c r="BY935" s="57"/>
      <c r="BZ935" s="57"/>
      <c r="CA935" s="57"/>
      <c r="CB935" s="57"/>
      <c r="CC935" s="57"/>
      <c r="CD935" s="57"/>
      <c r="CE935" s="84"/>
      <c r="CF935" s="57"/>
      <c r="CG935" s="57"/>
      <c r="CH935" s="57"/>
      <c r="CI935" s="57"/>
      <c r="CJ935" s="57"/>
      <c r="CK935" s="56"/>
      <c r="CL935" s="84"/>
      <c r="CM935" s="57"/>
      <c r="CN935" s="57"/>
      <c r="CO935" s="56"/>
      <c r="CP935" s="84"/>
      <c r="CQ935" s="57"/>
      <c r="CR935" s="56"/>
      <c r="CS935" s="84"/>
      <c r="CT935" s="57"/>
      <c r="CU935" s="57"/>
      <c r="CV935" s="57"/>
      <c r="CW935" s="57"/>
      <c r="CX935" s="57"/>
      <c r="CY935" s="84"/>
      <c r="CZ935" s="57"/>
      <c r="DA935" s="57"/>
      <c r="DB935" s="57"/>
      <c r="DC935" s="57"/>
      <c r="DD935" s="57"/>
      <c r="DE935" s="57"/>
      <c r="DF935" s="57"/>
      <c r="DG935" s="56"/>
      <c r="DH935" s="84"/>
      <c r="DI935" s="57"/>
      <c r="DJ935" s="57"/>
      <c r="DK935" s="57"/>
      <c r="DL935" s="57"/>
      <c r="DM935" s="57"/>
      <c r="DN935" s="57"/>
      <c r="DO935" s="57"/>
      <c r="DP935" s="57"/>
      <c r="DQ935" s="84"/>
      <c r="DR935" s="57"/>
      <c r="DS935" s="57"/>
      <c r="DT935" s="57"/>
      <c r="DU935" s="57"/>
      <c r="DV935" s="57"/>
      <c r="DW935" s="57"/>
      <c r="DX935" s="57"/>
      <c r="DY935" s="57"/>
      <c r="DZ935" s="57"/>
      <c r="EA935" s="57"/>
      <c r="EB935" s="57"/>
      <c r="EC935" s="57"/>
      <c r="ED935" s="57"/>
      <c r="EE935" s="56"/>
      <c r="EF935" s="84"/>
      <c r="EG935" s="57"/>
      <c r="EH935" s="57"/>
      <c r="EI935" s="84"/>
      <c r="EJ935" s="57"/>
      <c r="EK935" s="56"/>
      <c r="EL935" s="84"/>
      <c r="EM935" s="57"/>
      <c r="EN935" s="57"/>
      <c r="EO935" s="56"/>
      <c r="EP935" s="84"/>
      <c r="EQ935" s="56"/>
      <c r="ER935" s="84"/>
      <c r="ES935" s="56"/>
      <c r="ET935" s="84"/>
      <c r="EU935" s="56"/>
    </row>
    <row r="936" spans="1:151">
      <c r="A936" s="87" t="s">
        <v>320</v>
      </c>
      <c r="B936" s="42" t="s">
        <v>534</v>
      </c>
      <c r="C936" s="173" t="s">
        <v>530</v>
      </c>
      <c r="D936" s="83" t="s">
        <v>64</v>
      </c>
      <c r="F936" s="49" t="s">
        <v>287</v>
      </c>
      <c r="G936" s="60">
        <v>-1.9466666666666668</v>
      </c>
      <c r="I936" s="49">
        <v>346</v>
      </c>
      <c r="J936" s="159">
        <v>1.4786324786324787</v>
      </c>
      <c r="K936" s="49">
        <v>1</v>
      </c>
      <c r="L936" s="49">
        <v>1</v>
      </c>
      <c r="M936" s="83">
        <v>1</v>
      </c>
      <c r="N936" s="49">
        <v>0</v>
      </c>
      <c r="O936" s="49">
        <v>0</v>
      </c>
      <c r="P936" s="49">
        <v>1</v>
      </c>
      <c r="Q936" s="58">
        <v>0</v>
      </c>
      <c r="R936" s="42">
        <v>2</v>
      </c>
      <c r="S936" s="83" t="s">
        <v>283</v>
      </c>
      <c r="T936" s="49">
        <v>1</v>
      </c>
      <c r="U936" s="83">
        <v>1</v>
      </c>
      <c r="V936" s="49">
        <v>4</v>
      </c>
      <c r="W936" s="49">
        <v>1</v>
      </c>
      <c r="X936" s="58">
        <v>2</v>
      </c>
      <c r="Y936" s="83">
        <v>0</v>
      </c>
      <c r="AJ936" s="49">
        <v>0</v>
      </c>
      <c r="AK936" s="83">
        <v>0</v>
      </c>
      <c r="AL936" s="49">
        <v>0</v>
      </c>
      <c r="AM936" s="49">
        <v>0</v>
      </c>
      <c r="AN936" s="49">
        <v>0</v>
      </c>
      <c r="AO936" s="58">
        <v>0</v>
      </c>
      <c r="AP936" s="174">
        <v>0</v>
      </c>
      <c r="AQ936" s="175">
        <v>0</v>
      </c>
      <c r="AR936" s="175">
        <v>0</v>
      </c>
      <c r="AS936" s="175">
        <v>0</v>
      </c>
      <c r="AT936" s="175">
        <v>0</v>
      </c>
      <c r="AU936" s="175">
        <v>0</v>
      </c>
      <c r="AV936" s="175">
        <v>0</v>
      </c>
      <c r="AW936" s="175">
        <v>0</v>
      </c>
      <c r="AX936" s="83">
        <v>0</v>
      </c>
      <c r="AY936" s="49">
        <v>0</v>
      </c>
      <c r="AZ936" s="49">
        <v>0</v>
      </c>
      <c r="BA936" s="49">
        <v>0</v>
      </c>
      <c r="BB936" s="58">
        <v>0</v>
      </c>
      <c r="BC936" s="42">
        <v>63</v>
      </c>
      <c r="BD936" s="49">
        <v>66.03</v>
      </c>
      <c r="BE936" s="49">
        <v>68.099999999999994</v>
      </c>
      <c r="BS936" s="58"/>
      <c r="BT936" s="83">
        <v>68.59</v>
      </c>
      <c r="CE936" s="83"/>
      <c r="CK936" s="58"/>
      <c r="CL936" s="83"/>
      <c r="CO936" s="58"/>
      <c r="CP936" s="83"/>
      <c r="CR936" s="58"/>
      <c r="CS936" s="83"/>
      <c r="CY936" s="83"/>
      <c r="DG936" s="58"/>
      <c r="DH936" s="83"/>
      <c r="DQ936" s="83"/>
      <c r="EE936" s="58"/>
      <c r="EF936" s="83"/>
      <c r="EI936" s="83"/>
      <c r="EK936" s="58"/>
      <c r="EL936" s="83"/>
      <c r="EO936" s="58"/>
      <c r="EP936" s="83"/>
      <c r="EQ936" s="58"/>
      <c r="ER936" s="83"/>
      <c r="ES936" s="58"/>
      <c r="ET936" s="83"/>
      <c r="EU936" s="58"/>
    </row>
    <row r="937" spans="1:151">
      <c r="A937" s="42" t="s">
        <v>320</v>
      </c>
      <c r="B937" s="42" t="s">
        <v>534</v>
      </c>
      <c r="C937" s="173" t="s">
        <v>530</v>
      </c>
      <c r="D937" s="83" t="s">
        <v>65</v>
      </c>
      <c r="F937" s="49" t="s">
        <v>286</v>
      </c>
      <c r="G937" s="60">
        <v>-1.9466666666666668</v>
      </c>
      <c r="I937" s="49">
        <v>3326</v>
      </c>
      <c r="J937" s="159">
        <v>6.159259259259259</v>
      </c>
      <c r="K937" s="49">
        <v>2</v>
      </c>
      <c r="L937" s="49">
        <v>3</v>
      </c>
      <c r="M937" s="83">
        <v>1</v>
      </c>
      <c r="N937" s="49">
        <v>0</v>
      </c>
      <c r="O937" s="49">
        <v>1</v>
      </c>
      <c r="P937" s="49">
        <v>1</v>
      </c>
      <c r="Q937" s="58">
        <v>0</v>
      </c>
      <c r="R937" s="42">
        <v>3</v>
      </c>
      <c r="S937" s="83">
        <v>1</v>
      </c>
      <c r="T937" s="49">
        <v>2</v>
      </c>
      <c r="U937" s="83">
        <v>0</v>
      </c>
      <c r="V937" s="49">
        <v>0</v>
      </c>
      <c r="W937" s="49">
        <v>0</v>
      </c>
      <c r="X937" s="58"/>
      <c r="Y937" s="83">
        <v>1</v>
      </c>
      <c r="AD937" s="49">
        <v>21</v>
      </c>
      <c r="AE937" s="49">
        <v>710</v>
      </c>
      <c r="AH937" s="49">
        <v>28</v>
      </c>
      <c r="AI937" s="49">
        <v>262</v>
      </c>
      <c r="AJ937" s="49">
        <v>0</v>
      </c>
      <c r="AK937" s="83">
        <v>0</v>
      </c>
      <c r="AL937" s="49">
        <v>1</v>
      </c>
      <c r="AM937" s="49">
        <v>0</v>
      </c>
      <c r="AN937" s="49">
        <v>0</v>
      </c>
      <c r="AO937" s="58">
        <v>0</v>
      </c>
      <c r="AP937" s="174">
        <v>0</v>
      </c>
      <c r="AQ937" s="175">
        <v>958</v>
      </c>
      <c r="AR937" s="175">
        <v>0</v>
      </c>
      <c r="AS937" s="175">
        <v>0</v>
      </c>
      <c r="AT937" s="175">
        <v>0</v>
      </c>
      <c r="AU937" s="175">
        <v>0</v>
      </c>
      <c r="AV937" s="175">
        <v>0</v>
      </c>
      <c r="AW937" s="175">
        <v>0</v>
      </c>
      <c r="AX937" s="83">
        <v>0</v>
      </c>
      <c r="AY937" s="49">
        <v>0</v>
      </c>
      <c r="AZ937" s="49">
        <v>0</v>
      </c>
      <c r="BA937" s="49">
        <v>0</v>
      </c>
      <c r="BB937" s="58">
        <v>0</v>
      </c>
      <c r="BC937" s="42">
        <v>96</v>
      </c>
      <c r="BD937" s="49">
        <v>68.08</v>
      </c>
      <c r="BE937" s="49"/>
      <c r="BS937" s="58"/>
      <c r="BT937" s="83">
        <v>65.31</v>
      </c>
      <c r="CE937" s="83">
        <v>65.900000000000006</v>
      </c>
      <c r="CF937" s="49">
        <v>65.239999999999995</v>
      </c>
      <c r="CG937" s="49">
        <v>64.040000000000006</v>
      </c>
      <c r="CK937" s="58"/>
      <c r="CL937" s="83"/>
      <c r="CO937" s="58"/>
      <c r="CP937" s="83"/>
      <c r="CR937" s="58"/>
      <c r="CS937" s="83"/>
      <c r="CY937" s="83"/>
      <c r="DG937" s="58"/>
      <c r="DH937" s="83"/>
      <c r="DQ937" s="83"/>
      <c r="EE937" s="58"/>
      <c r="EF937" s="83"/>
      <c r="EI937" s="83"/>
      <c r="EK937" s="58"/>
      <c r="EL937" s="83"/>
      <c r="EO937" s="58"/>
      <c r="EP937" s="83"/>
      <c r="EQ937" s="58"/>
      <c r="ER937" s="83"/>
      <c r="ES937" s="58"/>
      <c r="ET937" s="83"/>
      <c r="EU937" s="58"/>
    </row>
    <row r="938" spans="1:151">
      <c r="A938" s="42" t="s">
        <v>320</v>
      </c>
      <c r="B938" s="42" t="s">
        <v>534</v>
      </c>
      <c r="C938" s="173" t="s">
        <v>530</v>
      </c>
      <c r="D938" s="83" t="s">
        <v>66</v>
      </c>
      <c r="E938" s="49" t="s">
        <v>0</v>
      </c>
      <c r="F938" s="49" t="s">
        <v>287</v>
      </c>
      <c r="G938" s="60">
        <v>-1.9466666666666668</v>
      </c>
      <c r="I938" s="49">
        <v>250</v>
      </c>
      <c r="J938" s="159">
        <v>1.5822784810126582</v>
      </c>
      <c r="K938" s="49">
        <v>4</v>
      </c>
      <c r="L938" s="49">
        <v>5</v>
      </c>
      <c r="M938" s="83">
        <v>0</v>
      </c>
      <c r="N938" s="49">
        <v>1</v>
      </c>
      <c r="O938" s="49">
        <v>0</v>
      </c>
      <c r="P938" s="49">
        <v>0</v>
      </c>
      <c r="Q938" s="58">
        <v>0</v>
      </c>
      <c r="R938" s="42">
        <v>1</v>
      </c>
      <c r="S938" s="83" t="s">
        <v>283</v>
      </c>
      <c r="T938" s="49">
        <v>2</v>
      </c>
      <c r="U938" s="83">
        <v>1</v>
      </c>
      <c r="V938" s="49">
        <v>4</v>
      </c>
      <c r="W938" s="49">
        <v>2</v>
      </c>
      <c r="X938" s="58"/>
      <c r="Y938" s="83">
        <v>0</v>
      </c>
      <c r="AJ938" s="49">
        <v>0</v>
      </c>
      <c r="AK938" s="83">
        <v>0</v>
      </c>
      <c r="AL938" s="49">
        <v>0</v>
      </c>
      <c r="AM938" s="49">
        <v>0</v>
      </c>
      <c r="AN938" s="49">
        <v>0</v>
      </c>
      <c r="AO938" s="58">
        <v>0</v>
      </c>
      <c r="AP938" s="174">
        <v>0</v>
      </c>
      <c r="AQ938" s="175">
        <v>0</v>
      </c>
      <c r="AR938" s="175">
        <v>0</v>
      </c>
      <c r="AS938" s="175">
        <v>0</v>
      </c>
      <c r="AT938" s="175">
        <v>0</v>
      </c>
      <c r="AU938" s="175">
        <v>0</v>
      </c>
      <c r="AV938" s="175">
        <v>0</v>
      </c>
      <c r="AW938" s="175">
        <v>0</v>
      </c>
      <c r="AX938" s="83">
        <v>0</v>
      </c>
      <c r="AY938" s="49">
        <v>0</v>
      </c>
      <c r="AZ938" s="49">
        <v>0</v>
      </c>
      <c r="BA938" s="49">
        <v>0</v>
      </c>
      <c r="BB938" s="58">
        <v>0</v>
      </c>
      <c r="BC938" s="42">
        <v>104</v>
      </c>
      <c r="BE938" s="49"/>
      <c r="BS938" s="58"/>
      <c r="BT938" s="83">
        <v>68.77</v>
      </c>
      <c r="CE938" s="83">
        <v>66.709999999999994</v>
      </c>
      <c r="CK938" s="58"/>
      <c r="CL938" s="83"/>
      <c r="CO938" s="58"/>
      <c r="CP938" s="83"/>
      <c r="CR938" s="58"/>
      <c r="CS938" s="83"/>
      <c r="CY938" s="83"/>
      <c r="DG938" s="58"/>
      <c r="DH938" s="83"/>
      <c r="DQ938" s="83"/>
      <c r="EE938" s="58"/>
      <c r="EF938" s="83"/>
      <c r="EI938" s="83"/>
      <c r="EK938" s="58"/>
      <c r="EL938" s="83"/>
      <c r="EO938" s="58"/>
      <c r="EP938" s="83"/>
      <c r="EQ938" s="58"/>
      <c r="ER938" s="83"/>
      <c r="ES938" s="58"/>
      <c r="ET938" s="83"/>
      <c r="EU938" s="58"/>
    </row>
    <row r="939" spans="1:151">
      <c r="A939" s="42" t="s">
        <v>320</v>
      </c>
      <c r="B939" s="42" t="s">
        <v>534</v>
      </c>
      <c r="C939" s="173" t="s">
        <v>530</v>
      </c>
      <c r="D939" s="83" t="s">
        <v>66</v>
      </c>
      <c r="E939" s="49" t="s">
        <v>1</v>
      </c>
      <c r="F939" s="49" t="s">
        <v>287</v>
      </c>
      <c r="G939" s="60">
        <v>-1.9466666666666668</v>
      </c>
      <c r="I939" s="49">
        <v>684</v>
      </c>
      <c r="J939" s="159">
        <v>1.4646680942184154</v>
      </c>
      <c r="K939" s="49">
        <v>4</v>
      </c>
      <c r="L939" s="49">
        <v>5</v>
      </c>
      <c r="M939" s="83">
        <v>0</v>
      </c>
      <c r="N939" s="49">
        <v>2</v>
      </c>
      <c r="O939" s="49">
        <v>0</v>
      </c>
      <c r="P939" s="49">
        <v>0</v>
      </c>
      <c r="Q939" s="58">
        <v>0</v>
      </c>
      <c r="R939" s="42">
        <v>2</v>
      </c>
      <c r="S939" s="83" t="s">
        <v>283</v>
      </c>
      <c r="T939" s="49">
        <v>5</v>
      </c>
      <c r="U939" s="83">
        <v>1</v>
      </c>
      <c r="V939" s="49">
        <v>5</v>
      </c>
      <c r="W939" s="49">
        <v>2</v>
      </c>
      <c r="X939" s="58"/>
      <c r="Y939" s="83">
        <v>0</v>
      </c>
      <c r="AJ939" s="49">
        <v>0</v>
      </c>
      <c r="AK939" s="83">
        <v>0</v>
      </c>
      <c r="AL939" s="49">
        <v>0</v>
      </c>
      <c r="AM939" s="49">
        <v>0</v>
      </c>
      <c r="AN939" s="49">
        <v>0</v>
      </c>
      <c r="AO939" s="58">
        <v>0</v>
      </c>
      <c r="AP939" s="174">
        <v>0</v>
      </c>
      <c r="AQ939" s="175">
        <v>0</v>
      </c>
      <c r="AR939" s="175">
        <v>0</v>
      </c>
      <c r="AS939" s="175">
        <v>0</v>
      </c>
      <c r="AT939" s="175">
        <v>0</v>
      </c>
      <c r="AU939" s="175">
        <v>0</v>
      </c>
      <c r="AV939" s="175">
        <v>0</v>
      </c>
      <c r="AW939" s="175">
        <v>0</v>
      </c>
      <c r="AX939" s="83">
        <v>0</v>
      </c>
      <c r="AY939" s="49">
        <v>0</v>
      </c>
      <c r="AZ939" s="49">
        <v>0</v>
      </c>
      <c r="BA939" s="49">
        <v>0</v>
      </c>
      <c r="BB939" s="58">
        <v>0</v>
      </c>
      <c r="BC939" s="42">
        <v>104</v>
      </c>
      <c r="BE939" s="49"/>
      <c r="BS939" s="58"/>
      <c r="BT939" s="83">
        <v>73.040000000000006</v>
      </c>
      <c r="BU939" s="49">
        <v>73.349999999999994</v>
      </c>
      <c r="CE939" s="83"/>
      <c r="CK939" s="58"/>
      <c r="CL939" s="83">
        <v>56.36</v>
      </c>
      <c r="CO939" s="58"/>
      <c r="CP939" s="83"/>
      <c r="CR939" s="58"/>
      <c r="CS939" s="83"/>
      <c r="CY939" s="83"/>
      <c r="DG939" s="58"/>
      <c r="DH939" s="83"/>
      <c r="DQ939" s="83"/>
      <c r="EE939" s="58"/>
      <c r="EF939" s="83"/>
      <c r="EI939" s="83"/>
      <c r="EK939" s="58"/>
      <c r="EL939" s="83"/>
      <c r="EO939" s="58"/>
      <c r="EP939" s="83"/>
      <c r="EQ939" s="58"/>
      <c r="ER939" s="83"/>
      <c r="ES939" s="58"/>
      <c r="ET939" s="83"/>
      <c r="EU939" s="58"/>
    </row>
    <row r="940" spans="1:151">
      <c r="A940" s="42" t="s">
        <v>320</v>
      </c>
      <c r="B940" s="42" t="s">
        <v>534</v>
      </c>
      <c r="C940" s="173" t="s">
        <v>530</v>
      </c>
      <c r="D940" s="83" t="s">
        <v>68</v>
      </c>
      <c r="F940" s="49" t="s">
        <v>286</v>
      </c>
      <c r="G940" s="60">
        <v>-1.9466666666666668</v>
      </c>
      <c r="I940" s="49">
        <v>3175</v>
      </c>
      <c r="J940" s="159">
        <v>2.7394305435720447</v>
      </c>
      <c r="K940" s="49">
        <v>1</v>
      </c>
      <c r="L940" s="49">
        <v>2</v>
      </c>
      <c r="M940" s="83">
        <v>1</v>
      </c>
      <c r="N940" s="49">
        <v>0</v>
      </c>
      <c r="O940" s="49">
        <v>1</v>
      </c>
      <c r="P940" s="49">
        <v>1</v>
      </c>
      <c r="Q940" s="58">
        <v>0</v>
      </c>
      <c r="R940" s="42">
        <v>3</v>
      </c>
      <c r="S940" s="83">
        <v>1</v>
      </c>
      <c r="T940" s="49">
        <v>8</v>
      </c>
      <c r="U940" s="83">
        <v>1</v>
      </c>
      <c r="V940" s="49">
        <v>2</v>
      </c>
      <c r="W940" s="49">
        <v>1</v>
      </c>
      <c r="X940" s="58">
        <v>2</v>
      </c>
      <c r="Y940" s="83">
        <v>1</v>
      </c>
      <c r="AE940" s="49">
        <v>22</v>
      </c>
      <c r="AI940" s="49">
        <v>46</v>
      </c>
      <c r="AJ940" s="49">
        <v>0</v>
      </c>
      <c r="AK940" s="83">
        <v>0</v>
      </c>
      <c r="AL940" s="49">
        <v>1</v>
      </c>
      <c r="AM940" s="49">
        <v>0</v>
      </c>
      <c r="AN940" s="49">
        <v>0</v>
      </c>
      <c r="AO940" s="58">
        <v>0</v>
      </c>
      <c r="AP940" s="174">
        <v>456</v>
      </c>
      <c r="AQ940" s="175">
        <v>1782</v>
      </c>
      <c r="AR940" s="175">
        <v>0</v>
      </c>
      <c r="AS940" s="175">
        <v>0</v>
      </c>
      <c r="AT940" s="175">
        <v>0</v>
      </c>
      <c r="AU940" s="175">
        <v>0</v>
      </c>
      <c r="AV940" s="175">
        <v>0</v>
      </c>
      <c r="AW940" s="175">
        <v>0</v>
      </c>
      <c r="AX940" s="83"/>
      <c r="BB940" s="58"/>
      <c r="BC940" s="42">
        <v>108</v>
      </c>
      <c r="BD940" s="49">
        <v>64.89</v>
      </c>
      <c r="BE940" s="49"/>
      <c r="BS940" s="58"/>
      <c r="BT940" s="83">
        <v>65.28</v>
      </c>
      <c r="BU940" s="49">
        <v>65.900000000000006</v>
      </c>
      <c r="BV940" s="49">
        <v>63.94</v>
      </c>
      <c r="CE940" s="83">
        <v>66.489999999999995</v>
      </c>
      <c r="CF940" s="49">
        <v>66.73</v>
      </c>
      <c r="CK940" s="58"/>
      <c r="CL940" s="83"/>
      <c r="CO940" s="58"/>
      <c r="CP940" s="83"/>
      <c r="CR940" s="58"/>
      <c r="CS940" s="83"/>
      <c r="CY940" s="83"/>
      <c r="DG940" s="58"/>
      <c r="DH940" s="83"/>
      <c r="DQ940" s="83"/>
      <c r="EE940" s="58"/>
      <c r="EF940" s="83"/>
      <c r="EI940" s="83"/>
      <c r="EK940" s="58"/>
      <c r="EL940" s="83"/>
      <c r="EO940" s="58"/>
      <c r="EP940" s="83"/>
      <c r="EQ940" s="58"/>
      <c r="ER940" s="83"/>
      <c r="ES940" s="58"/>
      <c r="ET940" s="83"/>
      <c r="EU940" s="58"/>
    </row>
    <row r="941" spans="1:151">
      <c r="A941" s="42" t="s">
        <v>320</v>
      </c>
      <c r="B941" s="42" t="s">
        <v>534</v>
      </c>
      <c r="C941" s="173" t="s">
        <v>530</v>
      </c>
      <c r="D941" s="83" t="s">
        <v>69</v>
      </c>
      <c r="F941" s="49" t="s">
        <v>286</v>
      </c>
      <c r="G941" s="60">
        <v>-1.9466666666666668</v>
      </c>
      <c r="I941" s="49">
        <v>3304</v>
      </c>
      <c r="J941" s="159">
        <v>8.0389294403892944</v>
      </c>
      <c r="K941" s="49">
        <v>2</v>
      </c>
      <c r="L941" s="49">
        <v>3</v>
      </c>
      <c r="M941" s="83">
        <v>1</v>
      </c>
      <c r="N941" s="49">
        <v>0</v>
      </c>
      <c r="O941" s="49">
        <v>0</v>
      </c>
      <c r="P941" s="49">
        <v>1</v>
      </c>
      <c r="Q941" s="58">
        <v>0</v>
      </c>
      <c r="R941" s="42">
        <v>2</v>
      </c>
      <c r="S941" s="83">
        <v>1</v>
      </c>
      <c r="T941" s="49">
        <v>5</v>
      </c>
      <c r="U941" s="83">
        <v>1</v>
      </c>
      <c r="V941" s="49">
        <v>2</v>
      </c>
      <c r="W941" s="49">
        <v>1</v>
      </c>
      <c r="X941" s="58">
        <v>2</v>
      </c>
      <c r="Y941" s="83">
        <v>1</v>
      </c>
      <c r="AD941" s="49">
        <v>12</v>
      </c>
      <c r="AE941" s="49">
        <v>47</v>
      </c>
      <c r="AG941" s="49">
        <v>595</v>
      </c>
      <c r="AH941" s="49">
        <v>90</v>
      </c>
      <c r="AI941" s="49">
        <v>96</v>
      </c>
      <c r="AJ941" s="49">
        <v>0</v>
      </c>
      <c r="AK941" s="83">
        <v>0</v>
      </c>
      <c r="AL941" s="49">
        <v>1</v>
      </c>
      <c r="AM941" s="49">
        <v>0</v>
      </c>
      <c r="AN941" s="49">
        <v>0</v>
      </c>
      <c r="AO941" s="58">
        <v>0</v>
      </c>
      <c r="AP941" s="174">
        <v>287</v>
      </c>
      <c r="AQ941" s="175">
        <v>1025</v>
      </c>
      <c r="AR941" s="175">
        <v>0</v>
      </c>
      <c r="AS941" s="175">
        <v>0</v>
      </c>
      <c r="AT941" s="175">
        <v>0</v>
      </c>
      <c r="AU941" s="175">
        <v>0</v>
      </c>
      <c r="AV941" s="175">
        <v>0</v>
      </c>
      <c r="AW941" s="175">
        <v>0</v>
      </c>
      <c r="AX941" s="83">
        <v>0</v>
      </c>
      <c r="AY941" s="49">
        <v>0</v>
      </c>
      <c r="AZ941" s="49">
        <v>0</v>
      </c>
      <c r="BA941" s="49">
        <v>0</v>
      </c>
      <c r="BB941" s="58">
        <v>0</v>
      </c>
      <c r="BC941" s="42">
        <v>130</v>
      </c>
      <c r="BE941" s="49"/>
      <c r="BS941" s="58"/>
      <c r="BT941" s="83"/>
      <c r="CE941" s="83"/>
      <c r="CK941" s="58"/>
      <c r="CL941" s="83"/>
      <c r="CO941" s="58"/>
      <c r="CP941" s="83"/>
      <c r="CR941" s="58"/>
      <c r="CS941" s="83"/>
      <c r="CY941" s="83"/>
      <c r="DG941" s="58"/>
      <c r="DH941" s="83"/>
      <c r="DQ941" s="83"/>
      <c r="EE941" s="58"/>
      <c r="EF941" s="83"/>
      <c r="EI941" s="83"/>
      <c r="EK941" s="58"/>
      <c r="EL941" s="83"/>
      <c r="EO941" s="58"/>
      <c r="EP941" s="83"/>
      <c r="EQ941" s="58"/>
      <c r="ER941" s="83"/>
      <c r="ES941" s="58"/>
      <c r="ET941" s="83"/>
      <c r="EU941" s="58"/>
    </row>
    <row r="942" spans="1:151">
      <c r="A942" s="42" t="s">
        <v>320</v>
      </c>
      <c r="B942" s="42" t="s">
        <v>534</v>
      </c>
      <c r="C942" s="173" t="s">
        <v>530</v>
      </c>
      <c r="D942" s="83" t="s">
        <v>74</v>
      </c>
      <c r="F942" s="49" t="s">
        <v>286</v>
      </c>
      <c r="G942" s="60">
        <v>-1.9466666666666668</v>
      </c>
      <c r="I942" s="49">
        <v>2063</v>
      </c>
      <c r="J942" s="159">
        <v>3.9749518304431599</v>
      </c>
      <c r="K942" s="49">
        <v>2</v>
      </c>
      <c r="L942" s="49">
        <v>3</v>
      </c>
      <c r="M942" s="83">
        <v>1</v>
      </c>
      <c r="N942" s="49">
        <v>0</v>
      </c>
      <c r="O942" s="49">
        <v>0</v>
      </c>
      <c r="P942" s="49">
        <v>0</v>
      </c>
      <c r="Q942" s="58">
        <v>0</v>
      </c>
      <c r="R942" s="42">
        <v>1</v>
      </c>
      <c r="S942" s="83">
        <v>1</v>
      </c>
      <c r="T942" s="49">
        <v>5</v>
      </c>
      <c r="U942" s="83">
        <v>0</v>
      </c>
      <c r="V942" s="49">
        <v>0</v>
      </c>
      <c r="W942" s="49">
        <v>0</v>
      </c>
      <c r="X942" s="58"/>
      <c r="Y942" s="83">
        <v>4</v>
      </c>
      <c r="AA942" s="49">
        <v>13</v>
      </c>
      <c r="AD942" s="49">
        <v>11</v>
      </c>
      <c r="AE942" s="49">
        <v>43</v>
      </c>
      <c r="AG942" s="49">
        <v>150</v>
      </c>
      <c r="AH942" s="49">
        <v>12</v>
      </c>
      <c r="AI942" s="49">
        <v>535</v>
      </c>
      <c r="AJ942" s="49">
        <v>0</v>
      </c>
      <c r="AK942" s="83">
        <v>0</v>
      </c>
      <c r="AL942" s="49">
        <v>1</v>
      </c>
      <c r="AM942" s="49">
        <v>0</v>
      </c>
      <c r="AN942" s="49">
        <v>0</v>
      </c>
      <c r="AO942" s="58">
        <v>0</v>
      </c>
      <c r="AP942" s="174">
        <v>0</v>
      </c>
      <c r="AQ942" s="175">
        <v>1201</v>
      </c>
      <c r="AR942" s="175">
        <v>0</v>
      </c>
      <c r="AS942" s="175">
        <v>0</v>
      </c>
      <c r="AT942" s="175">
        <v>0</v>
      </c>
      <c r="AU942" s="175">
        <v>0</v>
      </c>
      <c r="AV942" s="175">
        <v>0</v>
      </c>
      <c r="AW942" s="175">
        <v>0</v>
      </c>
      <c r="AX942" s="83">
        <v>0</v>
      </c>
      <c r="AY942" s="49">
        <v>0</v>
      </c>
      <c r="AZ942" s="49">
        <v>0</v>
      </c>
      <c r="BA942" s="49">
        <v>0</v>
      </c>
      <c r="BB942" s="58">
        <v>0</v>
      </c>
      <c r="BC942" s="42">
        <v>92</v>
      </c>
      <c r="BE942" s="49"/>
      <c r="BS942" s="58"/>
      <c r="BT942" s="83"/>
      <c r="CE942" s="83"/>
      <c r="CK942" s="58"/>
      <c r="CL942" s="83"/>
      <c r="CO942" s="58"/>
      <c r="CP942" s="83"/>
      <c r="CR942" s="58"/>
      <c r="CS942" s="83"/>
      <c r="CY942" s="83"/>
      <c r="DG942" s="58"/>
      <c r="DH942" s="83"/>
      <c r="DQ942" s="83"/>
      <c r="EE942" s="58"/>
      <c r="EF942" s="83"/>
      <c r="EI942" s="83"/>
      <c r="EK942" s="58"/>
      <c r="EL942" s="83"/>
      <c r="EO942" s="58"/>
      <c r="EP942" s="83"/>
      <c r="EQ942" s="58"/>
      <c r="ER942" s="83"/>
      <c r="ES942" s="58"/>
      <c r="ET942" s="83"/>
      <c r="EU942" s="58"/>
    </row>
    <row r="943" spans="1:151">
      <c r="A943" s="42" t="s">
        <v>320</v>
      </c>
      <c r="B943" s="42" t="s">
        <v>534</v>
      </c>
      <c r="C943" s="173" t="s">
        <v>530</v>
      </c>
      <c r="D943" s="83" t="s">
        <v>268</v>
      </c>
      <c r="F943" s="49" t="s">
        <v>286</v>
      </c>
      <c r="G943" s="60">
        <v>-1.9466666666666668</v>
      </c>
      <c r="I943" s="49">
        <v>1473</v>
      </c>
      <c r="J943" s="159">
        <v>2.513651877133106</v>
      </c>
      <c r="K943" s="49">
        <v>1</v>
      </c>
      <c r="L943" s="49">
        <v>2</v>
      </c>
      <c r="M943" s="83">
        <v>1</v>
      </c>
      <c r="N943" s="49">
        <v>0</v>
      </c>
      <c r="O943" s="49">
        <v>1</v>
      </c>
      <c r="P943" s="49">
        <v>1</v>
      </c>
      <c r="Q943" s="58">
        <v>0</v>
      </c>
      <c r="R943" s="42">
        <v>3</v>
      </c>
      <c r="S943" s="83" t="s">
        <v>283</v>
      </c>
      <c r="T943" s="49">
        <v>3</v>
      </c>
      <c r="U943" s="83">
        <v>0</v>
      </c>
      <c r="V943" s="49">
        <v>0</v>
      </c>
      <c r="W943" s="49">
        <v>0</v>
      </c>
      <c r="X943" s="58"/>
      <c r="Y943" s="83">
        <v>0</v>
      </c>
      <c r="AJ943" s="49">
        <v>0</v>
      </c>
      <c r="AK943" s="83">
        <v>0</v>
      </c>
      <c r="AL943" s="49">
        <v>1</v>
      </c>
      <c r="AM943" s="49">
        <v>0</v>
      </c>
      <c r="AN943" s="49">
        <v>0</v>
      </c>
      <c r="AO943" s="58">
        <v>0</v>
      </c>
      <c r="AP943" s="174">
        <v>0</v>
      </c>
      <c r="AQ943" s="175">
        <v>276</v>
      </c>
      <c r="AR943" s="175">
        <v>0</v>
      </c>
      <c r="AS943" s="175">
        <v>0</v>
      </c>
      <c r="AT943" s="175">
        <v>0</v>
      </c>
      <c r="AU943" s="175">
        <v>0</v>
      </c>
      <c r="AV943" s="175">
        <v>0</v>
      </c>
      <c r="AW943" s="175">
        <v>0</v>
      </c>
      <c r="AX943" s="83">
        <v>0</v>
      </c>
      <c r="AY943" s="49">
        <v>0</v>
      </c>
      <c r="AZ943" s="49">
        <v>0</v>
      </c>
      <c r="BA943" s="49">
        <v>0</v>
      </c>
      <c r="BB943" s="58">
        <v>0</v>
      </c>
      <c r="BC943" s="42">
        <v>102</v>
      </c>
      <c r="BE943" s="49"/>
      <c r="BS943" s="58"/>
      <c r="BT943" s="83"/>
      <c r="CE943" s="83"/>
      <c r="CK943" s="58"/>
      <c r="CL943" s="83"/>
      <c r="CO943" s="58"/>
      <c r="CP943" s="83"/>
      <c r="CR943" s="58"/>
      <c r="CS943" s="83"/>
      <c r="CY943" s="83"/>
      <c r="DG943" s="58"/>
      <c r="DH943" s="83"/>
      <c r="DQ943" s="83"/>
      <c r="EE943" s="58"/>
      <c r="EF943" s="83"/>
      <c r="EI943" s="83"/>
      <c r="EK943" s="58"/>
      <c r="EL943" s="83"/>
      <c r="EO943" s="58"/>
      <c r="EP943" s="83"/>
      <c r="EQ943" s="58"/>
      <c r="ER943" s="83"/>
      <c r="ES943" s="58"/>
      <c r="ET943" s="83"/>
      <c r="EU943" s="58"/>
    </row>
    <row r="944" spans="1:151">
      <c r="A944" s="42" t="s">
        <v>320</v>
      </c>
      <c r="B944" s="42" t="s">
        <v>534</v>
      </c>
      <c r="C944" s="173" t="s">
        <v>530</v>
      </c>
      <c r="D944" s="83" t="s">
        <v>269</v>
      </c>
      <c r="F944" s="49" t="s">
        <v>286</v>
      </c>
      <c r="G944" s="60">
        <v>-1.9466666666666668</v>
      </c>
      <c r="I944" s="49">
        <v>1599</v>
      </c>
      <c r="J944" s="159">
        <v>3.8253588516746411</v>
      </c>
      <c r="K944" s="49">
        <v>1</v>
      </c>
      <c r="L944" s="49">
        <v>3</v>
      </c>
      <c r="M944" s="83">
        <v>0</v>
      </c>
      <c r="N944" s="49">
        <v>0</v>
      </c>
      <c r="O944" s="49">
        <v>0</v>
      </c>
      <c r="P944" s="49">
        <v>1</v>
      </c>
      <c r="Q944" s="58">
        <v>0</v>
      </c>
      <c r="R944" s="42">
        <v>1</v>
      </c>
      <c r="S944" s="83" t="s">
        <v>284</v>
      </c>
      <c r="U944" s="83">
        <v>1</v>
      </c>
      <c r="V944" s="49">
        <v>3</v>
      </c>
      <c r="W944" s="49">
        <v>1</v>
      </c>
      <c r="X944" s="58">
        <v>2</v>
      </c>
      <c r="Y944" s="83">
        <v>8</v>
      </c>
      <c r="AD944" s="49">
        <v>5</v>
      </c>
      <c r="AE944" s="49">
        <v>73</v>
      </c>
      <c r="AH944" s="49">
        <v>19</v>
      </c>
      <c r="AI944" s="49">
        <v>558</v>
      </c>
      <c r="AJ944" s="49">
        <v>0</v>
      </c>
      <c r="AK944" s="83">
        <v>0</v>
      </c>
      <c r="AL944" s="49">
        <v>0</v>
      </c>
      <c r="AM944" s="49">
        <v>1</v>
      </c>
      <c r="AN944" s="49">
        <v>0</v>
      </c>
      <c r="AO944" s="58">
        <v>0</v>
      </c>
      <c r="AP944" s="174">
        <v>0</v>
      </c>
      <c r="AQ944" s="175">
        <v>0</v>
      </c>
      <c r="AR944" s="175">
        <v>37</v>
      </c>
      <c r="AS944" s="175">
        <v>192</v>
      </c>
      <c r="AT944" s="175">
        <v>0</v>
      </c>
      <c r="AU944" s="175">
        <v>0</v>
      </c>
      <c r="AV944" s="175">
        <v>0</v>
      </c>
      <c r="AW944" s="175">
        <v>0</v>
      </c>
      <c r="AX944" s="83">
        <v>0</v>
      </c>
      <c r="AY944" s="49">
        <v>0</v>
      </c>
      <c r="AZ944" s="49">
        <v>0</v>
      </c>
      <c r="BA944" s="49">
        <v>0</v>
      </c>
      <c r="BB944" s="58">
        <v>0</v>
      </c>
      <c r="BC944" s="42">
        <v>115</v>
      </c>
      <c r="BE944" s="49"/>
      <c r="BS944" s="58"/>
      <c r="BT944" s="83"/>
      <c r="CE944" s="83"/>
      <c r="CK944" s="58"/>
      <c r="CL944" s="83"/>
      <c r="CO944" s="58"/>
      <c r="CP944" s="83"/>
      <c r="CR944" s="58"/>
      <c r="CS944" s="83"/>
      <c r="CY944" s="83"/>
      <c r="DG944" s="58"/>
      <c r="DH944" s="83"/>
      <c r="DQ944" s="83"/>
      <c r="EE944" s="58"/>
      <c r="EF944" s="83"/>
      <c r="EI944" s="83"/>
      <c r="EK944" s="58"/>
      <c r="EL944" s="83"/>
      <c r="EO944" s="58"/>
      <c r="EP944" s="83"/>
      <c r="EQ944" s="58"/>
      <c r="ER944" s="83"/>
      <c r="ES944" s="58"/>
      <c r="ET944" s="83"/>
      <c r="EU944" s="58"/>
    </row>
    <row r="945" spans="1:151">
      <c r="A945" s="42" t="s">
        <v>320</v>
      </c>
      <c r="B945" s="42" t="s">
        <v>534</v>
      </c>
      <c r="C945" s="173" t="s">
        <v>530</v>
      </c>
      <c r="D945" s="83" t="s">
        <v>73</v>
      </c>
      <c r="F945" s="49" t="s">
        <v>286</v>
      </c>
      <c r="G945" s="60">
        <v>-1.9466666666666668</v>
      </c>
      <c r="I945" s="49">
        <v>1972</v>
      </c>
      <c r="J945" s="159">
        <v>3.3651877133105801</v>
      </c>
      <c r="K945" s="49">
        <v>1</v>
      </c>
      <c r="L945" s="49">
        <v>3</v>
      </c>
      <c r="M945" s="83">
        <v>1</v>
      </c>
      <c r="N945" s="49">
        <v>0</v>
      </c>
      <c r="O945" s="49">
        <v>0</v>
      </c>
      <c r="P945" s="49">
        <v>0</v>
      </c>
      <c r="Q945" s="58">
        <v>0</v>
      </c>
      <c r="R945" s="42">
        <v>1</v>
      </c>
      <c r="S945" s="83" t="s">
        <v>283</v>
      </c>
      <c r="T945" s="49">
        <v>3</v>
      </c>
      <c r="U945" s="83">
        <v>1</v>
      </c>
      <c r="V945" s="49">
        <v>3</v>
      </c>
      <c r="W945" s="49">
        <v>1</v>
      </c>
      <c r="X945" s="58">
        <v>2</v>
      </c>
      <c r="Y945" s="83">
        <v>2</v>
      </c>
      <c r="AD945" s="49">
        <v>8</v>
      </c>
      <c r="AE945" s="49">
        <v>90</v>
      </c>
      <c r="AF945" s="49">
        <v>20</v>
      </c>
      <c r="AG945" s="49">
        <v>700</v>
      </c>
      <c r="AH945" s="49">
        <v>15</v>
      </c>
      <c r="AI945" s="49">
        <v>62</v>
      </c>
      <c r="AJ945" s="49">
        <v>0</v>
      </c>
      <c r="AK945" s="83">
        <v>0</v>
      </c>
      <c r="AL945" s="49">
        <v>1</v>
      </c>
      <c r="AM945" s="49">
        <v>1</v>
      </c>
      <c r="AN945" s="49">
        <v>0</v>
      </c>
      <c r="AO945" s="58">
        <v>0</v>
      </c>
      <c r="AP945" s="174">
        <v>130</v>
      </c>
      <c r="AQ945" s="175">
        <v>662</v>
      </c>
      <c r="AR945" s="175">
        <v>14</v>
      </c>
      <c r="AS945" s="175">
        <v>58</v>
      </c>
      <c r="AT945" s="175">
        <v>0</v>
      </c>
      <c r="AU945" s="175">
        <v>0</v>
      </c>
      <c r="AV945" s="175">
        <v>0</v>
      </c>
      <c r="AW945" s="175">
        <v>0</v>
      </c>
      <c r="AX945" s="83">
        <v>0</v>
      </c>
      <c r="AY945" s="49">
        <v>0</v>
      </c>
      <c r="AZ945" s="49">
        <v>0</v>
      </c>
      <c r="BA945" s="49">
        <v>0</v>
      </c>
      <c r="BB945" s="58">
        <v>0</v>
      </c>
      <c r="BC945" s="42">
        <v>95</v>
      </c>
      <c r="BE945" s="49"/>
      <c r="BS945" s="58"/>
      <c r="BT945" s="83">
        <v>66.3</v>
      </c>
      <c r="BU945" s="49">
        <v>63.79</v>
      </c>
      <c r="CE945" s="83">
        <v>65.069999999999993</v>
      </c>
      <c r="CK945" s="58"/>
      <c r="CL945" s="83"/>
      <c r="CO945" s="58"/>
      <c r="CP945" s="83"/>
      <c r="CR945" s="58"/>
      <c r="CS945" s="83"/>
      <c r="CY945" s="83"/>
      <c r="DG945" s="58"/>
      <c r="DH945" s="83"/>
      <c r="DQ945" s="83"/>
      <c r="EE945" s="58"/>
      <c r="EF945" s="83"/>
      <c r="EI945" s="83">
        <v>64.87</v>
      </c>
      <c r="EK945" s="58"/>
      <c r="EL945" s="83">
        <v>69.680000000000007</v>
      </c>
      <c r="EO945" s="58"/>
      <c r="EP945" s="83"/>
      <c r="EQ945" s="58"/>
      <c r="ER945" s="83"/>
      <c r="ES945" s="58"/>
      <c r="ET945" s="83"/>
      <c r="EU945" s="58"/>
    </row>
    <row r="946" spans="1:151">
      <c r="A946" s="42" t="s">
        <v>320</v>
      </c>
      <c r="B946" s="42" t="s">
        <v>534</v>
      </c>
      <c r="C946" s="173" t="s">
        <v>530</v>
      </c>
      <c r="D946" s="83" t="s">
        <v>81</v>
      </c>
      <c r="F946" s="49" t="s">
        <v>286</v>
      </c>
      <c r="G946" s="60">
        <v>-1.9466666666666668</v>
      </c>
      <c r="I946" s="49">
        <v>1044</v>
      </c>
      <c r="J946" s="159">
        <v>2.5217391304347827</v>
      </c>
      <c r="K946" s="49">
        <v>1</v>
      </c>
      <c r="L946" s="49">
        <v>1</v>
      </c>
      <c r="M946" s="83">
        <v>1</v>
      </c>
      <c r="N946" s="49">
        <v>0</v>
      </c>
      <c r="O946" s="49">
        <v>1</v>
      </c>
      <c r="P946" s="49">
        <v>1</v>
      </c>
      <c r="Q946" s="58">
        <v>0</v>
      </c>
      <c r="R946" s="42">
        <v>3</v>
      </c>
      <c r="S946" s="83" t="s">
        <v>283</v>
      </c>
      <c r="T946" s="49">
        <v>5</v>
      </c>
      <c r="U946" s="83">
        <v>2</v>
      </c>
      <c r="V946" s="49">
        <v>3</v>
      </c>
      <c r="W946" s="49">
        <v>1</v>
      </c>
      <c r="X946" s="58">
        <v>2</v>
      </c>
      <c r="Y946" s="83">
        <v>0</v>
      </c>
      <c r="AJ946" s="49">
        <v>0</v>
      </c>
      <c r="AK946" s="83">
        <v>0</v>
      </c>
      <c r="AL946" s="49">
        <v>0</v>
      </c>
      <c r="AM946" s="49">
        <v>1</v>
      </c>
      <c r="AN946" s="49">
        <v>0</v>
      </c>
      <c r="AO946" s="58">
        <v>0</v>
      </c>
      <c r="AP946" s="174">
        <v>0</v>
      </c>
      <c r="AQ946" s="175">
        <v>0</v>
      </c>
      <c r="AR946" s="175">
        <v>0</v>
      </c>
      <c r="AS946" s="175">
        <v>72</v>
      </c>
      <c r="AT946" s="175">
        <v>118</v>
      </c>
      <c r="AU946" s="175">
        <v>0</v>
      </c>
      <c r="AV946" s="175">
        <v>0</v>
      </c>
      <c r="AW946" s="175">
        <v>0</v>
      </c>
      <c r="AX946" s="83">
        <v>0</v>
      </c>
      <c r="AY946" s="49">
        <v>0</v>
      </c>
      <c r="AZ946" s="49">
        <v>0</v>
      </c>
      <c r="BA946" s="49">
        <v>0</v>
      </c>
      <c r="BB946" s="58">
        <v>0</v>
      </c>
      <c r="BC946" s="42">
        <v>99</v>
      </c>
      <c r="BD946" s="49">
        <v>63.64</v>
      </c>
      <c r="BE946" s="49"/>
      <c r="BS946" s="58"/>
      <c r="BT946" s="83">
        <v>66.83</v>
      </c>
      <c r="BU946" s="49">
        <v>65.680000000000007</v>
      </c>
      <c r="CE946" s="83">
        <v>65.58</v>
      </c>
      <c r="CK946" s="58"/>
      <c r="CL946" s="83"/>
      <c r="CO946" s="58"/>
      <c r="CP946" s="83"/>
      <c r="CR946" s="58"/>
      <c r="CS946" s="83"/>
      <c r="CY946" s="83"/>
      <c r="DG946" s="58"/>
      <c r="DH946" s="83"/>
      <c r="DQ946" s="83"/>
      <c r="EE946" s="58"/>
      <c r="EF946" s="83"/>
      <c r="EI946" s="83"/>
      <c r="EK946" s="58"/>
      <c r="EL946" s="83"/>
      <c r="EO946" s="58"/>
      <c r="EP946" s="83"/>
      <c r="EQ946" s="58"/>
      <c r="ER946" s="83"/>
      <c r="ES946" s="58"/>
      <c r="ET946" s="83"/>
      <c r="EU946" s="58"/>
    </row>
    <row r="947" spans="1:151">
      <c r="A947" s="42" t="s">
        <v>320</v>
      </c>
      <c r="B947" s="42" t="s">
        <v>534</v>
      </c>
      <c r="C947" s="173" t="s">
        <v>530</v>
      </c>
      <c r="D947" s="83" t="s">
        <v>87</v>
      </c>
      <c r="F947" s="49" t="s">
        <v>286</v>
      </c>
      <c r="G947" s="60">
        <v>-1.9466666666666668</v>
      </c>
      <c r="I947" s="49">
        <v>3062</v>
      </c>
      <c r="J947" s="159">
        <v>4.3248587570621471</v>
      </c>
      <c r="K947" s="49">
        <v>2</v>
      </c>
      <c r="L947" s="49">
        <v>3</v>
      </c>
      <c r="M947" s="83">
        <v>1</v>
      </c>
      <c r="N947" s="49">
        <v>0</v>
      </c>
      <c r="O947" s="49">
        <v>0</v>
      </c>
      <c r="P947" s="49">
        <v>0</v>
      </c>
      <c r="Q947" s="58">
        <v>0</v>
      </c>
      <c r="R947" s="42">
        <v>1</v>
      </c>
      <c r="S947" s="83">
        <v>1</v>
      </c>
      <c r="U947" s="83">
        <v>0</v>
      </c>
      <c r="V947" s="49">
        <v>0</v>
      </c>
      <c r="W947" s="49">
        <v>0</v>
      </c>
      <c r="X947" s="58"/>
      <c r="Y947" s="83">
        <v>2</v>
      </c>
      <c r="AD947" s="49">
        <v>18</v>
      </c>
      <c r="AE947" s="49">
        <v>220</v>
      </c>
      <c r="AG947" s="49">
        <v>157</v>
      </c>
      <c r="AH947" s="49">
        <v>19</v>
      </c>
      <c r="AI947" s="49">
        <v>769</v>
      </c>
      <c r="AJ947" s="49">
        <v>0</v>
      </c>
      <c r="AK947" s="83">
        <v>0</v>
      </c>
      <c r="AL947" s="49">
        <v>1</v>
      </c>
      <c r="AM947" s="49">
        <v>1</v>
      </c>
      <c r="AN947" s="49">
        <v>0</v>
      </c>
      <c r="AO947" s="58">
        <v>0</v>
      </c>
      <c r="AP947" s="174">
        <v>0</v>
      </c>
      <c r="AQ947" s="175">
        <v>1649</v>
      </c>
      <c r="AR947" s="175">
        <v>0</v>
      </c>
      <c r="AS947" s="175">
        <v>447</v>
      </c>
      <c r="AT947" s="175">
        <v>0</v>
      </c>
      <c r="AU947" s="175">
        <v>0</v>
      </c>
      <c r="AV947" s="175">
        <v>0</v>
      </c>
      <c r="AW947" s="175">
        <v>0</v>
      </c>
      <c r="AX947" s="83">
        <v>0</v>
      </c>
      <c r="AY947" s="49">
        <v>0</v>
      </c>
      <c r="AZ947" s="49">
        <v>0</v>
      </c>
      <c r="BA947" s="49">
        <v>0</v>
      </c>
      <c r="BB947" s="58">
        <v>0</v>
      </c>
      <c r="BC947" s="42">
        <v>106</v>
      </c>
      <c r="BE947" s="49"/>
      <c r="BS947" s="58"/>
      <c r="BT947" s="83"/>
      <c r="CE947" s="83"/>
      <c r="CK947" s="58"/>
      <c r="CL947" s="83"/>
      <c r="CO947" s="58"/>
      <c r="CP947" s="83"/>
      <c r="CR947" s="58"/>
      <c r="CS947" s="83"/>
      <c r="CY947" s="83"/>
      <c r="DG947" s="58"/>
      <c r="DH947" s="83"/>
      <c r="DQ947" s="83"/>
      <c r="EE947" s="58"/>
      <c r="EF947" s="83"/>
      <c r="EI947" s="83"/>
      <c r="EK947" s="58"/>
      <c r="EL947" s="83"/>
      <c r="EO947" s="58"/>
      <c r="EP947" s="83"/>
      <c r="EQ947" s="58"/>
      <c r="ER947" s="83"/>
      <c r="ES947" s="58"/>
      <c r="ET947" s="83"/>
      <c r="EU947" s="58"/>
    </row>
    <row r="948" spans="1:151">
      <c r="A948" s="42" t="s">
        <v>320</v>
      </c>
      <c r="B948" s="42" t="s">
        <v>534</v>
      </c>
      <c r="C948" s="173" t="s">
        <v>530</v>
      </c>
      <c r="D948" s="83" t="s">
        <v>88</v>
      </c>
      <c r="E948" s="49" t="s">
        <v>0</v>
      </c>
      <c r="F948" s="49" t="s">
        <v>287</v>
      </c>
      <c r="G948" s="60">
        <v>-1.9466666666666668</v>
      </c>
      <c r="I948" s="49">
        <v>437</v>
      </c>
      <c r="J948" s="159">
        <v>1.9596412556053813</v>
      </c>
      <c r="K948" s="49">
        <v>1</v>
      </c>
      <c r="L948" s="49">
        <v>2</v>
      </c>
      <c r="M948" s="83">
        <v>0</v>
      </c>
      <c r="N948" s="49">
        <v>0</v>
      </c>
      <c r="O948" s="49">
        <v>0</v>
      </c>
      <c r="P948" s="49">
        <v>1</v>
      </c>
      <c r="Q948" s="58">
        <v>0</v>
      </c>
      <c r="R948" s="42">
        <v>1</v>
      </c>
      <c r="S948" s="83" t="s">
        <v>283</v>
      </c>
      <c r="T948" s="49">
        <v>4</v>
      </c>
      <c r="U948" s="83">
        <v>1</v>
      </c>
      <c r="V948" s="49">
        <v>2</v>
      </c>
      <c r="W948" s="49">
        <v>1</v>
      </c>
      <c r="X948" s="58">
        <v>2</v>
      </c>
      <c r="Y948" s="83">
        <v>1</v>
      </c>
      <c r="AD948" s="49">
        <v>7</v>
      </c>
      <c r="AE948" s="49">
        <v>76</v>
      </c>
      <c r="AH948" s="49">
        <v>32</v>
      </c>
      <c r="AI948" s="49">
        <v>56</v>
      </c>
      <c r="AJ948" s="49">
        <v>0</v>
      </c>
      <c r="AK948" s="83">
        <v>0</v>
      </c>
      <c r="AL948" s="49">
        <v>0</v>
      </c>
      <c r="AM948" s="49">
        <v>0</v>
      </c>
      <c r="AN948" s="49">
        <v>0</v>
      </c>
      <c r="AO948" s="58">
        <v>0</v>
      </c>
      <c r="AP948" s="174">
        <v>0</v>
      </c>
      <c r="AQ948" s="175">
        <v>0</v>
      </c>
      <c r="AR948" s="175">
        <v>0</v>
      </c>
      <c r="AS948" s="175">
        <v>0</v>
      </c>
      <c r="AT948" s="175">
        <v>0</v>
      </c>
      <c r="AU948" s="175">
        <v>0</v>
      </c>
      <c r="AV948" s="175">
        <v>0</v>
      </c>
      <c r="AW948" s="175">
        <v>0</v>
      </c>
      <c r="AX948" s="83">
        <v>0</v>
      </c>
      <c r="AY948" s="49">
        <v>0</v>
      </c>
      <c r="AZ948" s="49">
        <v>0</v>
      </c>
      <c r="BA948" s="49">
        <v>0</v>
      </c>
      <c r="BB948" s="58">
        <v>0</v>
      </c>
      <c r="BC948" s="42">
        <v>118</v>
      </c>
      <c r="BD948" s="49">
        <v>62.85</v>
      </c>
      <c r="BE948" s="49"/>
      <c r="BS948" s="58"/>
      <c r="BT948" s="83">
        <v>68.56</v>
      </c>
      <c r="CE948" s="83"/>
      <c r="CK948" s="58"/>
      <c r="CL948" s="83"/>
      <c r="CO948" s="58"/>
      <c r="CP948" s="83"/>
      <c r="CR948" s="58"/>
      <c r="CS948" s="83"/>
      <c r="CY948" s="83"/>
      <c r="DG948" s="58"/>
      <c r="DH948" s="83"/>
      <c r="DQ948" s="83"/>
      <c r="EE948" s="58"/>
      <c r="EF948" s="83"/>
      <c r="EI948" s="83"/>
      <c r="EK948" s="58"/>
      <c r="EL948" s="83"/>
      <c r="EO948" s="58"/>
      <c r="EP948" s="83"/>
      <c r="EQ948" s="58"/>
      <c r="ER948" s="83"/>
      <c r="ES948" s="58"/>
      <c r="ET948" s="83"/>
      <c r="EU948" s="58"/>
    </row>
    <row r="949" spans="1:151">
      <c r="A949" s="42" t="s">
        <v>320</v>
      </c>
      <c r="B949" s="42" t="s">
        <v>534</v>
      </c>
      <c r="C949" s="173" t="s">
        <v>530</v>
      </c>
      <c r="D949" s="83" t="s">
        <v>88</v>
      </c>
      <c r="E949" s="49" t="s">
        <v>1</v>
      </c>
      <c r="F949" s="49" t="s">
        <v>287</v>
      </c>
      <c r="G949" s="60">
        <v>-1.9466666666666668</v>
      </c>
      <c r="I949" s="49">
        <v>458</v>
      </c>
      <c r="J949" s="159">
        <v>1.9741379310344827</v>
      </c>
      <c r="K949" s="49">
        <v>1</v>
      </c>
      <c r="L949" s="49">
        <v>3</v>
      </c>
      <c r="M949" s="83">
        <v>0</v>
      </c>
      <c r="N949" s="49">
        <v>0</v>
      </c>
      <c r="O949" s="49">
        <v>1</v>
      </c>
      <c r="P949" s="49">
        <v>1</v>
      </c>
      <c r="Q949" s="58">
        <v>0</v>
      </c>
      <c r="R949" s="42">
        <v>2</v>
      </c>
      <c r="S949" s="83" t="s">
        <v>283</v>
      </c>
      <c r="T949" s="49">
        <v>2</v>
      </c>
      <c r="U949" s="83">
        <v>1</v>
      </c>
      <c r="V949" s="49">
        <v>3</v>
      </c>
      <c r="W949" s="49">
        <v>1</v>
      </c>
      <c r="X949" s="58">
        <v>1</v>
      </c>
      <c r="Y949" s="83">
        <v>0</v>
      </c>
      <c r="AJ949" s="49">
        <v>0</v>
      </c>
      <c r="AK949" s="83">
        <v>0</v>
      </c>
      <c r="AL949" s="49">
        <v>0</v>
      </c>
      <c r="AM949" s="49">
        <v>0</v>
      </c>
      <c r="AN949" s="49">
        <v>0</v>
      </c>
      <c r="AO949" s="58">
        <v>0</v>
      </c>
      <c r="AP949" s="174">
        <v>0</v>
      </c>
      <c r="AQ949" s="175">
        <v>0</v>
      </c>
      <c r="AR949" s="175">
        <v>0</v>
      </c>
      <c r="AS949" s="175">
        <v>0</v>
      </c>
      <c r="AT949" s="175">
        <v>0</v>
      </c>
      <c r="AU949" s="175">
        <v>0</v>
      </c>
      <c r="AV949" s="175">
        <v>0</v>
      </c>
      <c r="AW949" s="175">
        <v>0</v>
      </c>
      <c r="AX949" s="83">
        <v>0</v>
      </c>
      <c r="AY949" s="49">
        <v>0</v>
      </c>
      <c r="AZ949" s="49">
        <v>0</v>
      </c>
      <c r="BA949" s="49">
        <v>0</v>
      </c>
      <c r="BB949" s="58">
        <v>0</v>
      </c>
      <c r="BC949" s="42">
        <v>118</v>
      </c>
      <c r="BD949" s="49">
        <v>79.599999999999994</v>
      </c>
      <c r="BE949" s="49"/>
      <c r="BS949" s="58"/>
      <c r="BT949" s="83">
        <v>66.819999999999993</v>
      </c>
      <c r="CE949" s="83"/>
      <c r="CK949" s="58"/>
      <c r="CL949" s="83"/>
      <c r="CO949" s="58"/>
      <c r="CP949" s="83"/>
      <c r="CR949" s="58"/>
      <c r="CS949" s="83"/>
      <c r="CY949" s="83"/>
      <c r="DG949" s="58"/>
      <c r="DH949" s="83"/>
      <c r="DQ949" s="83"/>
      <c r="EE949" s="58"/>
      <c r="EF949" s="83"/>
      <c r="EI949" s="83"/>
      <c r="EK949" s="58"/>
      <c r="EL949" s="83"/>
      <c r="EO949" s="58"/>
      <c r="EP949" s="83"/>
      <c r="EQ949" s="58"/>
      <c r="ER949" s="83"/>
      <c r="ES949" s="58"/>
      <c r="ET949" s="83"/>
      <c r="EU949" s="58"/>
    </row>
    <row r="950" spans="1:151">
      <c r="A950" s="42" t="s">
        <v>320</v>
      </c>
      <c r="B950" s="42" t="s">
        <v>534</v>
      </c>
      <c r="C950" s="173" t="s">
        <v>530</v>
      </c>
      <c r="D950" s="83" t="s">
        <v>88</v>
      </c>
      <c r="E950" s="49" t="s">
        <v>2</v>
      </c>
      <c r="F950" s="49" t="s">
        <v>286</v>
      </c>
      <c r="G950" s="60">
        <v>-1.9466666666666668</v>
      </c>
      <c r="I950" s="49">
        <v>1316</v>
      </c>
      <c r="J950" s="159">
        <v>4.8560885608856088</v>
      </c>
      <c r="K950" s="49">
        <v>1</v>
      </c>
      <c r="L950" s="49">
        <v>2</v>
      </c>
      <c r="M950" s="83">
        <v>1</v>
      </c>
      <c r="N950" s="49">
        <v>0</v>
      </c>
      <c r="O950" s="49">
        <v>0</v>
      </c>
      <c r="P950" s="49">
        <v>1</v>
      </c>
      <c r="Q950" s="58">
        <v>0</v>
      </c>
      <c r="R950" s="42">
        <v>2</v>
      </c>
      <c r="S950" s="83" t="s">
        <v>283</v>
      </c>
      <c r="T950" s="49">
        <v>2</v>
      </c>
      <c r="U950" s="83">
        <v>1</v>
      </c>
      <c r="V950" s="49">
        <v>2</v>
      </c>
      <c r="W950" s="49">
        <v>1</v>
      </c>
      <c r="X950" s="58">
        <v>2</v>
      </c>
      <c r="Y950" s="83">
        <v>1</v>
      </c>
      <c r="AD950" s="49">
        <v>7</v>
      </c>
      <c r="AE950" s="49">
        <v>13</v>
      </c>
      <c r="AH950" s="49">
        <v>8</v>
      </c>
      <c r="AI950" s="49">
        <v>80</v>
      </c>
      <c r="AJ950" s="49">
        <v>0</v>
      </c>
      <c r="AK950" s="83">
        <v>0</v>
      </c>
      <c r="AL950" s="49">
        <v>0</v>
      </c>
      <c r="AM950" s="49">
        <v>1</v>
      </c>
      <c r="AN950" s="49">
        <v>0</v>
      </c>
      <c r="AO950" s="58">
        <v>0</v>
      </c>
      <c r="AP950" s="174">
        <v>0</v>
      </c>
      <c r="AQ950" s="175">
        <v>0</v>
      </c>
      <c r="AR950" s="175">
        <v>16</v>
      </c>
      <c r="AS950" s="175">
        <v>68</v>
      </c>
      <c r="AT950" s="175">
        <v>0</v>
      </c>
      <c r="AU950" s="175">
        <v>0</v>
      </c>
      <c r="AV950" s="175">
        <v>0</v>
      </c>
      <c r="AW950" s="175">
        <v>0</v>
      </c>
      <c r="AX950" s="83">
        <v>0</v>
      </c>
      <c r="AY950" s="49">
        <v>0</v>
      </c>
      <c r="AZ950" s="49">
        <v>0</v>
      </c>
      <c r="BA950" s="49">
        <v>0</v>
      </c>
      <c r="BB950" s="58">
        <v>0</v>
      </c>
      <c r="BC950" s="42">
        <v>118</v>
      </c>
      <c r="BD950" s="49">
        <v>64.41</v>
      </c>
      <c r="BE950" s="49"/>
      <c r="BS950" s="58"/>
      <c r="BT950" s="83">
        <v>64.89</v>
      </c>
      <c r="CE950" s="83"/>
      <c r="CK950" s="58"/>
      <c r="CL950" s="83"/>
      <c r="CO950" s="58"/>
      <c r="CP950" s="83"/>
      <c r="CR950" s="58"/>
      <c r="CS950" s="83"/>
      <c r="CY950" s="83"/>
      <c r="DG950" s="58"/>
      <c r="DH950" s="83"/>
      <c r="DQ950" s="83"/>
      <c r="EE950" s="58"/>
      <c r="EF950" s="83"/>
      <c r="EI950" s="83"/>
      <c r="EK950" s="58"/>
      <c r="EL950" s="83"/>
      <c r="EO950" s="58"/>
      <c r="EP950" s="83"/>
      <c r="EQ950" s="58"/>
      <c r="ER950" s="83"/>
      <c r="ES950" s="58"/>
      <c r="ET950" s="83"/>
      <c r="EU950" s="58"/>
    </row>
    <row r="951" spans="1:151">
      <c r="A951" s="42" t="s">
        <v>320</v>
      </c>
      <c r="B951" s="42" t="s">
        <v>534</v>
      </c>
      <c r="C951" s="173" t="s">
        <v>530</v>
      </c>
      <c r="D951" s="83" t="s">
        <v>111</v>
      </c>
      <c r="F951" s="49" t="s">
        <v>286</v>
      </c>
      <c r="G951" s="60">
        <v>-1.9466666666666668</v>
      </c>
      <c r="I951" s="49">
        <v>1473</v>
      </c>
      <c r="J951" s="159">
        <v>3.1541755888650962</v>
      </c>
      <c r="K951" s="49">
        <v>1</v>
      </c>
      <c r="L951" s="49">
        <v>2</v>
      </c>
      <c r="M951" s="83">
        <v>1</v>
      </c>
      <c r="N951" s="49">
        <v>0</v>
      </c>
      <c r="O951" s="49">
        <v>0</v>
      </c>
      <c r="P951" s="49">
        <v>1</v>
      </c>
      <c r="Q951" s="58">
        <v>0</v>
      </c>
      <c r="R951" s="42">
        <v>2</v>
      </c>
      <c r="S951" s="83">
        <v>1</v>
      </c>
      <c r="T951" s="49">
        <v>4</v>
      </c>
      <c r="U951" s="83">
        <v>1</v>
      </c>
      <c r="V951" s="49">
        <v>2</v>
      </c>
      <c r="W951" s="49">
        <v>2</v>
      </c>
      <c r="X951" s="58"/>
      <c r="Y951" s="83">
        <v>1</v>
      </c>
      <c r="AH951" s="49">
        <v>47</v>
      </c>
      <c r="AI951" s="49">
        <v>48</v>
      </c>
      <c r="AJ951" s="49">
        <v>0</v>
      </c>
      <c r="AK951" s="83">
        <v>0</v>
      </c>
      <c r="AL951" s="49">
        <v>1</v>
      </c>
      <c r="AM951" s="49">
        <v>1</v>
      </c>
      <c r="AN951" s="49">
        <v>0</v>
      </c>
      <c r="AO951" s="58">
        <v>0</v>
      </c>
      <c r="AP951" s="174">
        <v>0</v>
      </c>
      <c r="AQ951" s="175">
        <v>689</v>
      </c>
      <c r="AR951" s="175">
        <v>37</v>
      </c>
      <c r="AS951" s="175">
        <v>246</v>
      </c>
      <c r="AT951" s="175">
        <v>0</v>
      </c>
      <c r="AU951" s="175">
        <v>0</v>
      </c>
      <c r="AV951" s="175">
        <v>0</v>
      </c>
      <c r="AW951" s="175">
        <v>0</v>
      </c>
      <c r="AX951" s="83">
        <v>0</v>
      </c>
      <c r="AY951" s="49">
        <v>0</v>
      </c>
      <c r="AZ951" s="49">
        <v>0</v>
      </c>
      <c r="BA951" s="49">
        <v>0</v>
      </c>
      <c r="BB951" s="58">
        <v>0</v>
      </c>
      <c r="BC951" s="42">
        <v>100</v>
      </c>
      <c r="BE951" s="49"/>
      <c r="BS951" s="58"/>
      <c r="BT951" s="83"/>
      <c r="CE951" s="83"/>
      <c r="CK951" s="58"/>
      <c r="CL951" s="83"/>
      <c r="CO951" s="58"/>
      <c r="CP951" s="83"/>
      <c r="CR951" s="58"/>
      <c r="CS951" s="83"/>
      <c r="CY951" s="83"/>
      <c r="DG951" s="58"/>
      <c r="DH951" s="83"/>
      <c r="DQ951" s="83"/>
      <c r="EE951" s="58"/>
      <c r="EF951" s="83"/>
      <c r="EI951" s="83"/>
      <c r="EK951" s="58"/>
      <c r="EL951" s="83"/>
      <c r="EO951" s="58"/>
      <c r="EP951" s="83"/>
      <c r="EQ951" s="58"/>
      <c r="ER951" s="83"/>
      <c r="ES951" s="58"/>
      <c r="ET951" s="83"/>
      <c r="EU951" s="58"/>
    </row>
    <row r="952" spans="1:151">
      <c r="A952" s="42" t="s">
        <v>320</v>
      </c>
      <c r="B952" s="42" t="s">
        <v>534</v>
      </c>
      <c r="C952" s="173" t="s">
        <v>530</v>
      </c>
      <c r="D952" s="83" t="s">
        <v>92</v>
      </c>
      <c r="F952" s="49" t="s">
        <v>286</v>
      </c>
      <c r="G952" s="60">
        <v>-1.9466666666666668</v>
      </c>
      <c r="I952" s="49">
        <v>6043</v>
      </c>
      <c r="J952" s="159">
        <v>2.1300669721536836</v>
      </c>
      <c r="K952" s="49">
        <v>1</v>
      </c>
      <c r="L952" s="49">
        <v>3</v>
      </c>
      <c r="M952" s="83">
        <v>1</v>
      </c>
      <c r="N952" s="49">
        <v>2</v>
      </c>
      <c r="O952" s="49">
        <v>0</v>
      </c>
      <c r="P952" s="49">
        <v>1</v>
      </c>
      <c r="Q952" s="58">
        <v>0</v>
      </c>
      <c r="R952" s="42">
        <v>4</v>
      </c>
      <c r="S952" s="83" t="s">
        <v>283</v>
      </c>
      <c r="T952" s="49">
        <v>20</v>
      </c>
      <c r="U952" s="83">
        <v>2</v>
      </c>
      <c r="V952" s="49">
        <v>4</v>
      </c>
      <c r="W952" s="49">
        <v>3</v>
      </c>
      <c r="X952" s="58">
        <v>2</v>
      </c>
      <c r="Y952" s="83">
        <v>3</v>
      </c>
      <c r="AD952" s="49">
        <v>52</v>
      </c>
      <c r="AE952" s="49">
        <v>88</v>
      </c>
      <c r="AF952" s="49">
        <v>94</v>
      </c>
      <c r="AG952" s="49">
        <v>308</v>
      </c>
      <c r="AH952" s="49">
        <v>661</v>
      </c>
      <c r="AI952" s="49">
        <v>804</v>
      </c>
      <c r="AJ952" s="49">
        <v>0</v>
      </c>
      <c r="AK952" s="83">
        <v>0</v>
      </c>
      <c r="AL952" s="49">
        <v>0</v>
      </c>
      <c r="AM952" s="49">
        <v>0</v>
      </c>
      <c r="AN952" s="49">
        <v>0</v>
      </c>
      <c r="AO952" s="58">
        <v>0</v>
      </c>
      <c r="AP952" s="174">
        <v>0</v>
      </c>
      <c r="AQ952" s="175">
        <v>0</v>
      </c>
      <c r="AR952" s="175">
        <v>0</v>
      </c>
      <c r="AS952" s="175">
        <v>0</v>
      </c>
      <c r="AT952" s="175">
        <v>0</v>
      </c>
      <c r="AU952" s="175">
        <v>0</v>
      </c>
      <c r="AV952" s="175">
        <v>0</v>
      </c>
      <c r="AW952" s="175">
        <v>0</v>
      </c>
      <c r="AX952" s="83">
        <v>0</v>
      </c>
      <c r="AY952" s="49">
        <v>0</v>
      </c>
      <c r="AZ952" s="49">
        <v>0</v>
      </c>
      <c r="BA952" s="49">
        <v>0</v>
      </c>
      <c r="BB952" s="58">
        <v>0</v>
      </c>
      <c r="BC952" s="42">
        <v>119</v>
      </c>
      <c r="BD952" s="49">
        <v>69.11</v>
      </c>
      <c r="BE952" s="49">
        <v>69.05</v>
      </c>
      <c r="BF952" s="49">
        <v>68.33</v>
      </c>
      <c r="BS952" s="58"/>
      <c r="BT952" s="83">
        <v>74.45</v>
      </c>
      <c r="BU952" s="49">
        <v>72.959999999999994</v>
      </c>
      <c r="CE952" s="83">
        <v>66.540000000000006</v>
      </c>
      <c r="CF952" s="49">
        <v>67.760000000000005</v>
      </c>
      <c r="CK952" s="58"/>
      <c r="CL952" s="83"/>
      <c r="CO952" s="58"/>
      <c r="CP952" s="83"/>
      <c r="CR952" s="58"/>
      <c r="CS952" s="83"/>
      <c r="CY952" s="83"/>
      <c r="DG952" s="58"/>
      <c r="DH952" s="83"/>
      <c r="DQ952" s="83">
        <v>74.7</v>
      </c>
      <c r="EE952" s="58"/>
      <c r="EF952" s="83"/>
      <c r="EI952" s="83"/>
      <c r="EK952" s="58"/>
      <c r="EL952" s="83"/>
      <c r="EO952" s="58"/>
      <c r="EP952" s="83"/>
      <c r="EQ952" s="58"/>
      <c r="ER952" s="83"/>
      <c r="ES952" s="58"/>
      <c r="ET952" s="83"/>
      <c r="EU952" s="58"/>
    </row>
    <row r="953" spans="1:151">
      <c r="A953" s="42" t="s">
        <v>320</v>
      </c>
      <c r="B953" s="42" t="s">
        <v>534</v>
      </c>
      <c r="C953" s="173" t="s">
        <v>530</v>
      </c>
      <c r="D953" s="83" t="s">
        <v>93</v>
      </c>
      <c r="F953" s="49" t="s">
        <v>286</v>
      </c>
      <c r="G953" s="60">
        <v>-1.9466666666666668</v>
      </c>
      <c r="I953" s="49">
        <v>2501</v>
      </c>
      <c r="J953" s="159">
        <v>6.28391959798995</v>
      </c>
      <c r="K953" s="49">
        <v>2</v>
      </c>
      <c r="L953" s="49">
        <v>3</v>
      </c>
      <c r="M953" s="83">
        <v>1</v>
      </c>
      <c r="N953" s="49">
        <v>0</v>
      </c>
      <c r="O953" s="49">
        <v>1</v>
      </c>
      <c r="P953" s="49">
        <v>1</v>
      </c>
      <c r="Q953" s="58">
        <v>0</v>
      </c>
      <c r="R953" s="42">
        <v>3</v>
      </c>
      <c r="S953" s="83" t="s">
        <v>283</v>
      </c>
      <c r="T953" s="49">
        <v>3</v>
      </c>
      <c r="U953" s="83">
        <v>1</v>
      </c>
      <c r="V953" s="49">
        <v>2</v>
      </c>
      <c r="W953" s="49">
        <v>2</v>
      </c>
      <c r="X953" s="58"/>
      <c r="Y953" s="83">
        <v>5</v>
      </c>
      <c r="AE953" s="49">
        <v>71</v>
      </c>
      <c r="AF953" s="49">
        <v>89</v>
      </c>
      <c r="AG953" s="49">
        <v>1264</v>
      </c>
      <c r="AJ953" s="49">
        <v>0</v>
      </c>
      <c r="AK953" s="83">
        <v>0</v>
      </c>
      <c r="AL953" s="49">
        <v>0</v>
      </c>
      <c r="AM953" s="49">
        <v>0</v>
      </c>
      <c r="AN953" s="49">
        <v>0</v>
      </c>
      <c r="AO953" s="58">
        <v>0</v>
      </c>
      <c r="AP953" s="174">
        <v>0</v>
      </c>
      <c r="AQ953" s="175">
        <v>0</v>
      </c>
      <c r="AR953" s="175">
        <v>0</v>
      </c>
      <c r="AS953" s="175">
        <v>0</v>
      </c>
      <c r="AT953" s="175">
        <v>0</v>
      </c>
      <c r="AU953" s="175">
        <v>0</v>
      </c>
      <c r="AV953" s="175">
        <v>0</v>
      </c>
      <c r="AW953" s="175">
        <v>0</v>
      </c>
      <c r="AX953" s="83">
        <v>0</v>
      </c>
      <c r="AY953" s="49">
        <v>0</v>
      </c>
      <c r="AZ953" s="49">
        <v>0</v>
      </c>
      <c r="BA953" s="49">
        <v>0</v>
      </c>
      <c r="BB953" s="58">
        <v>0</v>
      </c>
      <c r="BC953" s="42">
        <v>114</v>
      </c>
      <c r="BD953" s="49">
        <v>64.3</v>
      </c>
      <c r="BE953" s="49"/>
      <c r="BS953" s="58"/>
      <c r="BT953" s="83">
        <v>64.83</v>
      </c>
      <c r="CE953" s="83">
        <v>64.41</v>
      </c>
      <c r="CK953" s="58"/>
      <c r="CL953" s="83"/>
      <c r="CO953" s="58"/>
      <c r="CP953" s="83"/>
      <c r="CR953" s="58"/>
      <c r="CS953" s="83">
        <v>70.239999999999995</v>
      </c>
      <c r="CT953" s="49">
        <v>69.16</v>
      </c>
      <c r="CY953" s="83"/>
      <c r="DG953" s="58"/>
      <c r="DH953" s="83"/>
      <c r="DQ953" s="83">
        <v>67.680000000000007</v>
      </c>
      <c r="EE953" s="58"/>
      <c r="EF953" s="83"/>
      <c r="EI953" s="83"/>
      <c r="EK953" s="58"/>
      <c r="EL953" s="83"/>
      <c r="EO953" s="58"/>
      <c r="EP953" s="83"/>
      <c r="EQ953" s="58"/>
      <c r="ER953" s="83"/>
      <c r="ES953" s="58"/>
      <c r="ET953" s="83"/>
      <c r="EU953" s="58"/>
    </row>
    <row r="954" spans="1:151">
      <c r="A954" s="42" t="s">
        <v>320</v>
      </c>
      <c r="B954" s="42" t="s">
        <v>534</v>
      </c>
      <c r="C954" s="173" t="s">
        <v>530</v>
      </c>
      <c r="D954" s="83" t="s">
        <v>95</v>
      </c>
      <c r="F954" s="49" t="s">
        <v>286</v>
      </c>
      <c r="G954" s="60">
        <v>-1.9466666666666668</v>
      </c>
      <c r="I954" s="49">
        <v>1047</v>
      </c>
      <c r="J954" s="159">
        <v>1.7334437086092715</v>
      </c>
      <c r="K954" s="49">
        <v>4</v>
      </c>
      <c r="L954" s="49">
        <v>4</v>
      </c>
      <c r="M954" s="83">
        <v>1</v>
      </c>
      <c r="N954" s="49">
        <v>3</v>
      </c>
      <c r="O954" s="49">
        <v>0</v>
      </c>
      <c r="P954" s="49">
        <v>0</v>
      </c>
      <c r="Q954" s="58">
        <v>0</v>
      </c>
      <c r="R954" s="42">
        <v>4</v>
      </c>
      <c r="S954" s="83" t="s">
        <v>283</v>
      </c>
      <c r="T954" s="49">
        <v>5</v>
      </c>
      <c r="U954" s="83">
        <v>1</v>
      </c>
      <c r="V954" s="49">
        <v>3</v>
      </c>
      <c r="W954" s="49">
        <v>2</v>
      </c>
      <c r="X954" s="58"/>
      <c r="Y954" s="83">
        <v>1</v>
      </c>
      <c r="Z954" s="49">
        <v>6</v>
      </c>
      <c r="AA954" s="49">
        <v>11</v>
      </c>
      <c r="AG954" s="49">
        <v>31</v>
      </c>
      <c r="AH954" s="49">
        <v>10</v>
      </c>
      <c r="AI954" s="49">
        <v>58</v>
      </c>
      <c r="AJ954" s="49">
        <v>0</v>
      </c>
      <c r="AK954" s="83">
        <v>0</v>
      </c>
      <c r="AL954" s="49">
        <v>0</v>
      </c>
      <c r="AM954" s="49">
        <v>1</v>
      </c>
      <c r="AN954" s="49">
        <v>0</v>
      </c>
      <c r="AO954" s="58">
        <v>0</v>
      </c>
      <c r="AP954" s="174">
        <v>0</v>
      </c>
      <c r="AQ954" s="175">
        <v>0</v>
      </c>
      <c r="AR954" s="175">
        <v>0</v>
      </c>
      <c r="AS954" s="175">
        <v>174</v>
      </c>
      <c r="AT954" s="175">
        <v>0</v>
      </c>
      <c r="AU954" s="175">
        <v>0</v>
      </c>
      <c r="AV954" s="175">
        <v>0</v>
      </c>
      <c r="AW954" s="175">
        <v>0</v>
      </c>
      <c r="AX954" s="83">
        <v>0</v>
      </c>
      <c r="AY954" s="49">
        <v>0</v>
      </c>
      <c r="AZ954" s="49">
        <v>0</v>
      </c>
      <c r="BA954" s="49">
        <v>0</v>
      </c>
      <c r="BB954" s="58">
        <v>0</v>
      </c>
      <c r="BC954" s="42">
        <v>88</v>
      </c>
      <c r="BE954" s="49"/>
      <c r="BS954" s="58"/>
      <c r="BT954" s="83"/>
      <c r="CE954" s="83"/>
      <c r="CK954" s="58"/>
      <c r="CL954" s="83"/>
      <c r="CO954" s="58"/>
      <c r="CP954" s="83"/>
      <c r="CR954" s="58"/>
      <c r="CS954" s="83"/>
      <c r="CY954" s="83"/>
      <c r="DG954" s="58"/>
      <c r="DH954" s="83"/>
      <c r="DQ954" s="83"/>
      <c r="EE954" s="58"/>
      <c r="EF954" s="83"/>
      <c r="EI954" s="83"/>
      <c r="EK954" s="58"/>
      <c r="EL954" s="83"/>
      <c r="EO954" s="58"/>
      <c r="EP954" s="83"/>
      <c r="EQ954" s="58"/>
      <c r="ER954" s="83"/>
      <c r="ES954" s="58"/>
      <c r="ET954" s="83"/>
      <c r="EU954" s="58"/>
    </row>
    <row r="955" spans="1:151">
      <c r="A955" s="42" t="s">
        <v>320</v>
      </c>
      <c r="B955" s="42" t="s">
        <v>534</v>
      </c>
      <c r="C955" s="173" t="s">
        <v>530</v>
      </c>
      <c r="D955" s="83" t="s">
        <v>96</v>
      </c>
      <c r="F955" s="49" t="s">
        <v>286</v>
      </c>
      <c r="G955" s="60">
        <v>-1.9466666666666668</v>
      </c>
      <c r="I955" s="49">
        <v>2246</v>
      </c>
      <c r="J955" s="159">
        <v>5.1990740740740744</v>
      </c>
      <c r="K955" s="49">
        <v>1</v>
      </c>
      <c r="L955" s="49">
        <v>3</v>
      </c>
      <c r="M955" s="83">
        <v>1</v>
      </c>
      <c r="N955" s="49">
        <v>0</v>
      </c>
      <c r="O955" s="49">
        <v>1</v>
      </c>
      <c r="P955" s="49">
        <v>1</v>
      </c>
      <c r="Q955" s="58">
        <v>0</v>
      </c>
      <c r="R955" s="42">
        <v>3</v>
      </c>
      <c r="S955" s="83" t="s">
        <v>283</v>
      </c>
      <c r="T955" s="49">
        <v>4</v>
      </c>
      <c r="U955" s="83">
        <v>1</v>
      </c>
      <c r="V955" s="49">
        <v>2</v>
      </c>
      <c r="W955" s="49">
        <v>2</v>
      </c>
      <c r="X955" s="58"/>
      <c r="Y955" s="83">
        <v>1</v>
      </c>
      <c r="AH955" s="49">
        <v>9</v>
      </c>
      <c r="AI955" s="49">
        <v>98</v>
      </c>
      <c r="AJ955" s="49">
        <v>0</v>
      </c>
      <c r="AK955" s="83">
        <v>0</v>
      </c>
      <c r="AL955" s="49">
        <v>1</v>
      </c>
      <c r="AM955" s="49">
        <v>0</v>
      </c>
      <c r="AN955" s="49">
        <v>0</v>
      </c>
      <c r="AO955" s="58">
        <v>0</v>
      </c>
      <c r="AP955" s="174">
        <v>0</v>
      </c>
      <c r="AQ955" s="175">
        <v>917</v>
      </c>
      <c r="AR955" s="175">
        <v>0</v>
      </c>
      <c r="AS955" s="175">
        <v>0</v>
      </c>
      <c r="AT955" s="175">
        <v>0</v>
      </c>
      <c r="AU955" s="175">
        <v>0</v>
      </c>
      <c r="AV955" s="175">
        <v>0</v>
      </c>
      <c r="AW955" s="175">
        <v>0</v>
      </c>
      <c r="AX955" s="83">
        <v>1</v>
      </c>
      <c r="AY955" s="49">
        <v>0</v>
      </c>
      <c r="AZ955" s="49">
        <v>0</v>
      </c>
      <c r="BA955" s="49">
        <v>0</v>
      </c>
      <c r="BB955" s="58">
        <v>1</v>
      </c>
      <c r="BC955" s="42">
        <v>100</v>
      </c>
      <c r="BE955" s="49"/>
      <c r="BS955" s="58"/>
      <c r="BT955" s="83"/>
      <c r="CE955" s="83"/>
      <c r="CK955" s="58"/>
      <c r="CL955" s="83"/>
      <c r="CO955" s="58"/>
      <c r="CP955" s="83"/>
      <c r="CR955" s="58"/>
      <c r="CS955" s="83"/>
      <c r="CY955" s="83"/>
      <c r="DG955" s="58"/>
      <c r="DH955" s="83"/>
      <c r="DQ955" s="83"/>
      <c r="EE955" s="58"/>
      <c r="EF955" s="83"/>
      <c r="EI955" s="83"/>
      <c r="EK955" s="58"/>
      <c r="EL955" s="83"/>
      <c r="EO955" s="58"/>
      <c r="EP955" s="83"/>
      <c r="EQ955" s="58"/>
      <c r="ER955" s="83"/>
      <c r="ES955" s="58"/>
      <c r="ET955" s="83"/>
      <c r="EU955" s="58"/>
    </row>
    <row r="956" spans="1:151" ht="17" thickBot="1">
      <c r="A956" s="55" t="s">
        <v>320</v>
      </c>
      <c r="B956" s="42" t="s">
        <v>534</v>
      </c>
      <c r="C956" s="173" t="s">
        <v>530</v>
      </c>
      <c r="D956" s="83" t="s">
        <v>98</v>
      </c>
      <c r="F956" s="49" t="s">
        <v>286</v>
      </c>
      <c r="G956" s="60">
        <v>-1.9466666666666668</v>
      </c>
      <c r="I956" s="49">
        <v>1886</v>
      </c>
      <c r="J956" s="159">
        <v>4.9762532981530345</v>
      </c>
      <c r="K956" s="49">
        <v>1</v>
      </c>
      <c r="L956" s="49">
        <v>3</v>
      </c>
      <c r="M956" s="83">
        <v>1</v>
      </c>
      <c r="N956" s="49">
        <v>0</v>
      </c>
      <c r="O956" s="49">
        <v>0</v>
      </c>
      <c r="P956" s="49">
        <v>0</v>
      </c>
      <c r="Q956" s="58">
        <v>0</v>
      </c>
      <c r="R956" s="42">
        <v>1</v>
      </c>
      <c r="S956" s="83" t="s">
        <v>283</v>
      </c>
      <c r="T956" s="49">
        <v>3</v>
      </c>
      <c r="U956" s="83">
        <v>1</v>
      </c>
      <c r="V956" s="49">
        <v>3</v>
      </c>
      <c r="W956" s="49">
        <v>2</v>
      </c>
      <c r="X956" s="58"/>
      <c r="Y956" s="83">
        <v>2</v>
      </c>
      <c r="AH956" s="49">
        <v>19</v>
      </c>
      <c r="AI956" s="49">
        <v>134</v>
      </c>
      <c r="AJ956" s="49">
        <v>0</v>
      </c>
      <c r="AK956" s="83">
        <v>0</v>
      </c>
      <c r="AL956" s="49">
        <v>1</v>
      </c>
      <c r="AM956" s="49">
        <v>0</v>
      </c>
      <c r="AN956" s="49">
        <v>0</v>
      </c>
      <c r="AO956" s="58">
        <v>0</v>
      </c>
      <c r="AP956" s="174">
        <v>0</v>
      </c>
      <c r="AQ956" s="175">
        <v>457</v>
      </c>
      <c r="AR956" s="175">
        <v>0</v>
      </c>
      <c r="AS956" s="175">
        <v>0</v>
      </c>
      <c r="AT956" s="175">
        <v>0</v>
      </c>
      <c r="AU956" s="175">
        <v>0</v>
      </c>
      <c r="AV956" s="175">
        <v>0</v>
      </c>
      <c r="AW956" s="175">
        <v>0</v>
      </c>
      <c r="AX956" s="83">
        <v>0</v>
      </c>
      <c r="AY956" s="49">
        <v>0</v>
      </c>
      <c r="AZ956" s="49">
        <v>0</v>
      </c>
      <c r="BA956" s="49">
        <v>0</v>
      </c>
      <c r="BB956" s="58">
        <v>0</v>
      </c>
      <c r="BC956" s="42">
        <v>118</v>
      </c>
      <c r="BE956" s="49"/>
      <c r="BS956" s="58"/>
      <c r="BT956" s="83"/>
      <c r="CE956" s="83"/>
      <c r="CK956" s="58"/>
      <c r="CL956" s="83"/>
      <c r="CO956" s="58"/>
      <c r="CP956" s="83"/>
      <c r="CR956" s="58"/>
      <c r="CS956" s="83"/>
      <c r="CY956" s="83"/>
      <c r="DG956" s="58"/>
      <c r="DH956" s="83"/>
      <c r="DQ956" s="83"/>
      <c r="EE956" s="58"/>
      <c r="EF956" s="83"/>
      <c r="EI956" s="83"/>
      <c r="EK956" s="58"/>
      <c r="EL956" s="83"/>
      <c r="EO956" s="58"/>
      <c r="EP956" s="83"/>
      <c r="EQ956" s="58"/>
      <c r="ER956" s="83"/>
      <c r="ES956" s="58"/>
      <c r="ET956" s="83"/>
      <c r="EU956" s="58"/>
    </row>
    <row r="957" spans="1:151">
      <c r="A957" s="83" t="s">
        <v>320</v>
      </c>
      <c r="B957" s="87" t="s">
        <v>535</v>
      </c>
      <c r="C957" s="87" t="s">
        <v>536</v>
      </c>
      <c r="D957" s="147" t="s">
        <v>64</v>
      </c>
      <c r="E957" s="148"/>
      <c r="F957" s="148" t="s">
        <v>286</v>
      </c>
      <c r="G957" s="73">
        <v>-1.2864833333333334</v>
      </c>
      <c r="H957" s="148"/>
      <c r="I957" s="148">
        <v>2522</v>
      </c>
      <c r="J957" s="158">
        <v>1.3699076588810428</v>
      </c>
      <c r="K957" s="148">
        <v>1</v>
      </c>
      <c r="L957" s="148">
        <v>3</v>
      </c>
      <c r="M957" s="147">
        <v>1</v>
      </c>
      <c r="N957" s="148">
        <v>2</v>
      </c>
      <c r="O957" s="148">
        <v>1</v>
      </c>
      <c r="P957" s="148">
        <v>1</v>
      </c>
      <c r="Q957" s="149">
        <v>0</v>
      </c>
      <c r="R957" s="87">
        <v>5</v>
      </c>
      <c r="S957" s="147" t="s">
        <v>283</v>
      </c>
      <c r="T957" s="148">
        <v>25</v>
      </c>
      <c r="U957" s="147">
        <v>2</v>
      </c>
      <c r="V957" s="148">
        <v>3</v>
      </c>
      <c r="W957" s="148">
        <v>1</v>
      </c>
      <c r="X957" s="149">
        <v>3</v>
      </c>
      <c r="Y957" s="147">
        <v>2</v>
      </c>
      <c r="Z957" s="148">
        <v>4</v>
      </c>
      <c r="AA957" s="148">
        <v>59</v>
      </c>
      <c r="AB957" s="148"/>
      <c r="AC957" s="148"/>
      <c r="AD957" s="148">
        <v>8</v>
      </c>
      <c r="AE957" s="148">
        <v>11</v>
      </c>
      <c r="AF957" s="148">
        <v>5</v>
      </c>
      <c r="AG957" s="148">
        <v>38</v>
      </c>
      <c r="AH957" s="148">
        <v>74</v>
      </c>
      <c r="AI957" s="148">
        <v>162</v>
      </c>
      <c r="AJ957" s="148">
        <v>0</v>
      </c>
      <c r="AK957" s="147">
        <v>0</v>
      </c>
      <c r="AL957" s="148">
        <v>1</v>
      </c>
      <c r="AM957" s="148">
        <v>0</v>
      </c>
      <c r="AN957" s="148">
        <v>0</v>
      </c>
      <c r="AO957" s="149">
        <v>0</v>
      </c>
      <c r="AP957" s="169">
        <v>0</v>
      </c>
      <c r="AQ957" s="170">
        <v>733</v>
      </c>
      <c r="AR957" s="170">
        <v>0</v>
      </c>
      <c r="AS957" s="170">
        <v>0</v>
      </c>
      <c r="AT957" s="170">
        <v>0</v>
      </c>
      <c r="AU957" s="170">
        <v>0</v>
      </c>
      <c r="AV957" s="170">
        <v>0</v>
      </c>
      <c r="AW957" s="170">
        <v>0</v>
      </c>
      <c r="AX957" s="147">
        <v>0</v>
      </c>
      <c r="AY957" s="148">
        <v>0</v>
      </c>
      <c r="AZ957" s="148">
        <v>0</v>
      </c>
      <c r="BA957" s="148">
        <v>0</v>
      </c>
      <c r="BB957" s="149">
        <v>0</v>
      </c>
      <c r="BC957" s="87">
        <v>98</v>
      </c>
      <c r="BD957" s="148"/>
      <c r="BE957" s="148"/>
      <c r="BF957" s="148"/>
      <c r="BG957" s="148"/>
      <c r="BH957" s="148"/>
      <c r="BI957" s="148"/>
      <c r="BJ957" s="148"/>
      <c r="BK957" s="148"/>
      <c r="BL957" s="148"/>
      <c r="BM957" s="148"/>
      <c r="BN957" s="148"/>
      <c r="BO957" s="148"/>
      <c r="BP957" s="148"/>
      <c r="BQ957" s="148"/>
      <c r="BR957" s="148"/>
      <c r="BS957" s="149"/>
      <c r="BT957" s="147"/>
      <c r="BU957" s="148"/>
      <c r="BV957" s="148"/>
      <c r="BW957" s="148"/>
      <c r="BX957" s="148"/>
      <c r="BY957" s="148"/>
      <c r="BZ957" s="148"/>
      <c r="CA957" s="148"/>
      <c r="CB957" s="148"/>
      <c r="CC957" s="148"/>
      <c r="CD957" s="148"/>
      <c r="CE957" s="147"/>
      <c r="CF957" s="148"/>
      <c r="CG957" s="148"/>
      <c r="CH957" s="148"/>
      <c r="CI957" s="148"/>
      <c r="CJ957" s="148"/>
      <c r="CK957" s="149"/>
      <c r="CL957" s="147"/>
      <c r="CM957" s="148"/>
      <c r="CN957" s="148"/>
      <c r="CO957" s="149"/>
      <c r="CP957" s="147"/>
      <c r="CQ957" s="148"/>
      <c r="CR957" s="149"/>
      <c r="CS957" s="147"/>
      <c r="CT957" s="148"/>
      <c r="CU957" s="148"/>
      <c r="CV957" s="148"/>
      <c r="CW957" s="148"/>
      <c r="CX957" s="148"/>
      <c r="CY957" s="147"/>
      <c r="CZ957" s="148"/>
      <c r="DA957" s="148"/>
      <c r="DB957" s="148"/>
      <c r="DC957" s="148"/>
      <c r="DD957" s="148"/>
      <c r="DE957" s="148"/>
      <c r="DF957" s="148"/>
      <c r="DG957" s="149"/>
      <c r="DH957" s="147"/>
      <c r="DI957" s="148"/>
      <c r="DJ957" s="148"/>
      <c r="DK957" s="148"/>
      <c r="DL957" s="148"/>
      <c r="DM957" s="148"/>
      <c r="DN957" s="148"/>
      <c r="DO957" s="148"/>
      <c r="DP957" s="148"/>
      <c r="DQ957" s="147"/>
      <c r="DR957" s="148"/>
      <c r="DS957" s="148"/>
      <c r="DT957" s="148"/>
      <c r="DU957" s="148"/>
      <c r="DV957" s="148"/>
      <c r="DW957" s="148"/>
      <c r="DX957" s="148"/>
      <c r="DY957" s="148"/>
      <c r="DZ957" s="148"/>
      <c r="EA957" s="148"/>
      <c r="EB957" s="148"/>
      <c r="EC957" s="148"/>
      <c r="ED957" s="148"/>
      <c r="EE957" s="149"/>
      <c r="EF957" s="147"/>
      <c r="EG957" s="148"/>
      <c r="EH957" s="148"/>
      <c r="EI957" s="147"/>
      <c r="EJ957" s="148"/>
      <c r="EK957" s="149"/>
      <c r="EL957" s="147"/>
      <c r="EM957" s="148"/>
      <c r="EN957" s="148"/>
      <c r="EO957" s="149"/>
      <c r="EP957" s="147"/>
      <c r="EQ957" s="149"/>
      <c r="ER957" s="147"/>
      <c r="ES957" s="149"/>
      <c r="ET957" s="147"/>
      <c r="EU957" s="149"/>
    </row>
    <row r="958" spans="1:151">
      <c r="A958" s="83" t="s">
        <v>320</v>
      </c>
      <c r="B958" s="42" t="s">
        <v>535</v>
      </c>
      <c r="C958" s="42" t="s">
        <v>536</v>
      </c>
      <c r="D958" s="83" t="s">
        <v>65</v>
      </c>
      <c r="F958" s="49" t="s">
        <v>287</v>
      </c>
      <c r="G958" s="60">
        <v>-1.2864833333333334</v>
      </c>
      <c r="I958" s="49">
        <v>490</v>
      </c>
      <c r="J958" s="159">
        <v>3.0434782608695654</v>
      </c>
      <c r="K958" s="49">
        <v>1</v>
      </c>
      <c r="L958" s="49">
        <v>1</v>
      </c>
      <c r="M958" s="83">
        <v>1</v>
      </c>
      <c r="N958" s="49">
        <v>0</v>
      </c>
      <c r="O958" s="49">
        <v>0</v>
      </c>
      <c r="P958" s="49">
        <v>1</v>
      </c>
      <c r="Q958" s="58">
        <v>0</v>
      </c>
      <c r="R958" s="42">
        <v>2</v>
      </c>
      <c r="S958" s="83" t="s">
        <v>283</v>
      </c>
      <c r="T958" s="49">
        <v>7</v>
      </c>
      <c r="U958" s="83">
        <v>0</v>
      </c>
      <c r="V958" s="49">
        <v>0</v>
      </c>
      <c r="W958" s="49">
        <v>0</v>
      </c>
      <c r="X958" s="58"/>
      <c r="Y958" s="83">
        <v>0</v>
      </c>
      <c r="AJ958" s="49">
        <v>0</v>
      </c>
      <c r="AK958" s="83">
        <v>0</v>
      </c>
      <c r="AL958" s="49">
        <v>0</v>
      </c>
      <c r="AM958" s="49">
        <v>0</v>
      </c>
      <c r="AN958" s="49">
        <v>0</v>
      </c>
      <c r="AO958" s="58">
        <v>0</v>
      </c>
      <c r="AP958" s="174">
        <v>0</v>
      </c>
      <c r="AQ958" s="175">
        <v>0</v>
      </c>
      <c r="AR958" s="175">
        <v>0</v>
      </c>
      <c r="AS958" s="175">
        <v>0</v>
      </c>
      <c r="AT958" s="175">
        <v>0</v>
      </c>
      <c r="AU958" s="175">
        <v>0</v>
      </c>
      <c r="AV958" s="175">
        <v>0</v>
      </c>
      <c r="AW958" s="175">
        <v>0</v>
      </c>
      <c r="AX958" s="83">
        <v>0</v>
      </c>
      <c r="AY958" s="49">
        <v>0</v>
      </c>
      <c r="AZ958" s="49">
        <v>0</v>
      </c>
      <c r="BA958" s="49">
        <v>0</v>
      </c>
      <c r="BB958" s="58">
        <v>0</v>
      </c>
      <c r="BC958" s="42">
        <v>84</v>
      </c>
      <c r="BE958" s="49"/>
      <c r="BS958" s="58"/>
      <c r="BT958" s="83">
        <v>68.08</v>
      </c>
      <c r="CE958" s="83">
        <v>71.37</v>
      </c>
      <c r="CK958" s="58"/>
      <c r="CL958" s="83">
        <v>65.38</v>
      </c>
      <c r="CO958" s="58"/>
      <c r="CP958" s="83"/>
      <c r="CR958" s="58"/>
      <c r="CS958" s="83"/>
      <c r="CY958" s="83"/>
      <c r="DG958" s="58"/>
      <c r="DH958" s="83"/>
      <c r="DQ958" s="83"/>
      <c r="EE958" s="58"/>
      <c r="EF958" s="83"/>
      <c r="EI958" s="83"/>
      <c r="EK958" s="58"/>
      <c r="EL958" s="83"/>
      <c r="EO958" s="58"/>
      <c r="EP958" s="83"/>
      <c r="EQ958" s="58"/>
      <c r="ER958" s="83"/>
      <c r="ES958" s="58"/>
      <c r="ET958" s="83"/>
      <c r="EU958" s="58"/>
    </row>
    <row r="959" spans="1:151">
      <c r="A959" s="83" t="s">
        <v>320</v>
      </c>
      <c r="B959" s="42" t="s">
        <v>535</v>
      </c>
      <c r="C959" s="42" t="s">
        <v>536</v>
      </c>
      <c r="D959" s="83" t="s">
        <v>66</v>
      </c>
      <c r="F959" s="49" t="s">
        <v>287</v>
      </c>
      <c r="G959" s="60">
        <v>-1.2864833333333334</v>
      </c>
      <c r="I959" s="49">
        <v>832</v>
      </c>
      <c r="J959" s="159">
        <v>1.3550488599348534</v>
      </c>
      <c r="K959" s="49">
        <v>4</v>
      </c>
      <c r="L959" s="49">
        <v>3</v>
      </c>
      <c r="M959" s="83">
        <v>1</v>
      </c>
      <c r="N959" s="49">
        <v>0</v>
      </c>
      <c r="O959" s="49">
        <v>0</v>
      </c>
      <c r="P959" s="49">
        <v>1</v>
      </c>
      <c r="Q959" s="58">
        <v>0</v>
      </c>
      <c r="R959" s="42">
        <v>2</v>
      </c>
      <c r="S959" s="83" t="s">
        <v>283</v>
      </c>
      <c r="T959" s="49">
        <v>6</v>
      </c>
      <c r="U959" s="83">
        <v>1</v>
      </c>
      <c r="V959" s="49">
        <v>3</v>
      </c>
      <c r="W959" s="49">
        <v>2</v>
      </c>
      <c r="X959" s="58"/>
      <c r="Y959" s="83">
        <v>10</v>
      </c>
      <c r="AD959" s="49">
        <v>2</v>
      </c>
      <c r="AE959" s="49">
        <v>11</v>
      </c>
      <c r="AH959" s="49">
        <v>23</v>
      </c>
      <c r="AI959" s="49">
        <v>391</v>
      </c>
      <c r="AJ959" s="49">
        <v>0</v>
      </c>
      <c r="AK959" s="83">
        <v>0</v>
      </c>
      <c r="AL959" s="49">
        <v>0</v>
      </c>
      <c r="AM959" s="49">
        <v>0</v>
      </c>
      <c r="AN959" s="49">
        <v>0</v>
      </c>
      <c r="AO959" s="58">
        <v>0</v>
      </c>
      <c r="AP959" s="174">
        <v>0</v>
      </c>
      <c r="AQ959" s="175">
        <v>0</v>
      </c>
      <c r="AR959" s="175">
        <v>0</v>
      </c>
      <c r="AS959" s="175">
        <v>0</v>
      </c>
      <c r="AT959" s="175">
        <v>0</v>
      </c>
      <c r="AU959" s="175">
        <v>0</v>
      </c>
      <c r="AV959" s="175">
        <v>0</v>
      </c>
      <c r="AW959" s="175">
        <v>0</v>
      </c>
      <c r="AX959" s="83">
        <v>0</v>
      </c>
      <c r="AY959" s="49">
        <v>0</v>
      </c>
      <c r="AZ959" s="49">
        <v>0</v>
      </c>
      <c r="BA959" s="49">
        <v>0</v>
      </c>
      <c r="BB959" s="58">
        <v>0</v>
      </c>
      <c r="BC959" s="42">
        <v>117</v>
      </c>
      <c r="BD959" s="49">
        <v>69.67</v>
      </c>
      <c r="BE959" s="49">
        <v>69.08</v>
      </c>
      <c r="BS959" s="58"/>
      <c r="BT959" s="83">
        <v>70.31</v>
      </c>
      <c r="BU959" s="49">
        <v>68.3</v>
      </c>
      <c r="CE959" s="83">
        <v>63.21</v>
      </c>
      <c r="CK959" s="58"/>
      <c r="CL959" s="83">
        <v>56.1</v>
      </c>
      <c r="CO959" s="58"/>
      <c r="CP959" s="83"/>
      <c r="CR959" s="58"/>
      <c r="CS959" s="83"/>
      <c r="CY959" s="83"/>
      <c r="DG959" s="58"/>
      <c r="DH959" s="83"/>
      <c r="DQ959" s="83"/>
      <c r="EE959" s="58"/>
      <c r="EF959" s="83"/>
      <c r="EI959" s="83"/>
      <c r="EK959" s="58"/>
      <c r="EL959" s="83"/>
      <c r="EO959" s="58"/>
      <c r="EP959" s="83"/>
      <c r="EQ959" s="58"/>
      <c r="ER959" s="83"/>
      <c r="ES959" s="58"/>
      <c r="ET959" s="83"/>
      <c r="EU959" s="58"/>
    </row>
    <row r="960" spans="1:151">
      <c r="A960" s="83" t="s">
        <v>320</v>
      </c>
      <c r="B960" s="42" t="s">
        <v>535</v>
      </c>
      <c r="C960" s="42" t="s">
        <v>536</v>
      </c>
      <c r="D960" s="83" t="s">
        <v>67</v>
      </c>
      <c r="F960" s="49" t="s">
        <v>286</v>
      </c>
      <c r="G960" s="60">
        <v>-1.2864833333333334</v>
      </c>
      <c r="I960" s="49">
        <v>3831</v>
      </c>
      <c r="J960" s="159">
        <v>1.8498309995171416</v>
      </c>
      <c r="K960" s="49">
        <v>1</v>
      </c>
      <c r="L960" s="49">
        <v>3</v>
      </c>
      <c r="M960" s="83">
        <v>0</v>
      </c>
      <c r="N960" s="49">
        <v>3</v>
      </c>
      <c r="O960" s="49">
        <v>0</v>
      </c>
      <c r="P960" s="49">
        <v>0</v>
      </c>
      <c r="Q960" s="58">
        <v>0</v>
      </c>
      <c r="R960" s="42">
        <v>3</v>
      </c>
      <c r="S960" s="83" t="s">
        <v>283</v>
      </c>
      <c r="T960" s="49">
        <v>13</v>
      </c>
      <c r="U960" s="83">
        <v>1</v>
      </c>
      <c r="V960" s="49">
        <v>2</v>
      </c>
      <c r="W960" s="49">
        <v>2</v>
      </c>
      <c r="X960" s="58"/>
      <c r="Y960" s="83">
        <v>3</v>
      </c>
      <c r="Z960" s="49">
        <v>2</v>
      </c>
      <c r="AA960" s="49">
        <v>10</v>
      </c>
      <c r="AD960" s="49">
        <v>7</v>
      </c>
      <c r="AE960" s="49">
        <v>223</v>
      </c>
      <c r="AF960" s="49">
        <v>4</v>
      </c>
      <c r="AG960" s="49">
        <v>1273</v>
      </c>
      <c r="AH960" s="49">
        <v>10</v>
      </c>
      <c r="AI960" s="49">
        <v>244</v>
      </c>
      <c r="AJ960" s="49">
        <v>0</v>
      </c>
      <c r="AK960" s="83">
        <v>0</v>
      </c>
      <c r="AL960" s="49">
        <v>0</v>
      </c>
      <c r="AM960" s="49">
        <v>0</v>
      </c>
      <c r="AN960" s="49">
        <v>0</v>
      </c>
      <c r="AO960" s="58">
        <v>0</v>
      </c>
      <c r="AP960" s="174">
        <v>0</v>
      </c>
      <c r="AQ960" s="175">
        <v>0</v>
      </c>
      <c r="AR960" s="175">
        <v>0</v>
      </c>
      <c r="AS960" s="175">
        <v>0</v>
      </c>
      <c r="AT960" s="175">
        <v>0</v>
      </c>
      <c r="AU960" s="175">
        <v>0</v>
      </c>
      <c r="AV960" s="175">
        <v>0</v>
      </c>
      <c r="AW960" s="175">
        <v>0</v>
      </c>
      <c r="AX960" s="83">
        <v>0</v>
      </c>
      <c r="AY960" s="49">
        <v>0</v>
      </c>
      <c r="AZ960" s="49">
        <v>0</v>
      </c>
      <c r="BA960" s="49">
        <v>0</v>
      </c>
      <c r="BB960" s="58">
        <v>0</v>
      </c>
      <c r="BC960" s="42">
        <v>124</v>
      </c>
      <c r="BE960" s="49"/>
      <c r="BS960" s="58"/>
      <c r="BT960" s="83"/>
      <c r="CE960" s="83">
        <v>72.56</v>
      </c>
      <c r="CK960" s="58"/>
      <c r="CL960" s="83"/>
      <c r="CO960" s="58"/>
      <c r="CP960" s="83"/>
      <c r="CR960" s="58"/>
      <c r="CS960" s="83"/>
      <c r="CY960" s="83">
        <v>79.819999999999993</v>
      </c>
      <c r="CZ960" s="49">
        <v>80.7</v>
      </c>
      <c r="DA960" s="49">
        <v>80.08</v>
      </c>
      <c r="DB960" s="49">
        <v>78.25</v>
      </c>
      <c r="DC960" s="49">
        <v>77.53</v>
      </c>
      <c r="DD960" s="49">
        <v>79.2</v>
      </c>
      <c r="DE960" s="49">
        <v>72.41</v>
      </c>
      <c r="DG960" s="58"/>
      <c r="DH960" s="83"/>
      <c r="DQ960" s="83">
        <v>74.75</v>
      </c>
      <c r="DR960" s="49">
        <v>73.88</v>
      </c>
      <c r="DS960" s="49">
        <v>74.03</v>
      </c>
      <c r="DT960" s="49">
        <v>71.05</v>
      </c>
      <c r="EE960" s="58"/>
      <c r="EF960" s="83"/>
      <c r="EI960" s="83"/>
      <c r="EK960" s="58"/>
      <c r="EL960" s="83"/>
      <c r="EO960" s="58"/>
      <c r="EP960" s="83"/>
      <c r="EQ960" s="58"/>
      <c r="ER960" s="83"/>
      <c r="ES960" s="58"/>
      <c r="ET960" s="83"/>
      <c r="EU960" s="58"/>
    </row>
    <row r="961" spans="1:151">
      <c r="A961" s="83" t="s">
        <v>320</v>
      </c>
      <c r="B961" s="42" t="s">
        <v>535</v>
      </c>
      <c r="C961" s="42" t="s">
        <v>536</v>
      </c>
      <c r="D961" s="83" t="s">
        <v>68</v>
      </c>
      <c r="F961" s="49" t="s">
        <v>287</v>
      </c>
      <c r="G961" s="60">
        <v>-1.2864833333333334</v>
      </c>
      <c r="I961" s="49">
        <v>446</v>
      </c>
      <c r="J961" s="159">
        <v>1.6704119850187267</v>
      </c>
      <c r="K961" s="49">
        <v>1</v>
      </c>
      <c r="L961" s="49">
        <v>3</v>
      </c>
      <c r="M961" s="83">
        <v>1</v>
      </c>
      <c r="N961" s="49">
        <v>0</v>
      </c>
      <c r="O961" s="49">
        <v>0</v>
      </c>
      <c r="P961" s="49">
        <v>0</v>
      </c>
      <c r="Q961" s="58">
        <v>0</v>
      </c>
      <c r="R961" s="42">
        <v>1</v>
      </c>
      <c r="S961" s="83">
        <v>1</v>
      </c>
      <c r="U961" s="83">
        <v>0</v>
      </c>
      <c r="V961" s="49">
        <v>0</v>
      </c>
      <c r="W961" s="49">
        <v>0</v>
      </c>
      <c r="X961" s="58"/>
      <c r="Y961" s="83">
        <v>1</v>
      </c>
      <c r="AE961" s="49">
        <v>16</v>
      </c>
      <c r="AJ961" s="49">
        <v>0</v>
      </c>
      <c r="AK961" s="83"/>
      <c r="AL961" s="49">
        <v>1</v>
      </c>
      <c r="AM961" s="49">
        <v>0</v>
      </c>
      <c r="AN961" s="49">
        <v>0</v>
      </c>
      <c r="AO961" s="58">
        <v>0</v>
      </c>
      <c r="AP961" s="174">
        <v>0</v>
      </c>
      <c r="AQ961" s="175">
        <v>238</v>
      </c>
      <c r="AR961" s="175">
        <v>0</v>
      </c>
      <c r="AS961" s="175">
        <v>0</v>
      </c>
      <c r="AT961" s="175">
        <v>0</v>
      </c>
      <c r="AU961" s="175">
        <v>0</v>
      </c>
      <c r="AV961" s="175">
        <v>0</v>
      </c>
      <c r="AW961" s="175">
        <v>0</v>
      </c>
      <c r="AX961" s="83">
        <v>0</v>
      </c>
      <c r="AY961" s="49">
        <v>0</v>
      </c>
      <c r="AZ961" s="49">
        <v>0</v>
      </c>
      <c r="BA961" s="49">
        <v>0</v>
      </c>
      <c r="BB961" s="58">
        <v>0</v>
      </c>
      <c r="BC961" s="42">
        <v>135</v>
      </c>
      <c r="BE961" s="49"/>
      <c r="BS961" s="58"/>
      <c r="BT961" s="83"/>
      <c r="CE961" s="83"/>
      <c r="CK961" s="58"/>
      <c r="CL961" s="83"/>
      <c r="CO961" s="58"/>
      <c r="CP961" s="83"/>
      <c r="CR961" s="58"/>
      <c r="CS961" s="83"/>
      <c r="CY961" s="83"/>
      <c r="DG961" s="58"/>
      <c r="DH961" s="83"/>
      <c r="DQ961" s="83"/>
      <c r="EE961" s="58"/>
      <c r="EF961" s="83"/>
      <c r="EI961" s="83"/>
      <c r="EK961" s="58"/>
      <c r="EL961" s="83"/>
      <c r="EO961" s="58"/>
      <c r="EP961" s="83"/>
      <c r="EQ961" s="58"/>
      <c r="ER961" s="83"/>
      <c r="ES961" s="58"/>
      <c r="ET961" s="83"/>
      <c r="EU961" s="58"/>
    </row>
    <row r="962" spans="1:151">
      <c r="A962" s="83" t="s">
        <v>320</v>
      </c>
      <c r="B962" s="42" t="s">
        <v>535</v>
      </c>
      <c r="C962" s="42" t="s">
        <v>536</v>
      </c>
      <c r="D962" s="83" t="s">
        <v>69</v>
      </c>
      <c r="F962" s="49" t="s">
        <v>286</v>
      </c>
      <c r="G962" s="60">
        <v>-1.2864833333333334</v>
      </c>
      <c r="I962" s="49">
        <v>3672</v>
      </c>
      <c r="J962" s="159">
        <v>1.6312749888938249</v>
      </c>
      <c r="K962" s="49">
        <v>4</v>
      </c>
      <c r="L962" s="49">
        <v>3</v>
      </c>
      <c r="M962" s="83">
        <v>0</v>
      </c>
      <c r="N962" s="49">
        <v>0</v>
      </c>
      <c r="O962" s="49">
        <v>1</v>
      </c>
      <c r="P962" s="49">
        <v>1</v>
      </c>
      <c r="Q962" s="58">
        <v>0</v>
      </c>
      <c r="R962" s="42">
        <v>2</v>
      </c>
      <c r="S962" s="83" t="s">
        <v>283</v>
      </c>
      <c r="T962" s="49">
        <v>56</v>
      </c>
      <c r="U962" s="83">
        <v>1</v>
      </c>
      <c r="V962" s="49">
        <v>4</v>
      </c>
      <c r="W962" s="49">
        <v>2</v>
      </c>
      <c r="X962" s="58"/>
      <c r="Y962" s="83">
        <v>1</v>
      </c>
      <c r="AD962" s="49">
        <v>8</v>
      </c>
      <c r="AE962" s="49">
        <v>16</v>
      </c>
      <c r="AH962" s="49">
        <v>3</v>
      </c>
      <c r="AI962" s="49">
        <v>75</v>
      </c>
      <c r="AJ962" s="49">
        <v>0</v>
      </c>
      <c r="AK962" s="83">
        <v>0</v>
      </c>
      <c r="AL962" s="49">
        <v>0</v>
      </c>
      <c r="AM962" s="49">
        <v>1</v>
      </c>
      <c r="AN962" s="49">
        <v>0</v>
      </c>
      <c r="AO962" s="58">
        <v>0</v>
      </c>
      <c r="AP962" s="174">
        <v>0</v>
      </c>
      <c r="AQ962" s="175">
        <v>0</v>
      </c>
      <c r="AR962" s="175">
        <v>134</v>
      </c>
      <c r="AS962" s="175">
        <v>192</v>
      </c>
      <c r="AT962" s="175">
        <v>0</v>
      </c>
      <c r="AU962" s="175">
        <v>0</v>
      </c>
      <c r="AV962" s="175">
        <v>0</v>
      </c>
      <c r="AW962" s="175">
        <v>0</v>
      </c>
      <c r="AX962" s="83">
        <v>0</v>
      </c>
      <c r="AY962" s="49">
        <v>0</v>
      </c>
      <c r="AZ962" s="49">
        <v>0</v>
      </c>
      <c r="BA962" s="49">
        <v>0</v>
      </c>
      <c r="BB962" s="58">
        <v>0</v>
      </c>
      <c r="BC962" s="42">
        <v>117</v>
      </c>
      <c r="BD962" s="49">
        <v>80.709999999999994</v>
      </c>
      <c r="BE962" s="49"/>
      <c r="BS962" s="58"/>
      <c r="BT962" s="83">
        <v>78.06</v>
      </c>
      <c r="BU962" s="49">
        <v>81.25</v>
      </c>
      <c r="BV962" s="49">
        <v>76.709999999999994</v>
      </c>
      <c r="CE962" s="83">
        <v>69.400000000000006</v>
      </c>
      <c r="CF962" s="49">
        <v>70.63</v>
      </c>
      <c r="CK962" s="58"/>
      <c r="CL962" s="83">
        <v>67.040000000000006</v>
      </c>
      <c r="CO962" s="58"/>
      <c r="CP962" s="83"/>
      <c r="CR962" s="58"/>
      <c r="CS962" s="83"/>
      <c r="CY962" s="83"/>
      <c r="DG962" s="58"/>
      <c r="DH962" s="83"/>
      <c r="DQ962" s="83"/>
      <c r="EE962" s="58"/>
      <c r="EF962" s="83"/>
      <c r="EI962" s="83"/>
      <c r="EK962" s="58"/>
      <c r="EL962" s="83"/>
      <c r="EO962" s="58"/>
      <c r="EP962" s="83"/>
      <c r="EQ962" s="58"/>
      <c r="ER962" s="83"/>
      <c r="ES962" s="58"/>
      <c r="ET962" s="83"/>
      <c r="EU962" s="58"/>
    </row>
    <row r="963" spans="1:151">
      <c r="A963" s="83" t="s">
        <v>320</v>
      </c>
      <c r="B963" s="42" t="s">
        <v>535</v>
      </c>
      <c r="C963" s="42" t="s">
        <v>536</v>
      </c>
      <c r="D963" s="83" t="s">
        <v>74</v>
      </c>
      <c r="F963" s="49" t="s">
        <v>286</v>
      </c>
      <c r="G963" s="60">
        <v>-1.2864833333333334</v>
      </c>
      <c r="I963" s="49">
        <v>2242</v>
      </c>
      <c r="J963" s="159">
        <v>1.5656424581005586</v>
      </c>
      <c r="K963" s="49">
        <v>4</v>
      </c>
      <c r="L963" s="49">
        <v>3</v>
      </c>
      <c r="M963" s="83">
        <v>1</v>
      </c>
      <c r="N963" s="49">
        <v>0</v>
      </c>
      <c r="O963" s="49">
        <v>0</v>
      </c>
      <c r="P963" s="49">
        <v>1</v>
      </c>
      <c r="Q963" s="58">
        <v>0</v>
      </c>
      <c r="R963" s="42">
        <v>2</v>
      </c>
      <c r="S963" s="83" t="s">
        <v>283</v>
      </c>
      <c r="T963" s="49">
        <v>20</v>
      </c>
      <c r="U963" s="83">
        <v>2</v>
      </c>
      <c r="V963" s="49">
        <v>3</v>
      </c>
      <c r="W963" s="49">
        <v>3</v>
      </c>
      <c r="X963" s="58">
        <v>3</v>
      </c>
      <c r="Y963" s="83">
        <v>0</v>
      </c>
      <c r="AJ963" s="49">
        <v>0</v>
      </c>
      <c r="AK963" s="83">
        <v>0</v>
      </c>
      <c r="AL963" s="49">
        <v>1</v>
      </c>
      <c r="AM963" s="49">
        <v>0</v>
      </c>
      <c r="AN963" s="49">
        <v>0</v>
      </c>
      <c r="AO963" s="58">
        <v>0</v>
      </c>
      <c r="AP963" s="174">
        <v>0</v>
      </c>
      <c r="AQ963" s="175">
        <v>581</v>
      </c>
      <c r="AR963" s="175">
        <v>17</v>
      </c>
      <c r="AS963" s="175">
        <v>79</v>
      </c>
      <c r="AT963" s="175">
        <v>0</v>
      </c>
      <c r="AU963" s="175">
        <v>0</v>
      </c>
      <c r="AV963" s="175">
        <v>0</v>
      </c>
      <c r="AW963" s="175">
        <v>0</v>
      </c>
      <c r="AX963" s="83">
        <v>0</v>
      </c>
      <c r="AY963" s="49">
        <v>0</v>
      </c>
      <c r="AZ963" s="49">
        <v>0</v>
      </c>
      <c r="BA963" s="49">
        <v>0</v>
      </c>
      <c r="BB963" s="58">
        <v>0</v>
      </c>
      <c r="BC963" s="42">
        <v>123</v>
      </c>
      <c r="BD963" s="49">
        <v>71.03</v>
      </c>
      <c r="BE963" s="49">
        <v>71.67</v>
      </c>
      <c r="BS963" s="58"/>
      <c r="BT963" s="83">
        <v>77.47</v>
      </c>
      <c r="CE963" s="83">
        <v>68.819999999999993</v>
      </c>
      <c r="CK963" s="58"/>
      <c r="CL963" s="83"/>
      <c r="CO963" s="58"/>
      <c r="CP963" s="83"/>
      <c r="CR963" s="58"/>
      <c r="CS963" s="83"/>
      <c r="CY963" s="83"/>
      <c r="DG963" s="58"/>
      <c r="DH963" s="83"/>
      <c r="DQ963" s="83"/>
      <c r="EE963" s="58"/>
      <c r="EF963" s="83"/>
      <c r="EI963" s="83"/>
      <c r="EK963" s="58"/>
      <c r="EL963" s="83"/>
      <c r="EO963" s="58"/>
      <c r="EP963" s="83"/>
      <c r="EQ963" s="58"/>
      <c r="ER963" s="83"/>
      <c r="ES963" s="58"/>
      <c r="ET963" s="83"/>
      <c r="EU963" s="58"/>
    </row>
    <row r="964" spans="1:151">
      <c r="A964" s="83" t="s">
        <v>320</v>
      </c>
      <c r="B964" s="42" t="s">
        <v>535</v>
      </c>
      <c r="C964" s="42" t="s">
        <v>536</v>
      </c>
      <c r="D964" s="83" t="s">
        <v>75</v>
      </c>
      <c r="F964" s="49" t="s">
        <v>286</v>
      </c>
      <c r="G964" s="60">
        <v>-1.2864833333333334</v>
      </c>
      <c r="I964" s="49">
        <v>1288</v>
      </c>
      <c r="J964" s="159">
        <v>6.2222222222222223</v>
      </c>
      <c r="K964" s="49">
        <v>2</v>
      </c>
      <c r="L964" s="49">
        <v>3</v>
      </c>
      <c r="M964" s="83">
        <v>0</v>
      </c>
      <c r="N964" s="49">
        <v>0</v>
      </c>
      <c r="O964" s="49">
        <v>0</v>
      </c>
      <c r="P964" s="49">
        <v>1</v>
      </c>
      <c r="Q964" s="58">
        <v>0</v>
      </c>
      <c r="R964" s="42">
        <v>1</v>
      </c>
      <c r="S964" s="83" t="s">
        <v>283</v>
      </c>
      <c r="T964" s="49">
        <v>6</v>
      </c>
      <c r="U964" s="83">
        <v>0</v>
      </c>
      <c r="V964" s="49">
        <v>0</v>
      </c>
      <c r="W964" s="49">
        <v>0</v>
      </c>
      <c r="X964" s="58"/>
      <c r="Y964" s="83">
        <v>1</v>
      </c>
      <c r="AF964" s="49">
        <v>7</v>
      </c>
      <c r="AG964" s="49">
        <v>26</v>
      </c>
      <c r="AH964" s="49">
        <v>3</v>
      </c>
      <c r="AI964" s="49">
        <v>72</v>
      </c>
      <c r="AJ964" s="49">
        <v>0</v>
      </c>
      <c r="AK964" s="83">
        <v>0</v>
      </c>
      <c r="AL964" s="49">
        <v>0</v>
      </c>
      <c r="AM964" s="49">
        <v>1</v>
      </c>
      <c r="AN964" s="49">
        <v>0</v>
      </c>
      <c r="AO964" s="58">
        <v>0</v>
      </c>
      <c r="AP964" s="174">
        <v>0</v>
      </c>
      <c r="AQ964" s="175">
        <v>0</v>
      </c>
      <c r="AR964" s="175">
        <v>124</v>
      </c>
      <c r="AS964" s="175">
        <v>177</v>
      </c>
      <c r="AT964" s="175">
        <v>0</v>
      </c>
      <c r="AU964" s="175">
        <v>0</v>
      </c>
      <c r="AV964" s="175">
        <v>0</v>
      </c>
      <c r="AW964" s="175">
        <v>0</v>
      </c>
      <c r="AX964" s="83">
        <v>0</v>
      </c>
      <c r="AY964" s="49">
        <v>0</v>
      </c>
      <c r="AZ964" s="49">
        <v>0</v>
      </c>
      <c r="BA964" s="49">
        <v>0</v>
      </c>
      <c r="BB964" s="58">
        <v>0</v>
      </c>
      <c r="BC964" s="42">
        <v>84</v>
      </c>
      <c r="BD964" s="49">
        <v>67.650000000000006</v>
      </c>
      <c r="BE964" s="49">
        <v>66.67</v>
      </c>
      <c r="BF964" s="49">
        <v>65.61</v>
      </c>
      <c r="BG964" s="49">
        <v>66.05</v>
      </c>
      <c r="BH964" s="49">
        <v>66.150000000000006</v>
      </c>
      <c r="BI964" s="49">
        <v>66.56</v>
      </c>
      <c r="BS964" s="58"/>
      <c r="BT964" s="83">
        <v>66.86</v>
      </c>
      <c r="BU964" s="49">
        <v>68.569999999999993</v>
      </c>
      <c r="CE964" s="83"/>
      <c r="CK964" s="58"/>
      <c r="CL964" s="83"/>
      <c r="CO964" s="58"/>
      <c r="CP964" s="83"/>
      <c r="CR964" s="58"/>
      <c r="CS964" s="83"/>
      <c r="CY964" s="83"/>
      <c r="DG964" s="58"/>
      <c r="DH964" s="83"/>
      <c r="DQ964" s="83"/>
      <c r="EE964" s="58"/>
      <c r="EF964" s="83"/>
      <c r="EI964" s="83"/>
      <c r="EK964" s="58"/>
      <c r="EL964" s="83"/>
      <c r="EO964" s="58"/>
      <c r="EP964" s="83"/>
      <c r="EQ964" s="58"/>
      <c r="ER964" s="83"/>
      <c r="ES964" s="58"/>
      <c r="ET964" s="83"/>
      <c r="EU964" s="58"/>
    </row>
    <row r="965" spans="1:151">
      <c r="A965" s="83" t="s">
        <v>320</v>
      </c>
      <c r="B965" s="42" t="s">
        <v>535</v>
      </c>
      <c r="C965" s="42" t="s">
        <v>536</v>
      </c>
      <c r="D965" s="83" t="s">
        <v>76</v>
      </c>
      <c r="F965" s="49" t="s">
        <v>287</v>
      </c>
      <c r="G965" s="60">
        <v>-1.2864833333333334</v>
      </c>
      <c r="I965" s="49">
        <v>550</v>
      </c>
      <c r="J965" s="159">
        <v>1.4511873350923483</v>
      </c>
      <c r="K965" s="49">
        <v>1</v>
      </c>
      <c r="L965" s="49">
        <v>1</v>
      </c>
      <c r="M965" s="83">
        <v>0</v>
      </c>
      <c r="N965" s="49">
        <v>3</v>
      </c>
      <c r="O965" s="49">
        <v>1</v>
      </c>
      <c r="P965" s="49">
        <v>0</v>
      </c>
      <c r="Q965" s="58">
        <v>0</v>
      </c>
      <c r="R965" s="42">
        <v>4</v>
      </c>
      <c r="S965" s="83" t="s">
        <v>283</v>
      </c>
      <c r="T965" s="49">
        <v>5</v>
      </c>
      <c r="U965" s="83">
        <v>1</v>
      </c>
      <c r="V965" s="49">
        <v>4</v>
      </c>
      <c r="W965" s="49">
        <v>1</v>
      </c>
      <c r="X965" s="58">
        <v>1</v>
      </c>
      <c r="Y965" s="83">
        <v>2</v>
      </c>
      <c r="AD965" s="49">
        <v>20</v>
      </c>
      <c r="AE965" s="49">
        <v>27</v>
      </c>
      <c r="AH965" s="49">
        <v>78</v>
      </c>
      <c r="AI965" s="49">
        <v>128</v>
      </c>
      <c r="AJ965" s="49">
        <v>0</v>
      </c>
      <c r="AK965" s="83">
        <v>0</v>
      </c>
      <c r="AL965" s="49">
        <v>0</v>
      </c>
      <c r="AM965" s="49">
        <v>0</v>
      </c>
      <c r="AN965" s="49">
        <v>0</v>
      </c>
      <c r="AO965" s="58">
        <v>0</v>
      </c>
      <c r="AP965" s="174">
        <v>0</v>
      </c>
      <c r="AQ965" s="175">
        <v>0</v>
      </c>
      <c r="AR965" s="175">
        <v>0</v>
      </c>
      <c r="AS965" s="175">
        <v>0</v>
      </c>
      <c r="AT965" s="175">
        <v>0</v>
      </c>
      <c r="AU965" s="175">
        <v>0</v>
      </c>
      <c r="AV965" s="175">
        <v>0</v>
      </c>
      <c r="AW965" s="175">
        <v>0</v>
      </c>
      <c r="AX965" s="83">
        <v>0</v>
      </c>
      <c r="AY965" s="49">
        <v>0</v>
      </c>
      <c r="AZ965" s="49">
        <v>0</v>
      </c>
      <c r="BA965" s="49">
        <v>0</v>
      </c>
      <c r="BB965" s="58">
        <v>0</v>
      </c>
      <c r="BC965" s="42">
        <v>84</v>
      </c>
      <c r="BD965" s="49">
        <v>81.84</v>
      </c>
      <c r="BE965" s="49">
        <v>82.93</v>
      </c>
      <c r="BS965" s="58"/>
      <c r="BT965" s="83">
        <v>71.930000000000007</v>
      </c>
      <c r="CE965" s="83"/>
      <c r="CK965" s="58"/>
      <c r="CL965" s="83">
        <v>56.34</v>
      </c>
      <c r="CO965" s="58"/>
      <c r="CP965" s="83"/>
      <c r="CR965" s="58"/>
      <c r="CS965" s="83"/>
      <c r="CY965" s="83"/>
      <c r="DG965" s="58"/>
      <c r="DH965" s="83"/>
      <c r="DQ965" s="83">
        <v>73.56</v>
      </c>
      <c r="EE965" s="58"/>
      <c r="EF965" s="83"/>
      <c r="EI965" s="83"/>
      <c r="EK965" s="58"/>
      <c r="EL965" s="83"/>
      <c r="EO965" s="58"/>
      <c r="EP965" s="83"/>
      <c r="EQ965" s="58"/>
      <c r="ER965" s="83"/>
      <c r="ES965" s="58"/>
      <c r="ET965" s="83"/>
      <c r="EU965" s="58"/>
    </row>
    <row r="966" spans="1:151">
      <c r="A966" s="83" t="s">
        <v>320</v>
      </c>
      <c r="B966" s="42" t="s">
        <v>535</v>
      </c>
      <c r="C966" s="42" t="s">
        <v>536</v>
      </c>
      <c r="D966" s="83" t="s">
        <v>73</v>
      </c>
      <c r="E966" s="49" t="s">
        <v>0</v>
      </c>
      <c r="F966" s="49" t="s">
        <v>287</v>
      </c>
      <c r="G966" s="60">
        <v>-1.2864833333333334</v>
      </c>
      <c r="I966" s="49">
        <v>421</v>
      </c>
      <c r="J966" s="159">
        <v>4.385416666666667</v>
      </c>
      <c r="K966" s="49">
        <v>1</v>
      </c>
      <c r="L966" s="49">
        <v>2</v>
      </c>
      <c r="M966" s="83">
        <v>1</v>
      </c>
      <c r="N966" s="49">
        <v>0</v>
      </c>
      <c r="O966" s="49">
        <v>0</v>
      </c>
      <c r="P966" s="49">
        <v>1</v>
      </c>
      <c r="Q966" s="58">
        <v>0</v>
      </c>
      <c r="R966" s="42">
        <v>2</v>
      </c>
      <c r="S966" s="83" t="s">
        <v>283</v>
      </c>
      <c r="T966" s="49">
        <v>5</v>
      </c>
      <c r="U966" s="83">
        <v>1</v>
      </c>
      <c r="V966" s="49">
        <v>1</v>
      </c>
      <c r="W966" s="49">
        <v>1</v>
      </c>
      <c r="X966" s="58">
        <v>2</v>
      </c>
      <c r="Y966" s="83">
        <v>0</v>
      </c>
      <c r="AJ966" s="49">
        <v>0</v>
      </c>
      <c r="AK966" s="83">
        <v>0</v>
      </c>
      <c r="AL966" s="49">
        <v>0</v>
      </c>
      <c r="AM966" s="49">
        <v>0</v>
      </c>
      <c r="AN966" s="49">
        <v>0</v>
      </c>
      <c r="AO966" s="58">
        <v>0</v>
      </c>
      <c r="AP966" s="174">
        <v>0</v>
      </c>
      <c r="AQ966" s="175">
        <v>0</v>
      </c>
      <c r="AR966" s="175">
        <v>0</v>
      </c>
      <c r="AS966" s="175">
        <v>0</v>
      </c>
      <c r="AT966" s="175">
        <v>0</v>
      </c>
      <c r="AU966" s="175">
        <v>0</v>
      </c>
      <c r="AV966" s="175">
        <v>0</v>
      </c>
      <c r="AW966" s="175">
        <v>0</v>
      </c>
      <c r="AX966" s="83">
        <v>0</v>
      </c>
      <c r="AY966" s="49">
        <v>0</v>
      </c>
      <c r="AZ966" s="49">
        <v>0</v>
      </c>
      <c r="BA966" s="49">
        <v>0</v>
      </c>
      <c r="BB966" s="58">
        <v>0</v>
      </c>
      <c r="BC966" s="42">
        <v>84</v>
      </c>
      <c r="BE966" s="49"/>
      <c r="BS966" s="58"/>
      <c r="BT966" s="83"/>
      <c r="CE966" s="83"/>
      <c r="CK966" s="58"/>
      <c r="CL966" s="83"/>
      <c r="CO966" s="58"/>
      <c r="CP966" s="83"/>
      <c r="CR966" s="58"/>
      <c r="CS966" s="83"/>
      <c r="CY966" s="83"/>
      <c r="DG966" s="58"/>
      <c r="DH966" s="83"/>
      <c r="DQ966" s="83"/>
      <c r="EE966" s="58"/>
      <c r="EF966" s="83"/>
      <c r="EI966" s="83"/>
      <c r="EK966" s="58"/>
      <c r="EL966" s="83"/>
      <c r="EO966" s="58"/>
      <c r="EP966" s="83"/>
      <c r="EQ966" s="58"/>
      <c r="ER966" s="83"/>
      <c r="ES966" s="58"/>
      <c r="ET966" s="83"/>
      <c r="EU966" s="58"/>
    </row>
    <row r="967" spans="1:151">
      <c r="A967" s="83" t="s">
        <v>320</v>
      </c>
      <c r="B967" s="42" t="s">
        <v>535</v>
      </c>
      <c r="C967" s="42" t="s">
        <v>536</v>
      </c>
      <c r="D967" s="83" t="s">
        <v>73</v>
      </c>
      <c r="E967" s="49" t="s">
        <v>1</v>
      </c>
      <c r="F967" s="49" t="s">
        <v>287</v>
      </c>
      <c r="G967" s="60">
        <v>-1.2864833333333334</v>
      </c>
      <c r="I967" s="49">
        <v>531</v>
      </c>
      <c r="J967" s="159">
        <v>3.8201438848920861</v>
      </c>
      <c r="K967" s="49">
        <v>1</v>
      </c>
      <c r="L967" s="49">
        <v>2</v>
      </c>
      <c r="M967" s="83">
        <v>1</v>
      </c>
      <c r="N967" s="49">
        <v>0</v>
      </c>
      <c r="O967" s="49">
        <v>0</v>
      </c>
      <c r="P967" s="49">
        <v>1</v>
      </c>
      <c r="Q967" s="58">
        <v>0</v>
      </c>
      <c r="R967" s="42">
        <v>2</v>
      </c>
      <c r="S967" s="83" t="s">
        <v>283</v>
      </c>
      <c r="T967" s="49">
        <v>8</v>
      </c>
      <c r="U967" s="83">
        <v>0</v>
      </c>
      <c r="V967" s="49">
        <v>0</v>
      </c>
      <c r="W967" s="49">
        <v>0</v>
      </c>
      <c r="X967" s="58"/>
      <c r="Y967" s="83">
        <v>1</v>
      </c>
      <c r="AI967" s="49">
        <v>30</v>
      </c>
      <c r="AJ967" s="49">
        <v>0</v>
      </c>
      <c r="AK967" s="83">
        <v>0</v>
      </c>
      <c r="AL967" s="49">
        <v>0</v>
      </c>
      <c r="AM967" s="49">
        <v>0</v>
      </c>
      <c r="AN967" s="49">
        <v>0</v>
      </c>
      <c r="AO967" s="58">
        <v>0</v>
      </c>
      <c r="AP967" s="174">
        <v>0</v>
      </c>
      <c r="AQ967" s="175">
        <v>0</v>
      </c>
      <c r="AR967" s="175">
        <v>0</v>
      </c>
      <c r="AS967" s="175">
        <v>0</v>
      </c>
      <c r="AT967" s="175">
        <v>0</v>
      </c>
      <c r="AU967" s="175">
        <v>0</v>
      </c>
      <c r="AV967" s="175">
        <v>0</v>
      </c>
      <c r="AW967" s="175">
        <v>0</v>
      </c>
      <c r="AX967" s="83">
        <v>0</v>
      </c>
      <c r="AY967" s="49">
        <v>0</v>
      </c>
      <c r="AZ967" s="49">
        <v>0</v>
      </c>
      <c r="BA967" s="49">
        <v>0</v>
      </c>
      <c r="BB967" s="58">
        <v>0</v>
      </c>
      <c r="BC967" s="42">
        <v>84</v>
      </c>
      <c r="BE967" s="49"/>
      <c r="BS967" s="58"/>
      <c r="BT967" s="83"/>
      <c r="CE967" s="83"/>
      <c r="CK967" s="58"/>
      <c r="CL967" s="83"/>
      <c r="CO967" s="58"/>
      <c r="CP967" s="83"/>
      <c r="CR967" s="58"/>
      <c r="CS967" s="83"/>
      <c r="CY967" s="83"/>
      <c r="DG967" s="58"/>
      <c r="DH967" s="83"/>
      <c r="DQ967" s="83"/>
      <c r="EE967" s="58"/>
      <c r="EF967" s="83"/>
      <c r="EI967" s="83"/>
      <c r="EK967" s="58"/>
      <c r="EL967" s="83"/>
      <c r="EO967" s="58"/>
      <c r="EP967" s="83"/>
      <c r="EQ967" s="58"/>
      <c r="ER967" s="83"/>
      <c r="ES967" s="58"/>
      <c r="ET967" s="83"/>
      <c r="EU967" s="58"/>
    </row>
    <row r="968" spans="1:151">
      <c r="A968" s="83" t="s">
        <v>320</v>
      </c>
      <c r="B968" s="42" t="s">
        <v>535</v>
      </c>
      <c r="C968" s="42" t="s">
        <v>536</v>
      </c>
      <c r="D968" s="83" t="s">
        <v>81</v>
      </c>
      <c r="F968" s="49" t="s">
        <v>287</v>
      </c>
      <c r="G968" s="60">
        <v>-1.2864833333333334</v>
      </c>
      <c r="I968" s="49">
        <v>658</v>
      </c>
      <c r="J968" s="159">
        <v>1.8535211267605634</v>
      </c>
      <c r="K968" s="49">
        <v>1</v>
      </c>
      <c r="L968" s="49">
        <v>2</v>
      </c>
      <c r="M968" s="83">
        <v>0</v>
      </c>
      <c r="N968" s="49">
        <v>0</v>
      </c>
      <c r="O968" s="49">
        <v>0</v>
      </c>
      <c r="P968" s="49">
        <v>1</v>
      </c>
      <c r="Q968" s="58">
        <v>0</v>
      </c>
      <c r="R968" s="42">
        <v>1</v>
      </c>
      <c r="S968" s="83" t="s">
        <v>283</v>
      </c>
      <c r="T968" s="49">
        <v>8</v>
      </c>
      <c r="U968" s="83">
        <v>1</v>
      </c>
      <c r="V968" s="49">
        <v>3</v>
      </c>
      <c r="W968" s="49">
        <v>1</v>
      </c>
      <c r="X968" s="58">
        <v>2</v>
      </c>
      <c r="Y968" s="83">
        <v>2</v>
      </c>
      <c r="AH968" s="49">
        <v>82</v>
      </c>
      <c r="AI968" s="49">
        <v>169</v>
      </c>
      <c r="AJ968" s="49">
        <v>0</v>
      </c>
      <c r="AK968" s="83">
        <v>0</v>
      </c>
      <c r="AL968" s="49">
        <v>0</v>
      </c>
      <c r="AM968" s="49">
        <v>0</v>
      </c>
      <c r="AN968" s="49">
        <v>0</v>
      </c>
      <c r="AO968" s="58">
        <v>0</v>
      </c>
      <c r="AP968" s="174">
        <v>0</v>
      </c>
      <c r="AQ968" s="175">
        <v>0</v>
      </c>
      <c r="AR968" s="175">
        <v>0</v>
      </c>
      <c r="AS968" s="175">
        <v>0</v>
      </c>
      <c r="AT968" s="175">
        <v>0</v>
      </c>
      <c r="AU968" s="175">
        <v>0</v>
      </c>
      <c r="AV968" s="175">
        <v>0</v>
      </c>
      <c r="AW968" s="175">
        <v>0</v>
      </c>
      <c r="AX968" s="83">
        <v>0</v>
      </c>
      <c r="AY968" s="49">
        <v>0</v>
      </c>
      <c r="AZ968" s="49">
        <v>0</v>
      </c>
      <c r="BA968" s="49">
        <v>0</v>
      </c>
      <c r="BB968" s="58">
        <v>0</v>
      </c>
      <c r="BC968" s="42">
        <v>122</v>
      </c>
      <c r="BE968" s="49"/>
      <c r="BS968" s="58"/>
      <c r="BT968" s="83"/>
      <c r="CE968" s="83"/>
      <c r="CK968" s="58"/>
      <c r="CL968" s="83"/>
      <c r="CO968" s="58"/>
      <c r="CP968" s="83"/>
      <c r="CR968" s="58"/>
      <c r="CS968" s="83"/>
      <c r="CY968" s="83"/>
      <c r="DG968" s="58"/>
      <c r="DH968" s="83"/>
      <c r="DQ968" s="83"/>
      <c r="EE968" s="58"/>
      <c r="EF968" s="83"/>
      <c r="EI968" s="83"/>
      <c r="EK968" s="58"/>
      <c r="EL968" s="83"/>
      <c r="EO968" s="58"/>
      <c r="EP968" s="83"/>
      <c r="EQ968" s="58"/>
      <c r="ER968" s="83"/>
      <c r="ES968" s="58"/>
      <c r="ET968" s="83"/>
      <c r="EU968" s="58"/>
    </row>
    <row r="969" spans="1:151">
      <c r="A969" s="83" t="s">
        <v>320</v>
      </c>
      <c r="B969" s="42" t="s">
        <v>535</v>
      </c>
      <c r="C969" s="42" t="s">
        <v>536</v>
      </c>
      <c r="D969" s="83" t="s">
        <v>111</v>
      </c>
      <c r="F969" s="49" t="s">
        <v>286</v>
      </c>
      <c r="G969" s="60">
        <v>-1.2864833333333334</v>
      </c>
      <c r="I969" s="49">
        <v>3216</v>
      </c>
      <c r="J969" s="159">
        <v>2.1583892617449663</v>
      </c>
      <c r="K969" s="49">
        <v>1</v>
      </c>
      <c r="L969" s="49">
        <v>3</v>
      </c>
      <c r="M969" s="83">
        <v>0</v>
      </c>
      <c r="N969" s="49">
        <v>4</v>
      </c>
      <c r="O969" s="49">
        <v>0</v>
      </c>
      <c r="P969" s="49">
        <v>0</v>
      </c>
      <c r="Q969" s="58">
        <v>0</v>
      </c>
      <c r="R969" s="42">
        <v>4</v>
      </c>
      <c r="S969" s="83" t="s">
        <v>283</v>
      </c>
      <c r="T969" s="49">
        <v>13</v>
      </c>
      <c r="U969" s="83">
        <v>1</v>
      </c>
      <c r="V969" s="49">
        <v>3</v>
      </c>
      <c r="W969" s="49">
        <v>2</v>
      </c>
      <c r="X969" s="58"/>
      <c r="Y969" s="83">
        <v>10</v>
      </c>
      <c r="Z969" s="49">
        <v>8</v>
      </c>
      <c r="AA969" s="49">
        <v>446</v>
      </c>
      <c r="AD969" s="49">
        <v>7</v>
      </c>
      <c r="AE969" s="49">
        <v>270</v>
      </c>
      <c r="AF969" s="49">
        <v>5</v>
      </c>
      <c r="AG969" s="49">
        <v>218</v>
      </c>
      <c r="AH969" s="49">
        <v>39</v>
      </c>
      <c r="AI969" s="49">
        <v>609</v>
      </c>
      <c r="AJ969" s="49">
        <v>0</v>
      </c>
      <c r="AK969" s="83">
        <v>0</v>
      </c>
      <c r="AL969" s="49">
        <v>0</v>
      </c>
      <c r="AM969" s="49">
        <v>0</v>
      </c>
      <c r="AN969" s="49">
        <v>0</v>
      </c>
      <c r="AO969" s="58">
        <v>0</v>
      </c>
      <c r="AP969" s="174">
        <v>0</v>
      </c>
      <c r="AQ969" s="175">
        <v>0</v>
      </c>
      <c r="AR969" s="175">
        <v>0</v>
      </c>
      <c r="AS969" s="175">
        <v>0</v>
      </c>
      <c r="AT969" s="175">
        <v>0</v>
      </c>
      <c r="AU969" s="175">
        <v>0</v>
      </c>
      <c r="AV969" s="175">
        <v>0</v>
      </c>
      <c r="AW969" s="175">
        <v>0</v>
      </c>
      <c r="AX969" s="83">
        <v>0</v>
      </c>
      <c r="AY969" s="49">
        <v>0</v>
      </c>
      <c r="AZ969" s="49">
        <v>0</v>
      </c>
      <c r="BA969" s="49">
        <v>0</v>
      </c>
      <c r="BB969" s="58">
        <v>0</v>
      </c>
      <c r="BC969" s="42">
        <v>129</v>
      </c>
      <c r="BD969" s="49">
        <v>81.41</v>
      </c>
      <c r="BE969" s="49">
        <v>80.540000000000006</v>
      </c>
      <c r="BF969" s="49">
        <v>81.05</v>
      </c>
      <c r="BG969" s="49">
        <v>80.78</v>
      </c>
      <c r="BS969" s="58"/>
      <c r="BT969" s="83"/>
      <c r="CE969" s="83"/>
      <c r="CK969" s="58"/>
      <c r="CL969" s="83">
        <v>70.03</v>
      </c>
      <c r="CO969" s="58"/>
      <c r="CP969" s="83"/>
      <c r="CR969" s="58"/>
      <c r="CS969" s="83"/>
      <c r="CY969" s="83"/>
      <c r="DG969" s="58"/>
      <c r="DH969" s="83"/>
      <c r="DQ969" s="83">
        <v>72.28</v>
      </c>
      <c r="DR969" s="49">
        <v>73.819999999999993</v>
      </c>
      <c r="DS969" s="49">
        <v>74.75</v>
      </c>
      <c r="EE969" s="58"/>
      <c r="EF969" s="83"/>
      <c r="EI969" s="83"/>
      <c r="EK969" s="58"/>
      <c r="EL969" s="83"/>
      <c r="EO969" s="58"/>
      <c r="EP969" s="83"/>
      <c r="EQ969" s="58"/>
      <c r="ER969" s="83"/>
      <c r="ES969" s="58"/>
      <c r="ET969" s="83"/>
      <c r="EU969" s="58"/>
    </row>
    <row r="970" spans="1:151">
      <c r="A970" s="83" t="s">
        <v>320</v>
      </c>
      <c r="B970" s="42" t="s">
        <v>535</v>
      </c>
      <c r="C970" s="42" t="s">
        <v>536</v>
      </c>
      <c r="D970" s="83" t="s">
        <v>92</v>
      </c>
      <c r="F970" s="49" t="s">
        <v>286</v>
      </c>
      <c r="G970" s="60">
        <v>-1.2864833333333334</v>
      </c>
      <c r="I970" s="49">
        <v>1169</v>
      </c>
      <c r="J970" s="159">
        <v>8.2907801418439711</v>
      </c>
      <c r="K970" s="49">
        <v>1</v>
      </c>
      <c r="L970" s="49">
        <v>1</v>
      </c>
      <c r="M970" s="83">
        <v>0</v>
      </c>
      <c r="N970" s="49">
        <v>0</v>
      </c>
      <c r="O970" s="49">
        <v>1</v>
      </c>
      <c r="P970" s="49">
        <v>1</v>
      </c>
      <c r="Q970" s="58">
        <v>0</v>
      </c>
      <c r="R970" s="42">
        <v>2</v>
      </c>
      <c r="S970" s="83" t="s">
        <v>283</v>
      </c>
      <c r="T970" s="49">
        <v>7</v>
      </c>
      <c r="U970" s="83">
        <v>0</v>
      </c>
      <c r="V970" s="49">
        <v>0</v>
      </c>
      <c r="W970" s="49">
        <v>0</v>
      </c>
      <c r="X970" s="58"/>
      <c r="Y970" s="83">
        <v>1</v>
      </c>
      <c r="AD970" s="49">
        <v>13</v>
      </c>
      <c r="AE970" s="49">
        <v>96</v>
      </c>
      <c r="AG970" s="49">
        <v>92</v>
      </c>
      <c r="AI970" s="49">
        <v>63</v>
      </c>
      <c r="AJ970" s="49">
        <v>0</v>
      </c>
      <c r="AK970" s="83">
        <v>0</v>
      </c>
      <c r="AL970" s="49">
        <v>0</v>
      </c>
      <c r="AM970" s="49">
        <v>0</v>
      </c>
      <c r="AN970" s="49">
        <v>0</v>
      </c>
      <c r="AO970" s="58">
        <v>0</v>
      </c>
      <c r="AP970" s="174">
        <v>0</v>
      </c>
      <c r="AQ970" s="175">
        <v>0</v>
      </c>
      <c r="AR970" s="175">
        <v>0</v>
      </c>
      <c r="AS970" s="175">
        <v>0</v>
      </c>
      <c r="AT970" s="175">
        <v>0</v>
      </c>
      <c r="AU970" s="175">
        <v>0</v>
      </c>
      <c r="AV970" s="175">
        <v>0</v>
      </c>
      <c r="AW970" s="175">
        <v>0</v>
      </c>
      <c r="AX970" s="83">
        <v>0</v>
      </c>
      <c r="AY970" s="49">
        <v>0</v>
      </c>
      <c r="AZ970" s="49">
        <v>0</v>
      </c>
      <c r="BA970" s="49">
        <v>0</v>
      </c>
      <c r="BB970" s="58">
        <v>0</v>
      </c>
      <c r="BC970" s="42">
        <v>117</v>
      </c>
      <c r="BD970" s="49">
        <v>68.55</v>
      </c>
      <c r="BE970" s="49"/>
      <c r="BS970" s="58"/>
      <c r="BT970" s="83">
        <v>72.099999999999994</v>
      </c>
      <c r="CE970" s="83"/>
      <c r="CK970" s="58"/>
      <c r="CL970" s="83">
        <v>57.58</v>
      </c>
      <c r="CO970" s="58"/>
      <c r="CP970" s="83"/>
      <c r="CR970" s="58"/>
      <c r="CS970" s="83"/>
      <c r="CY970" s="83"/>
      <c r="DG970" s="58"/>
      <c r="DH970" s="83"/>
      <c r="DQ970" s="83"/>
      <c r="EE970" s="58"/>
      <c r="EF970" s="83"/>
      <c r="EI970" s="83"/>
      <c r="EK970" s="58"/>
      <c r="EL970" s="83"/>
      <c r="EO970" s="58"/>
      <c r="EP970" s="83"/>
      <c r="EQ970" s="58"/>
      <c r="ER970" s="83"/>
      <c r="ES970" s="58"/>
      <c r="ET970" s="83"/>
      <c r="EU970" s="58"/>
    </row>
    <row r="971" spans="1:151">
      <c r="A971" s="83" t="s">
        <v>320</v>
      </c>
      <c r="B971" s="42" t="s">
        <v>535</v>
      </c>
      <c r="C971" s="42" t="s">
        <v>536</v>
      </c>
      <c r="D971" s="83" t="s">
        <v>93</v>
      </c>
      <c r="F971" s="49" t="s">
        <v>286</v>
      </c>
      <c r="G971" s="60">
        <v>-1.2864833333333334</v>
      </c>
      <c r="I971" s="49">
        <v>1020</v>
      </c>
      <c r="J971" s="159">
        <v>4.4541484716157207</v>
      </c>
      <c r="K971" s="49">
        <v>2</v>
      </c>
      <c r="L971" s="49">
        <v>3</v>
      </c>
      <c r="M971" s="83">
        <v>1</v>
      </c>
      <c r="N971" s="49">
        <v>0</v>
      </c>
      <c r="O971" s="49">
        <v>0</v>
      </c>
      <c r="P971" s="49">
        <v>0</v>
      </c>
      <c r="Q971" s="58">
        <v>0</v>
      </c>
      <c r="R971" s="42">
        <v>1</v>
      </c>
      <c r="S971" s="83">
        <v>1</v>
      </c>
      <c r="T971" s="49">
        <v>5</v>
      </c>
      <c r="U971" s="83">
        <v>0</v>
      </c>
      <c r="V971" s="49">
        <v>0</v>
      </c>
      <c r="W971" s="49">
        <v>0</v>
      </c>
      <c r="X971" s="58"/>
      <c r="Y971" s="83">
        <v>1</v>
      </c>
      <c r="AD971" s="49">
        <v>10</v>
      </c>
      <c r="AE971" s="49">
        <v>59</v>
      </c>
      <c r="AI971" s="49">
        <v>132</v>
      </c>
      <c r="AJ971" s="49">
        <v>0</v>
      </c>
      <c r="AK971" s="83">
        <v>0</v>
      </c>
      <c r="AL971" s="49">
        <v>1</v>
      </c>
      <c r="AM971" s="49">
        <v>0</v>
      </c>
      <c r="AN971" s="49">
        <v>0</v>
      </c>
      <c r="AO971" s="58">
        <v>0</v>
      </c>
      <c r="AP971" s="174">
        <v>0</v>
      </c>
      <c r="AQ971" s="175">
        <v>486</v>
      </c>
      <c r="AR971" s="175">
        <v>0</v>
      </c>
      <c r="AS971" s="175">
        <v>0</v>
      </c>
      <c r="AT971" s="175">
        <v>0</v>
      </c>
      <c r="AU971" s="175">
        <v>0</v>
      </c>
      <c r="AV971" s="175">
        <v>0</v>
      </c>
      <c r="AW971" s="175">
        <v>0</v>
      </c>
      <c r="AX971" s="83">
        <v>0</v>
      </c>
      <c r="AY971" s="49">
        <v>0</v>
      </c>
      <c r="AZ971" s="49">
        <v>0</v>
      </c>
      <c r="BA971" s="49">
        <v>0</v>
      </c>
      <c r="BB971" s="58">
        <v>0</v>
      </c>
      <c r="BC971" s="42">
        <v>130</v>
      </c>
      <c r="BE971" s="49"/>
      <c r="BS971" s="58"/>
      <c r="BT971" s="83"/>
      <c r="CE971" s="83"/>
      <c r="CK971" s="58"/>
      <c r="CL971" s="83"/>
      <c r="CO971" s="58"/>
      <c r="CP971" s="83"/>
      <c r="CR971" s="58"/>
      <c r="CS971" s="83"/>
      <c r="CY971" s="83"/>
      <c r="DG971" s="58"/>
      <c r="DH971" s="83"/>
      <c r="DQ971" s="83"/>
      <c r="EE971" s="58"/>
      <c r="EF971" s="83"/>
      <c r="EI971" s="83"/>
      <c r="EK971" s="58"/>
      <c r="EL971" s="83"/>
      <c r="EO971" s="58"/>
      <c r="EP971" s="83"/>
      <c r="EQ971" s="58"/>
      <c r="ER971" s="83"/>
      <c r="ES971" s="58"/>
      <c r="ET971" s="83"/>
      <c r="EU971" s="58"/>
    </row>
    <row r="972" spans="1:151">
      <c r="A972" s="83" t="s">
        <v>320</v>
      </c>
      <c r="B972" s="42" t="s">
        <v>535</v>
      </c>
      <c r="C972" s="42" t="s">
        <v>536</v>
      </c>
      <c r="D972" s="83" t="s">
        <v>112</v>
      </c>
      <c r="F972" s="49" t="s">
        <v>286</v>
      </c>
      <c r="G972" s="60">
        <v>-1.2864833333333334</v>
      </c>
      <c r="I972" s="49">
        <v>3022</v>
      </c>
      <c r="J972" s="159">
        <v>1.4591984548527281</v>
      </c>
      <c r="K972" s="49">
        <v>4</v>
      </c>
      <c r="L972" s="49">
        <v>4</v>
      </c>
      <c r="M972" s="83">
        <v>0</v>
      </c>
      <c r="N972" s="49">
        <v>4</v>
      </c>
      <c r="O972" s="49">
        <v>0</v>
      </c>
      <c r="P972" s="49">
        <v>1</v>
      </c>
      <c r="Q972" s="58">
        <v>0</v>
      </c>
      <c r="R972" s="42">
        <v>5</v>
      </c>
      <c r="S972" s="83" t="s">
        <v>283</v>
      </c>
      <c r="T972" s="49">
        <v>10</v>
      </c>
      <c r="U972" s="83">
        <v>1</v>
      </c>
      <c r="V972" s="49">
        <v>5</v>
      </c>
      <c r="W972" s="49">
        <v>2</v>
      </c>
      <c r="X972" s="58"/>
      <c r="Y972" s="83">
        <v>5</v>
      </c>
      <c r="AA972" s="49">
        <v>7</v>
      </c>
      <c r="AD972" s="49">
        <v>4</v>
      </c>
      <c r="AE972" s="49">
        <v>104</v>
      </c>
      <c r="AF972" s="49">
        <v>8</v>
      </c>
      <c r="AG972" s="49">
        <v>290</v>
      </c>
      <c r="AH972" s="49">
        <v>39</v>
      </c>
      <c r="AI972" s="49">
        <v>1042</v>
      </c>
      <c r="AJ972" s="49">
        <v>0</v>
      </c>
      <c r="AK972" s="83">
        <v>0</v>
      </c>
      <c r="AL972" s="49">
        <v>0</v>
      </c>
      <c r="AM972" s="49">
        <v>0</v>
      </c>
      <c r="AN972" s="49">
        <v>0</v>
      </c>
      <c r="AO972" s="58">
        <v>0</v>
      </c>
      <c r="AP972" s="174">
        <v>0</v>
      </c>
      <c r="AQ972" s="175">
        <v>0</v>
      </c>
      <c r="AR972" s="175">
        <v>0</v>
      </c>
      <c r="AS972" s="175">
        <v>0</v>
      </c>
      <c r="AT972" s="175">
        <v>0</v>
      </c>
      <c r="AU972" s="175">
        <v>0</v>
      </c>
      <c r="AV972" s="175">
        <v>0</v>
      </c>
      <c r="AW972" s="175">
        <v>0</v>
      </c>
      <c r="AX972" s="83">
        <v>0</v>
      </c>
      <c r="AY972" s="49">
        <v>0</v>
      </c>
      <c r="AZ972" s="49">
        <v>0</v>
      </c>
      <c r="BA972" s="49">
        <v>0</v>
      </c>
      <c r="BB972" s="58">
        <v>0</v>
      </c>
      <c r="BC972" s="42" t="s">
        <v>8</v>
      </c>
      <c r="BD972" s="49">
        <v>76.03</v>
      </c>
      <c r="BE972" s="49">
        <v>79.900000000000006</v>
      </c>
      <c r="BF972" s="49">
        <v>77.78</v>
      </c>
      <c r="BG972" s="49">
        <v>76.06</v>
      </c>
      <c r="BH972" s="49">
        <v>76.47</v>
      </c>
      <c r="BI972" s="49">
        <v>76.05</v>
      </c>
      <c r="BS972" s="58"/>
      <c r="BT972" s="83">
        <v>82.84</v>
      </c>
      <c r="BU972" s="49">
        <v>82.85</v>
      </c>
      <c r="CE972" s="83"/>
      <c r="CK972" s="58"/>
      <c r="CL972" s="83"/>
      <c r="CO972" s="58"/>
      <c r="CP972" s="83"/>
      <c r="CR972" s="58"/>
      <c r="CS972" s="83"/>
      <c r="CY972" s="83"/>
      <c r="DG972" s="58"/>
      <c r="DH972" s="83"/>
      <c r="DQ972" s="83">
        <v>82.43</v>
      </c>
      <c r="DR972" s="49">
        <v>82.81</v>
      </c>
      <c r="EE972" s="58"/>
      <c r="EF972" s="83"/>
      <c r="EI972" s="83"/>
      <c r="EK972" s="58"/>
      <c r="EL972" s="83"/>
      <c r="EO972" s="58"/>
      <c r="EP972" s="83"/>
      <c r="EQ972" s="58"/>
      <c r="ER972" s="83"/>
      <c r="ES972" s="58"/>
      <c r="ET972" s="83"/>
      <c r="EU972" s="58"/>
    </row>
    <row r="973" spans="1:151">
      <c r="A973" s="83" t="s">
        <v>320</v>
      </c>
      <c r="B973" s="42" t="s">
        <v>535</v>
      </c>
      <c r="C973" s="42" t="s">
        <v>536</v>
      </c>
      <c r="D973" s="83" t="s">
        <v>94</v>
      </c>
      <c r="F973" s="49" t="s">
        <v>286</v>
      </c>
      <c r="G973" s="60">
        <v>-1.2864833333333334</v>
      </c>
      <c r="I973" s="49">
        <v>2116</v>
      </c>
      <c r="J973" s="159">
        <v>1.8496503496503496</v>
      </c>
      <c r="K973" s="49">
        <v>1</v>
      </c>
      <c r="L973" s="49">
        <v>3</v>
      </c>
      <c r="M973" s="83">
        <v>0</v>
      </c>
      <c r="N973" s="49">
        <v>3</v>
      </c>
      <c r="O973" s="49">
        <v>0</v>
      </c>
      <c r="P973" s="49">
        <v>0</v>
      </c>
      <c r="Q973" s="58">
        <v>0</v>
      </c>
      <c r="R973" s="42">
        <v>3</v>
      </c>
      <c r="S973" s="83" t="s">
        <v>283</v>
      </c>
      <c r="T973" s="49">
        <v>8</v>
      </c>
      <c r="U973" s="83">
        <v>1</v>
      </c>
      <c r="V973" s="49">
        <v>3</v>
      </c>
      <c r="W973" s="49">
        <v>2</v>
      </c>
      <c r="X973" s="58"/>
      <c r="Y973" s="83">
        <v>2</v>
      </c>
      <c r="Z973" s="49">
        <v>2</v>
      </c>
      <c r="AA973" s="49">
        <v>7</v>
      </c>
      <c r="AD973" s="49">
        <v>11</v>
      </c>
      <c r="AE973" s="49">
        <v>51</v>
      </c>
      <c r="AF973" s="49">
        <v>60</v>
      </c>
      <c r="AG973" s="49">
        <v>269</v>
      </c>
      <c r="AH973" s="49">
        <v>6</v>
      </c>
      <c r="AI973" s="49">
        <v>518</v>
      </c>
      <c r="AJ973" s="49">
        <v>0</v>
      </c>
      <c r="AK973" s="83">
        <v>0</v>
      </c>
      <c r="AL973" s="49">
        <v>0</v>
      </c>
      <c r="AM973" s="49">
        <v>0</v>
      </c>
      <c r="AN973" s="49">
        <v>0</v>
      </c>
      <c r="AO973" s="58">
        <v>0</v>
      </c>
      <c r="AP973" s="174">
        <v>0</v>
      </c>
      <c r="AQ973" s="175">
        <v>0</v>
      </c>
      <c r="AR973" s="175">
        <v>0</v>
      </c>
      <c r="AS973" s="175">
        <v>0</v>
      </c>
      <c r="AT973" s="175">
        <v>0</v>
      </c>
      <c r="AU973" s="175">
        <v>0</v>
      </c>
      <c r="AV973" s="175">
        <v>0</v>
      </c>
      <c r="AW973" s="175">
        <v>0</v>
      </c>
      <c r="AX973" s="83">
        <v>0</v>
      </c>
      <c r="AY973" s="49">
        <v>0</v>
      </c>
      <c r="AZ973" s="49">
        <v>0</v>
      </c>
      <c r="BA973" s="49">
        <v>0</v>
      </c>
      <c r="BB973" s="58">
        <v>0</v>
      </c>
      <c r="BC973" s="42">
        <v>115</v>
      </c>
      <c r="BE973" s="49"/>
      <c r="BS973" s="58"/>
      <c r="BT973" s="83">
        <v>81.56</v>
      </c>
      <c r="BU973" s="49">
        <v>80.680000000000007</v>
      </c>
      <c r="BV973" s="49">
        <v>82.63</v>
      </c>
      <c r="CE973" s="83"/>
      <c r="CK973" s="58"/>
      <c r="CL973" s="83">
        <v>63.36</v>
      </c>
      <c r="CO973" s="58"/>
      <c r="CP973" s="83"/>
      <c r="CR973" s="58"/>
      <c r="CS973" s="83"/>
      <c r="CY973" s="83"/>
      <c r="DG973" s="58"/>
      <c r="DH973" s="83"/>
      <c r="DQ973" s="83">
        <v>77.680000000000007</v>
      </c>
      <c r="EE973" s="58"/>
      <c r="EF973" s="83"/>
      <c r="EI973" s="83"/>
      <c r="EK973" s="58"/>
      <c r="EL973" s="83"/>
      <c r="EO973" s="58"/>
      <c r="EP973" s="83"/>
      <c r="EQ973" s="58"/>
      <c r="ER973" s="83"/>
      <c r="ES973" s="58"/>
      <c r="ET973" s="83"/>
      <c r="EU973" s="58"/>
    </row>
    <row r="974" spans="1:151">
      <c r="A974" s="83" t="s">
        <v>320</v>
      </c>
      <c r="B974" s="42" t="s">
        <v>535</v>
      </c>
      <c r="C974" s="42" t="s">
        <v>536</v>
      </c>
      <c r="D974" s="83" t="s">
        <v>95</v>
      </c>
      <c r="F974" s="49" t="s">
        <v>286</v>
      </c>
      <c r="G974" s="60">
        <v>-1.2864833333333334</v>
      </c>
      <c r="I974" s="49">
        <v>4100</v>
      </c>
      <c r="J974" s="159">
        <v>1.6579053780832997</v>
      </c>
      <c r="K974" s="49">
        <v>1</v>
      </c>
      <c r="L974" s="49">
        <v>3</v>
      </c>
      <c r="M974" s="83">
        <v>1</v>
      </c>
      <c r="N974" s="49">
        <v>0</v>
      </c>
      <c r="O974" s="49">
        <v>1</v>
      </c>
      <c r="P974" s="49">
        <v>1</v>
      </c>
      <c r="Q974" s="58">
        <v>0</v>
      </c>
      <c r="R974" s="42">
        <v>3</v>
      </c>
      <c r="S974" s="83">
        <v>1</v>
      </c>
      <c r="T974" s="49">
        <v>9</v>
      </c>
      <c r="U974" s="83">
        <v>2</v>
      </c>
      <c r="V974" s="49">
        <v>3</v>
      </c>
      <c r="W974" s="49">
        <v>1</v>
      </c>
      <c r="X974" s="58">
        <v>3</v>
      </c>
      <c r="Y974" s="83">
        <v>1</v>
      </c>
      <c r="AA974" s="49">
        <v>10</v>
      </c>
      <c r="AE974" s="49">
        <v>10</v>
      </c>
      <c r="AF974" s="49">
        <v>13</v>
      </c>
      <c r="AG974" s="49">
        <v>494</v>
      </c>
      <c r="AI974" s="49">
        <v>152</v>
      </c>
      <c r="AJ974" s="49">
        <v>0</v>
      </c>
      <c r="AK974" s="83">
        <v>0</v>
      </c>
      <c r="AL974" s="49">
        <v>1</v>
      </c>
      <c r="AM974" s="49">
        <v>0</v>
      </c>
      <c r="AN974" s="49">
        <v>0</v>
      </c>
      <c r="AO974" s="58">
        <v>0</v>
      </c>
      <c r="AP974" s="174">
        <v>970</v>
      </c>
      <c r="AQ974" s="175">
        <v>1394</v>
      </c>
      <c r="AR974" s="175">
        <v>0</v>
      </c>
      <c r="AS974" s="175">
        <v>0</v>
      </c>
      <c r="AT974" s="175">
        <v>0</v>
      </c>
      <c r="AU974" s="175">
        <v>0</v>
      </c>
      <c r="AV974" s="175">
        <v>0</v>
      </c>
      <c r="AW974" s="175">
        <v>0</v>
      </c>
      <c r="AX974" s="83">
        <v>0</v>
      </c>
      <c r="AY974" s="49">
        <v>0</v>
      </c>
      <c r="AZ974" s="49">
        <v>0</v>
      </c>
      <c r="BA974" s="49">
        <v>0</v>
      </c>
      <c r="BB974" s="58">
        <v>0</v>
      </c>
      <c r="BC974" s="42">
        <v>119</v>
      </c>
      <c r="BD974" s="49">
        <v>77.22</v>
      </c>
      <c r="BE974" s="49"/>
      <c r="BS974" s="58"/>
      <c r="BT974" s="83">
        <v>80.34</v>
      </c>
      <c r="BU974" s="49">
        <v>79.709999999999994</v>
      </c>
      <c r="BV974" s="49">
        <v>75.819999999999993</v>
      </c>
      <c r="BW974" s="49">
        <v>80.989999999999995</v>
      </c>
      <c r="CE974" s="83">
        <v>73.040000000000006</v>
      </c>
      <c r="CK974" s="58"/>
      <c r="CL974" s="83"/>
      <c r="CO974" s="58"/>
      <c r="CP974" s="83"/>
      <c r="CR974" s="58"/>
      <c r="CS974" s="83"/>
      <c r="CY974" s="83"/>
      <c r="DG974" s="58"/>
      <c r="DH974" s="83"/>
      <c r="DQ974" s="83"/>
      <c r="EE974" s="58"/>
      <c r="EF974" s="83"/>
      <c r="EI974" s="83"/>
      <c r="EK974" s="58"/>
      <c r="EL974" s="83"/>
      <c r="EO974" s="58"/>
      <c r="EP974" s="83"/>
      <c r="EQ974" s="58"/>
      <c r="ER974" s="83"/>
      <c r="ES974" s="58"/>
      <c r="ET974" s="83"/>
      <c r="EU974" s="58"/>
    </row>
    <row r="975" spans="1:151">
      <c r="A975" s="83" t="s">
        <v>320</v>
      </c>
      <c r="B975" s="42" t="s">
        <v>535</v>
      </c>
      <c r="C975" s="42" t="s">
        <v>536</v>
      </c>
      <c r="D975" s="83" t="s">
        <v>96</v>
      </c>
      <c r="F975" s="49" t="s">
        <v>286</v>
      </c>
      <c r="G975" s="60">
        <v>-1.2864833333333334</v>
      </c>
      <c r="I975" s="49">
        <v>1769</v>
      </c>
      <c r="J975" s="159">
        <v>1.2058623040218133</v>
      </c>
      <c r="K975" s="49">
        <v>1</v>
      </c>
      <c r="L975" s="49">
        <v>3</v>
      </c>
      <c r="M975" s="83">
        <v>0</v>
      </c>
      <c r="N975" s="49">
        <v>1</v>
      </c>
      <c r="O975" s="49">
        <v>1</v>
      </c>
      <c r="P975" s="49">
        <v>0</v>
      </c>
      <c r="Q975" s="58">
        <v>0</v>
      </c>
      <c r="R975" s="42">
        <v>2</v>
      </c>
      <c r="S975" s="83" t="s">
        <v>283</v>
      </c>
      <c r="T975" s="49">
        <v>6</v>
      </c>
      <c r="U975" s="83">
        <v>2</v>
      </c>
      <c r="V975" s="49">
        <v>3</v>
      </c>
      <c r="W975" s="49">
        <v>3</v>
      </c>
      <c r="X975" s="58">
        <v>1</v>
      </c>
      <c r="Y975" s="83">
        <v>1</v>
      </c>
      <c r="Z975" s="49">
        <v>9</v>
      </c>
      <c r="AA975" s="49">
        <v>30</v>
      </c>
      <c r="AD975" s="49">
        <v>5</v>
      </c>
      <c r="AE975" s="49">
        <v>29</v>
      </c>
      <c r="AH975" s="49">
        <v>9</v>
      </c>
      <c r="AI975" s="49">
        <v>106</v>
      </c>
      <c r="AJ975" s="49">
        <v>0</v>
      </c>
      <c r="AK975" s="83">
        <v>0</v>
      </c>
      <c r="AL975" s="49">
        <v>0</v>
      </c>
      <c r="AM975" s="49">
        <v>0</v>
      </c>
      <c r="AN975" s="49">
        <v>0</v>
      </c>
      <c r="AO975" s="58">
        <v>0</v>
      </c>
      <c r="AP975" s="174">
        <v>0</v>
      </c>
      <c r="AQ975" s="175">
        <v>0</v>
      </c>
      <c r="AR975" s="175">
        <v>0</v>
      </c>
      <c r="AS975" s="175">
        <v>0</v>
      </c>
      <c r="AT975" s="175">
        <v>0</v>
      </c>
      <c r="AU975" s="175">
        <v>0</v>
      </c>
      <c r="AV975" s="175">
        <v>0</v>
      </c>
      <c r="AW975" s="175">
        <v>0</v>
      </c>
      <c r="AX975" s="83">
        <v>0</v>
      </c>
      <c r="AY975" s="49">
        <v>0</v>
      </c>
      <c r="AZ975" s="49">
        <v>0</v>
      </c>
      <c r="BA975" s="49">
        <v>0</v>
      </c>
      <c r="BB975" s="58">
        <v>0</v>
      </c>
      <c r="BC975" s="42">
        <v>112</v>
      </c>
      <c r="BE975" s="49"/>
      <c r="BS975" s="58"/>
      <c r="BT975" s="83"/>
      <c r="CE975" s="83"/>
      <c r="CK975" s="58"/>
      <c r="CL975" s="83"/>
      <c r="CO975" s="58"/>
      <c r="CP975" s="83"/>
      <c r="CR975" s="58"/>
      <c r="CS975" s="83"/>
      <c r="CY975" s="83"/>
      <c r="DG975" s="58"/>
      <c r="DH975" s="83"/>
      <c r="DQ975" s="83"/>
      <c r="EE975" s="58"/>
      <c r="EF975" s="83"/>
      <c r="EI975" s="83"/>
      <c r="EK975" s="58"/>
      <c r="EL975" s="83"/>
      <c r="EO975" s="58"/>
      <c r="EP975" s="83"/>
      <c r="EQ975" s="58"/>
      <c r="ER975" s="83"/>
      <c r="ES975" s="58"/>
      <c r="ET975" s="83"/>
      <c r="EU975" s="58"/>
    </row>
    <row r="976" spans="1:151" ht="17" thickBot="1">
      <c r="A976" s="83" t="s">
        <v>320</v>
      </c>
      <c r="B976" s="55" t="s">
        <v>535</v>
      </c>
      <c r="C976" s="55" t="s">
        <v>536</v>
      </c>
      <c r="D976" s="84" t="s">
        <v>98</v>
      </c>
      <c r="E976" s="57"/>
      <c r="F976" s="57" t="s">
        <v>286</v>
      </c>
      <c r="G976" s="74">
        <v>-1.2864833333333334</v>
      </c>
      <c r="H976" s="57"/>
      <c r="I976" s="57">
        <v>1744</v>
      </c>
      <c r="J976" s="75">
        <v>2.9409780775716694</v>
      </c>
      <c r="K976" s="57">
        <v>4</v>
      </c>
      <c r="L976" s="57">
        <v>4</v>
      </c>
      <c r="M976" s="84">
        <v>0</v>
      </c>
      <c r="N976" s="57">
        <v>1</v>
      </c>
      <c r="O976" s="57">
        <v>0</v>
      </c>
      <c r="P976" s="57">
        <v>0</v>
      </c>
      <c r="Q976" s="56">
        <v>0</v>
      </c>
      <c r="R976" s="55">
        <v>1</v>
      </c>
      <c r="S976" s="84" t="s">
        <v>283</v>
      </c>
      <c r="T976" s="57">
        <v>12</v>
      </c>
      <c r="U976" s="84">
        <v>1</v>
      </c>
      <c r="V976" s="57">
        <v>4</v>
      </c>
      <c r="W976" s="57">
        <v>2</v>
      </c>
      <c r="X976" s="56"/>
      <c r="Y976" s="84">
        <v>1</v>
      </c>
      <c r="Z976" s="57"/>
      <c r="AA976" s="57"/>
      <c r="AB976" s="57"/>
      <c r="AC976" s="57"/>
      <c r="AD976" s="57"/>
      <c r="AE976" s="57">
        <v>15</v>
      </c>
      <c r="AF976" s="57"/>
      <c r="AG976" s="57"/>
      <c r="AH976" s="57"/>
      <c r="AI976" s="57"/>
      <c r="AJ976" s="57">
        <v>0</v>
      </c>
      <c r="AK976" s="84">
        <v>0</v>
      </c>
      <c r="AL976" s="57">
        <v>0</v>
      </c>
      <c r="AM976" s="57">
        <v>0</v>
      </c>
      <c r="AN976" s="57">
        <v>0</v>
      </c>
      <c r="AO976" s="56">
        <v>0</v>
      </c>
      <c r="AP976" s="178">
        <v>0</v>
      </c>
      <c r="AQ976" s="179">
        <v>0</v>
      </c>
      <c r="AR976" s="179">
        <v>0</v>
      </c>
      <c r="AS976" s="179">
        <v>0</v>
      </c>
      <c r="AT976" s="179">
        <v>0</v>
      </c>
      <c r="AU976" s="179">
        <v>0</v>
      </c>
      <c r="AV976" s="179">
        <v>0</v>
      </c>
      <c r="AW976" s="179">
        <v>0</v>
      </c>
      <c r="AX976" s="84">
        <v>0</v>
      </c>
      <c r="AY976" s="57">
        <v>0</v>
      </c>
      <c r="AZ976" s="57">
        <v>0</v>
      </c>
      <c r="BA976" s="57">
        <v>0</v>
      </c>
      <c r="BB976" s="56">
        <v>0</v>
      </c>
      <c r="BC976" s="55">
        <v>128</v>
      </c>
      <c r="BD976" s="57"/>
      <c r="BE976" s="57"/>
      <c r="BF976" s="57"/>
      <c r="BG976" s="57"/>
      <c r="BH976" s="57"/>
      <c r="BI976" s="57"/>
      <c r="BJ976" s="57"/>
      <c r="BK976" s="57"/>
      <c r="BL976" s="57"/>
      <c r="BM976" s="57"/>
      <c r="BN976" s="57"/>
      <c r="BO976" s="57"/>
      <c r="BP976" s="57"/>
      <c r="BQ976" s="57"/>
      <c r="BR976" s="57"/>
      <c r="BS976" s="56"/>
      <c r="BT976" s="84"/>
      <c r="BU976" s="57"/>
      <c r="BV976" s="57"/>
      <c r="BW976" s="57"/>
      <c r="BX976" s="57"/>
      <c r="BY976" s="57"/>
      <c r="BZ976" s="57"/>
      <c r="CA976" s="57"/>
      <c r="CB976" s="57"/>
      <c r="CC976" s="57"/>
      <c r="CD976" s="57"/>
      <c r="CE976" s="84"/>
      <c r="CF976" s="57"/>
      <c r="CG976" s="57"/>
      <c r="CH976" s="57"/>
      <c r="CI976" s="57"/>
      <c r="CJ976" s="57"/>
      <c r="CK976" s="56"/>
      <c r="CL976" s="84"/>
      <c r="CM976" s="57"/>
      <c r="CN976" s="57"/>
      <c r="CO976" s="56"/>
      <c r="CP976" s="84"/>
      <c r="CQ976" s="57"/>
      <c r="CR976" s="56"/>
      <c r="CS976" s="84"/>
      <c r="CT976" s="57"/>
      <c r="CU976" s="57"/>
      <c r="CV976" s="57"/>
      <c r="CW976" s="57"/>
      <c r="CX976" s="57"/>
      <c r="CY976" s="84"/>
      <c r="CZ976" s="57"/>
      <c r="DA976" s="57"/>
      <c r="DB976" s="57"/>
      <c r="DC976" s="57"/>
      <c r="DD976" s="57"/>
      <c r="DE976" s="57"/>
      <c r="DF976" s="57"/>
      <c r="DG976" s="56"/>
      <c r="DH976" s="84"/>
      <c r="DI976" s="57"/>
      <c r="DJ976" s="57"/>
      <c r="DK976" s="57"/>
      <c r="DL976" s="57"/>
      <c r="DM976" s="57"/>
      <c r="DN976" s="57"/>
      <c r="DO976" s="57"/>
      <c r="DP976" s="57"/>
      <c r="DQ976" s="84"/>
      <c r="DR976" s="57"/>
      <c r="DS976" s="57"/>
      <c r="DT976" s="57"/>
      <c r="DU976" s="57"/>
      <c r="DV976" s="57"/>
      <c r="DW976" s="57"/>
      <c r="DX976" s="57"/>
      <c r="DY976" s="57"/>
      <c r="DZ976" s="57"/>
      <c r="EA976" s="57"/>
      <c r="EB976" s="57"/>
      <c r="EC976" s="57"/>
      <c r="ED976" s="57"/>
      <c r="EE976" s="56"/>
      <c r="EF976" s="84"/>
      <c r="EG976" s="57"/>
      <c r="EH976" s="57"/>
      <c r="EI976" s="84"/>
      <c r="EJ976" s="57"/>
      <c r="EK976" s="56"/>
      <c r="EL976" s="84"/>
      <c r="EM976" s="57"/>
      <c r="EN976" s="57"/>
      <c r="EO976" s="56"/>
      <c r="EP976" s="84"/>
      <c r="EQ976" s="56"/>
      <c r="ER976" s="84"/>
      <c r="ES976" s="56"/>
      <c r="ET976" s="84"/>
      <c r="EU976" s="56"/>
    </row>
    <row r="977" spans="1:151">
      <c r="A977" s="87" t="s">
        <v>320</v>
      </c>
      <c r="B977" s="42" t="s">
        <v>537</v>
      </c>
      <c r="C977" s="42" t="s">
        <v>538</v>
      </c>
      <c r="D977" s="83" t="s">
        <v>64</v>
      </c>
      <c r="F977" s="49" t="s">
        <v>286</v>
      </c>
      <c r="G977" s="60">
        <v>-0.48</v>
      </c>
      <c r="I977" s="49">
        <v>2618</v>
      </c>
      <c r="J977" s="159">
        <v>1.3149171270718232</v>
      </c>
      <c r="K977" s="49">
        <v>1</v>
      </c>
      <c r="L977" s="49">
        <v>2</v>
      </c>
      <c r="M977" s="83">
        <v>0</v>
      </c>
      <c r="N977" s="49">
        <v>3</v>
      </c>
      <c r="O977" s="49">
        <v>0</v>
      </c>
      <c r="P977" s="49">
        <v>0</v>
      </c>
      <c r="Q977" s="58">
        <v>0</v>
      </c>
      <c r="R977" s="42">
        <v>3</v>
      </c>
      <c r="S977" s="83" t="s">
        <v>283</v>
      </c>
      <c r="T977" s="49">
        <v>23</v>
      </c>
      <c r="U977" s="83">
        <v>0</v>
      </c>
      <c r="V977" s="49">
        <v>0</v>
      </c>
      <c r="W977" s="49">
        <v>0</v>
      </c>
      <c r="X977" s="58"/>
      <c r="Y977" s="83">
        <v>10</v>
      </c>
      <c r="AD977" s="49">
        <v>7</v>
      </c>
      <c r="AE977" s="49">
        <v>89</v>
      </c>
      <c r="AF977" s="49">
        <v>18</v>
      </c>
      <c r="AG977" s="49">
        <v>130</v>
      </c>
      <c r="AH977" s="49">
        <v>26</v>
      </c>
      <c r="AI977" s="49">
        <v>1024</v>
      </c>
      <c r="AJ977" s="49">
        <v>0</v>
      </c>
      <c r="AK977" s="83">
        <v>0</v>
      </c>
      <c r="AL977" s="49">
        <v>1</v>
      </c>
      <c r="AM977" s="49">
        <v>0</v>
      </c>
      <c r="AN977" s="49">
        <v>0</v>
      </c>
      <c r="AO977" s="58">
        <v>0</v>
      </c>
      <c r="AP977" s="174">
        <v>0</v>
      </c>
      <c r="AQ977" s="175">
        <v>492</v>
      </c>
      <c r="AR977" s="175">
        <v>0</v>
      </c>
      <c r="AS977" s="175">
        <v>0</v>
      </c>
      <c r="AT977" s="175">
        <v>0</v>
      </c>
      <c r="AU977" s="175">
        <v>0</v>
      </c>
      <c r="AV977" s="175">
        <v>0</v>
      </c>
      <c r="AW977" s="175">
        <v>0</v>
      </c>
      <c r="AX977" s="83">
        <v>0</v>
      </c>
      <c r="AY977" s="49">
        <v>0</v>
      </c>
      <c r="AZ977" s="49">
        <v>0</v>
      </c>
      <c r="BA977" s="49">
        <v>0</v>
      </c>
      <c r="BB977" s="58">
        <v>0</v>
      </c>
      <c r="BC977" s="42">
        <v>149</v>
      </c>
      <c r="BE977" s="49"/>
      <c r="BS977" s="58"/>
      <c r="BT977" s="83"/>
      <c r="CE977" s="83"/>
      <c r="CK977" s="58"/>
      <c r="CL977" s="83"/>
      <c r="CO977" s="58"/>
      <c r="CP977" s="83"/>
      <c r="CR977" s="58"/>
      <c r="CS977" s="83"/>
      <c r="CY977" s="83"/>
      <c r="DG977" s="58"/>
      <c r="DH977" s="83"/>
      <c r="DQ977" s="83"/>
      <c r="EE977" s="58"/>
      <c r="EF977" s="83"/>
      <c r="EI977" s="83"/>
      <c r="EK977" s="58"/>
      <c r="EL977" s="83"/>
      <c r="EO977" s="58"/>
      <c r="EP977" s="83"/>
      <c r="EQ977" s="58"/>
      <c r="ER977" s="83"/>
      <c r="ES977" s="58"/>
      <c r="ET977" s="83"/>
      <c r="EU977" s="58"/>
    </row>
    <row r="978" spans="1:151">
      <c r="A978" s="42" t="s">
        <v>320</v>
      </c>
      <c r="B978" s="42" t="s">
        <v>537</v>
      </c>
      <c r="C978" s="42" t="s">
        <v>538</v>
      </c>
      <c r="D978" s="83" t="s">
        <v>67</v>
      </c>
      <c r="F978" s="49" t="s">
        <v>286</v>
      </c>
      <c r="G978" s="60">
        <v>-0.48</v>
      </c>
      <c r="I978" s="49">
        <v>6522</v>
      </c>
      <c r="J978" s="159">
        <v>1.4010741138560687</v>
      </c>
      <c r="K978" s="49">
        <v>4</v>
      </c>
      <c r="L978" s="49">
        <v>3</v>
      </c>
      <c r="M978" s="83">
        <v>0</v>
      </c>
      <c r="N978" s="49">
        <v>0</v>
      </c>
      <c r="O978" s="49">
        <v>0</v>
      </c>
      <c r="P978" s="49">
        <v>1</v>
      </c>
      <c r="Q978" s="58">
        <v>0</v>
      </c>
      <c r="R978" s="42">
        <v>1</v>
      </c>
      <c r="S978" s="83" t="s">
        <v>283</v>
      </c>
      <c r="T978" s="49">
        <v>11</v>
      </c>
      <c r="U978" s="83">
        <v>1</v>
      </c>
      <c r="V978" s="49">
        <v>5</v>
      </c>
      <c r="W978" s="49">
        <v>1</v>
      </c>
      <c r="X978" s="58">
        <v>2</v>
      </c>
      <c r="Y978" s="83">
        <v>10</v>
      </c>
      <c r="Z978" s="49">
        <v>10</v>
      </c>
      <c r="AA978" s="49">
        <v>12</v>
      </c>
      <c r="AD978" s="49">
        <v>9</v>
      </c>
      <c r="AE978" s="49">
        <v>366</v>
      </c>
      <c r="AF978" s="49">
        <v>9</v>
      </c>
      <c r="AG978" s="49">
        <v>795</v>
      </c>
      <c r="AH978" s="49">
        <v>10</v>
      </c>
      <c r="AI978" s="49">
        <v>572</v>
      </c>
      <c r="AJ978" s="49">
        <v>0</v>
      </c>
      <c r="AK978" s="83">
        <v>0</v>
      </c>
      <c r="AL978" s="49">
        <v>0</v>
      </c>
      <c r="AM978" s="49">
        <v>0</v>
      </c>
      <c r="AN978" s="49">
        <v>0</v>
      </c>
      <c r="AO978" s="58">
        <v>0</v>
      </c>
      <c r="AP978" s="174">
        <v>0</v>
      </c>
      <c r="AQ978" s="175">
        <v>0</v>
      </c>
      <c r="AR978" s="175">
        <v>0</v>
      </c>
      <c r="AS978" s="175">
        <v>0</v>
      </c>
      <c r="AT978" s="175">
        <v>0</v>
      </c>
      <c r="AU978" s="175">
        <v>0</v>
      </c>
      <c r="AV978" s="175">
        <v>0</v>
      </c>
      <c r="AW978" s="175">
        <v>0</v>
      </c>
      <c r="AX978" s="83">
        <v>0</v>
      </c>
      <c r="AY978" s="49">
        <v>0</v>
      </c>
      <c r="AZ978" s="49">
        <v>0</v>
      </c>
      <c r="BA978" s="49">
        <v>0</v>
      </c>
      <c r="BB978" s="58">
        <v>0</v>
      </c>
      <c r="BC978" s="42">
        <v>129</v>
      </c>
      <c r="BD978" s="49">
        <v>65.31</v>
      </c>
      <c r="BE978" s="49">
        <v>65.540000000000006</v>
      </c>
      <c r="BS978" s="58"/>
      <c r="BT978" s="83">
        <v>69.78</v>
      </c>
      <c r="BU978" s="49">
        <v>70.709999999999994</v>
      </c>
      <c r="BV978" s="49">
        <v>72.069999999999993</v>
      </c>
      <c r="CE978" s="83"/>
      <c r="CK978" s="58"/>
      <c r="CL978" s="83"/>
      <c r="CO978" s="58"/>
      <c r="CP978" s="83"/>
      <c r="CR978" s="58"/>
      <c r="CS978" s="83"/>
      <c r="CY978" s="83"/>
      <c r="DG978" s="58"/>
      <c r="DH978" s="83"/>
      <c r="DQ978" s="83">
        <v>69.5</v>
      </c>
      <c r="DR978" s="49">
        <v>72.41</v>
      </c>
      <c r="DS978" s="49">
        <v>73.400000000000006</v>
      </c>
      <c r="DT978" s="49">
        <v>80.58</v>
      </c>
      <c r="DU978" s="49">
        <v>70.34</v>
      </c>
      <c r="EE978" s="58"/>
      <c r="EF978" s="83"/>
      <c r="EI978" s="83"/>
      <c r="EK978" s="58"/>
      <c r="EL978" s="83"/>
      <c r="EO978" s="58"/>
      <c r="EP978" s="83"/>
      <c r="EQ978" s="58"/>
      <c r="ER978" s="83"/>
      <c r="ES978" s="58"/>
      <c r="ET978" s="83"/>
      <c r="EU978" s="58"/>
    </row>
    <row r="979" spans="1:151">
      <c r="A979" s="42" t="s">
        <v>320</v>
      </c>
      <c r="B979" s="42" t="s">
        <v>537</v>
      </c>
      <c r="C979" s="42" t="s">
        <v>538</v>
      </c>
      <c r="D979" s="83" t="s">
        <v>68</v>
      </c>
      <c r="F979" s="49" t="s">
        <v>286</v>
      </c>
      <c r="G979" s="60">
        <v>-0.48</v>
      </c>
      <c r="I979" s="49">
        <v>1646</v>
      </c>
      <c r="J979" s="159">
        <v>1.5965082444228904</v>
      </c>
      <c r="K979" s="49">
        <v>1</v>
      </c>
      <c r="L979" s="49">
        <v>1</v>
      </c>
      <c r="M979" s="83">
        <v>0</v>
      </c>
      <c r="N979" s="49">
        <v>1</v>
      </c>
      <c r="O979" s="49">
        <v>0</v>
      </c>
      <c r="P979" s="49">
        <v>0</v>
      </c>
      <c r="Q979" s="58">
        <v>0</v>
      </c>
      <c r="R979" s="42">
        <v>1</v>
      </c>
      <c r="S979" s="83" t="s">
        <v>283</v>
      </c>
      <c r="T979" s="49">
        <v>14</v>
      </c>
      <c r="U979" s="83">
        <v>0</v>
      </c>
      <c r="V979" s="49">
        <v>0</v>
      </c>
      <c r="W979" s="49">
        <v>0</v>
      </c>
      <c r="X979" s="58"/>
      <c r="Y979" s="83">
        <v>10</v>
      </c>
      <c r="Z979" s="49">
        <v>9</v>
      </c>
      <c r="AA979" s="49">
        <v>26</v>
      </c>
      <c r="AD979" s="49">
        <v>5</v>
      </c>
      <c r="AE979" s="49">
        <v>69</v>
      </c>
      <c r="AF979" s="49">
        <v>3</v>
      </c>
      <c r="AG979" s="49">
        <v>58</v>
      </c>
      <c r="AH979" s="49">
        <v>26</v>
      </c>
      <c r="AI979" s="49">
        <v>910</v>
      </c>
      <c r="AJ979" s="49">
        <v>0</v>
      </c>
      <c r="AK979" s="83">
        <v>0</v>
      </c>
      <c r="AL979" s="49">
        <v>0</v>
      </c>
      <c r="AM979" s="49">
        <v>0</v>
      </c>
      <c r="AN979" s="49">
        <v>0</v>
      </c>
      <c r="AO979" s="58">
        <v>0</v>
      </c>
      <c r="AP979" s="174">
        <v>0</v>
      </c>
      <c r="AQ979" s="175">
        <v>0</v>
      </c>
      <c r="AR979" s="175">
        <v>0</v>
      </c>
      <c r="AS979" s="175">
        <v>0</v>
      </c>
      <c r="AT979" s="175">
        <v>0</v>
      </c>
      <c r="AU979" s="175">
        <v>0</v>
      </c>
      <c r="AV979" s="175">
        <v>0</v>
      </c>
      <c r="AW979" s="175">
        <v>0</v>
      </c>
      <c r="AX979" s="83">
        <v>0</v>
      </c>
      <c r="AY979" s="49">
        <v>0</v>
      </c>
      <c r="AZ979" s="49">
        <v>0</v>
      </c>
      <c r="BA979" s="49">
        <v>0</v>
      </c>
      <c r="BB979" s="58">
        <v>0</v>
      </c>
      <c r="BC979" s="42">
        <v>112</v>
      </c>
      <c r="BD979" s="49">
        <v>86.88</v>
      </c>
      <c r="BE979" s="49">
        <v>87.5</v>
      </c>
      <c r="BS979" s="58"/>
      <c r="BT979" s="83"/>
      <c r="CE979" s="83"/>
      <c r="CK979" s="58"/>
      <c r="CL979" s="83">
        <v>68.650000000000006</v>
      </c>
      <c r="CO979" s="58"/>
      <c r="CP979" s="83"/>
      <c r="CR979" s="58"/>
      <c r="CS979" s="83"/>
      <c r="CY979" s="83"/>
      <c r="DG979" s="58"/>
      <c r="DH979" s="83"/>
      <c r="DQ979" s="83">
        <v>83.69</v>
      </c>
      <c r="EE979" s="58"/>
      <c r="EF979" s="83"/>
      <c r="EI979" s="83"/>
      <c r="EK979" s="58"/>
      <c r="EL979" s="83"/>
      <c r="EO979" s="58"/>
      <c r="EP979" s="83"/>
      <c r="EQ979" s="58"/>
      <c r="ER979" s="83"/>
      <c r="ES979" s="58"/>
      <c r="ET979" s="83"/>
      <c r="EU979" s="58"/>
    </row>
    <row r="980" spans="1:151">
      <c r="A980" s="42" t="s">
        <v>320</v>
      </c>
      <c r="B980" s="42" t="s">
        <v>537</v>
      </c>
      <c r="C980" s="42" t="s">
        <v>538</v>
      </c>
      <c r="D980" s="83" t="s">
        <v>76</v>
      </c>
      <c r="F980" s="49" t="s">
        <v>286</v>
      </c>
      <c r="G980" s="60">
        <v>-0.48</v>
      </c>
      <c r="I980" s="49">
        <v>1914</v>
      </c>
      <c r="J980" s="159">
        <v>4.3205417607223477</v>
      </c>
      <c r="K980" s="49">
        <v>4</v>
      </c>
      <c r="L980" s="49">
        <v>3</v>
      </c>
      <c r="M980" s="83">
        <v>0</v>
      </c>
      <c r="N980" s="49">
        <v>0</v>
      </c>
      <c r="O980" s="49">
        <v>1</v>
      </c>
      <c r="P980" s="49">
        <v>1</v>
      </c>
      <c r="Q980" s="58">
        <v>0</v>
      </c>
      <c r="R980" s="42">
        <v>2</v>
      </c>
      <c r="S980" s="83" t="s">
        <v>283</v>
      </c>
      <c r="T980" s="49">
        <v>11</v>
      </c>
      <c r="U980" s="83">
        <v>2</v>
      </c>
      <c r="V980" s="49">
        <v>3</v>
      </c>
      <c r="W980" s="49">
        <v>1</v>
      </c>
      <c r="X980" s="58">
        <v>3</v>
      </c>
      <c r="Y980" s="83">
        <v>1</v>
      </c>
      <c r="AD980" s="49">
        <v>7</v>
      </c>
      <c r="AE980" s="49">
        <v>63</v>
      </c>
      <c r="AI980" s="49">
        <v>104</v>
      </c>
      <c r="AJ980" s="49">
        <v>0</v>
      </c>
      <c r="AK980" s="83">
        <v>0</v>
      </c>
      <c r="AL980" s="49">
        <v>1</v>
      </c>
      <c r="AM980" s="49">
        <v>1</v>
      </c>
      <c r="AN980" s="49">
        <v>0</v>
      </c>
      <c r="AO980" s="58">
        <v>0</v>
      </c>
      <c r="AP980" s="174">
        <v>0</v>
      </c>
      <c r="AQ980" s="175">
        <v>235</v>
      </c>
      <c r="AR980" s="175">
        <v>108</v>
      </c>
      <c r="AS980" s="175">
        <v>193</v>
      </c>
      <c r="AT980" s="175">
        <v>0</v>
      </c>
      <c r="AU980" s="175">
        <v>0</v>
      </c>
      <c r="AV980" s="175">
        <v>0</v>
      </c>
      <c r="AW980" s="175">
        <v>0</v>
      </c>
      <c r="AX980" s="83">
        <v>0</v>
      </c>
      <c r="AY980" s="49">
        <v>0</v>
      </c>
      <c r="AZ980" s="49">
        <v>0</v>
      </c>
      <c r="BA980" s="49">
        <v>0</v>
      </c>
      <c r="BB980" s="58">
        <v>0</v>
      </c>
      <c r="BC980" s="42">
        <v>116</v>
      </c>
      <c r="BE980" s="49"/>
      <c r="BS980" s="58"/>
      <c r="BT980" s="83"/>
      <c r="CE980" s="83"/>
      <c r="CK980" s="58"/>
      <c r="CL980" s="83"/>
      <c r="CO980" s="58"/>
      <c r="CP980" s="83"/>
      <c r="CR980" s="58"/>
      <c r="CS980" s="83"/>
      <c r="CY980" s="83"/>
      <c r="DG980" s="58"/>
      <c r="DH980" s="83"/>
      <c r="DQ980" s="83"/>
      <c r="EE980" s="58"/>
      <c r="EF980" s="83"/>
      <c r="EI980" s="83"/>
      <c r="EK980" s="58"/>
      <c r="EL980" s="83"/>
      <c r="EO980" s="58"/>
      <c r="EP980" s="83"/>
      <c r="EQ980" s="58"/>
      <c r="ER980" s="83"/>
      <c r="ES980" s="58"/>
      <c r="ET980" s="83"/>
      <c r="EU980" s="58"/>
    </row>
    <row r="981" spans="1:151">
      <c r="A981" s="42" t="s">
        <v>320</v>
      </c>
      <c r="B981" s="42" t="s">
        <v>537</v>
      </c>
      <c r="C981" s="42" t="s">
        <v>538</v>
      </c>
      <c r="D981" s="83" t="s">
        <v>73</v>
      </c>
      <c r="F981" s="49" t="s">
        <v>286</v>
      </c>
      <c r="G981" s="60">
        <v>-0.48</v>
      </c>
      <c r="I981" s="49">
        <v>3811</v>
      </c>
      <c r="J981" s="159">
        <v>3.1495867768595041</v>
      </c>
      <c r="K981" s="49">
        <v>1</v>
      </c>
      <c r="L981" s="49">
        <v>3</v>
      </c>
      <c r="M981" s="83">
        <v>0</v>
      </c>
      <c r="N981" s="49">
        <v>1</v>
      </c>
      <c r="O981" s="49">
        <v>1</v>
      </c>
      <c r="P981" s="49">
        <v>1</v>
      </c>
      <c r="Q981" s="58">
        <v>0</v>
      </c>
      <c r="R981" s="42">
        <v>3</v>
      </c>
      <c r="S981" s="83">
        <v>1</v>
      </c>
      <c r="T981" s="49">
        <v>15</v>
      </c>
      <c r="U981" s="83">
        <v>1</v>
      </c>
      <c r="V981" s="49">
        <v>1</v>
      </c>
      <c r="W981" s="49">
        <v>1</v>
      </c>
      <c r="X981" s="58">
        <v>1</v>
      </c>
      <c r="Y981" s="83">
        <v>20</v>
      </c>
      <c r="AD981" s="49">
        <v>18</v>
      </c>
      <c r="AE981" s="49">
        <v>118</v>
      </c>
      <c r="AF981" s="49">
        <v>20</v>
      </c>
      <c r="AG981" s="49">
        <v>142</v>
      </c>
      <c r="AH981" s="49">
        <v>21</v>
      </c>
      <c r="AI981" s="49">
        <v>2754</v>
      </c>
      <c r="AJ981" s="49">
        <v>0</v>
      </c>
      <c r="AK981" s="83">
        <v>0</v>
      </c>
      <c r="AL981" s="49">
        <v>1</v>
      </c>
      <c r="AM981" s="49">
        <v>1</v>
      </c>
      <c r="AN981" s="49">
        <v>0</v>
      </c>
      <c r="AO981" s="58">
        <v>0</v>
      </c>
      <c r="AP981" s="174">
        <v>182</v>
      </c>
      <c r="AQ981" s="175">
        <v>817</v>
      </c>
      <c r="AR981" s="175">
        <v>0</v>
      </c>
      <c r="AS981" s="175">
        <v>97</v>
      </c>
      <c r="AT981" s="175">
        <v>0</v>
      </c>
      <c r="AU981" s="175">
        <v>0</v>
      </c>
      <c r="AV981" s="175">
        <v>0</v>
      </c>
      <c r="AW981" s="175">
        <v>0</v>
      </c>
      <c r="AX981" s="83">
        <v>0</v>
      </c>
      <c r="AY981" s="49">
        <v>0</v>
      </c>
      <c r="AZ981" s="49">
        <v>0</v>
      </c>
      <c r="BA981" s="49">
        <v>0</v>
      </c>
      <c r="BB981" s="58">
        <v>0</v>
      </c>
      <c r="BC981" s="42">
        <v>157</v>
      </c>
      <c r="BD981" s="49">
        <v>76.33</v>
      </c>
      <c r="BE981" s="49"/>
      <c r="BS981" s="58"/>
      <c r="BT981" s="83">
        <v>75.08</v>
      </c>
      <c r="BU981" s="49">
        <v>69.73</v>
      </c>
      <c r="CE981" s="83"/>
      <c r="CK981" s="58"/>
      <c r="CL981" s="83">
        <v>61.51</v>
      </c>
      <c r="CO981" s="58"/>
      <c r="CP981" s="83"/>
      <c r="CR981" s="58"/>
      <c r="CS981" s="83"/>
      <c r="CY981" s="83"/>
      <c r="DG981" s="58"/>
      <c r="DH981" s="83"/>
      <c r="DQ981" s="83"/>
      <c r="EE981" s="58"/>
      <c r="EF981" s="83"/>
      <c r="EI981" s="83"/>
      <c r="EK981" s="58"/>
      <c r="EL981" s="83">
        <v>81.91</v>
      </c>
      <c r="EO981" s="58"/>
      <c r="EP981" s="83"/>
      <c r="EQ981" s="58"/>
      <c r="ER981" s="83"/>
      <c r="ES981" s="58"/>
      <c r="ET981" s="83"/>
      <c r="EU981" s="58"/>
    </row>
    <row r="982" spans="1:151">
      <c r="A982" s="42" t="s">
        <v>320</v>
      </c>
      <c r="B982" s="42" t="s">
        <v>537</v>
      </c>
      <c r="C982" s="42" t="s">
        <v>538</v>
      </c>
      <c r="D982" s="83" t="s">
        <v>81</v>
      </c>
      <c r="F982" s="49" t="s">
        <v>286</v>
      </c>
      <c r="G982" s="60">
        <v>-0.48</v>
      </c>
      <c r="I982" s="49">
        <v>10460</v>
      </c>
      <c r="J982" s="159">
        <v>5.9737292975442609</v>
      </c>
      <c r="K982" s="49">
        <v>1</v>
      </c>
      <c r="L982" s="49">
        <v>2</v>
      </c>
      <c r="M982" s="83">
        <v>0</v>
      </c>
      <c r="N982" s="49">
        <v>0</v>
      </c>
      <c r="O982" s="49">
        <v>0</v>
      </c>
      <c r="P982" s="49">
        <v>1</v>
      </c>
      <c r="Q982" s="58">
        <v>0</v>
      </c>
      <c r="R982" s="42">
        <v>1</v>
      </c>
      <c r="S982" s="83">
        <v>1</v>
      </c>
      <c r="T982" s="49">
        <v>14</v>
      </c>
      <c r="U982" s="83">
        <v>1</v>
      </c>
      <c r="V982" s="49">
        <v>2</v>
      </c>
      <c r="W982" s="49">
        <v>1</v>
      </c>
      <c r="X982" s="58">
        <v>2</v>
      </c>
      <c r="Y982" s="83">
        <v>3</v>
      </c>
      <c r="AG982" s="49">
        <v>146</v>
      </c>
      <c r="AH982" s="49">
        <v>72</v>
      </c>
      <c r="AI982" s="49">
        <v>4128</v>
      </c>
      <c r="AJ982" s="49">
        <v>0</v>
      </c>
      <c r="AK982" s="83">
        <v>0</v>
      </c>
      <c r="AL982" s="49">
        <v>1</v>
      </c>
      <c r="AM982" s="49">
        <v>0</v>
      </c>
      <c r="AN982" s="49">
        <v>0</v>
      </c>
      <c r="AO982" s="58">
        <v>0</v>
      </c>
      <c r="AP982" s="174">
        <v>458</v>
      </c>
      <c r="AQ982" s="175">
        <v>6241</v>
      </c>
      <c r="AR982" s="175">
        <v>0</v>
      </c>
      <c r="AS982" s="175">
        <v>0</v>
      </c>
      <c r="AT982" s="175">
        <v>0</v>
      </c>
      <c r="AU982" s="175">
        <v>0</v>
      </c>
      <c r="AV982" s="175">
        <v>0</v>
      </c>
      <c r="AW982" s="175">
        <v>0</v>
      </c>
      <c r="AX982" s="83">
        <v>0</v>
      </c>
      <c r="AY982" s="49">
        <v>0</v>
      </c>
      <c r="AZ982" s="49">
        <v>0</v>
      </c>
      <c r="BA982" s="49">
        <v>0</v>
      </c>
      <c r="BB982" s="58">
        <v>0</v>
      </c>
      <c r="BC982" s="42">
        <v>142</v>
      </c>
      <c r="BD982" s="49">
        <v>70.61</v>
      </c>
      <c r="BE982" s="49">
        <v>71.33</v>
      </c>
      <c r="BF982" s="49">
        <v>70.900000000000006</v>
      </c>
      <c r="BG982" s="49">
        <v>71.31</v>
      </c>
      <c r="BS982" s="58"/>
      <c r="BT982" s="83">
        <v>76.42</v>
      </c>
      <c r="CE982" s="83"/>
      <c r="CK982" s="58"/>
      <c r="CL982" s="83">
        <v>65.56</v>
      </c>
      <c r="CO982" s="58"/>
      <c r="CP982" s="83"/>
      <c r="CR982" s="58"/>
      <c r="CS982" s="83"/>
      <c r="CY982" s="83"/>
      <c r="DG982" s="58"/>
      <c r="DH982" s="83"/>
      <c r="DQ982" s="83"/>
      <c r="EE982" s="58"/>
      <c r="EF982" s="83"/>
      <c r="EI982" s="83"/>
      <c r="EK982" s="58"/>
      <c r="EL982" s="83"/>
      <c r="EO982" s="58"/>
      <c r="EP982" s="83"/>
      <c r="EQ982" s="58"/>
      <c r="ER982" s="83"/>
      <c r="ES982" s="58"/>
      <c r="ET982" s="83"/>
      <c r="EU982" s="58"/>
    </row>
    <row r="983" spans="1:151">
      <c r="A983" s="42" t="s">
        <v>320</v>
      </c>
      <c r="B983" s="42" t="s">
        <v>537</v>
      </c>
      <c r="C983" s="42" t="s">
        <v>538</v>
      </c>
      <c r="D983" s="83" t="s">
        <v>88</v>
      </c>
      <c r="F983" s="49" t="s">
        <v>286</v>
      </c>
      <c r="G983" s="60">
        <v>-0.48</v>
      </c>
      <c r="I983" s="49">
        <v>2627</v>
      </c>
      <c r="J983" s="159">
        <v>2.6751527494908349</v>
      </c>
      <c r="K983" s="49">
        <v>2</v>
      </c>
      <c r="L983" s="49">
        <v>2</v>
      </c>
      <c r="M983" s="83">
        <v>0</v>
      </c>
      <c r="N983" s="49">
        <v>3</v>
      </c>
      <c r="O983" s="49">
        <v>0</v>
      </c>
      <c r="P983" s="49">
        <v>0</v>
      </c>
      <c r="Q983" s="58">
        <v>0</v>
      </c>
      <c r="R983" s="42">
        <v>3</v>
      </c>
      <c r="S983" s="83" t="s">
        <v>283</v>
      </c>
      <c r="T983" s="49">
        <v>15</v>
      </c>
      <c r="U983" s="83">
        <v>1</v>
      </c>
      <c r="V983" s="49">
        <v>1</v>
      </c>
      <c r="W983" s="49">
        <v>2</v>
      </c>
      <c r="X983" s="58"/>
      <c r="Y983" s="83">
        <v>4</v>
      </c>
      <c r="AD983" s="49">
        <v>7</v>
      </c>
      <c r="AE983" s="49">
        <v>158</v>
      </c>
      <c r="AF983" s="49">
        <v>12</v>
      </c>
      <c r="AG983" s="49">
        <v>729</v>
      </c>
      <c r="AH983" s="49">
        <v>17</v>
      </c>
      <c r="AI983" s="49">
        <v>917</v>
      </c>
      <c r="AJ983" s="49">
        <v>0</v>
      </c>
      <c r="AK983" s="83">
        <v>0</v>
      </c>
      <c r="AL983" s="49">
        <v>1</v>
      </c>
      <c r="AM983" s="49">
        <v>1</v>
      </c>
      <c r="AN983" s="49">
        <v>0</v>
      </c>
      <c r="AO983" s="58">
        <v>0</v>
      </c>
      <c r="AP983" s="174">
        <v>609</v>
      </c>
      <c r="AQ983" s="175">
        <v>1167</v>
      </c>
      <c r="AR983" s="175">
        <v>47</v>
      </c>
      <c r="AS983" s="175">
        <v>99</v>
      </c>
      <c r="AT983" s="175">
        <v>0</v>
      </c>
      <c r="AU983" s="175">
        <v>0</v>
      </c>
      <c r="AV983" s="175">
        <v>0</v>
      </c>
      <c r="AW983" s="175">
        <v>0</v>
      </c>
      <c r="AX983" s="83">
        <v>0</v>
      </c>
      <c r="AY983" s="49">
        <v>0</v>
      </c>
      <c r="AZ983" s="49">
        <v>0</v>
      </c>
      <c r="BA983" s="49">
        <v>0</v>
      </c>
      <c r="BB983" s="58">
        <v>0</v>
      </c>
      <c r="BC983" s="42">
        <v>104</v>
      </c>
      <c r="BE983" s="49"/>
      <c r="BS983" s="58"/>
      <c r="BT983" s="83">
        <v>77.98</v>
      </c>
      <c r="BU983" s="49">
        <v>77.17</v>
      </c>
      <c r="BV983" s="49">
        <v>77.72</v>
      </c>
      <c r="BW983" s="49">
        <v>76.2</v>
      </c>
      <c r="BX983" s="49">
        <v>74.95</v>
      </c>
      <c r="CE983" s="83"/>
      <c r="CK983" s="58"/>
      <c r="CL983" s="83">
        <v>67.73</v>
      </c>
      <c r="CM983" s="49">
        <v>66.28</v>
      </c>
      <c r="CO983" s="58"/>
      <c r="CP983" s="83"/>
      <c r="CR983" s="58"/>
      <c r="CS983" s="83"/>
      <c r="CY983" s="83"/>
      <c r="DG983" s="58"/>
      <c r="DH983" s="83">
        <v>70.11</v>
      </c>
      <c r="DI983" s="49">
        <v>72.180000000000007</v>
      </c>
      <c r="DJ983" s="49">
        <v>72.97</v>
      </c>
      <c r="DK983" s="49">
        <v>69.64</v>
      </c>
      <c r="DQ983" s="83">
        <v>68.680000000000007</v>
      </c>
      <c r="DR983" s="49">
        <v>77.87</v>
      </c>
      <c r="DS983" s="49">
        <v>69.010000000000005</v>
      </c>
      <c r="EE983" s="58"/>
      <c r="EF983" s="83"/>
      <c r="EI983" s="83"/>
      <c r="EK983" s="58"/>
      <c r="EL983" s="83"/>
      <c r="EO983" s="58"/>
      <c r="EP983" s="83"/>
      <c r="EQ983" s="58"/>
      <c r="ER983" s="83"/>
      <c r="ES983" s="58"/>
      <c r="ET983" s="83"/>
      <c r="EU983" s="58"/>
    </row>
    <row r="984" spans="1:151">
      <c r="A984" s="42" t="s">
        <v>320</v>
      </c>
      <c r="B984" s="42" t="s">
        <v>537</v>
      </c>
      <c r="C984" s="42" t="s">
        <v>538</v>
      </c>
      <c r="D984" s="83" t="s">
        <v>111</v>
      </c>
      <c r="F984" s="49" t="s">
        <v>286</v>
      </c>
      <c r="G984" s="60">
        <v>-0.48</v>
      </c>
      <c r="I984" s="49">
        <v>2412</v>
      </c>
      <c r="J984" s="159">
        <v>1.8770428015564202</v>
      </c>
      <c r="K984" s="49">
        <v>4</v>
      </c>
      <c r="L984" s="49">
        <v>4</v>
      </c>
      <c r="M984" s="83">
        <v>0</v>
      </c>
      <c r="N984" s="49">
        <v>2</v>
      </c>
      <c r="O984" s="49">
        <v>0</v>
      </c>
      <c r="P984" s="49">
        <v>0</v>
      </c>
      <c r="Q984" s="58">
        <v>0</v>
      </c>
      <c r="R984" s="42">
        <v>2</v>
      </c>
      <c r="S984" s="83" t="s">
        <v>283</v>
      </c>
      <c r="T984" s="49">
        <v>23</v>
      </c>
      <c r="U984" s="83">
        <v>1</v>
      </c>
      <c r="V984" s="49">
        <v>3</v>
      </c>
      <c r="W984" s="49">
        <v>2</v>
      </c>
      <c r="X984" s="58"/>
      <c r="Y984" s="83">
        <v>2</v>
      </c>
      <c r="AA984" s="49">
        <v>7</v>
      </c>
      <c r="AD984" s="49">
        <v>14</v>
      </c>
      <c r="AE984" s="49">
        <v>53</v>
      </c>
      <c r="AG984" s="49">
        <v>96</v>
      </c>
      <c r="AH984" s="49">
        <v>52</v>
      </c>
      <c r="AI984" s="49">
        <v>248</v>
      </c>
      <c r="AJ984" s="49">
        <v>0</v>
      </c>
      <c r="AK984" s="83">
        <v>0</v>
      </c>
      <c r="AL984" s="49">
        <v>0</v>
      </c>
      <c r="AM984" s="49">
        <v>1</v>
      </c>
      <c r="AN984" s="49">
        <v>0</v>
      </c>
      <c r="AO984" s="58">
        <v>0</v>
      </c>
      <c r="AP984" s="174">
        <v>0</v>
      </c>
      <c r="AQ984" s="175">
        <v>0</v>
      </c>
      <c r="AR984" s="175">
        <v>22</v>
      </c>
      <c r="AS984" s="175">
        <v>180</v>
      </c>
      <c r="AT984" s="175">
        <v>0</v>
      </c>
      <c r="AU984" s="175">
        <v>0</v>
      </c>
      <c r="AV984" s="175">
        <v>0</v>
      </c>
      <c r="AW984" s="175">
        <v>0</v>
      </c>
      <c r="AX984" s="83">
        <v>0</v>
      </c>
      <c r="AY984" s="49">
        <v>0</v>
      </c>
      <c r="AZ984" s="49">
        <v>0</v>
      </c>
      <c r="BA984" s="49">
        <v>0</v>
      </c>
      <c r="BB984" s="58">
        <v>0</v>
      </c>
      <c r="BC984" s="42">
        <v>145</v>
      </c>
      <c r="BE984" s="49"/>
      <c r="BS984" s="58"/>
      <c r="BT984" s="83"/>
      <c r="CE984" s="83"/>
      <c r="CK984" s="58"/>
      <c r="CL984" s="83"/>
      <c r="CO984" s="58"/>
      <c r="CP984" s="83"/>
      <c r="CR984" s="58"/>
      <c r="CS984" s="83"/>
      <c r="CY984" s="83"/>
      <c r="DG984" s="58"/>
      <c r="DH984" s="83"/>
      <c r="DQ984" s="83"/>
      <c r="EE984" s="58"/>
      <c r="EF984" s="83"/>
      <c r="EI984" s="83"/>
      <c r="EK984" s="58"/>
      <c r="EL984" s="83"/>
      <c r="EO984" s="58"/>
      <c r="EP984" s="83"/>
      <c r="EQ984" s="58"/>
      <c r="ER984" s="83"/>
      <c r="ES984" s="58"/>
      <c r="ET984" s="83"/>
      <c r="EU984" s="58"/>
    </row>
    <row r="985" spans="1:151">
      <c r="A985" s="42" t="s">
        <v>320</v>
      </c>
      <c r="B985" s="42" t="s">
        <v>537</v>
      </c>
      <c r="C985" s="42" t="s">
        <v>538</v>
      </c>
      <c r="D985" s="83" t="s">
        <v>92</v>
      </c>
      <c r="F985" s="49" t="s">
        <v>286</v>
      </c>
      <c r="G985" s="60">
        <v>-0.48</v>
      </c>
      <c r="I985" s="49">
        <v>3281</v>
      </c>
      <c r="J985" s="159">
        <v>4.2118100128369704</v>
      </c>
      <c r="K985" s="49">
        <v>1</v>
      </c>
      <c r="L985" s="49">
        <v>3</v>
      </c>
      <c r="M985" s="83">
        <v>0</v>
      </c>
      <c r="N985" s="49">
        <v>0</v>
      </c>
      <c r="O985" s="49">
        <v>0</v>
      </c>
      <c r="P985" s="49">
        <v>1</v>
      </c>
      <c r="Q985" s="58">
        <v>0</v>
      </c>
      <c r="R985" s="42">
        <v>1</v>
      </c>
      <c r="S985" s="83" t="s">
        <v>283</v>
      </c>
      <c r="T985" s="49">
        <v>13</v>
      </c>
      <c r="U985" s="83">
        <v>1</v>
      </c>
      <c r="V985" s="49">
        <v>3</v>
      </c>
      <c r="W985" s="49">
        <v>1</v>
      </c>
      <c r="X985" s="58">
        <v>2</v>
      </c>
      <c r="Y985" s="83">
        <v>1</v>
      </c>
      <c r="AA985" s="49">
        <v>6</v>
      </c>
      <c r="AD985" s="49">
        <v>7</v>
      </c>
      <c r="AE985" s="49">
        <v>18</v>
      </c>
      <c r="AJ985" s="49">
        <v>0</v>
      </c>
      <c r="AK985" s="83">
        <v>0</v>
      </c>
      <c r="AL985" s="49">
        <v>0</v>
      </c>
      <c r="AM985" s="49">
        <v>0</v>
      </c>
      <c r="AN985" s="49">
        <v>0</v>
      </c>
      <c r="AO985" s="58">
        <v>0</v>
      </c>
      <c r="AP985" s="174">
        <v>0</v>
      </c>
      <c r="AQ985" s="175">
        <v>0</v>
      </c>
      <c r="AR985" s="175">
        <v>0</v>
      </c>
      <c r="AS985" s="175">
        <v>0</v>
      </c>
      <c r="AT985" s="175">
        <v>0</v>
      </c>
      <c r="AU985" s="175">
        <v>0</v>
      </c>
      <c r="AV985" s="175">
        <v>0</v>
      </c>
      <c r="AW985" s="175">
        <v>0</v>
      </c>
      <c r="AX985" s="83">
        <v>0</v>
      </c>
      <c r="AY985" s="49">
        <v>0</v>
      </c>
      <c r="AZ985" s="49">
        <v>0</v>
      </c>
      <c r="BA985" s="49">
        <v>0</v>
      </c>
      <c r="BB985" s="58">
        <v>0</v>
      </c>
      <c r="BC985" s="42">
        <v>121</v>
      </c>
      <c r="BD985" s="49">
        <v>76.77</v>
      </c>
      <c r="BE985" s="49">
        <v>75.91</v>
      </c>
      <c r="BF985" s="49">
        <v>74.97</v>
      </c>
      <c r="BS985" s="58"/>
      <c r="BT985" s="83">
        <v>76.459999999999994</v>
      </c>
      <c r="BU985" s="49">
        <v>83.32</v>
      </c>
      <c r="BV985" s="49">
        <v>82.38</v>
      </c>
      <c r="CE985" s="83"/>
      <c r="CK985" s="58"/>
      <c r="CL985" s="83">
        <v>64.569999999999993</v>
      </c>
      <c r="CM985" s="49">
        <v>63.86</v>
      </c>
      <c r="CO985" s="58"/>
      <c r="CP985" s="83"/>
      <c r="CR985" s="58"/>
      <c r="CS985" s="83"/>
      <c r="CY985" s="83"/>
      <c r="DG985" s="58"/>
      <c r="DH985" s="83"/>
      <c r="DQ985" s="83"/>
      <c r="EE985" s="58"/>
      <c r="EF985" s="83"/>
      <c r="EI985" s="83"/>
      <c r="EK985" s="58"/>
      <c r="EL985" s="83"/>
      <c r="EO985" s="58"/>
      <c r="EP985" s="83"/>
      <c r="EQ985" s="58"/>
      <c r="ER985" s="83"/>
      <c r="ES985" s="58"/>
      <c r="ET985" s="83"/>
      <c r="EU985" s="58"/>
    </row>
    <row r="986" spans="1:151">
      <c r="A986" s="42" t="s">
        <v>320</v>
      </c>
      <c r="B986" s="42" t="s">
        <v>537</v>
      </c>
      <c r="C986" s="42" t="s">
        <v>538</v>
      </c>
      <c r="D986" s="83" t="s">
        <v>93</v>
      </c>
      <c r="F986" s="49" t="s">
        <v>286</v>
      </c>
      <c r="G986" s="60">
        <v>-0.48</v>
      </c>
      <c r="I986" s="49">
        <v>7675</v>
      </c>
      <c r="J986" s="159">
        <v>8.9661214953271031</v>
      </c>
      <c r="K986" s="49">
        <v>2</v>
      </c>
      <c r="L986" s="49">
        <v>3</v>
      </c>
      <c r="M986" s="83">
        <v>0</v>
      </c>
      <c r="N986" s="49">
        <v>1</v>
      </c>
      <c r="O986" s="49">
        <v>0</v>
      </c>
      <c r="P986" s="49">
        <v>1</v>
      </c>
      <c r="Q986" s="58">
        <v>0</v>
      </c>
      <c r="R986" s="42">
        <v>2</v>
      </c>
      <c r="S986" s="83" t="s">
        <v>283</v>
      </c>
      <c r="T986" s="49">
        <v>19</v>
      </c>
      <c r="U986" s="83">
        <v>0</v>
      </c>
      <c r="V986" s="49">
        <v>0</v>
      </c>
      <c r="W986" s="49">
        <v>0</v>
      </c>
      <c r="X986" s="58"/>
      <c r="Y986" s="83">
        <v>40</v>
      </c>
      <c r="AD986" s="49">
        <v>33</v>
      </c>
      <c r="AE986" s="49">
        <v>361</v>
      </c>
      <c r="AF986" s="49">
        <v>62</v>
      </c>
      <c r="AG986" s="49">
        <v>2043</v>
      </c>
      <c r="AH986" s="49">
        <v>37</v>
      </c>
      <c r="AI986" s="49">
        <v>698</v>
      </c>
      <c r="AJ986" s="49">
        <v>0</v>
      </c>
      <c r="AK986" s="83">
        <v>0</v>
      </c>
      <c r="AL986" s="49">
        <v>1</v>
      </c>
      <c r="AM986" s="49">
        <v>1</v>
      </c>
      <c r="AN986" s="49">
        <v>0</v>
      </c>
      <c r="AO986" s="58">
        <v>0</v>
      </c>
      <c r="AP986" s="174">
        <v>0</v>
      </c>
      <c r="AQ986" s="175">
        <v>1268</v>
      </c>
      <c r="AR986" s="175">
        <v>37</v>
      </c>
      <c r="AS986" s="175">
        <v>67</v>
      </c>
      <c r="AT986" s="175">
        <v>0</v>
      </c>
      <c r="AU986" s="175">
        <v>0</v>
      </c>
      <c r="AV986" s="175">
        <v>0</v>
      </c>
      <c r="AW986" s="175">
        <v>0</v>
      </c>
      <c r="AX986" s="83">
        <v>0</v>
      </c>
      <c r="AY986" s="49">
        <v>0</v>
      </c>
      <c r="AZ986" s="49">
        <v>0</v>
      </c>
      <c r="BA986" s="49">
        <v>0</v>
      </c>
      <c r="BB986" s="58">
        <v>0</v>
      </c>
      <c r="BC986" s="42">
        <v>110</v>
      </c>
      <c r="BE986" s="49"/>
      <c r="BS986" s="58"/>
      <c r="BT986" s="83"/>
      <c r="CE986" s="83"/>
      <c r="CK986" s="58"/>
      <c r="CL986" s="83">
        <v>64.87</v>
      </c>
      <c r="CM986" s="49">
        <v>67.959999999999994</v>
      </c>
      <c r="CN986" s="49">
        <v>65.209999999999994</v>
      </c>
      <c r="CO986" s="58">
        <v>65.59</v>
      </c>
      <c r="CP986" s="83"/>
      <c r="CR986" s="58"/>
      <c r="CS986" s="83"/>
      <c r="CY986" s="83"/>
      <c r="DG986" s="58"/>
      <c r="DH986" s="83">
        <v>77.290000000000006</v>
      </c>
      <c r="DI986" s="49">
        <v>76.47</v>
      </c>
      <c r="DJ986" s="49">
        <v>77.66</v>
      </c>
      <c r="DK986" s="49">
        <v>76.83</v>
      </c>
      <c r="DL986" s="49">
        <v>74.66</v>
      </c>
      <c r="DM986" s="49">
        <v>74.95</v>
      </c>
      <c r="DQ986" s="83">
        <v>74.95</v>
      </c>
      <c r="EE986" s="58"/>
      <c r="EF986" s="83"/>
      <c r="EI986" s="83"/>
      <c r="EK986" s="58"/>
      <c r="EL986" s="83"/>
      <c r="EO986" s="58"/>
      <c r="EP986" s="83"/>
      <c r="EQ986" s="58"/>
      <c r="ER986" s="83"/>
      <c r="ES986" s="58"/>
      <c r="ET986" s="83"/>
      <c r="EU986" s="58"/>
    </row>
    <row r="987" spans="1:151">
      <c r="A987" s="42" t="s">
        <v>320</v>
      </c>
      <c r="B987" s="42" t="s">
        <v>537</v>
      </c>
      <c r="C987" s="42" t="s">
        <v>538</v>
      </c>
      <c r="D987" s="83" t="s">
        <v>112</v>
      </c>
      <c r="F987" s="49" t="s">
        <v>286</v>
      </c>
      <c r="G987" s="60">
        <v>-0.48</v>
      </c>
      <c r="I987" s="49">
        <v>1477</v>
      </c>
      <c r="J987" s="159">
        <v>0.72013651877133111</v>
      </c>
      <c r="K987" s="49">
        <v>1</v>
      </c>
      <c r="L987" s="49">
        <v>3</v>
      </c>
      <c r="M987" s="83">
        <v>0</v>
      </c>
      <c r="N987" s="49">
        <v>1</v>
      </c>
      <c r="O987" s="49">
        <v>1</v>
      </c>
      <c r="P987" s="49">
        <v>1</v>
      </c>
      <c r="Q987" s="58">
        <v>0</v>
      </c>
      <c r="R987" s="42">
        <v>3</v>
      </c>
      <c r="S987" s="83">
        <v>1</v>
      </c>
      <c r="T987" s="49">
        <v>59</v>
      </c>
      <c r="U987" s="83">
        <v>2</v>
      </c>
      <c r="V987" s="49">
        <v>3</v>
      </c>
      <c r="W987" s="49">
        <v>1</v>
      </c>
      <c r="X987" s="58">
        <v>3</v>
      </c>
      <c r="Y987" s="83">
        <v>2</v>
      </c>
      <c r="Z987" s="49">
        <v>6</v>
      </c>
      <c r="AA987" s="49">
        <v>33</v>
      </c>
      <c r="AD987" s="49">
        <v>12</v>
      </c>
      <c r="AE987" s="49">
        <v>137</v>
      </c>
      <c r="AF987" s="49">
        <v>10</v>
      </c>
      <c r="AG987" s="49">
        <v>141</v>
      </c>
      <c r="AH987" s="49">
        <v>26</v>
      </c>
      <c r="AI987" s="49">
        <v>302</v>
      </c>
      <c r="AJ987" s="49">
        <v>0</v>
      </c>
      <c r="AK987" s="83">
        <v>0</v>
      </c>
      <c r="AL987" s="49">
        <v>1</v>
      </c>
      <c r="AM987" s="49">
        <v>1</v>
      </c>
      <c r="AN987" s="49">
        <v>0</v>
      </c>
      <c r="AO987" s="58">
        <v>0</v>
      </c>
      <c r="AP987" s="174">
        <v>0</v>
      </c>
      <c r="AQ987" s="175">
        <v>861</v>
      </c>
      <c r="AR987" s="175">
        <v>78</v>
      </c>
      <c r="AS987" s="175">
        <v>271</v>
      </c>
      <c r="AT987" s="175">
        <v>0</v>
      </c>
      <c r="AU987" s="175">
        <v>0</v>
      </c>
      <c r="AV987" s="175">
        <v>0</v>
      </c>
      <c r="AW987" s="175">
        <v>0</v>
      </c>
      <c r="AX987" s="83">
        <v>0</v>
      </c>
      <c r="AY987" s="49">
        <v>1</v>
      </c>
      <c r="AZ987" s="49">
        <v>0</v>
      </c>
      <c r="BA987" s="49">
        <v>0</v>
      </c>
      <c r="BB987" s="58">
        <v>7</v>
      </c>
      <c r="BC987" s="42">
        <v>143</v>
      </c>
      <c r="BE987" s="49"/>
      <c r="BS987" s="58"/>
      <c r="BT987" s="83"/>
      <c r="CE987" s="83"/>
      <c r="CK987" s="58"/>
      <c r="CL987" s="83"/>
      <c r="CO987" s="58"/>
      <c r="CP987" s="83"/>
      <c r="CR987" s="58"/>
      <c r="CS987" s="83"/>
      <c r="CY987" s="83"/>
      <c r="DG987" s="58"/>
      <c r="DH987" s="83"/>
      <c r="DQ987" s="83"/>
      <c r="EE987" s="58"/>
      <c r="EF987" s="83"/>
      <c r="EI987" s="83"/>
      <c r="EK987" s="58"/>
      <c r="EL987" s="83"/>
      <c r="EO987" s="58"/>
      <c r="EP987" s="83"/>
      <c r="EQ987" s="58"/>
      <c r="ER987" s="83"/>
      <c r="ES987" s="58"/>
      <c r="ET987" s="83"/>
      <c r="EU987" s="58"/>
    </row>
    <row r="988" spans="1:151">
      <c r="A988" s="42" t="s">
        <v>320</v>
      </c>
      <c r="B988" s="42" t="s">
        <v>537</v>
      </c>
      <c r="C988" s="42" t="s">
        <v>538</v>
      </c>
      <c r="D988" s="83" t="s">
        <v>95</v>
      </c>
      <c r="F988" s="49" t="s">
        <v>286</v>
      </c>
      <c r="G988" s="60">
        <v>-0.48</v>
      </c>
      <c r="I988" s="49">
        <v>2681</v>
      </c>
      <c r="J988" s="159">
        <v>2.5953533397870281</v>
      </c>
      <c r="K988" s="49">
        <v>1</v>
      </c>
      <c r="L988" s="49">
        <v>3</v>
      </c>
      <c r="M988" s="83">
        <v>0</v>
      </c>
      <c r="N988" s="49">
        <v>0</v>
      </c>
      <c r="O988" s="49">
        <v>0</v>
      </c>
      <c r="P988" s="49">
        <v>0</v>
      </c>
      <c r="Q988" s="58">
        <v>0</v>
      </c>
      <c r="R988" s="42">
        <v>0</v>
      </c>
      <c r="S988" s="83" t="s">
        <v>283</v>
      </c>
      <c r="T988" s="49">
        <v>17</v>
      </c>
      <c r="U988" s="83">
        <v>1</v>
      </c>
      <c r="V988" s="49">
        <v>3</v>
      </c>
      <c r="W988" s="49">
        <v>2</v>
      </c>
      <c r="X988" s="58"/>
      <c r="Y988" s="83">
        <v>6</v>
      </c>
      <c r="Z988" s="49">
        <v>3</v>
      </c>
      <c r="AA988" s="49">
        <v>29</v>
      </c>
      <c r="AD988" s="49">
        <v>5</v>
      </c>
      <c r="AE988" s="49">
        <v>153</v>
      </c>
      <c r="AF988" s="49">
        <v>6</v>
      </c>
      <c r="AG988" s="49">
        <v>37</v>
      </c>
      <c r="AH988" s="49">
        <v>6</v>
      </c>
      <c r="AI988" s="49">
        <v>312</v>
      </c>
      <c r="AJ988" s="49">
        <v>0</v>
      </c>
      <c r="AK988" s="83">
        <v>0</v>
      </c>
      <c r="AL988" s="49">
        <v>0</v>
      </c>
      <c r="AM988" s="49">
        <v>1</v>
      </c>
      <c r="AN988" s="49">
        <v>0</v>
      </c>
      <c r="AO988" s="58">
        <v>0</v>
      </c>
      <c r="AP988" s="174">
        <v>0</v>
      </c>
      <c r="AQ988" s="175">
        <v>0</v>
      </c>
      <c r="AR988" s="175">
        <v>0</v>
      </c>
      <c r="AS988" s="175">
        <v>221</v>
      </c>
      <c r="AT988" s="175">
        <v>0</v>
      </c>
      <c r="AU988" s="175">
        <v>0</v>
      </c>
      <c r="AV988" s="175">
        <v>0</v>
      </c>
      <c r="AW988" s="175">
        <v>0</v>
      </c>
      <c r="AX988" s="83">
        <v>0</v>
      </c>
      <c r="AY988" s="49">
        <v>0</v>
      </c>
      <c r="AZ988" s="49">
        <v>0</v>
      </c>
      <c r="BA988" s="49">
        <v>0</v>
      </c>
      <c r="BB988" s="58">
        <v>0</v>
      </c>
      <c r="BC988" s="42">
        <v>133</v>
      </c>
      <c r="BE988" s="49"/>
      <c r="BS988" s="58"/>
      <c r="BT988" s="83"/>
      <c r="CE988" s="83"/>
      <c r="CK988" s="58"/>
      <c r="CL988" s="83"/>
      <c r="CO988" s="58"/>
      <c r="CP988" s="83"/>
      <c r="CR988" s="58"/>
      <c r="CS988" s="83"/>
      <c r="CY988" s="83"/>
      <c r="DG988" s="58"/>
      <c r="DH988" s="83"/>
      <c r="DQ988" s="83"/>
      <c r="EE988" s="58"/>
      <c r="EF988" s="83"/>
      <c r="EI988" s="83"/>
      <c r="EK988" s="58"/>
      <c r="EL988" s="83"/>
      <c r="EO988" s="58"/>
      <c r="EP988" s="83"/>
      <c r="EQ988" s="58"/>
      <c r="ER988" s="83"/>
      <c r="ES988" s="58"/>
      <c r="ET988" s="83"/>
      <c r="EU988" s="58"/>
    </row>
    <row r="989" spans="1:151">
      <c r="A989" s="42" t="s">
        <v>320</v>
      </c>
      <c r="B989" s="42" t="s">
        <v>537</v>
      </c>
      <c r="C989" s="42" t="s">
        <v>538</v>
      </c>
      <c r="D989" s="83" t="s">
        <v>96</v>
      </c>
      <c r="F989" s="49" t="s">
        <v>286</v>
      </c>
      <c r="G989" s="60">
        <v>-0.48</v>
      </c>
      <c r="I989" s="49">
        <v>2196</v>
      </c>
      <c r="J989" s="159">
        <v>2.2994764397905758</v>
      </c>
      <c r="K989" s="49">
        <v>4</v>
      </c>
      <c r="L989" s="49">
        <v>3</v>
      </c>
      <c r="M989" s="83">
        <v>0</v>
      </c>
      <c r="N989" s="49">
        <v>1</v>
      </c>
      <c r="O989" s="49">
        <v>0</v>
      </c>
      <c r="P989" s="49">
        <v>0</v>
      </c>
      <c r="Q989" s="58">
        <v>0</v>
      </c>
      <c r="R989" s="42">
        <v>1</v>
      </c>
      <c r="S989" s="83" t="s">
        <v>283</v>
      </c>
      <c r="U989" s="83">
        <v>1</v>
      </c>
      <c r="V989" s="49">
        <v>4</v>
      </c>
      <c r="W989" s="49">
        <v>2</v>
      </c>
      <c r="X989" s="58"/>
      <c r="Y989" s="83">
        <v>10</v>
      </c>
      <c r="Z989" s="49">
        <v>6</v>
      </c>
      <c r="AA989" s="49">
        <v>12</v>
      </c>
      <c r="AD989" s="49">
        <v>17</v>
      </c>
      <c r="AE989" s="49">
        <v>75</v>
      </c>
      <c r="AF989" s="49">
        <v>29</v>
      </c>
      <c r="AG989" s="49">
        <v>189</v>
      </c>
      <c r="AH989" s="49">
        <v>14</v>
      </c>
      <c r="AI989" s="49">
        <v>693</v>
      </c>
      <c r="AJ989" s="49">
        <v>0</v>
      </c>
      <c r="AK989" s="83">
        <v>0</v>
      </c>
      <c r="AL989" s="49">
        <v>1</v>
      </c>
      <c r="AM989" s="49">
        <v>1</v>
      </c>
      <c r="AN989" s="49">
        <v>0</v>
      </c>
      <c r="AO989" s="58">
        <v>0</v>
      </c>
      <c r="AP989" s="174">
        <v>0</v>
      </c>
      <c r="AQ989" s="175">
        <v>585</v>
      </c>
      <c r="AR989" s="175">
        <v>31</v>
      </c>
      <c r="AS989" s="175">
        <v>64</v>
      </c>
      <c r="AT989" s="175">
        <v>0</v>
      </c>
      <c r="AU989" s="175">
        <v>0</v>
      </c>
      <c r="AV989" s="175">
        <v>0</v>
      </c>
      <c r="AW989" s="175">
        <v>0</v>
      </c>
      <c r="AX989" s="83">
        <v>0</v>
      </c>
      <c r="AY989" s="49">
        <v>0</v>
      </c>
      <c r="AZ989" s="49">
        <v>0</v>
      </c>
      <c r="BA989" s="49">
        <v>0</v>
      </c>
      <c r="BB989" s="58">
        <v>0</v>
      </c>
      <c r="BC989" s="42">
        <v>120</v>
      </c>
      <c r="BE989" s="49"/>
      <c r="BS989" s="58"/>
      <c r="BT989" s="83"/>
      <c r="CE989" s="83"/>
      <c r="CK989" s="58"/>
      <c r="CL989" s="83"/>
      <c r="CO989" s="58"/>
      <c r="CP989" s="83"/>
      <c r="CR989" s="58"/>
      <c r="CS989" s="83"/>
      <c r="CY989" s="83"/>
      <c r="DG989" s="58"/>
      <c r="DH989" s="83"/>
      <c r="DQ989" s="83"/>
      <c r="EE989" s="58"/>
      <c r="EF989" s="83"/>
      <c r="EI989" s="83"/>
      <c r="EK989" s="58"/>
      <c r="EL989" s="83"/>
      <c r="EO989" s="58"/>
      <c r="EP989" s="83"/>
      <c r="EQ989" s="58"/>
      <c r="ER989" s="83"/>
      <c r="ES989" s="58"/>
      <c r="ET989" s="83"/>
      <c r="EU989" s="58"/>
    </row>
    <row r="990" spans="1:151">
      <c r="A990" s="42" t="s">
        <v>320</v>
      </c>
      <c r="B990" s="42" t="s">
        <v>537</v>
      </c>
      <c r="C990" s="42" t="s">
        <v>538</v>
      </c>
      <c r="D990" s="83" t="s">
        <v>98</v>
      </c>
      <c r="F990" s="49" t="s">
        <v>286</v>
      </c>
      <c r="G990" s="60">
        <v>-0.48</v>
      </c>
      <c r="I990" s="49">
        <v>2319</v>
      </c>
      <c r="J990" s="159">
        <v>2.6056179775280901</v>
      </c>
      <c r="K990" s="49">
        <v>1</v>
      </c>
      <c r="L990" s="49">
        <v>2</v>
      </c>
      <c r="M990" s="83">
        <v>0</v>
      </c>
      <c r="N990" s="49">
        <v>2</v>
      </c>
      <c r="O990" s="49">
        <v>1</v>
      </c>
      <c r="P990" s="49">
        <v>0</v>
      </c>
      <c r="Q990" s="58">
        <v>0</v>
      </c>
      <c r="R990" s="42">
        <v>3</v>
      </c>
      <c r="S990" s="83" t="s">
        <v>283</v>
      </c>
      <c r="U990" s="83">
        <v>1</v>
      </c>
      <c r="V990" s="49">
        <v>2</v>
      </c>
      <c r="W990" s="49">
        <v>1</v>
      </c>
      <c r="X990" s="58">
        <v>2</v>
      </c>
      <c r="Y990" s="83">
        <v>6</v>
      </c>
      <c r="AA990" s="49">
        <v>5</v>
      </c>
      <c r="AD990" s="49">
        <v>5</v>
      </c>
      <c r="AE990" s="49">
        <v>180</v>
      </c>
      <c r="AF990" s="49">
        <v>5</v>
      </c>
      <c r="AG990" s="49">
        <v>124</v>
      </c>
      <c r="AH990" s="49">
        <v>5</v>
      </c>
      <c r="AI990" s="49">
        <v>281</v>
      </c>
      <c r="AJ990" s="49">
        <v>0</v>
      </c>
      <c r="AK990" s="83">
        <v>0</v>
      </c>
      <c r="AL990" s="49">
        <v>0</v>
      </c>
      <c r="AM990" s="49">
        <v>1</v>
      </c>
      <c r="AN990" s="49">
        <v>0</v>
      </c>
      <c r="AO990" s="58">
        <v>0</v>
      </c>
      <c r="AP990" s="174">
        <v>0</v>
      </c>
      <c r="AQ990" s="175">
        <v>0</v>
      </c>
      <c r="AR990" s="175">
        <v>31</v>
      </c>
      <c r="AS990" s="175">
        <v>198</v>
      </c>
      <c r="AT990" s="175">
        <v>0</v>
      </c>
      <c r="AU990" s="175">
        <v>0</v>
      </c>
      <c r="AV990" s="175">
        <v>0</v>
      </c>
      <c r="AW990" s="175">
        <v>0</v>
      </c>
      <c r="AX990" s="83">
        <v>0</v>
      </c>
      <c r="AY990" s="49">
        <v>0</v>
      </c>
      <c r="AZ990" s="49">
        <v>0</v>
      </c>
      <c r="BA990" s="49">
        <v>0</v>
      </c>
      <c r="BB990" s="58">
        <v>0</v>
      </c>
      <c r="BC990" s="42">
        <v>118</v>
      </c>
      <c r="BD990" s="49">
        <v>78.36</v>
      </c>
      <c r="BE990" s="49"/>
      <c r="BS990" s="58"/>
      <c r="BT990" s="83">
        <v>76.739999999999995</v>
      </c>
      <c r="CE990" s="83">
        <v>69.150000000000006</v>
      </c>
      <c r="CK990" s="58"/>
      <c r="CL990" s="83"/>
      <c r="CO990" s="58"/>
      <c r="CP990" s="83"/>
      <c r="CR990" s="58"/>
      <c r="CS990" s="83"/>
      <c r="CY990" s="83"/>
      <c r="DG990" s="58"/>
      <c r="DH990" s="83"/>
      <c r="DQ990" s="83">
        <v>68.39</v>
      </c>
      <c r="EE990" s="58"/>
      <c r="EF990" s="83"/>
      <c r="EI990" s="83"/>
      <c r="EK990" s="58"/>
      <c r="EL990" s="83"/>
      <c r="EO990" s="58"/>
      <c r="EP990" s="83"/>
      <c r="EQ990" s="58"/>
      <c r="ER990" s="83"/>
      <c r="ES990" s="58"/>
      <c r="ET990" s="83"/>
      <c r="EU990" s="58"/>
    </row>
    <row r="991" spans="1:151">
      <c r="A991" s="42" t="s">
        <v>320</v>
      </c>
      <c r="B991" s="42" t="s">
        <v>537</v>
      </c>
      <c r="C991" s="42" t="s">
        <v>538</v>
      </c>
      <c r="D991" s="83" t="s">
        <v>99</v>
      </c>
      <c r="F991" s="49" t="s">
        <v>286</v>
      </c>
      <c r="G991" s="60">
        <v>-0.48</v>
      </c>
      <c r="I991" s="49">
        <v>1354</v>
      </c>
      <c r="J991" s="159">
        <v>1.5456621004566211</v>
      </c>
      <c r="K991" s="49">
        <v>4</v>
      </c>
      <c r="L991" s="49">
        <v>3</v>
      </c>
      <c r="M991" s="83">
        <v>1</v>
      </c>
      <c r="N991" s="49">
        <v>1</v>
      </c>
      <c r="O991" s="49">
        <v>1</v>
      </c>
      <c r="P991" s="49">
        <v>1</v>
      </c>
      <c r="Q991" s="58">
        <v>0</v>
      </c>
      <c r="R991" s="42">
        <v>4</v>
      </c>
      <c r="S991" s="83">
        <v>1</v>
      </c>
      <c r="U991" s="83">
        <v>2</v>
      </c>
      <c r="V991" s="49">
        <v>3</v>
      </c>
      <c r="W991" s="49">
        <v>1</v>
      </c>
      <c r="X991" s="58">
        <v>3</v>
      </c>
      <c r="Y991" s="83">
        <v>0</v>
      </c>
      <c r="AJ991" s="49">
        <v>0</v>
      </c>
      <c r="AK991" s="83">
        <v>0</v>
      </c>
      <c r="AL991" s="49">
        <v>1</v>
      </c>
      <c r="AM991" s="49">
        <v>0</v>
      </c>
      <c r="AN991" s="49">
        <v>0</v>
      </c>
      <c r="AO991" s="58">
        <v>0</v>
      </c>
      <c r="AP991" s="174">
        <v>527</v>
      </c>
      <c r="AQ991" s="175">
        <v>652</v>
      </c>
      <c r="AR991" s="175">
        <v>0</v>
      </c>
      <c r="AS991" s="175">
        <v>0</v>
      </c>
      <c r="AT991" s="175">
        <v>0</v>
      </c>
      <c r="AU991" s="175">
        <v>0</v>
      </c>
      <c r="AV991" s="175">
        <v>0</v>
      </c>
      <c r="AW991" s="175">
        <v>0</v>
      </c>
      <c r="AX991" s="83">
        <v>0</v>
      </c>
      <c r="AY991" s="49">
        <v>0</v>
      </c>
      <c r="AZ991" s="49">
        <v>0</v>
      </c>
      <c r="BA991" s="49">
        <v>0</v>
      </c>
      <c r="BB991" s="58">
        <v>0</v>
      </c>
      <c r="BC991" s="42">
        <v>129</v>
      </c>
      <c r="BE991" s="49"/>
      <c r="BS991" s="58"/>
      <c r="BT991" s="83"/>
      <c r="CE991" s="83"/>
      <c r="CK991" s="58"/>
      <c r="CL991" s="83"/>
      <c r="CO991" s="58"/>
      <c r="CP991" s="83"/>
      <c r="CR991" s="58"/>
      <c r="CS991" s="83"/>
      <c r="CY991" s="83"/>
      <c r="DG991" s="58"/>
      <c r="DH991" s="83"/>
      <c r="DQ991" s="83"/>
      <c r="EE991" s="58"/>
      <c r="EF991" s="83"/>
      <c r="EI991" s="83"/>
      <c r="EK991" s="58"/>
      <c r="EL991" s="83"/>
      <c r="EO991" s="58"/>
      <c r="EP991" s="83"/>
      <c r="EQ991" s="58"/>
      <c r="ER991" s="83"/>
      <c r="ES991" s="58"/>
      <c r="ET991" s="83"/>
      <c r="EU991" s="58"/>
    </row>
    <row r="992" spans="1:151">
      <c r="A992" s="42" t="s">
        <v>320</v>
      </c>
      <c r="B992" s="42" t="s">
        <v>537</v>
      </c>
      <c r="C992" s="42" t="s">
        <v>538</v>
      </c>
      <c r="D992" s="83" t="s">
        <v>100</v>
      </c>
      <c r="F992" s="49" t="s">
        <v>286</v>
      </c>
      <c r="G992" s="60">
        <v>-0.48</v>
      </c>
      <c r="I992" s="49">
        <v>3821</v>
      </c>
      <c r="J992" s="159">
        <v>1.561503882304863</v>
      </c>
      <c r="K992" s="49">
        <v>1</v>
      </c>
      <c r="L992" s="49">
        <v>2</v>
      </c>
      <c r="M992" s="83">
        <v>0</v>
      </c>
      <c r="N992" s="49">
        <v>1</v>
      </c>
      <c r="O992" s="49">
        <v>1</v>
      </c>
      <c r="P992" s="49">
        <v>1</v>
      </c>
      <c r="Q992" s="58">
        <v>0</v>
      </c>
      <c r="R992" s="42">
        <v>3</v>
      </c>
      <c r="S992" s="83" t="s">
        <v>283</v>
      </c>
      <c r="T992" s="49">
        <v>15</v>
      </c>
      <c r="U992" s="83">
        <v>1</v>
      </c>
      <c r="V992" s="49">
        <v>3</v>
      </c>
      <c r="W992" s="49">
        <v>1</v>
      </c>
      <c r="X992" s="58">
        <v>2</v>
      </c>
      <c r="Y992" s="83">
        <v>1</v>
      </c>
      <c r="AD992" s="49">
        <v>6</v>
      </c>
      <c r="AE992" s="49">
        <v>33</v>
      </c>
      <c r="AF992" s="49">
        <v>10</v>
      </c>
      <c r="AG992" s="49">
        <v>173</v>
      </c>
      <c r="AH992" s="49">
        <v>44</v>
      </c>
      <c r="AI992" s="49">
        <v>378</v>
      </c>
      <c r="AJ992" s="49">
        <v>0</v>
      </c>
      <c r="AK992" s="83">
        <v>0</v>
      </c>
      <c r="AL992" s="49">
        <v>0</v>
      </c>
      <c r="AM992" s="49">
        <v>0</v>
      </c>
      <c r="AN992" s="49">
        <v>0</v>
      </c>
      <c r="AO992" s="58">
        <v>0</v>
      </c>
      <c r="AP992" s="174">
        <v>0</v>
      </c>
      <c r="AQ992" s="175">
        <v>0</v>
      </c>
      <c r="AR992" s="175">
        <v>0</v>
      </c>
      <c r="AS992" s="175">
        <v>0</v>
      </c>
      <c r="AT992" s="175">
        <v>0</v>
      </c>
      <c r="AU992" s="175">
        <v>0</v>
      </c>
      <c r="AV992" s="175">
        <v>0</v>
      </c>
      <c r="AW992" s="175">
        <v>0</v>
      </c>
      <c r="AX992" s="83">
        <v>0</v>
      </c>
      <c r="AY992" s="49">
        <v>0</v>
      </c>
      <c r="AZ992" s="49">
        <v>0</v>
      </c>
      <c r="BA992" s="49">
        <v>0</v>
      </c>
      <c r="BB992" s="58">
        <v>0</v>
      </c>
      <c r="BC992" s="42">
        <v>105</v>
      </c>
      <c r="BD992" s="49">
        <v>76.59</v>
      </c>
      <c r="BE992" s="49"/>
      <c r="BS992" s="58"/>
      <c r="BT992" s="83">
        <v>79.739999999999995</v>
      </c>
      <c r="BU992" s="49">
        <v>73.39</v>
      </c>
      <c r="CE992" s="83">
        <v>76.19</v>
      </c>
      <c r="CF992" s="49">
        <v>78.64</v>
      </c>
      <c r="CK992" s="58"/>
      <c r="CL992" s="83">
        <v>55.44</v>
      </c>
      <c r="CO992" s="58"/>
      <c r="CP992" s="83"/>
      <c r="CR992" s="58"/>
      <c r="CS992" s="83"/>
      <c r="CY992" s="83"/>
      <c r="DG992" s="58"/>
      <c r="DH992" s="83"/>
      <c r="DQ992" s="83"/>
      <c r="EE992" s="58"/>
      <c r="EF992" s="83"/>
      <c r="EI992" s="83"/>
      <c r="EK992" s="58"/>
      <c r="EL992" s="83"/>
      <c r="EO992" s="58"/>
      <c r="EP992" s="83"/>
      <c r="EQ992" s="58"/>
      <c r="ER992" s="83"/>
      <c r="ES992" s="58"/>
      <c r="ET992" s="83"/>
      <c r="EU992" s="58"/>
    </row>
    <row r="993" spans="1:151">
      <c r="A993" s="42" t="s">
        <v>320</v>
      </c>
      <c r="B993" s="42" t="s">
        <v>537</v>
      </c>
      <c r="C993" s="42" t="s">
        <v>538</v>
      </c>
      <c r="D993" s="83" t="s">
        <v>114</v>
      </c>
      <c r="F993" s="49" t="s">
        <v>286</v>
      </c>
      <c r="G993" s="60">
        <v>-0.48</v>
      </c>
      <c r="I993" s="49">
        <v>4026</v>
      </c>
      <c r="J993" s="159">
        <v>2.4851851851851854</v>
      </c>
      <c r="K993" s="49">
        <v>4</v>
      </c>
      <c r="L993" s="49">
        <v>3</v>
      </c>
      <c r="M993" s="83">
        <v>0</v>
      </c>
      <c r="N993" s="49">
        <v>0</v>
      </c>
      <c r="O993" s="49">
        <v>1</v>
      </c>
      <c r="P993" s="49">
        <v>1</v>
      </c>
      <c r="Q993" s="58">
        <v>0</v>
      </c>
      <c r="R993" s="42">
        <v>2</v>
      </c>
      <c r="S993" s="83" t="s">
        <v>283</v>
      </c>
      <c r="T993" s="49">
        <v>21</v>
      </c>
      <c r="U993" s="83">
        <v>1</v>
      </c>
      <c r="V993" s="49">
        <v>3</v>
      </c>
      <c r="W993" s="49">
        <v>2</v>
      </c>
      <c r="X993" s="58"/>
      <c r="Y993" s="83">
        <v>2</v>
      </c>
      <c r="AA993" s="49">
        <v>12</v>
      </c>
      <c r="AD993" s="49">
        <v>10</v>
      </c>
      <c r="AE993" s="49">
        <v>86</v>
      </c>
      <c r="AF993" s="49">
        <v>10</v>
      </c>
      <c r="AG993" s="49">
        <v>1003</v>
      </c>
      <c r="AJ993" s="49">
        <v>0</v>
      </c>
      <c r="AK993" s="83">
        <v>0</v>
      </c>
      <c r="AL993" s="49">
        <v>1</v>
      </c>
      <c r="AM993" s="49">
        <v>1</v>
      </c>
      <c r="AN993" s="49">
        <v>0</v>
      </c>
      <c r="AO993" s="58">
        <v>0</v>
      </c>
      <c r="AP993" s="174">
        <v>344</v>
      </c>
      <c r="AQ993" s="175">
        <v>558</v>
      </c>
      <c r="AR993" s="175">
        <v>48</v>
      </c>
      <c r="AS993" s="175">
        <v>198</v>
      </c>
      <c r="AT993" s="175">
        <v>0</v>
      </c>
      <c r="AU993" s="175">
        <v>0</v>
      </c>
      <c r="AV993" s="175">
        <v>0</v>
      </c>
      <c r="AW993" s="175">
        <v>0</v>
      </c>
      <c r="AX993" s="83">
        <v>0</v>
      </c>
      <c r="AY993" s="49">
        <v>0</v>
      </c>
      <c r="AZ993" s="49">
        <v>0</v>
      </c>
      <c r="BA993" s="49">
        <v>0</v>
      </c>
      <c r="BB993" s="58">
        <v>0</v>
      </c>
      <c r="BC993" s="42">
        <v>109</v>
      </c>
      <c r="BE993" s="49"/>
      <c r="BS993" s="58"/>
      <c r="BT993" s="83"/>
      <c r="CE993" s="83"/>
      <c r="CK993" s="58"/>
      <c r="CL993" s="83"/>
      <c r="CO993" s="58"/>
      <c r="CP993" s="83"/>
      <c r="CR993" s="58"/>
      <c r="CS993" s="83"/>
      <c r="CY993" s="83"/>
      <c r="DG993" s="58"/>
      <c r="DH993" s="83"/>
      <c r="DQ993" s="83"/>
      <c r="EE993" s="58"/>
      <c r="EF993" s="83"/>
      <c r="EI993" s="83"/>
      <c r="EK993" s="58"/>
      <c r="EL993" s="83"/>
      <c r="EO993" s="58"/>
      <c r="EP993" s="83"/>
      <c r="EQ993" s="58"/>
      <c r="ER993" s="83"/>
      <c r="ES993" s="58"/>
      <c r="ET993" s="83"/>
      <c r="EU993" s="58"/>
    </row>
    <row r="994" spans="1:151">
      <c r="A994" s="42" t="s">
        <v>320</v>
      </c>
      <c r="B994" s="42" t="s">
        <v>537</v>
      </c>
      <c r="C994" s="42" t="s">
        <v>538</v>
      </c>
      <c r="D994" s="83" t="s">
        <v>120</v>
      </c>
      <c r="F994" s="49" t="s">
        <v>286</v>
      </c>
      <c r="G994" s="60">
        <v>-0.48</v>
      </c>
      <c r="I994" s="49">
        <v>1392</v>
      </c>
      <c r="J994" s="159">
        <v>1.6630824372759856</v>
      </c>
      <c r="K994" s="49">
        <v>2</v>
      </c>
      <c r="L994" s="49">
        <v>3</v>
      </c>
      <c r="M994" s="83">
        <v>0</v>
      </c>
      <c r="N994" s="49">
        <v>1</v>
      </c>
      <c r="O994" s="49">
        <v>0</v>
      </c>
      <c r="P994" s="49">
        <v>1</v>
      </c>
      <c r="Q994" s="58">
        <v>0</v>
      </c>
      <c r="R994" s="42">
        <v>2</v>
      </c>
      <c r="S994" s="83" t="s">
        <v>284</v>
      </c>
      <c r="T994" s="49">
        <v>0</v>
      </c>
      <c r="U994" s="83">
        <v>0</v>
      </c>
      <c r="V994" s="49">
        <v>0</v>
      </c>
      <c r="W994" s="49">
        <v>0</v>
      </c>
      <c r="X994" s="58"/>
      <c r="Y994" s="83">
        <v>20</v>
      </c>
      <c r="AD994" s="49">
        <v>11</v>
      </c>
      <c r="AE994" s="49">
        <v>400</v>
      </c>
      <c r="AF994" s="49">
        <v>9</v>
      </c>
      <c r="AG994" s="49">
        <v>512</v>
      </c>
      <c r="AH994" s="49">
        <v>22</v>
      </c>
      <c r="AI994" s="49">
        <v>120</v>
      </c>
      <c r="AJ994" s="49">
        <v>0</v>
      </c>
      <c r="AK994" s="83">
        <v>0</v>
      </c>
      <c r="AL994" s="49">
        <v>1</v>
      </c>
      <c r="AM994" s="49">
        <v>0</v>
      </c>
      <c r="AN994" s="49">
        <v>0</v>
      </c>
      <c r="AO994" s="58">
        <v>0</v>
      </c>
      <c r="AP994" s="174">
        <v>0</v>
      </c>
      <c r="AQ994" s="175">
        <v>950</v>
      </c>
      <c r="AR994" s="175">
        <v>0</v>
      </c>
      <c r="AS994" s="175">
        <v>0</v>
      </c>
      <c r="AT994" s="175">
        <v>0</v>
      </c>
      <c r="AU994" s="175">
        <v>0</v>
      </c>
      <c r="AV994" s="175">
        <v>0</v>
      </c>
      <c r="AW994" s="175">
        <v>0</v>
      </c>
      <c r="AX994" s="83">
        <v>0</v>
      </c>
      <c r="AY994" s="49">
        <v>0</v>
      </c>
      <c r="AZ994" s="49">
        <v>0</v>
      </c>
      <c r="BA994" s="49">
        <v>0</v>
      </c>
      <c r="BB994" s="58">
        <v>0</v>
      </c>
      <c r="BC994" s="42">
        <v>131</v>
      </c>
      <c r="BE994" s="49"/>
      <c r="BS994" s="58"/>
      <c r="BT994" s="83">
        <v>76.27</v>
      </c>
      <c r="BU994" s="49">
        <v>75.94</v>
      </c>
      <c r="CE994" s="83"/>
      <c r="CK994" s="58"/>
      <c r="CL994" s="83">
        <v>57.45</v>
      </c>
      <c r="CO994" s="58"/>
      <c r="CP994" s="83"/>
      <c r="CR994" s="58"/>
      <c r="CS994" s="83">
        <v>75.27</v>
      </c>
      <c r="CY994" s="83"/>
      <c r="DG994" s="58"/>
      <c r="DH994" s="83">
        <v>69.02</v>
      </c>
      <c r="DI994" s="49">
        <v>68.36</v>
      </c>
      <c r="DQ994" s="83"/>
      <c r="EE994" s="58"/>
      <c r="EF994" s="83"/>
      <c r="EI994" s="83">
        <v>77.709999999999994</v>
      </c>
      <c r="EK994" s="58"/>
      <c r="EL994" s="83">
        <v>82.1</v>
      </c>
      <c r="EO994" s="58"/>
      <c r="EP994" s="83">
        <v>71.209999999999994</v>
      </c>
      <c r="EQ994" s="58"/>
      <c r="ER994" s="83">
        <v>64.47</v>
      </c>
      <c r="ES994" s="58"/>
      <c r="ET994" s="83"/>
      <c r="EU994" s="58"/>
    </row>
    <row r="995" spans="1:151">
      <c r="A995" s="42" t="s">
        <v>320</v>
      </c>
      <c r="B995" s="42" t="s">
        <v>537</v>
      </c>
      <c r="C995" s="42" t="s">
        <v>538</v>
      </c>
      <c r="D995" s="83" t="s">
        <v>101</v>
      </c>
      <c r="F995" s="49" t="s">
        <v>286</v>
      </c>
      <c r="G995" s="60">
        <v>-0.48</v>
      </c>
      <c r="I995" s="49">
        <v>2238</v>
      </c>
      <c r="J995" s="159">
        <v>1.4291187739463602</v>
      </c>
      <c r="K995" s="49">
        <v>1</v>
      </c>
      <c r="L995" s="49">
        <v>3</v>
      </c>
      <c r="M995" s="83">
        <v>0</v>
      </c>
      <c r="N995" s="49">
        <v>2</v>
      </c>
      <c r="O995" s="49">
        <v>1</v>
      </c>
      <c r="P995" s="49">
        <v>1</v>
      </c>
      <c r="Q995" s="58">
        <v>0</v>
      </c>
      <c r="R995" s="42">
        <v>4</v>
      </c>
      <c r="S995" s="83">
        <v>1</v>
      </c>
      <c r="T995" s="49">
        <v>22</v>
      </c>
      <c r="U995" s="83">
        <v>2</v>
      </c>
      <c r="V995" s="49">
        <v>3</v>
      </c>
      <c r="W995" s="49">
        <v>1</v>
      </c>
      <c r="X995" s="58">
        <v>3</v>
      </c>
      <c r="Y995" s="83">
        <v>5</v>
      </c>
      <c r="Z995" s="49">
        <v>9</v>
      </c>
      <c r="AA995" s="49">
        <v>23</v>
      </c>
      <c r="AD995" s="49">
        <v>6</v>
      </c>
      <c r="AE995" s="49">
        <v>51</v>
      </c>
      <c r="AF995" s="49">
        <v>10</v>
      </c>
      <c r="AG995" s="49">
        <v>316</v>
      </c>
      <c r="AH995" s="49">
        <v>6</v>
      </c>
      <c r="AI995" s="49">
        <v>411</v>
      </c>
      <c r="AJ995" s="49">
        <v>0</v>
      </c>
      <c r="AK995" s="83">
        <v>0</v>
      </c>
      <c r="AL995" s="49">
        <v>1</v>
      </c>
      <c r="AM995" s="49">
        <v>0</v>
      </c>
      <c r="AN995" s="49">
        <v>0</v>
      </c>
      <c r="AO995" s="58">
        <v>0</v>
      </c>
      <c r="AP995" s="174">
        <v>485</v>
      </c>
      <c r="AQ995" s="175">
        <v>965</v>
      </c>
      <c r="AR995" s="175">
        <v>0</v>
      </c>
      <c r="AS995" s="175">
        <v>0</v>
      </c>
      <c r="AT995" s="175">
        <v>0</v>
      </c>
      <c r="AU995" s="175">
        <v>0</v>
      </c>
      <c r="AV995" s="175">
        <v>0</v>
      </c>
      <c r="AW995" s="175">
        <v>0</v>
      </c>
      <c r="AX995" s="83">
        <v>0</v>
      </c>
      <c r="AY995" s="49">
        <v>0</v>
      </c>
      <c r="AZ995" s="49">
        <v>0</v>
      </c>
      <c r="BA995" s="49">
        <v>0</v>
      </c>
      <c r="BB995" s="58">
        <v>0</v>
      </c>
      <c r="BC995" s="42">
        <v>134</v>
      </c>
      <c r="BD995" s="49">
        <v>79.12</v>
      </c>
      <c r="BE995" s="49"/>
      <c r="BS995" s="58"/>
      <c r="BT995" s="83">
        <v>74.349999999999994</v>
      </c>
      <c r="CE995" s="83"/>
      <c r="CK995" s="58"/>
      <c r="CL995" s="83">
        <v>68.489999999999995</v>
      </c>
      <c r="CO995" s="58"/>
      <c r="CP995" s="83"/>
      <c r="CR995" s="58"/>
      <c r="CS995" s="83"/>
      <c r="CY995" s="83"/>
      <c r="DG995" s="58"/>
      <c r="DH995" s="83"/>
      <c r="DQ995" s="83">
        <v>73.92</v>
      </c>
      <c r="EE995" s="58"/>
      <c r="EF995" s="83"/>
      <c r="EI995" s="83"/>
      <c r="EK995" s="58"/>
      <c r="EL995" s="83"/>
      <c r="EO995" s="58"/>
      <c r="EP995" s="83"/>
      <c r="EQ995" s="58"/>
      <c r="ER995" s="83"/>
      <c r="ES995" s="58"/>
      <c r="ET995" s="83"/>
      <c r="EU995" s="58"/>
    </row>
    <row r="996" spans="1:151">
      <c r="A996" s="42" t="s">
        <v>320</v>
      </c>
      <c r="B996" s="42" t="s">
        <v>537</v>
      </c>
      <c r="C996" s="42" t="s">
        <v>538</v>
      </c>
      <c r="D996" s="83" t="s">
        <v>102</v>
      </c>
      <c r="F996" s="49" t="s">
        <v>286</v>
      </c>
      <c r="G996" s="60">
        <v>-0.48</v>
      </c>
      <c r="I996" s="49">
        <v>2760</v>
      </c>
      <c r="J996" s="159">
        <v>1.998551774076756</v>
      </c>
      <c r="K996" s="49">
        <v>1</v>
      </c>
      <c r="L996" s="49">
        <v>1</v>
      </c>
      <c r="M996" s="83">
        <v>0</v>
      </c>
      <c r="N996" s="49">
        <v>0</v>
      </c>
      <c r="O996" s="49">
        <v>1</v>
      </c>
      <c r="P996" s="49">
        <v>1</v>
      </c>
      <c r="Q996" s="58">
        <v>0</v>
      </c>
      <c r="R996" s="42">
        <v>2</v>
      </c>
      <c r="S996" s="83" t="s">
        <v>283</v>
      </c>
      <c r="T996" s="49">
        <v>23</v>
      </c>
      <c r="U996" s="83">
        <v>2</v>
      </c>
      <c r="V996" s="49">
        <v>2</v>
      </c>
      <c r="W996" s="49">
        <v>3</v>
      </c>
      <c r="X996" s="58">
        <v>2</v>
      </c>
      <c r="Y996" s="83">
        <v>1</v>
      </c>
      <c r="AD996" s="49">
        <v>7</v>
      </c>
      <c r="AE996" s="49">
        <v>24</v>
      </c>
      <c r="AH996" s="49">
        <v>24</v>
      </c>
      <c r="AI996" s="49">
        <v>431</v>
      </c>
      <c r="AJ996" s="49">
        <v>0</v>
      </c>
      <c r="AK996" s="83">
        <v>0</v>
      </c>
      <c r="AL996" s="49">
        <v>1</v>
      </c>
      <c r="AM996" s="49">
        <v>1</v>
      </c>
      <c r="AN996" s="49">
        <v>0</v>
      </c>
      <c r="AO996" s="58">
        <v>0</v>
      </c>
      <c r="AP996" s="174">
        <v>78</v>
      </c>
      <c r="AQ996" s="175">
        <v>453</v>
      </c>
      <c r="AR996" s="175">
        <v>0</v>
      </c>
      <c r="AS996" s="175">
        <v>54</v>
      </c>
      <c r="AT996" s="175">
        <v>0</v>
      </c>
      <c r="AU996" s="175">
        <v>0</v>
      </c>
      <c r="AV996" s="175">
        <v>0</v>
      </c>
      <c r="AW996" s="175">
        <v>0</v>
      </c>
      <c r="AX996" s="83">
        <v>0</v>
      </c>
      <c r="AY996" s="49">
        <v>0</v>
      </c>
      <c r="AZ996" s="49">
        <v>0</v>
      </c>
      <c r="BA996" s="49">
        <v>0</v>
      </c>
      <c r="BB996" s="58">
        <v>0</v>
      </c>
      <c r="BC996" s="42">
        <v>114</v>
      </c>
      <c r="BE996" s="49"/>
      <c r="BS996" s="58"/>
      <c r="BT996" s="83"/>
      <c r="CE996" s="83"/>
      <c r="CK996" s="58"/>
      <c r="CL996" s="83"/>
      <c r="CO996" s="58"/>
      <c r="CP996" s="83"/>
      <c r="CR996" s="58"/>
      <c r="CS996" s="83"/>
      <c r="CY996" s="83"/>
      <c r="DG996" s="58"/>
      <c r="DH996" s="83"/>
      <c r="DQ996" s="83"/>
      <c r="EE996" s="58"/>
      <c r="EF996" s="83"/>
      <c r="EI996" s="83"/>
      <c r="EK996" s="58"/>
      <c r="EL996" s="83"/>
      <c r="EO996" s="58"/>
      <c r="EP996" s="83"/>
      <c r="EQ996" s="58"/>
      <c r="ER996" s="83"/>
      <c r="ES996" s="58"/>
      <c r="ET996" s="83"/>
      <c r="EU996" s="58"/>
    </row>
    <row r="997" spans="1:151">
      <c r="A997" s="42" t="s">
        <v>320</v>
      </c>
      <c r="B997" s="42" t="s">
        <v>537</v>
      </c>
      <c r="C997" s="42" t="s">
        <v>538</v>
      </c>
      <c r="D997" s="83" t="s">
        <v>103</v>
      </c>
      <c r="F997" s="49" t="s">
        <v>286</v>
      </c>
      <c r="G997" s="60">
        <v>-0.48</v>
      </c>
      <c r="I997" s="49">
        <v>4064</v>
      </c>
      <c r="J997" s="159">
        <v>2.3410138248847927</v>
      </c>
      <c r="K997" s="49">
        <v>4</v>
      </c>
      <c r="L997" s="49">
        <v>3</v>
      </c>
      <c r="M997" s="83">
        <v>0</v>
      </c>
      <c r="N997" s="49">
        <v>0</v>
      </c>
      <c r="O997" s="49">
        <v>0</v>
      </c>
      <c r="P997" s="49">
        <v>1</v>
      </c>
      <c r="Q997" s="58">
        <v>0</v>
      </c>
      <c r="R997" s="42">
        <v>1</v>
      </c>
      <c r="S997" s="83" t="s">
        <v>283</v>
      </c>
      <c r="T997" s="49">
        <v>14</v>
      </c>
      <c r="U997" s="83">
        <v>1</v>
      </c>
      <c r="V997" s="49">
        <v>4</v>
      </c>
      <c r="W997" s="49">
        <v>2</v>
      </c>
      <c r="X997" s="58"/>
      <c r="Y997" s="83">
        <v>1</v>
      </c>
      <c r="AA997" s="49">
        <v>6</v>
      </c>
      <c r="AD997" s="49">
        <v>4</v>
      </c>
      <c r="AE997" s="49">
        <v>32</v>
      </c>
      <c r="AH997" s="49">
        <v>14</v>
      </c>
      <c r="AI997" s="49">
        <v>65</v>
      </c>
      <c r="AJ997" s="49">
        <v>0</v>
      </c>
      <c r="AK997" s="83">
        <v>0</v>
      </c>
      <c r="AL997" s="49">
        <v>1</v>
      </c>
      <c r="AM997" s="49">
        <v>1</v>
      </c>
      <c r="AN997" s="49">
        <v>0</v>
      </c>
      <c r="AO997" s="58">
        <v>0</v>
      </c>
      <c r="AP997" s="174">
        <v>0</v>
      </c>
      <c r="AQ997" s="175">
        <v>2280</v>
      </c>
      <c r="AR997" s="175">
        <v>27</v>
      </c>
      <c r="AS997" s="175">
        <v>94</v>
      </c>
      <c r="AT997" s="175">
        <v>0</v>
      </c>
      <c r="AU997" s="175">
        <v>0</v>
      </c>
      <c r="AV997" s="175">
        <v>0</v>
      </c>
      <c r="AW997" s="175">
        <v>0</v>
      </c>
      <c r="AX997" s="83">
        <v>0</v>
      </c>
      <c r="AY997" s="49">
        <v>0</v>
      </c>
      <c r="AZ997" s="49">
        <v>0</v>
      </c>
      <c r="BA997" s="49">
        <v>0</v>
      </c>
      <c r="BB997" s="58">
        <v>0</v>
      </c>
      <c r="BC997" s="42">
        <v>104</v>
      </c>
      <c r="BE997" s="49"/>
      <c r="BS997" s="58"/>
      <c r="BT997" s="83"/>
      <c r="CE997" s="83"/>
      <c r="CK997" s="58"/>
      <c r="CL997" s="83"/>
      <c r="CO997" s="58"/>
      <c r="CP997" s="83"/>
      <c r="CR997" s="58"/>
      <c r="CS997" s="83"/>
      <c r="CY997" s="83"/>
      <c r="DG997" s="58"/>
      <c r="DH997" s="83"/>
      <c r="DQ997" s="83"/>
      <c r="EE997" s="58"/>
      <c r="EF997" s="83"/>
      <c r="EI997" s="83"/>
      <c r="EK997" s="58"/>
      <c r="EL997" s="83"/>
      <c r="EO997" s="58"/>
      <c r="EP997" s="83"/>
      <c r="EQ997" s="58"/>
      <c r="ER997" s="83"/>
      <c r="ES997" s="58"/>
      <c r="ET997" s="83"/>
      <c r="EU997" s="58"/>
    </row>
    <row r="998" spans="1:151">
      <c r="A998" s="42" t="s">
        <v>320</v>
      </c>
      <c r="B998" s="42" t="s">
        <v>537</v>
      </c>
      <c r="C998" s="42" t="s">
        <v>538</v>
      </c>
      <c r="D998" s="83" t="s">
        <v>147</v>
      </c>
      <c r="F998" s="49" t="s">
        <v>286</v>
      </c>
      <c r="G998" s="60">
        <v>-0.48</v>
      </c>
      <c r="I998" s="49">
        <v>2008</v>
      </c>
      <c r="J998" s="159">
        <v>2.0701030927835053</v>
      </c>
      <c r="K998" s="49">
        <v>1</v>
      </c>
      <c r="L998" s="49">
        <v>2</v>
      </c>
      <c r="M998" s="83">
        <v>0</v>
      </c>
      <c r="N998" s="49">
        <v>2</v>
      </c>
      <c r="O998" s="49">
        <v>0</v>
      </c>
      <c r="P998" s="49">
        <v>0</v>
      </c>
      <c r="Q998" s="58">
        <v>0</v>
      </c>
      <c r="R998" s="42">
        <v>2</v>
      </c>
      <c r="S998" s="83" t="s">
        <v>284</v>
      </c>
      <c r="U998" s="83">
        <v>1</v>
      </c>
      <c r="V998" s="49">
        <v>2</v>
      </c>
      <c r="W998" s="49">
        <v>2</v>
      </c>
      <c r="X998" s="58"/>
      <c r="Y998" s="83">
        <v>2</v>
      </c>
      <c r="AD998" s="49">
        <v>6</v>
      </c>
      <c r="AE998" s="49">
        <v>56</v>
      </c>
      <c r="AF998" s="49">
        <v>3</v>
      </c>
      <c r="AG998" s="49">
        <v>483</v>
      </c>
      <c r="AH998" s="49">
        <v>5</v>
      </c>
      <c r="AI998" s="49">
        <v>407</v>
      </c>
      <c r="AJ998" s="49">
        <v>0</v>
      </c>
      <c r="AK998" s="83">
        <v>0</v>
      </c>
      <c r="AL998" s="49">
        <v>0</v>
      </c>
      <c r="AM998" s="49">
        <v>1</v>
      </c>
      <c r="AN998" s="49">
        <v>0</v>
      </c>
      <c r="AO998" s="58">
        <v>0</v>
      </c>
      <c r="AP998" s="174">
        <v>0</v>
      </c>
      <c r="AQ998" s="175">
        <v>0</v>
      </c>
      <c r="AR998" s="175">
        <v>47</v>
      </c>
      <c r="AS998" s="175">
        <v>210</v>
      </c>
      <c r="AT998" s="175">
        <v>0</v>
      </c>
      <c r="AU998" s="175">
        <v>0</v>
      </c>
      <c r="AV998" s="175">
        <v>0</v>
      </c>
      <c r="AW998" s="175">
        <v>0</v>
      </c>
      <c r="AX998" s="83">
        <v>0</v>
      </c>
      <c r="AY998" s="49">
        <v>0</v>
      </c>
      <c r="AZ998" s="49">
        <v>0</v>
      </c>
      <c r="BA998" s="49">
        <v>0</v>
      </c>
      <c r="BB998" s="58">
        <v>0</v>
      </c>
      <c r="BC998" s="42">
        <v>130</v>
      </c>
      <c r="BE998" s="49"/>
      <c r="BS998" s="58"/>
      <c r="BT998" s="83"/>
      <c r="CE998" s="83"/>
      <c r="CK998" s="58"/>
      <c r="CL998" s="83"/>
      <c r="CO998" s="58"/>
      <c r="CP998" s="83"/>
      <c r="CR998" s="58"/>
      <c r="CS998" s="83"/>
      <c r="CY998" s="83"/>
      <c r="DG998" s="58"/>
      <c r="DH998" s="83"/>
      <c r="DQ998" s="83"/>
      <c r="EE998" s="58"/>
      <c r="EF998" s="83"/>
      <c r="EI998" s="83"/>
      <c r="EK998" s="58"/>
      <c r="EL998" s="83"/>
      <c r="EO998" s="58"/>
      <c r="EP998" s="83"/>
      <c r="EQ998" s="58"/>
      <c r="ER998" s="83"/>
      <c r="ES998" s="58"/>
      <c r="ET998" s="83"/>
      <c r="EU998" s="58"/>
    </row>
    <row r="999" spans="1:151">
      <c r="A999" s="42" t="s">
        <v>320</v>
      </c>
      <c r="B999" s="42" t="s">
        <v>537</v>
      </c>
      <c r="C999" s="42" t="s">
        <v>538</v>
      </c>
      <c r="D999" s="83" t="s">
        <v>148</v>
      </c>
      <c r="F999" s="49" t="s">
        <v>286</v>
      </c>
      <c r="G999" s="60">
        <v>-0.48</v>
      </c>
      <c r="I999" s="49">
        <v>3117</v>
      </c>
      <c r="J999" s="159">
        <v>2.8834412580943569</v>
      </c>
      <c r="K999" s="49">
        <v>1</v>
      </c>
      <c r="L999" s="49">
        <v>3</v>
      </c>
      <c r="M999" s="83">
        <v>0</v>
      </c>
      <c r="N999" s="49">
        <v>0</v>
      </c>
      <c r="O999" s="49">
        <v>0</v>
      </c>
      <c r="P999" s="49">
        <v>0</v>
      </c>
      <c r="Q999" s="58">
        <v>0</v>
      </c>
      <c r="R999" s="42">
        <v>0</v>
      </c>
      <c r="S999" s="83">
        <v>1</v>
      </c>
      <c r="T999" s="49">
        <v>29</v>
      </c>
      <c r="U999" s="83">
        <v>1</v>
      </c>
      <c r="V999" s="49">
        <v>3</v>
      </c>
      <c r="W999" s="49">
        <v>2</v>
      </c>
      <c r="X999" s="58"/>
      <c r="Y999" s="83">
        <v>20</v>
      </c>
      <c r="Z999" s="49">
        <v>6</v>
      </c>
      <c r="AA999" s="49">
        <v>14</v>
      </c>
      <c r="AD999" s="49">
        <v>7</v>
      </c>
      <c r="AE999" s="49">
        <v>213</v>
      </c>
      <c r="AF999" s="49">
        <v>9</v>
      </c>
      <c r="AG999" s="49">
        <v>123</v>
      </c>
      <c r="AH999" s="49">
        <v>6</v>
      </c>
      <c r="AI999" s="49">
        <v>2343</v>
      </c>
      <c r="AJ999" s="49">
        <v>0</v>
      </c>
      <c r="AK999" s="83">
        <v>0</v>
      </c>
      <c r="AL999" s="49">
        <v>1</v>
      </c>
      <c r="AM999" s="49">
        <v>1</v>
      </c>
      <c r="AN999" s="49">
        <v>0</v>
      </c>
      <c r="AO999" s="58">
        <v>0</v>
      </c>
      <c r="AP999" s="174">
        <v>827</v>
      </c>
      <c r="AQ999" s="175">
        <v>1048</v>
      </c>
      <c r="AR999" s="175">
        <v>42</v>
      </c>
      <c r="AS999" s="175">
        <v>185</v>
      </c>
      <c r="AT999" s="175">
        <v>0</v>
      </c>
      <c r="AU999" s="175">
        <v>0</v>
      </c>
      <c r="AV999" s="175">
        <v>0</v>
      </c>
      <c r="AW999" s="175">
        <v>0</v>
      </c>
      <c r="AX999" s="83">
        <v>0</v>
      </c>
      <c r="AY999" s="49">
        <v>0</v>
      </c>
      <c r="AZ999" s="49">
        <v>0</v>
      </c>
      <c r="BA999" s="49">
        <v>0</v>
      </c>
      <c r="BB999" s="58">
        <v>0</v>
      </c>
      <c r="BC999" s="42">
        <v>127</v>
      </c>
      <c r="BD999" s="49">
        <v>86.25</v>
      </c>
      <c r="BE999" s="49"/>
      <c r="BS999" s="58"/>
      <c r="BT999" s="83"/>
      <c r="CE999" s="83"/>
      <c r="CK999" s="58"/>
      <c r="CL999" s="83">
        <v>68.739999999999995</v>
      </c>
      <c r="CM999" s="49">
        <v>66.62</v>
      </c>
      <c r="CO999" s="58"/>
      <c r="CP999" s="83"/>
      <c r="CR999" s="58"/>
      <c r="CS999" s="83"/>
      <c r="CY999" s="83"/>
      <c r="DG999" s="58"/>
      <c r="DH999" s="83"/>
      <c r="DQ999" s="83"/>
      <c r="EE999" s="58"/>
      <c r="EF999" s="83"/>
      <c r="EI999" s="83"/>
      <c r="EK999" s="58"/>
      <c r="EL999" s="83"/>
      <c r="EO999" s="58"/>
      <c r="EP999" s="83"/>
      <c r="EQ999" s="58"/>
      <c r="ER999" s="83"/>
      <c r="ES999" s="58"/>
      <c r="ET999" s="83"/>
      <c r="EU999" s="58"/>
    </row>
    <row r="1000" spans="1:151">
      <c r="A1000" s="42" t="s">
        <v>320</v>
      </c>
      <c r="B1000" s="42" t="s">
        <v>537</v>
      </c>
      <c r="C1000" s="42" t="s">
        <v>538</v>
      </c>
      <c r="D1000" s="83" t="s">
        <v>104</v>
      </c>
      <c r="F1000" s="49" t="s">
        <v>286</v>
      </c>
      <c r="G1000" s="60">
        <v>-0.48</v>
      </c>
      <c r="I1000" s="49">
        <v>2985</v>
      </c>
      <c r="J1000" s="159">
        <v>2.3193473193473193</v>
      </c>
      <c r="K1000" s="49">
        <v>4</v>
      </c>
      <c r="L1000" s="49">
        <v>3</v>
      </c>
      <c r="M1000" s="83">
        <v>0</v>
      </c>
      <c r="N1000" s="49">
        <v>1</v>
      </c>
      <c r="O1000" s="49">
        <v>0</v>
      </c>
      <c r="P1000" s="49">
        <v>0</v>
      </c>
      <c r="Q1000" s="58">
        <v>0</v>
      </c>
      <c r="R1000" s="42">
        <v>1</v>
      </c>
      <c r="S1000" s="83" t="s">
        <v>283</v>
      </c>
      <c r="T1000" s="49">
        <v>14</v>
      </c>
      <c r="U1000" s="83">
        <v>1</v>
      </c>
      <c r="V1000" s="49">
        <v>3</v>
      </c>
      <c r="W1000" s="49">
        <v>2</v>
      </c>
      <c r="X1000" s="58"/>
      <c r="Y1000" s="83">
        <v>2</v>
      </c>
      <c r="AH1000" s="49">
        <v>51</v>
      </c>
      <c r="AI1000" s="49">
        <v>439</v>
      </c>
      <c r="AJ1000" s="49">
        <v>0</v>
      </c>
      <c r="AK1000" s="83">
        <v>0</v>
      </c>
      <c r="AL1000" s="49">
        <v>0</v>
      </c>
      <c r="AM1000" s="49">
        <v>0</v>
      </c>
      <c r="AN1000" s="49">
        <v>0</v>
      </c>
      <c r="AO1000" s="58">
        <v>0</v>
      </c>
      <c r="AP1000" s="174">
        <v>0</v>
      </c>
      <c r="AQ1000" s="175">
        <v>0</v>
      </c>
      <c r="AR1000" s="175">
        <v>0</v>
      </c>
      <c r="AS1000" s="175">
        <v>0</v>
      </c>
      <c r="AT1000" s="175">
        <v>0</v>
      </c>
      <c r="AU1000" s="175">
        <v>0</v>
      </c>
      <c r="AV1000" s="175">
        <v>0</v>
      </c>
      <c r="AW1000" s="175">
        <v>0</v>
      </c>
      <c r="AX1000" s="83">
        <v>0</v>
      </c>
      <c r="AY1000" s="49">
        <v>0</v>
      </c>
      <c r="AZ1000" s="49">
        <v>0</v>
      </c>
      <c r="BA1000" s="49">
        <v>0</v>
      </c>
      <c r="BB1000" s="58">
        <v>0</v>
      </c>
      <c r="BC1000" s="42">
        <v>129</v>
      </c>
      <c r="BD1000" s="49">
        <v>74</v>
      </c>
      <c r="BE1000" s="49"/>
      <c r="BS1000" s="58"/>
      <c r="BT1000" s="83">
        <v>74.58</v>
      </c>
      <c r="CE1000" s="83"/>
      <c r="CK1000" s="58"/>
      <c r="CL1000" s="83">
        <v>71.45</v>
      </c>
      <c r="CO1000" s="58"/>
      <c r="CP1000" s="83"/>
      <c r="CR1000" s="58"/>
      <c r="CS1000" s="83"/>
      <c r="CY1000" s="83"/>
      <c r="DG1000" s="58"/>
      <c r="DH1000" s="83"/>
      <c r="DQ1000" s="83">
        <v>71.64</v>
      </c>
      <c r="EE1000" s="58"/>
      <c r="EF1000" s="83"/>
      <c r="EI1000" s="83"/>
      <c r="EK1000" s="58"/>
      <c r="EL1000" s="83"/>
      <c r="EO1000" s="58"/>
      <c r="EP1000" s="83"/>
      <c r="EQ1000" s="58"/>
      <c r="ER1000" s="83"/>
      <c r="ES1000" s="58"/>
      <c r="ET1000" s="83"/>
      <c r="EU1000" s="58"/>
    </row>
    <row r="1001" spans="1:151">
      <c r="A1001" s="42" t="s">
        <v>320</v>
      </c>
      <c r="B1001" s="42" t="s">
        <v>537</v>
      </c>
      <c r="C1001" s="42" t="s">
        <v>538</v>
      </c>
      <c r="D1001" s="83" t="s">
        <v>105</v>
      </c>
      <c r="F1001" s="49" t="s">
        <v>286</v>
      </c>
      <c r="G1001" s="60">
        <v>-0.48</v>
      </c>
      <c r="I1001" s="49">
        <v>3941</v>
      </c>
      <c r="J1001" s="159">
        <v>2.3783946891973446</v>
      </c>
      <c r="K1001" s="49">
        <v>1</v>
      </c>
      <c r="L1001" s="49">
        <v>1</v>
      </c>
      <c r="M1001" s="83">
        <v>0</v>
      </c>
      <c r="N1001" s="49">
        <v>1</v>
      </c>
      <c r="O1001" s="49">
        <v>0</v>
      </c>
      <c r="P1001" s="49">
        <v>1</v>
      </c>
      <c r="Q1001" s="58">
        <v>0</v>
      </c>
      <c r="R1001" s="42">
        <v>2</v>
      </c>
      <c r="S1001" s="83" t="s">
        <v>283</v>
      </c>
      <c r="T1001" s="49">
        <v>17</v>
      </c>
      <c r="U1001" s="83">
        <v>1</v>
      </c>
      <c r="V1001" s="49">
        <v>4</v>
      </c>
      <c r="W1001" s="49">
        <v>1</v>
      </c>
      <c r="X1001" s="58">
        <v>2</v>
      </c>
      <c r="Y1001" s="83">
        <v>5</v>
      </c>
      <c r="AD1001" s="49">
        <v>9</v>
      </c>
      <c r="AE1001" s="49">
        <v>204</v>
      </c>
      <c r="AF1001" s="49">
        <v>28</v>
      </c>
      <c r="AG1001" s="49">
        <v>426</v>
      </c>
      <c r="AH1001" s="49">
        <v>66</v>
      </c>
      <c r="AI1001" s="49">
        <v>537</v>
      </c>
      <c r="AJ1001" s="49">
        <v>0</v>
      </c>
      <c r="AK1001" s="83">
        <v>0</v>
      </c>
      <c r="AL1001" s="49">
        <v>1</v>
      </c>
      <c r="AM1001" s="49">
        <v>0</v>
      </c>
      <c r="AN1001" s="49">
        <v>0</v>
      </c>
      <c r="AO1001" s="58">
        <v>0</v>
      </c>
      <c r="AP1001" s="174">
        <v>369</v>
      </c>
      <c r="AQ1001" s="175">
        <v>611</v>
      </c>
      <c r="AR1001" s="175">
        <v>0</v>
      </c>
      <c r="AS1001" s="175">
        <v>0</v>
      </c>
      <c r="AT1001" s="175">
        <v>0</v>
      </c>
      <c r="AU1001" s="175">
        <v>0</v>
      </c>
      <c r="AV1001" s="175">
        <v>0</v>
      </c>
      <c r="AW1001" s="175">
        <v>0</v>
      </c>
      <c r="AX1001" s="83">
        <v>0</v>
      </c>
      <c r="AY1001" s="49">
        <v>0</v>
      </c>
      <c r="AZ1001" s="49">
        <v>0</v>
      </c>
      <c r="BA1001" s="49">
        <v>0</v>
      </c>
      <c r="BB1001" s="58">
        <v>0</v>
      </c>
      <c r="BC1001" s="42">
        <v>132</v>
      </c>
      <c r="BE1001" s="49"/>
      <c r="BS1001" s="58"/>
      <c r="BT1001" s="83"/>
      <c r="CE1001" s="83"/>
      <c r="CK1001" s="58"/>
      <c r="CL1001" s="83"/>
      <c r="CO1001" s="58"/>
      <c r="CP1001" s="83"/>
      <c r="CR1001" s="58"/>
      <c r="CS1001" s="83"/>
      <c r="CY1001" s="83"/>
      <c r="DG1001" s="58"/>
      <c r="DH1001" s="83"/>
      <c r="DQ1001" s="83"/>
      <c r="EE1001" s="58"/>
      <c r="EF1001" s="83"/>
      <c r="EI1001" s="83"/>
      <c r="EK1001" s="58"/>
      <c r="EL1001" s="83"/>
      <c r="EO1001" s="58"/>
      <c r="EP1001" s="83"/>
      <c r="EQ1001" s="58"/>
      <c r="ER1001" s="83"/>
      <c r="ES1001" s="58"/>
      <c r="ET1001" s="83"/>
      <c r="EU1001" s="58"/>
    </row>
    <row r="1002" spans="1:151">
      <c r="A1002" s="42" t="s">
        <v>320</v>
      </c>
      <c r="B1002" s="42" t="s">
        <v>537</v>
      </c>
      <c r="C1002" s="42" t="s">
        <v>538</v>
      </c>
      <c r="D1002" s="83" t="s">
        <v>149</v>
      </c>
      <c r="F1002" s="49" t="s">
        <v>286</v>
      </c>
      <c r="G1002" s="60">
        <v>-0.48</v>
      </c>
      <c r="I1002" s="49">
        <v>1472</v>
      </c>
      <c r="J1002" s="159">
        <v>1.3718546132339235</v>
      </c>
      <c r="K1002" s="49">
        <v>4</v>
      </c>
      <c r="L1002" s="49">
        <v>5</v>
      </c>
      <c r="M1002" s="83">
        <v>0</v>
      </c>
      <c r="N1002" s="49">
        <v>1</v>
      </c>
      <c r="O1002" s="49">
        <v>0</v>
      </c>
      <c r="P1002" s="49">
        <v>0</v>
      </c>
      <c r="Q1002" s="58">
        <v>0</v>
      </c>
      <c r="R1002" s="42">
        <v>1</v>
      </c>
      <c r="S1002" s="83" t="s">
        <v>283</v>
      </c>
      <c r="T1002" s="49">
        <v>18</v>
      </c>
      <c r="U1002" s="83">
        <v>1</v>
      </c>
      <c r="V1002" s="49">
        <v>5</v>
      </c>
      <c r="W1002" s="49">
        <v>2</v>
      </c>
      <c r="X1002" s="58"/>
      <c r="Y1002" s="83">
        <v>10</v>
      </c>
      <c r="AA1002" s="49">
        <v>6</v>
      </c>
      <c r="AD1002" s="49">
        <v>6</v>
      </c>
      <c r="AE1002" s="49">
        <v>7</v>
      </c>
      <c r="AF1002" s="49">
        <v>4</v>
      </c>
      <c r="AG1002" s="49">
        <v>63</v>
      </c>
      <c r="AH1002" s="49">
        <v>3</v>
      </c>
      <c r="AI1002" s="49">
        <v>325</v>
      </c>
      <c r="AJ1002" s="49">
        <v>0</v>
      </c>
      <c r="AK1002" s="83">
        <v>0</v>
      </c>
      <c r="AL1002" s="49">
        <v>0</v>
      </c>
      <c r="AM1002" s="49">
        <v>1</v>
      </c>
      <c r="AN1002" s="49">
        <v>0</v>
      </c>
      <c r="AO1002" s="58">
        <v>0</v>
      </c>
      <c r="AP1002" s="174">
        <v>0</v>
      </c>
      <c r="AQ1002" s="175">
        <v>0</v>
      </c>
      <c r="AR1002" s="175">
        <v>15</v>
      </c>
      <c r="AS1002" s="175">
        <v>130</v>
      </c>
      <c r="AT1002" s="175">
        <v>0</v>
      </c>
      <c r="AU1002" s="175">
        <v>0</v>
      </c>
      <c r="AV1002" s="175">
        <v>0</v>
      </c>
      <c r="AW1002" s="175">
        <v>0</v>
      </c>
      <c r="AX1002" s="83">
        <v>0</v>
      </c>
      <c r="AY1002" s="49">
        <v>0</v>
      </c>
      <c r="AZ1002" s="49">
        <v>0</v>
      </c>
      <c r="BA1002" s="49">
        <v>0</v>
      </c>
      <c r="BB1002" s="58">
        <v>0</v>
      </c>
      <c r="BC1002" s="42">
        <v>160</v>
      </c>
      <c r="BE1002" s="49"/>
      <c r="BS1002" s="58"/>
      <c r="BT1002" s="83"/>
      <c r="CE1002" s="83"/>
      <c r="CK1002" s="58"/>
      <c r="CL1002" s="83"/>
      <c r="CO1002" s="58"/>
      <c r="CP1002" s="83"/>
      <c r="CR1002" s="58"/>
      <c r="CS1002" s="83"/>
      <c r="CY1002" s="83"/>
      <c r="DG1002" s="58"/>
      <c r="DH1002" s="83"/>
      <c r="DQ1002" s="83"/>
      <c r="EE1002" s="58"/>
      <c r="EF1002" s="83"/>
      <c r="EI1002" s="83"/>
      <c r="EK1002" s="58"/>
      <c r="EL1002" s="83"/>
      <c r="EO1002" s="58"/>
      <c r="EP1002" s="83"/>
      <c r="EQ1002" s="58"/>
      <c r="ER1002" s="83"/>
      <c r="ES1002" s="58"/>
      <c r="ET1002" s="83"/>
      <c r="EU1002" s="58"/>
    </row>
    <row r="1003" spans="1:151" ht="15" customHeight="1">
      <c r="A1003" s="42" t="s">
        <v>320</v>
      </c>
      <c r="B1003" s="42" t="s">
        <v>537</v>
      </c>
      <c r="C1003" s="42" t="s">
        <v>538</v>
      </c>
      <c r="D1003" s="83" t="s">
        <v>106</v>
      </c>
      <c r="F1003" s="49" t="s">
        <v>286</v>
      </c>
      <c r="G1003" s="60">
        <v>-0.48</v>
      </c>
      <c r="I1003" s="49">
        <v>1253</v>
      </c>
      <c r="J1003" s="159">
        <v>1.3516720604099244</v>
      </c>
      <c r="K1003" s="49">
        <v>1</v>
      </c>
      <c r="L1003" s="49">
        <v>2</v>
      </c>
      <c r="M1003" s="83">
        <v>1</v>
      </c>
      <c r="N1003" s="49">
        <v>3</v>
      </c>
      <c r="O1003" s="49">
        <v>0</v>
      </c>
      <c r="P1003" s="49">
        <v>1</v>
      </c>
      <c r="Q1003" s="58">
        <v>0</v>
      </c>
      <c r="R1003" s="42">
        <v>5</v>
      </c>
      <c r="S1003" s="83">
        <v>1</v>
      </c>
      <c r="U1003" s="83">
        <v>1</v>
      </c>
      <c r="V1003" s="49">
        <v>1</v>
      </c>
      <c r="W1003" s="49">
        <v>2</v>
      </c>
      <c r="X1003" s="58"/>
      <c r="Y1003" s="83">
        <v>8</v>
      </c>
      <c r="AA1003" s="49">
        <v>5</v>
      </c>
      <c r="AD1003" s="49">
        <v>13</v>
      </c>
      <c r="AE1003" s="49">
        <v>402</v>
      </c>
      <c r="AF1003" s="49">
        <v>6</v>
      </c>
      <c r="AG1003" s="49">
        <v>77</v>
      </c>
      <c r="AH1003" s="49">
        <v>19</v>
      </c>
      <c r="AI1003" s="49">
        <v>577</v>
      </c>
      <c r="AJ1003" s="49">
        <v>0</v>
      </c>
      <c r="AK1003" s="83">
        <v>0</v>
      </c>
      <c r="AL1003" s="49">
        <v>1</v>
      </c>
      <c r="AM1003" s="49">
        <v>1</v>
      </c>
      <c r="AN1003" s="49">
        <v>0</v>
      </c>
      <c r="AO1003" s="58">
        <v>0</v>
      </c>
      <c r="AP1003" s="174">
        <v>718</v>
      </c>
      <c r="AQ1003" s="175">
        <v>1010</v>
      </c>
      <c r="AR1003" s="175">
        <v>81</v>
      </c>
      <c r="AS1003" s="175">
        <v>111</v>
      </c>
      <c r="AT1003" s="175">
        <v>0</v>
      </c>
      <c r="AU1003" s="175">
        <v>0</v>
      </c>
      <c r="AV1003" s="175">
        <v>0</v>
      </c>
      <c r="AW1003" s="175">
        <v>0</v>
      </c>
      <c r="AX1003" s="83">
        <v>0</v>
      </c>
      <c r="AY1003" s="49">
        <v>0</v>
      </c>
      <c r="AZ1003" s="49">
        <v>0</v>
      </c>
      <c r="BA1003" s="49">
        <v>0</v>
      </c>
      <c r="BB1003" s="58">
        <v>0</v>
      </c>
      <c r="BC1003" s="42">
        <v>118</v>
      </c>
      <c r="BD1003" s="49">
        <v>76.11</v>
      </c>
      <c r="BE1003" s="49"/>
      <c r="BS1003" s="58"/>
      <c r="BT1003" s="83">
        <v>77.53</v>
      </c>
      <c r="CE1003" s="83"/>
      <c r="CK1003" s="58"/>
      <c r="CL1003" s="83">
        <v>68.38</v>
      </c>
      <c r="CM1003" s="49">
        <v>69.760000000000005</v>
      </c>
      <c r="CN1003" s="49">
        <v>64.599999999999994</v>
      </c>
      <c r="CO1003" s="58"/>
      <c r="CP1003" s="83"/>
      <c r="CR1003" s="58"/>
      <c r="CS1003" s="83"/>
      <c r="CY1003" s="83"/>
      <c r="DG1003" s="58"/>
      <c r="DH1003" s="83"/>
      <c r="DQ1003" s="83">
        <v>70.650000000000006</v>
      </c>
      <c r="EE1003" s="58"/>
      <c r="EF1003" s="83"/>
      <c r="EI1003" s="83"/>
      <c r="EK1003" s="58"/>
      <c r="EL1003" s="83"/>
      <c r="EO1003" s="58"/>
      <c r="EP1003" s="83"/>
      <c r="EQ1003" s="58"/>
      <c r="ER1003" s="83"/>
      <c r="ES1003" s="58"/>
      <c r="ET1003" s="83"/>
      <c r="EU1003" s="58"/>
    </row>
    <row r="1004" spans="1:151" ht="17" thickBot="1">
      <c r="A1004" s="55" t="s">
        <v>320</v>
      </c>
      <c r="B1004" s="42" t="s">
        <v>537</v>
      </c>
      <c r="C1004" s="42" t="s">
        <v>538</v>
      </c>
      <c r="D1004" s="83" t="s">
        <v>107</v>
      </c>
      <c r="F1004" s="49" t="s">
        <v>286</v>
      </c>
      <c r="G1004" s="60">
        <v>-0.48</v>
      </c>
      <c r="I1004" s="49">
        <v>1718</v>
      </c>
      <c r="J1004" s="159">
        <v>1.5491433724075745</v>
      </c>
      <c r="K1004" s="49">
        <v>1</v>
      </c>
      <c r="L1004" s="49">
        <v>3</v>
      </c>
      <c r="M1004" s="83">
        <v>1</v>
      </c>
      <c r="N1004" s="49">
        <v>0</v>
      </c>
      <c r="O1004" s="49">
        <v>1</v>
      </c>
      <c r="P1004" s="49">
        <v>1</v>
      </c>
      <c r="Q1004" s="58">
        <v>0</v>
      </c>
      <c r="R1004" s="42">
        <v>3</v>
      </c>
      <c r="S1004" s="83">
        <v>1</v>
      </c>
      <c r="T1004" s="49">
        <v>15</v>
      </c>
      <c r="U1004" s="83">
        <v>4</v>
      </c>
      <c r="V1004" s="49">
        <v>2</v>
      </c>
      <c r="W1004" s="49">
        <v>3</v>
      </c>
      <c r="X1004" s="58">
        <v>3</v>
      </c>
      <c r="Y1004" s="83">
        <v>1</v>
      </c>
      <c r="Z1004" s="49">
        <v>4</v>
      </c>
      <c r="AA1004" s="49">
        <v>10</v>
      </c>
      <c r="AD1004" s="49">
        <v>2</v>
      </c>
      <c r="AE1004" s="49">
        <v>27</v>
      </c>
      <c r="AF1004" s="49">
        <v>10</v>
      </c>
      <c r="AG1004" s="49">
        <v>125</v>
      </c>
      <c r="AH1004" s="49">
        <v>6</v>
      </c>
      <c r="AI1004" s="49">
        <v>81</v>
      </c>
      <c r="AJ1004" s="49">
        <v>0</v>
      </c>
      <c r="AK1004" s="83">
        <v>0</v>
      </c>
      <c r="AL1004" s="49">
        <v>1</v>
      </c>
      <c r="AM1004" s="49">
        <v>1</v>
      </c>
      <c r="AN1004" s="49">
        <v>0</v>
      </c>
      <c r="AO1004" s="58">
        <v>0</v>
      </c>
      <c r="AP1004" s="174">
        <v>513</v>
      </c>
      <c r="AQ1004" s="175">
        <v>807</v>
      </c>
      <c r="AR1004" s="175">
        <v>72</v>
      </c>
      <c r="AS1004" s="175">
        <v>182</v>
      </c>
      <c r="AT1004" s="175">
        <v>0</v>
      </c>
      <c r="AU1004" s="175">
        <v>0</v>
      </c>
      <c r="AV1004" s="175">
        <v>0</v>
      </c>
      <c r="AW1004" s="175">
        <v>0</v>
      </c>
      <c r="AX1004" s="83">
        <v>0</v>
      </c>
      <c r="AY1004" s="49">
        <v>0</v>
      </c>
      <c r="AZ1004" s="49">
        <v>0</v>
      </c>
      <c r="BA1004" s="49">
        <v>0</v>
      </c>
      <c r="BB1004" s="58">
        <v>0</v>
      </c>
      <c r="BC1004" s="42">
        <v>106</v>
      </c>
      <c r="BD1004" s="49">
        <v>78.510000000000005</v>
      </c>
      <c r="BE1004" s="49">
        <v>79.3</v>
      </c>
      <c r="BS1004" s="58"/>
      <c r="BT1004" s="83">
        <v>77.849999999999994</v>
      </c>
      <c r="BU1004" s="49">
        <v>76.400000000000006</v>
      </c>
      <c r="CE1004" s="83">
        <v>68.7</v>
      </c>
      <c r="CK1004" s="58"/>
      <c r="CL1004" s="83"/>
      <c r="CO1004" s="58"/>
      <c r="CP1004" s="83"/>
      <c r="CR1004" s="58"/>
      <c r="CS1004" s="83"/>
      <c r="CY1004" s="83"/>
      <c r="DG1004" s="58"/>
      <c r="DH1004" s="83"/>
      <c r="DQ1004" s="83"/>
      <c r="EE1004" s="58"/>
      <c r="EF1004" s="83"/>
      <c r="EI1004" s="83"/>
      <c r="EK1004" s="58"/>
      <c r="EL1004" s="83"/>
      <c r="EO1004" s="58"/>
      <c r="EP1004" s="83"/>
      <c r="EQ1004" s="58"/>
      <c r="ER1004" s="83"/>
      <c r="ES1004" s="58"/>
      <c r="ET1004" s="83"/>
      <c r="EU1004" s="58"/>
    </row>
    <row r="1005" spans="1:151" ht="17" thickBot="1">
      <c r="A1005" s="83" t="s">
        <v>324</v>
      </c>
      <c r="B1005" s="88" t="s">
        <v>539</v>
      </c>
      <c r="C1005" s="88" t="s">
        <v>540</v>
      </c>
      <c r="D1005" s="85" t="s">
        <v>64</v>
      </c>
      <c r="E1005" s="76"/>
      <c r="F1005" s="76" t="s">
        <v>286</v>
      </c>
      <c r="G1005" s="188">
        <v>18.020499999999998</v>
      </c>
      <c r="H1005" s="76"/>
      <c r="I1005" s="76">
        <v>6669</v>
      </c>
      <c r="J1005" s="155">
        <v>1.8112438891906573</v>
      </c>
      <c r="K1005" s="76">
        <v>4</v>
      </c>
      <c r="L1005" s="76">
        <v>5</v>
      </c>
      <c r="M1005" s="85">
        <v>0</v>
      </c>
      <c r="N1005" s="76">
        <v>3</v>
      </c>
      <c r="O1005" s="76">
        <v>0</v>
      </c>
      <c r="P1005" s="76">
        <v>1</v>
      </c>
      <c r="Q1005" s="86">
        <v>0</v>
      </c>
      <c r="R1005" s="88">
        <v>4</v>
      </c>
      <c r="S1005" s="85">
        <v>1</v>
      </c>
      <c r="T1005" s="76"/>
      <c r="U1005" s="85">
        <v>2</v>
      </c>
      <c r="V1005" s="76">
        <v>3</v>
      </c>
      <c r="W1005" s="76">
        <v>3</v>
      </c>
      <c r="X1005" s="86">
        <v>3</v>
      </c>
      <c r="Y1005" s="85">
        <v>3</v>
      </c>
      <c r="Z1005" s="76">
        <v>9</v>
      </c>
      <c r="AA1005" s="76">
        <v>48</v>
      </c>
      <c r="AB1005" s="76"/>
      <c r="AC1005" s="76"/>
      <c r="AD1005" s="76">
        <v>13</v>
      </c>
      <c r="AE1005" s="76">
        <v>572</v>
      </c>
      <c r="AF1005" s="76">
        <v>12</v>
      </c>
      <c r="AG1005" s="76">
        <v>612</v>
      </c>
      <c r="AH1005" s="76">
        <v>24</v>
      </c>
      <c r="AI1005" s="76">
        <v>791</v>
      </c>
      <c r="AJ1005" s="76">
        <v>0</v>
      </c>
      <c r="AK1005" s="85">
        <v>0</v>
      </c>
      <c r="AL1005" s="76">
        <v>1</v>
      </c>
      <c r="AM1005" s="76">
        <v>0</v>
      </c>
      <c r="AN1005" s="76">
        <v>0</v>
      </c>
      <c r="AO1005" s="86">
        <v>0</v>
      </c>
      <c r="AP1005" s="186">
        <v>0</v>
      </c>
      <c r="AQ1005" s="187">
        <v>4622</v>
      </c>
      <c r="AR1005" s="187">
        <v>0</v>
      </c>
      <c r="AS1005" s="187">
        <v>0</v>
      </c>
      <c r="AT1005" s="187">
        <v>0</v>
      </c>
      <c r="AU1005" s="187">
        <v>0</v>
      </c>
      <c r="AV1005" s="187">
        <v>0</v>
      </c>
      <c r="AW1005" s="187">
        <v>0</v>
      </c>
      <c r="AX1005" s="85">
        <v>0</v>
      </c>
      <c r="AY1005" s="76">
        <v>0</v>
      </c>
      <c r="AZ1005" s="76">
        <v>0</v>
      </c>
      <c r="BA1005" s="76">
        <v>0</v>
      </c>
      <c r="BB1005" s="86">
        <v>0</v>
      </c>
      <c r="BC1005" s="88">
        <v>104</v>
      </c>
      <c r="BD1005" s="76">
        <v>78.02</v>
      </c>
      <c r="BE1005" s="76">
        <v>77.819999999999993</v>
      </c>
      <c r="BF1005" s="76"/>
      <c r="BG1005" s="76"/>
      <c r="BH1005" s="76"/>
      <c r="BI1005" s="76"/>
      <c r="BJ1005" s="76"/>
      <c r="BK1005" s="76"/>
      <c r="BL1005" s="76"/>
      <c r="BM1005" s="76"/>
      <c r="BN1005" s="76"/>
      <c r="BO1005" s="76"/>
      <c r="BP1005" s="76"/>
      <c r="BQ1005" s="76"/>
      <c r="BR1005" s="76"/>
      <c r="BS1005" s="86"/>
      <c r="BT1005" s="85">
        <v>79.209999999999994</v>
      </c>
      <c r="BU1005" s="76">
        <v>82.82</v>
      </c>
      <c r="BV1005" s="76"/>
      <c r="BW1005" s="76"/>
      <c r="BX1005" s="76"/>
      <c r="BY1005" s="76"/>
      <c r="BZ1005" s="76"/>
      <c r="CA1005" s="76"/>
      <c r="CB1005" s="76"/>
      <c r="CC1005" s="76"/>
      <c r="CD1005" s="76"/>
      <c r="CE1005" s="85"/>
      <c r="CF1005" s="76"/>
      <c r="CG1005" s="76"/>
      <c r="CH1005" s="76"/>
      <c r="CI1005" s="76"/>
      <c r="CJ1005" s="76"/>
      <c r="CK1005" s="86"/>
      <c r="CL1005" s="85"/>
      <c r="CM1005" s="76"/>
      <c r="CN1005" s="76"/>
      <c r="CO1005" s="86"/>
      <c r="CP1005" s="85"/>
      <c r="CQ1005" s="76"/>
      <c r="CR1005" s="86"/>
      <c r="CS1005" s="85"/>
      <c r="CT1005" s="76"/>
      <c r="CU1005" s="76"/>
      <c r="CV1005" s="76"/>
      <c r="CW1005" s="76"/>
      <c r="CX1005" s="76"/>
      <c r="CY1005" s="85"/>
      <c r="CZ1005" s="76"/>
      <c r="DA1005" s="76"/>
      <c r="DB1005" s="76"/>
      <c r="DC1005" s="76"/>
      <c r="DD1005" s="76"/>
      <c r="DE1005" s="76"/>
      <c r="DF1005" s="76"/>
      <c r="DG1005" s="86"/>
      <c r="DH1005" s="85"/>
      <c r="DI1005" s="76"/>
      <c r="DJ1005" s="76"/>
      <c r="DK1005" s="76"/>
      <c r="DL1005" s="76"/>
      <c r="DM1005" s="76"/>
      <c r="DN1005" s="76"/>
      <c r="DO1005" s="76"/>
      <c r="DP1005" s="76"/>
      <c r="DQ1005" s="85">
        <v>79.45</v>
      </c>
      <c r="DR1005" s="76"/>
      <c r="DS1005" s="76"/>
      <c r="DT1005" s="76"/>
      <c r="DU1005" s="76"/>
      <c r="DV1005" s="76"/>
      <c r="DW1005" s="76"/>
      <c r="DX1005" s="76"/>
      <c r="DY1005" s="76"/>
      <c r="DZ1005" s="76"/>
      <c r="EA1005" s="76"/>
      <c r="EB1005" s="76"/>
      <c r="EC1005" s="76"/>
      <c r="ED1005" s="76"/>
      <c r="EE1005" s="86"/>
      <c r="EF1005" s="85"/>
      <c r="EG1005" s="76"/>
      <c r="EH1005" s="76"/>
      <c r="EI1005" s="85">
        <v>83.09</v>
      </c>
      <c r="EJ1005" s="76"/>
      <c r="EK1005" s="86"/>
      <c r="EL1005" s="85">
        <v>83.15</v>
      </c>
      <c r="EM1005" s="76"/>
      <c r="EN1005" s="76"/>
      <c r="EO1005" s="86"/>
      <c r="EP1005" s="85">
        <v>78.209999999999994</v>
      </c>
      <c r="EQ1005" s="86"/>
      <c r="ER1005" s="85"/>
      <c r="ES1005" s="86"/>
      <c r="ET1005" s="85"/>
      <c r="EU1005" s="86"/>
    </row>
    <row r="1006" spans="1:151">
      <c r="A1006" s="87" t="s">
        <v>324</v>
      </c>
      <c r="B1006" s="7" t="s">
        <v>541</v>
      </c>
      <c r="C1006" s="7" t="s">
        <v>542</v>
      </c>
      <c r="D1006" s="147" t="s">
        <v>64</v>
      </c>
      <c r="E1006" s="148"/>
      <c r="F1006" s="148" t="s">
        <v>287</v>
      </c>
      <c r="G1006" s="78">
        <v>16.225000000000001</v>
      </c>
      <c r="H1006" s="148"/>
      <c r="I1006" s="148">
        <v>525</v>
      </c>
      <c r="J1006" s="158">
        <v>3.8888888888888888</v>
      </c>
      <c r="K1006" s="148">
        <v>1</v>
      </c>
      <c r="L1006" s="148">
        <v>2</v>
      </c>
      <c r="M1006" s="147">
        <v>0</v>
      </c>
      <c r="N1006" s="148">
        <v>0</v>
      </c>
      <c r="O1006" s="148">
        <v>0</v>
      </c>
      <c r="P1006" s="148">
        <v>0</v>
      </c>
      <c r="Q1006" s="149">
        <v>0</v>
      </c>
      <c r="R1006" s="87">
        <v>0</v>
      </c>
      <c r="S1006" s="147" t="s">
        <v>284</v>
      </c>
      <c r="T1006" s="148"/>
      <c r="U1006" s="147">
        <v>0</v>
      </c>
      <c r="V1006" s="148">
        <v>0</v>
      </c>
      <c r="W1006" s="148">
        <v>0</v>
      </c>
      <c r="X1006" s="149"/>
      <c r="Y1006" s="147">
        <v>1</v>
      </c>
      <c r="Z1006" s="148"/>
      <c r="AA1006" s="148"/>
      <c r="AB1006" s="148"/>
      <c r="AC1006" s="148"/>
      <c r="AD1006" s="148"/>
      <c r="AE1006" s="148">
        <v>33</v>
      </c>
      <c r="AF1006" s="148"/>
      <c r="AG1006" s="148"/>
      <c r="AH1006" s="148"/>
      <c r="AI1006" s="148"/>
      <c r="AJ1006" s="148">
        <v>0</v>
      </c>
      <c r="AK1006" s="147">
        <v>0</v>
      </c>
      <c r="AL1006" s="148">
        <v>0</v>
      </c>
      <c r="AM1006" s="148">
        <v>1</v>
      </c>
      <c r="AN1006" s="148">
        <v>0</v>
      </c>
      <c r="AO1006" s="149">
        <v>0</v>
      </c>
      <c r="AP1006" s="169" t="s">
        <v>284</v>
      </c>
      <c r="AQ1006" s="170" t="s">
        <v>284</v>
      </c>
      <c r="AR1006" s="170" t="s">
        <v>501</v>
      </c>
      <c r="AS1006" s="170" t="s">
        <v>501</v>
      </c>
      <c r="AT1006" s="170" t="s">
        <v>284</v>
      </c>
      <c r="AU1006" s="170" t="s">
        <v>284</v>
      </c>
      <c r="AV1006" s="170" t="s">
        <v>284</v>
      </c>
      <c r="AW1006" s="170" t="s">
        <v>284</v>
      </c>
      <c r="AX1006" s="147">
        <v>0</v>
      </c>
      <c r="AY1006" s="148">
        <v>0</v>
      </c>
      <c r="AZ1006" s="148">
        <v>0</v>
      </c>
      <c r="BA1006" s="148">
        <v>0</v>
      </c>
      <c r="BB1006" s="149">
        <v>0</v>
      </c>
      <c r="BC1006" s="87"/>
      <c r="BD1006" s="148"/>
      <c r="BE1006" s="158"/>
      <c r="BF1006" s="148"/>
      <c r="BG1006" s="148"/>
      <c r="BH1006" s="148"/>
      <c r="BI1006" s="148"/>
      <c r="BJ1006" s="148"/>
      <c r="BK1006" s="148"/>
      <c r="BL1006" s="148"/>
      <c r="BM1006" s="148"/>
      <c r="BN1006" s="148"/>
      <c r="BO1006" s="148"/>
      <c r="BP1006" s="148"/>
      <c r="BQ1006" s="148"/>
      <c r="BR1006" s="148"/>
      <c r="BS1006" s="149"/>
      <c r="BT1006" s="147"/>
      <c r="BU1006" s="148"/>
      <c r="BV1006" s="148"/>
      <c r="BW1006" s="148"/>
      <c r="BX1006" s="148"/>
      <c r="BY1006" s="148"/>
      <c r="BZ1006" s="148"/>
      <c r="CA1006" s="148"/>
      <c r="CB1006" s="148"/>
      <c r="CC1006" s="148"/>
      <c r="CD1006" s="148"/>
      <c r="CE1006" s="147"/>
      <c r="CF1006" s="148"/>
      <c r="CG1006" s="148"/>
      <c r="CH1006" s="148"/>
      <c r="CI1006" s="148"/>
      <c r="CJ1006" s="148"/>
      <c r="CK1006" s="149"/>
      <c r="CL1006" s="147"/>
      <c r="CM1006" s="148"/>
      <c r="CN1006" s="148"/>
      <c r="CO1006" s="149"/>
      <c r="CP1006" s="147"/>
      <c r="CQ1006" s="148"/>
      <c r="CR1006" s="149"/>
      <c r="CS1006" s="147"/>
      <c r="CT1006" s="148"/>
      <c r="CU1006" s="148"/>
      <c r="CV1006" s="148"/>
      <c r="CW1006" s="148"/>
      <c r="CX1006" s="148"/>
      <c r="CY1006" s="147"/>
      <c r="CZ1006" s="148"/>
      <c r="DA1006" s="148"/>
      <c r="DB1006" s="148"/>
      <c r="DC1006" s="148"/>
      <c r="DD1006" s="148"/>
      <c r="DE1006" s="148"/>
      <c r="DF1006" s="148"/>
      <c r="DG1006" s="149"/>
      <c r="DH1006" s="147"/>
      <c r="DI1006" s="148"/>
      <c r="DJ1006" s="148"/>
      <c r="DK1006" s="148"/>
      <c r="DL1006" s="148"/>
      <c r="DM1006" s="148"/>
      <c r="DN1006" s="148"/>
      <c r="DO1006" s="148"/>
      <c r="DP1006" s="148"/>
      <c r="DQ1006" s="147"/>
      <c r="DR1006" s="148"/>
      <c r="DS1006" s="148"/>
      <c r="DT1006" s="148"/>
      <c r="DU1006" s="148"/>
      <c r="DV1006" s="148"/>
      <c r="DW1006" s="148"/>
      <c r="DX1006" s="148"/>
      <c r="DY1006" s="148"/>
      <c r="DZ1006" s="148"/>
      <c r="EA1006" s="148"/>
      <c r="EB1006" s="148"/>
      <c r="EC1006" s="148"/>
      <c r="ED1006" s="148"/>
      <c r="EE1006" s="149"/>
      <c r="EF1006" s="147"/>
      <c r="EG1006" s="148"/>
      <c r="EH1006" s="148"/>
      <c r="EI1006" s="147"/>
      <c r="EJ1006" s="148"/>
      <c r="EK1006" s="149"/>
      <c r="EL1006" s="147"/>
      <c r="EM1006" s="148"/>
      <c r="EN1006" s="148"/>
      <c r="EO1006" s="149"/>
      <c r="EP1006" s="147"/>
      <c r="EQ1006" s="149"/>
      <c r="ER1006" s="147"/>
      <c r="ES1006" s="149"/>
      <c r="ET1006" s="147"/>
      <c r="EU1006" s="149"/>
    </row>
    <row r="1007" spans="1:151" ht="17" thickBot="1">
      <c r="A1007" s="55" t="s">
        <v>324</v>
      </c>
      <c r="B1007" s="47" t="s">
        <v>541</v>
      </c>
      <c r="C1007" s="47" t="s">
        <v>542</v>
      </c>
      <c r="D1007" s="84" t="s">
        <v>65</v>
      </c>
      <c r="E1007" s="57"/>
      <c r="F1007" s="57" t="s">
        <v>287</v>
      </c>
      <c r="G1007" s="79">
        <v>16.225000000000001</v>
      </c>
      <c r="H1007" s="57"/>
      <c r="I1007" s="57">
        <v>287</v>
      </c>
      <c r="J1007" s="75">
        <v>1.1526104417670682</v>
      </c>
      <c r="K1007" s="57">
        <v>4</v>
      </c>
      <c r="L1007" s="57">
        <v>3</v>
      </c>
      <c r="M1007" s="84">
        <v>0</v>
      </c>
      <c r="N1007" s="57">
        <v>0</v>
      </c>
      <c r="O1007" s="57">
        <v>0</v>
      </c>
      <c r="P1007" s="57">
        <v>1</v>
      </c>
      <c r="Q1007" s="56">
        <v>0</v>
      </c>
      <c r="R1007" s="55">
        <v>1</v>
      </c>
      <c r="S1007" s="84" t="s">
        <v>284</v>
      </c>
      <c r="T1007" s="57"/>
      <c r="U1007" s="84">
        <v>1</v>
      </c>
      <c r="V1007" s="57">
        <v>3</v>
      </c>
      <c r="W1007" s="57">
        <v>1</v>
      </c>
      <c r="X1007" s="56">
        <v>2</v>
      </c>
      <c r="Y1007" s="84">
        <v>1</v>
      </c>
      <c r="Z1007" s="57"/>
      <c r="AA1007" s="57"/>
      <c r="AB1007" s="57"/>
      <c r="AC1007" s="57"/>
      <c r="AD1007" s="57">
        <v>2</v>
      </c>
      <c r="AE1007" s="57">
        <v>20</v>
      </c>
      <c r="AF1007" s="57"/>
      <c r="AG1007" s="57"/>
      <c r="AH1007" s="57"/>
      <c r="AI1007" s="57"/>
      <c r="AJ1007" s="57">
        <v>0</v>
      </c>
      <c r="AK1007" s="84">
        <v>0</v>
      </c>
      <c r="AL1007" s="57">
        <v>0</v>
      </c>
      <c r="AM1007" s="57">
        <v>1</v>
      </c>
      <c r="AN1007" s="57">
        <v>0</v>
      </c>
      <c r="AO1007" s="56">
        <v>0</v>
      </c>
      <c r="AP1007" s="178" t="s">
        <v>284</v>
      </c>
      <c r="AQ1007" s="179" t="s">
        <v>284</v>
      </c>
      <c r="AR1007" s="179" t="s">
        <v>501</v>
      </c>
      <c r="AS1007" s="179" t="s">
        <v>501</v>
      </c>
      <c r="AT1007" s="179" t="s">
        <v>284</v>
      </c>
      <c r="AU1007" s="179" t="s">
        <v>284</v>
      </c>
      <c r="AV1007" s="179" t="s">
        <v>284</v>
      </c>
      <c r="AW1007" s="179" t="s">
        <v>284</v>
      </c>
      <c r="AX1007" s="84">
        <v>0</v>
      </c>
      <c r="AY1007" s="57">
        <v>0</v>
      </c>
      <c r="AZ1007" s="57">
        <v>0</v>
      </c>
      <c r="BA1007" s="57">
        <v>0</v>
      </c>
      <c r="BB1007" s="56">
        <v>0</v>
      </c>
      <c r="BC1007" s="55">
        <v>49</v>
      </c>
      <c r="BD1007" s="57"/>
      <c r="BE1007" s="75"/>
      <c r="BF1007" s="57"/>
      <c r="BG1007" s="57"/>
      <c r="BH1007" s="57"/>
      <c r="BI1007" s="57"/>
      <c r="BJ1007" s="57"/>
      <c r="BK1007" s="57"/>
      <c r="BL1007" s="57"/>
      <c r="BM1007" s="57"/>
      <c r="BN1007" s="57"/>
      <c r="BO1007" s="57"/>
      <c r="BP1007" s="57"/>
      <c r="BQ1007" s="57"/>
      <c r="BR1007" s="57"/>
      <c r="BS1007" s="56"/>
      <c r="BT1007" s="84"/>
      <c r="BU1007" s="57"/>
      <c r="BV1007" s="57"/>
      <c r="BW1007" s="57"/>
      <c r="BX1007" s="57"/>
      <c r="BY1007" s="57"/>
      <c r="BZ1007" s="57"/>
      <c r="CA1007" s="57"/>
      <c r="CB1007" s="57"/>
      <c r="CC1007" s="57"/>
      <c r="CD1007" s="57"/>
      <c r="CE1007" s="84"/>
      <c r="CF1007" s="57"/>
      <c r="CG1007" s="57"/>
      <c r="CH1007" s="57"/>
      <c r="CI1007" s="57"/>
      <c r="CJ1007" s="57"/>
      <c r="CK1007" s="56"/>
      <c r="CL1007" s="84"/>
      <c r="CM1007" s="57"/>
      <c r="CN1007" s="57"/>
      <c r="CO1007" s="56"/>
      <c r="CP1007" s="84"/>
      <c r="CQ1007" s="57"/>
      <c r="CR1007" s="56"/>
      <c r="CS1007" s="84"/>
      <c r="CT1007" s="57"/>
      <c r="CU1007" s="57"/>
      <c r="CV1007" s="57"/>
      <c r="CW1007" s="57"/>
      <c r="CX1007" s="57"/>
      <c r="CY1007" s="84"/>
      <c r="CZ1007" s="57"/>
      <c r="DA1007" s="57"/>
      <c r="DB1007" s="57"/>
      <c r="DC1007" s="57"/>
      <c r="DD1007" s="57"/>
      <c r="DE1007" s="57"/>
      <c r="DF1007" s="57"/>
      <c r="DG1007" s="56"/>
      <c r="DH1007" s="84"/>
      <c r="DI1007" s="57"/>
      <c r="DJ1007" s="57"/>
      <c r="DK1007" s="57"/>
      <c r="DL1007" s="57"/>
      <c r="DM1007" s="57"/>
      <c r="DN1007" s="57"/>
      <c r="DO1007" s="57"/>
      <c r="DP1007" s="57"/>
      <c r="DQ1007" s="84"/>
      <c r="DR1007" s="57"/>
      <c r="DS1007" s="57"/>
      <c r="DT1007" s="57"/>
      <c r="DU1007" s="57"/>
      <c r="DV1007" s="57"/>
      <c r="DW1007" s="57"/>
      <c r="DX1007" s="57"/>
      <c r="DY1007" s="57"/>
      <c r="DZ1007" s="57"/>
      <c r="EA1007" s="57"/>
      <c r="EB1007" s="57"/>
      <c r="EC1007" s="57"/>
      <c r="ED1007" s="57"/>
      <c r="EE1007" s="56"/>
      <c r="EF1007" s="84"/>
      <c r="EG1007" s="57"/>
      <c r="EH1007" s="57"/>
      <c r="EI1007" s="84"/>
      <c r="EJ1007" s="57"/>
      <c r="EK1007" s="56"/>
      <c r="EL1007" s="84"/>
      <c r="EM1007" s="57"/>
      <c r="EN1007" s="57"/>
      <c r="EO1007" s="56"/>
      <c r="EP1007" s="84"/>
      <c r="EQ1007" s="56"/>
      <c r="ER1007" s="84"/>
      <c r="ES1007" s="56"/>
      <c r="ET1007" s="84"/>
      <c r="EU1007" s="56"/>
    </row>
    <row r="1008" spans="1:151">
      <c r="A1008" s="83" t="s">
        <v>324</v>
      </c>
      <c r="B1008" s="173" t="s">
        <v>543</v>
      </c>
      <c r="C1008" s="173" t="s">
        <v>544</v>
      </c>
      <c r="D1008" s="83" t="s">
        <v>261</v>
      </c>
      <c r="F1008" s="49" t="s">
        <v>287</v>
      </c>
      <c r="G1008" s="49">
        <v>20.265000000000001</v>
      </c>
      <c r="I1008" s="49">
        <v>613</v>
      </c>
      <c r="J1008" s="159">
        <v>2.7123893805309733</v>
      </c>
      <c r="K1008" s="49">
        <v>1</v>
      </c>
      <c r="L1008" s="49">
        <v>3</v>
      </c>
      <c r="M1008" s="83">
        <v>0</v>
      </c>
      <c r="N1008" s="49">
        <v>0</v>
      </c>
      <c r="O1008" s="49">
        <v>0</v>
      </c>
      <c r="P1008" s="49">
        <v>1</v>
      </c>
      <c r="Q1008" s="58">
        <v>0</v>
      </c>
      <c r="R1008" s="42">
        <v>1</v>
      </c>
      <c r="S1008" s="83">
        <v>1</v>
      </c>
      <c r="U1008" s="83">
        <v>1</v>
      </c>
      <c r="V1008" s="49">
        <v>2</v>
      </c>
      <c r="W1008" s="49">
        <v>1</v>
      </c>
      <c r="X1008" s="58">
        <v>2</v>
      </c>
      <c r="Y1008" s="83">
        <v>2</v>
      </c>
      <c r="AH1008" s="49">
        <v>13</v>
      </c>
      <c r="AI1008" s="49">
        <v>159</v>
      </c>
      <c r="AJ1008" s="49">
        <v>0</v>
      </c>
      <c r="AK1008" s="83">
        <v>0</v>
      </c>
      <c r="AL1008" s="49">
        <v>0</v>
      </c>
      <c r="AM1008" s="49">
        <v>1</v>
      </c>
      <c r="AN1008" s="49">
        <v>0</v>
      </c>
      <c r="AO1008" s="58">
        <v>0</v>
      </c>
      <c r="AP1008" s="174">
        <v>0</v>
      </c>
      <c r="AQ1008" s="175">
        <v>0</v>
      </c>
      <c r="AR1008" s="175">
        <v>24</v>
      </c>
      <c r="AS1008" s="175">
        <v>198</v>
      </c>
      <c r="AT1008" s="175">
        <v>0</v>
      </c>
      <c r="AU1008" s="175">
        <v>0</v>
      </c>
      <c r="AV1008" s="175"/>
      <c r="AW1008" s="175"/>
      <c r="AX1008" s="83">
        <v>0</v>
      </c>
      <c r="AY1008" s="49">
        <v>0</v>
      </c>
      <c r="AZ1008" s="49">
        <v>0</v>
      </c>
      <c r="BA1008" s="49">
        <v>0</v>
      </c>
      <c r="BB1008" s="58">
        <v>0</v>
      </c>
      <c r="BC1008" s="42">
        <v>81</v>
      </c>
      <c r="BS1008" s="58"/>
      <c r="BT1008" s="83"/>
      <c r="CE1008" s="83"/>
      <c r="CK1008" s="58"/>
      <c r="CL1008" s="83"/>
      <c r="CO1008" s="58"/>
      <c r="CP1008" s="83"/>
      <c r="CR1008" s="58"/>
      <c r="CS1008" s="83"/>
      <c r="CY1008" s="83"/>
      <c r="DG1008" s="58"/>
      <c r="DH1008" s="83"/>
      <c r="DQ1008" s="83"/>
      <c r="EE1008" s="58"/>
      <c r="EF1008" s="83"/>
      <c r="EI1008" s="83"/>
      <c r="EK1008" s="58"/>
      <c r="EL1008" s="83"/>
      <c r="EO1008" s="58"/>
      <c r="EP1008" s="83"/>
      <c r="EQ1008" s="58"/>
      <c r="ER1008" s="83"/>
      <c r="ES1008" s="58"/>
      <c r="ET1008" s="83"/>
      <c r="EU1008" s="58"/>
    </row>
    <row r="1009" spans="1:151">
      <c r="A1009" s="83" t="s">
        <v>324</v>
      </c>
      <c r="B1009" s="173" t="s">
        <v>543</v>
      </c>
      <c r="C1009" s="173" t="s">
        <v>544</v>
      </c>
      <c r="D1009" s="83" t="s">
        <v>206</v>
      </c>
      <c r="F1009" s="49" t="s">
        <v>287</v>
      </c>
      <c r="G1009" s="49">
        <v>20.265000000000001</v>
      </c>
      <c r="I1009" s="49">
        <v>628</v>
      </c>
      <c r="J1009" s="159">
        <v>3.0935960591133007</v>
      </c>
      <c r="K1009" s="49">
        <v>1</v>
      </c>
      <c r="L1009" s="49">
        <v>1</v>
      </c>
      <c r="M1009" s="83">
        <v>1</v>
      </c>
      <c r="N1009" s="49">
        <v>0</v>
      </c>
      <c r="O1009" s="49">
        <v>1</v>
      </c>
      <c r="P1009" s="49">
        <v>1</v>
      </c>
      <c r="Q1009" s="58">
        <v>0</v>
      </c>
      <c r="R1009" s="42">
        <v>3</v>
      </c>
      <c r="S1009" s="83">
        <v>1</v>
      </c>
      <c r="U1009" s="83">
        <v>2</v>
      </c>
      <c r="V1009" s="49">
        <v>2</v>
      </c>
      <c r="W1009" s="49">
        <v>1</v>
      </c>
      <c r="X1009" s="58">
        <v>2</v>
      </c>
      <c r="Y1009" s="83">
        <v>1</v>
      </c>
      <c r="AD1009" s="49">
        <v>9</v>
      </c>
      <c r="AE1009" s="49">
        <v>43</v>
      </c>
      <c r="AF1009" s="49">
        <v>6</v>
      </c>
      <c r="AG1009" s="49">
        <v>48</v>
      </c>
      <c r="AJ1009" s="49">
        <v>0</v>
      </c>
      <c r="AK1009" s="83">
        <v>0</v>
      </c>
      <c r="AL1009" s="49">
        <v>0</v>
      </c>
      <c r="AM1009" s="49">
        <v>1</v>
      </c>
      <c r="AN1009" s="49">
        <v>0</v>
      </c>
      <c r="AO1009" s="58">
        <v>0</v>
      </c>
      <c r="AP1009" s="174">
        <v>0</v>
      </c>
      <c r="AQ1009" s="175">
        <v>0</v>
      </c>
      <c r="AR1009" s="175">
        <v>163</v>
      </c>
      <c r="AS1009" s="175">
        <v>209</v>
      </c>
      <c r="AT1009" s="175">
        <v>0</v>
      </c>
      <c r="AU1009" s="175">
        <v>0</v>
      </c>
      <c r="AV1009" s="175"/>
      <c r="AW1009" s="175"/>
      <c r="AX1009" s="83">
        <v>0</v>
      </c>
      <c r="AY1009" s="49">
        <v>0</v>
      </c>
      <c r="AZ1009" s="49">
        <v>0</v>
      </c>
      <c r="BA1009" s="49">
        <v>0</v>
      </c>
      <c r="BB1009" s="58">
        <v>0</v>
      </c>
      <c r="BC1009" s="42">
        <v>101</v>
      </c>
      <c r="BS1009" s="58"/>
      <c r="BT1009" s="83"/>
      <c r="CE1009" s="83"/>
      <c r="CK1009" s="58"/>
      <c r="CL1009" s="83"/>
      <c r="CO1009" s="58"/>
      <c r="CP1009" s="83"/>
      <c r="CR1009" s="58"/>
      <c r="CS1009" s="83"/>
      <c r="CY1009" s="83"/>
      <c r="DG1009" s="58"/>
      <c r="DH1009" s="83"/>
      <c r="DQ1009" s="83"/>
      <c r="EE1009" s="58"/>
      <c r="EF1009" s="83"/>
      <c r="EI1009" s="83"/>
      <c r="EK1009" s="58"/>
      <c r="EL1009" s="83"/>
      <c r="EO1009" s="58"/>
      <c r="EP1009" s="83"/>
      <c r="EQ1009" s="58"/>
      <c r="ER1009" s="83"/>
      <c r="ES1009" s="58"/>
      <c r="ET1009" s="83"/>
      <c r="EU1009" s="58"/>
    </row>
    <row r="1010" spans="1:151">
      <c r="A1010" s="83" t="s">
        <v>324</v>
      </c>
      <c r="B1010" s="173" t="s">
        <v>543</v>
      </c>
      <c r="C1010" s="173" t="s">
        <v>544</v>
      </c>
      <c r="D1010" s="83" t="s">
        <v>64</v>
      </c>
      <c r="F1010" s="49" t="s">
        <v>287</v>
      </c>
      <c r="G1010" s="49">
        <v>20.265000000000001</v>
      </c>
      <c r="I1010" s="49">
        <v>754</v>
      </c>
      <c r="J1010" s="159">
        <v>6.6725663716814161</v>
      </c>
      <c r="K1010" s="49">
        <v>1</v>
      </c>
      <c r="L1010" s="49">
        <v>2</v>
      </c>
      <c r="M1010" s="83">
        <v>0</v>
      </c>
      <c r="N1010" s="49">
        <v>1</v>
      </c>
      <c r="O1010" s="49">
        <v>0</v>
      </c>
      <c r="P1010" s="49">
        <v>0</v>
      </c>
      <c r="Q1010" s="58">
        <v>0</v>
      </c>
      <c r="R1010" s="42">
        <v>1</v>
      </c>
      <c r="S1010" s="83">
        <v>1</v>
      </c>
      <c r="U1010" s="83">
        <v>0</v>
      </c>
      <c r="V1010" s="49">
        <v>0</v>
      </c>
      <c r="W1010" s="49">
        <v>0</v>
      </c>
      <c r="X1010" s="58"/>
      <c r="Y1010" s="83">
        <v>1</v>
      </c>
      <c r="AD1010" s="49">
        <v>145</v>
      </c>
      <c r="AE1010" s="49">
        <v>21</v>
      </c>
      <c r="AG1010" s="49">
        <v>4</v>
      </c>
      <c r="AI1010" s="49">
        <v>26</v>
      </c>
      <c r="AJ1010" s="49">
        <v>0</v>
      </c>
      <c r="AK1010" s="83">
        <v>0</v>
      </c>
      <c r="AL1010" s="49">
        <v>0</v>
      </c>
      <c r="AM1010" s="49">
        <v>0</v>
      </c>
      <c r="AN1010" s="49">
        <v>0</v>
      </c>
      <c r="AO1010" s="58">
        <v>0</v>
      </c>
      <c r="AP1010" s="174">
        <v>0</v>
      </c>
      <c r="AQ1010" s="175">
        <v>0</v>
      </c>
      <c r="AR1010" s="175">
        <v>0</v>
      </c>
      <c r="AS1010" s="175">
        <v>0</v>
      </c>
      <c r="AT1010" s="175">
        <v>0</v>
      </c>
      <c r="AU1010" s="175">
        <v>0</v>
      </c>
      <c r="AV1010" s="175"/>
      <c r="AW1010" s="175"/>
      <c r="AX1010" s="83">
        <v>0</v>
      </c>
      <c r="AY1010" s="49">
        <v>0</v>
      </c>
      <c r="AZ1010" s="49">
        <v>0</v>
      </c>
      <c r="BA1010" s="49">
        <v>0</v>
      </c>
      <c r="BB1010" s="58">
        <v>0</v>
      </c>
      <c r="BC1010" s="42">
        <v>111</v>
      </c>
      <c r="BS1010" s="58"/>
      <c r="BT1010" s="83"/>
      <c r="CE1010" s="83"/>
      <c r="CK1010" s="58"/>
      <c r="CL1010" s="83"/>
      <c r="CO1010" s="58"/>
      <c r="CP1010" s="83"/>
      <c r="CR1010" s="58"/>
      <c r="CS1010" s="83"/>
      <c r="CY1010" s="83"/>
      <c r="DG1010" s="58"/>
      <c r="DH1010" s="83"/>
      <c r="DQ1010" s="83"/>
      <c r="EE1010" s="58"/>
      <c r="EF1010" s="83"/>
      <c r="EI1010" s="83"/>
      <c r="EK1010" s="58"/>
      <c r="EL1010" s="83"/>
      <c r="EO1010" s="58"/>
      <c r="EP1010" s="83"/>
      <c r="EQ1010" s="58"/>
      <c r="ER1010" s="83"/>
      <c r="ES1010" s="58"/>
      <c r="ET1010" s="83"/>
      <c r="EU1010" s="58"/>
    </row>
    <row r="1011" spans="1:151">
      <c r="A1011" s="83" t="s">
        <v>324</v>
      </c>
      <c r="B1011" s="173" t="s">
        <v>543</v>
      </c>
      <c r="C1011" s="173" t="s">
        <v>544</v>
      </c>
      <c r="D1011" s="83" t="s">
        <v>68</v>
      </c>
      <c r="F1011" s="49" t="s">
        <v>287</v>
      </c>
      <c r="G1011" s="49">
        <v>20.265000000000001</v>
      </c>
      <c r="I1011" s="49">
        <v>926</v>
      </c>
      <c r="J1011" s="159">
        <v>1.5510887772194304</v>
      </c>
      <c r="K1011" s="49">
        <v>1</v>
      </c>
      <c r="L1011" s="49">
        <v>3</v>
      </c>
      <c r="M1011" s="83">
        <v>0</v>
      </c>
      <c r="N1011" s="49">
        <v>0</v>
      </c>
      <c r="O1011" s="49">
        <v>1</v>
      </c>
      <c r="P1011" s="49">
        <v>1</v>
      </c>
      <c r="Q1011" s="58">
        <v>0</v>
      </c>
      <c r="R1011" s="42">
        <v>2</v>
      </c>
      <c r="S1011" s="83">
        <v>1</v>
      </c>
      <c r="U1011" s="83">
        <v>1</v>
      </c>
      <c r="V1011" s="49">
        <v>3</v>
      </c>
      <c r="W1011" s="49">
        <v>1</v>
      </c>
      <c r="X1011" s="58">
        <v>1</v>
      </c>
      <c r="Y1011" s="83">
        <v>0</v>
      </c>
      <c r="AJ1011" s="49">
        <v>0</v>
      </c>
      <c r="AK1011" s="83">
        <v>0</v>
      </c>
      <c r="AL1011" s="49">
        <v>1</v>
      </c>
      <c r="AM1011" s="49">
        <v>0</v>
      </c>
      <c r="AN1011" s="49">
        <v>0</v>
      </c>
      <c r="AO1011" s="58">
        <v>0</v>
      </c>
      <c r="AP1011" s="174">
        <v>0</v>
      </c>
      <c r="AQ1011" s="175">
        <v>613</v>
      </c>
      <c r="AR1011" s="175">
        <v>0</v>
      </c>
      <c r="AS1011" s="175">
        <v>0</v>
      </c>
      <c r="AT1011" s="175">
        <v>0</v>
      </c>
      <c r="AU1011" s="175">
        <v>0</v>
      </c>
      <c r="AV1011" s="175">
        <v>0</v>
      </c>
      <c r="AW1011" s="175">
        <v>0</v>
      </c>
      <c r="AX1011" s="83">
        <v>0</v>
      </c>
      <c r="AY1011" s="49">
        <v>0</v>
      </c>
      <c r="AZ1011" s="49">
        <v>0</v>
      </c>
      <c r="BA1011" s="49">
        <v>0</v>
      </c>
      <c r="BB1011" s="58">
        <v>0</v>
      </c>
      <c r="BC1011" s="42">
        <v>101</v>
      </c>
      <c r="BS1011" s="58"/>
      <c r="BT1011" s="83"/>
      <c r="CE1011" s="83"/>
      <c r="CK1011" s="58"/>
      <c r="CL1011" s="83"/>
      <c r="CO1011" s="58"/>
      <c r="CP1011" s="83"/>
      <c r="CR1011" s="58"/>
      <c r="CS1011" s="83"/>
      <c r="CY1011" s="83"/>
      <c r="DG1011" s="58"/>
      <c r="DH1011" s="83"/>
      <c r="DQ1011" s="83"/>
      <c r="EE1011" s="58"/>
      <c r="EF1011" s="83"/>
      <c r="EI1011" s="83"/>
      <c r="EK1011" s="58"/>
      <c r="EL1011" s="83"/>
      <c r="EO1011" s="58"/>
      <c r="EP1011" s="83"/>
      <c r="EQ1011" s="58"/>
      <c r="ER1011" s="83"/>
      <c r="ES1011" s="58"/>
      <c r="ET1011" s="83"/>
      <c r="EU1011" s="58"/>
    </row>
    <row r="1012" spans="1:151">
      <c r="A1012" s="83" t="s">
        <v>324</v>
      </c>
      <c r="B1012" s="173" t="s">
        <v>543</v>
      </c>
      <c r="C1012" s="173" t="s">
        <v>544</v>
      </c>
      <c r="D1012" s="83" t="s">
        <v>76</v>
      </c>
      <c r="F1012" s="49" t="s">
        <v>286</v>
      </c>
      <c r="G1012" s="49">
        <v>20.265000000000001</v>
      </c>
      <c r="I1012" s="49">
        <v>1011</v>
      </c>
      <c r="J1012" s="159">
        <v>2.2219780219780221</v>
      </c>
      <c r="K1012" s="49">
        <v>4</v>
      </c>
      <c r="L1012" s="49">
        <v>5</v>
      </c>
      <c r="M1012" s="83">
        <v>0</v>
      </c>
      <c r="N1012" s="49">
        <v>2</v>
      </c>
      <c r="O1012" s="49">
        <v>0</v>
      </c>
      <c r="P1012" s="49">
        <v>1</v>
      </c>
      <c r="Q1012" s="58">
        <v>0</v>
      </c>
      <c r="R1012" s="42">
        <v>3</v>
      </c>
      <c r="S1012" s="83" t="s">
        <v>283</v>
      </c>
      <c r="T1012" s="49">
        <v>9</v>
      </c>
      <c r="U1012" s="83">
        <v>1</v>
      </c>
      <c r="V1012" s="49">
        <v>5</v>
      </c>
      <c r="W1012" s="49">
        <v>1</v>
      </c>
      <c r="X1012" s="58">
        <v>2</v>
      </c>
      <c r="Y1012" s="83">
        <v>1</v>
      </c>
      <c r="AH1012" s="49">
        <v>9</v>
      </c>
      <c r="AI1012" s="49">
        <v>16</v>
      </c>
      <c r="AJ1012" s="49">
        <v>0</v>
      </c>
      <c r="AK1012" s="83">
        <v>0</v>
      </c>
      <c r="AL1012" s="49">
        <v>1</v>
      </c>
      <c r="AM1012" s="49">
        <v>0</v>
      </c>
      <c r="AN1012" s="49">
        <v>0</v>
      </c>
      <c r="AO1012" s="58">
        <v>0</v>
      </c>
      <c r="AP1012" s="174">
        <v>0</v>
      </c>
      <c r="AQ1012" s="175">
        <v>159</v>
      </c>
      <c r="AR1012" s="175">
        <v>0</v>
      </c>
      <c r="AS1012" s="175">
        <v>0</v>
      </c>
      <c r="AT1012" s="175">
        <v>0</v>
      </c>
      <c r="AU1012" s="175">
        <v>0</v>
      </c>
      <c r="AV1012" s="175"/>
      <c r="AW1012" s="175"/>
      <c r="AX1012" s="83">
        <v>0</v>
      </c>
      <c r="AY1012" s="49">
        <v>0</v>
      </c>
      <c r="AZ1012" s="49">
        <v>0</v>
      </c>
      <c r="BA1012" s="49">
        <v>0</v>
      </c>
      <c r="BB1012" s="58">
        <v>0</v>
      </c>
      <c r="BC1012" s="42">
        <v>114</v>
      </c>
      <c r="BS1012" s="58"/>
      <c r="BT1012" s="83"/>
      <c r="CE1012" s="83"/>
      <c r="CK1012" s="58"/>
      <c r="CL1012" s="83"/>
      <c r="CO1012" s="58"/>
      <c r="CP1012" s="83"/>
      <c r="CR1012" s="58"/>
      <c r="CS1012" s="83"/>
      <c r="CY1012" s="83"/>
      <c r="DG1012" s="58"/>
      <c r="DH1012" s="83"/>
      <c r="DQ1012" s="83"/>
      <c r="EE1012" s="58"/>
      <c r="EF1012" s="83"/>
      <c r="EI1012" s="83"/>
      <c r="EK1012" s="58"/>
      <c r="EL1012" s="83"/>
      <c r="EO1012" s="58"/>
      <c r="EP1012" s="83"/>
      <c r="EQ1012" s="58"/>
      <c r="ER1012" s="83"/>
      <c r="ES1012" s="58"/>
      <c r="ET1012" s="83"/>
      <c r="EU1012" s="58"/>
    </row>
    <row r="1013" spans="1:151">
      <c r="A1013" s="83" t="s">
        <v>324</v>
      </c>
      <c r="B1013" s="173" t="s">
        <v>543</v>
      </c>
      <c r="C1013" s="173" t="s">
        <v>544</v>
      </c>
      <c r="D1013" s="83" t="s">
        <v>73</v>
      </c>
      <c r="F1013" s="49" t="s">
        <v>287</v>
      </c>
      <c r="G1013" s="49">
        <v>20.265000000000001</v>
      </c>
      <c r="I1013" s="49">
        <v>808</v>
      </c>
      <c r="J1013" s="159">
        <v>1.3377483443708609</v>
      </c>
      <c r="K1013" s="49">
        <v>4</v>
      </c>
      <c r="L1013" s="49">
        <v>2</v>
      </c>
      <c r="M1013" s="83">
        <v>0</v>
      </c>
      <c r="N1013" s="49">
        <v>0</v>
      </c>
      <c r="O1013" s="49">
        <v>1</v>
      </c>
      <c r="P1013" s="49">
        <v>1</v>
      </c>
      <c r="Q1013" s="58">
        <v>0</v>
      </c>
      <c r="R1013" s="42">
        <v>2</v>
      </c>
      <c r="S1013" s="83">
        <v>1</v>
      </c>
      <c r="U1013" s="83">
        <v>2</v>
      </c>
      <c r="V1013" s="49">
        <v>4</v>
      </c>
      <c r="W1013" s="49">
        <v>1</v>
      </c>
      <c r="X1013" s="58">
        <v>3</v>
      </c>
      <c r="Y1013" s="83">
        <v>1</v>
      </c>
      <c r="AD1013" s="49">
        <v>6</v>
      </c>
      <c r="AE1013" s="49">
        <v>21</v>
      </c>
      <c r="AG1013" s="49">
        <v>11</v>
      </c>
      <c r="AH1013" s="49">
        <v>6</v>
      </c>
      <c r="AI1013" s="49">
        <v>59</v>
      </c>
      <c r="AJ1013" s="49">
        <v>0</v>
      </c>
      <c r="AK1013" s="83">
        <v>0</v>
      </c>
      <c r="AL1013" s="49">
        <v>0</v>
      </c>
      <c r="AM1013" s="49">
        <v>0</v>
      </c>
      <c r="AN1013" s="49">
        <v>0</v>
      </c>
      <c r="AO1013" s="58">
        <v>0</v>
      </c>
      <c r="AP1013" s="174">
        <v>0</v>
      </c>
      <c r="AQ1013" s="175">
        <v>445</v>
      </c>
      <c r="AR1013" s="175">
        <v>0</v>
      </c>
      <c r="AS1013" s="175">
        <v>0</v>
      </c>
      <c r="AT1013" s="175">
        <v>0</v>
      </c>
      <c r="AU1013" s="175">
        <v>0</v>
      </c>
      <c r="AV1013" s="175">
        <v>0</v>
      </c>
      <c r="AW1013" s="175">
        <v>0</v>
      </c>
      <c r="AX1013" s="83">
        <v>0</v>
      </c>
      <c r="AY1013" s="49">
        <v>0</v>
      </c>
      <c r="AZ1013" s="49">
        <v>0</v>
      </c>
      <c r="BA1013" s="49">
        <v>0</v>
      </c>
      <c r="BB1013" s="58">
        <v>0</v>
      </c>
      <c r="BC1013" s="42">
        <v>113</v>
      </c>
      <c r="BS1013" s="58"/>
      <c r="BT1013" s="83"/>
      <c r="CE1013" s="83">
        <v>66.12</v>
      </c>
      <c r="CK1013" s="58"/>
      <c r="CL1013" s="83">
        <v>61.67</v>
      </c>
      <c r="CO1013" s="58"/>
      <c r="CP1013" s="83"/>
      <c r="CR1013" s="58"/>
      <c r="CS1013" s="83"/>
      <c r="CY1013" s="83"/>
      <c r="DG1013" s="58"/>
      <c r="DH1013" s="83"/>
      <c r="DQ1013" s="83"/>
      <c r="EE1013" s="58"/>
      <c r="EF1013" s="83"/>
      <c r="EI1013" s="83">
        <v>81.97</v>
      </c>
      <c r="EK1013" s="58"/>
      <c r="EL1013" s="83">
        <v>73.540000000000006</v>
      </c>
      <c r="EO1013" s="58"/>
      <c r="EP1013" s="83"/>
      <c r="EQ1013" s="58"/>
      <c r="ER1013" s="83"/>
      <c r="ES1013" s="58"/>
      <c r="ET1013" s="83"/>
      <c r="EU1013" s="58"/>
    </row>
    <row r="1014" spans="1:151">
      <c r="A1014" s="83" t="s">
        <v>324</v>
      </c>
      <c r="B1014" s="173" t="s">
        <v>543</v>
      </c>
      <c r="C1014" s="173" t="s">
        <v>544</v>
      </c>
      <c r="D1014" s="83" t="s">
        <v>92</v>
      </c>
      <c r="F1014" s="49" t="s">
        <v>287</v>
      </c>
      <c r="G1014" s="49">
        <v>20.265000000000001</v>
      </c>
      <c r="I1014" s="49">
        <v>577</v>
      </c>
      <c r="J1014" s="159">
        <v>1.3418604651162791</v>
      </c>
      <c r="K1014" s="49">
        <v>1</v>
      </c>
      <c r="L1014" s="49">
        <v>1</v>
      </c>
      <c r="M1014" s="83">
        <v>1</v>
      </c>
      <c r="N1014" s="49">
        <v>0</v>
      </c>
      <c r="O1014" s="49">
        <v>1</v>
      </c>
      <c r="P1014" s="49">
        <v>1</v>
      </c>
      <c r="Q1014" s="58">
        <v>0</v>
      </c>
      <c r="R1014" s="42">
        <v>3</v>
      </c>
      <c r="S1014" s="83" t="s">
        <v>283</v>
      </c>
      <c r="T1014" s="49">
        <v>6</v>
      </c>
      <c r="U1014" s="83">
        <v>2</v>
      </c>
      <c r="V1014" s="49">
        <v>4</v>
      </c>
      <c r="W1014" s="49">
        <v>1</v>
      </c>
      <c r="X1014" s="58">
        <v>3</v>
      </c>
      <c r="Y1014" s="83">
        <v>1</v>
      </c>
      <c r="AG1014" s="49">
        <v>8</v>
      </c>
      <c r="AH1014" s="49">
        <v>7</v>
      </c>
      <c r="AI1014" s="49">
        <v>15</v>
      </c>
      <c r="AJ1014" s="49">
        <v>0</v>
      </c>
      <c r="AK1014" s="83">
        <v>0</v>
      </c>
      <c r="AL1014" s="49">
        <v>0</v>
      </c>
      <c r="AM1014" s="49">
        <v>0</v>
      </c>
      <c r="AN1014" s="49">
        <v>0</v>
      </c>
      <c r="AO1014" s="58">
        <v>0</v>
      </c>
      <c r="AP1014" s="174">
        <v>0</v>
      </c>
      <c r="AQ1014" s="175">
        <v>0</v>
      </c>
      <c r="AR1014" s="175">
        <v>0</v>
      </c>
      <c r="AS1014" s="175">
        <v>0</v>
      </c>
      <c r="AT1014" s="175">
        <v>0</v>
      </c>
      <c r="AU1014" s="175">
        <v>0</v>
      </c>
      <c r="AV1014" s="175"/>
      <c r="AW1014" s="175"/>
      <c r="AX1014" s="83">
        <v>0</v>
      </c>
      <c r="AY1014" s="49">
        <v>0</v>
      </c>
      <c r="AZ1014" s="49">
        <v>0</v>
      </c>
      <c r="BA1014" s="49">
        <v>0</v>
      </c>
      <c r="BB1014" s="58">
        <v>0</v>
      </c>
      <c r="BC1014" s="42">
        <v>85</v>
      </c>
      <c r="BD1014" s="49">
        <v>78.790000000000006</v>
      </c>
      <c r="BS1014" s="58"/>
      <c r="BT1014" s="83">
        <v>69.72</v>
      </c>
      <c r="BU1014" s="49">
        <v>62.17</v>
      </c>
      <c r="CE1014" s="83"/>
      <c r="CK1014" s="58"/>
      <c r="CL1014" s="83">
        <v>70.290000000000006</v>
      </c>
      <c r="CO1014" s="58"/>
      <c r="CP1014" s="83"/>
      <c r="CR1014" s="58"/>
      <c r="CS1014" s="83"/>
      <c r="CY1014" s="83"/>
      <c r="DG1014" s="58"/>
      <c r="DH1014" s="83"/>
      <c r="DQ1014" s="83"/>
      <c r="EE1014" s="58"/>
      <c r="EF1014" s="83"/>
      <c r="EI1014" s="83"/>
      <c r="EK1014" s="58"/>
      <c r="EL1014" s="83"/>
      <c r="EO1014" s="58"/>
      <c r="EP1014" s="83"/>
      <c r="EQ1014" s="58"/>
      <c r="ER1014" s="83"/>
      <c r="ES1014" s="58"/>
      <c r="ET1014" s="83"/>
      <c r="EU1014" s="58"/>
    </row>
    <row r="1015" spans="1:151">
      <c r="A1015" s="83" t="s">
        <v>324</v>
      </c>
      <c r="B1015" s="173" t="s">
        <v>543</v>
      </c>
      <c r="C1015" s="173" t="s">
        <v>544</v>
      </c>
      <c r="D1015" s="83" t="s">
        <v>270</v>
      </c>
      <c r="F1015" s="49" t="s">
        <v>286</v>
      </c>
      <c r="G1015" s="49">
        <v>20.265000000000001</v>
      </c>
      <c r="I1015" s="49">
        <v>1004</v>
      </c>
      <c r="J1015" s="159">
        <v>1.7016949152542373</v>
      </c>
      <c r="K1015" s="49">
        <v>1</v>
      </c>
      <c r="L1015" s="49">
        <v>2</v>
      </c>
      <c r="M1015" s="83">
        <v>0</v>
      </c>
      <c r="N1015" s="49">
        <v>1</v>
      </c>
      <c r="O1015" s="49">
        <v>1</v>
      </c>
      <c r="P1015" s="49">
        <v>1</v>
      </c>
      <c r="Q1015" s="58">
        <v>0</v>
      </c>
      <c r="R1015" s="42">
        <v>3</v>
      </c>
      <c r="S1015" s="83" t="s">
        <v>283</v>
      </c>
      <c r="T1015" s="49">
        <v>9</v>
      </c>
      <c r="U1015" s="83">
        <v>2</v>
      </c>
      <c r="V1015" s="49">
        <v>4</v>
      </c>
      <c r="W1015" s="49">
        <v>1</v>
      </c>
      <c r="X1015" s="58">
        <v>3</v>
      </c>
      <c r="Y1015" s="83">
        <v>5</v>
      </c>
      <c r="AI1015" s="49">
        <v>244</v>
      </c>
      <c r="AJ1015" s="49">
        <v>0</v>
      </c>
      <c r="AK1015" s="83">
        <v>0</v>
      </c>
      <c r="AL1015" s="49">
        <v>1</v>
      </c>
      <c r="AM1015" s="49">
        <v>0</v>
      </c>
      <c r="AN1015" s="49">
        <v>0</v>
      </c>
      <c r="AO1015" s="58">
        <v>0</v>
      </c>
      <c r="AP1015" s="174">
        <v>261</v>
      </c>
      <c r="AQ1015" s="175">
        <v>364</v>
      </c>
      <c r="AR1015" s="175">
        <v>0</v>
      </c>
      <c r="AS1015" s="175">
        <v>0</v>
      </c>
      <c r="AT1015" s="175">
        <v>0</v>
      </c>
      <c r="AU1015" s="175">
        <v>0</v>
      </c>
      <c r="AV1015" s="175"/>
      <c r="AW1015" s="175"/>
      <c r="AX1015" s="83">
        <v>0</v>
      </c>
      <c r="AY1015" s="49">
        <v>0</v>
      </c>
      <c r="AZ1015" s="49">
        <v>0</v>
      </c>
      <c r="BA1015" s="49">
        <v>0</v>
      </c>
      <c r="BB1015" s="58">
        <v>0</v>
      </c>
      <c r="BC1015" s="42">
        <v>121</v>
      </c>
      <c r="BS1015" s="58"/>
      <c r="BT1015" s="83"/>
      <c r="CE1015" s="83"/>
      <c r="CK1015" s="58"/>
      <c r="CL1015" s="83"/>
      <c r="CO1015" s="58"/>
      <c r="CP1015" s="83"/>
      <c r="CR1015" s="58"/>
      <c r="CS1015" s="83"/>
      <c r="CY1015" s="83"/>
      <c r="DG1015" s="58"/>
      <c r="DH1015" s="83"/>
      <c r="DQ1015" s="83"/>
      <c r="EE1015" s="58"/>
      <c r="EF1015" s="83"/>
      <c r="EI1015" s="83"/>
      <c r="EK1015" s="58"/>
      <c r="EL1015" s="83"/>
      <c r="EO1015" s="58"/>
      <c r="EP1015" s="83"/>
      <c r="EQ1015" s="58"/>
      <c r="ER1015" s="83"/>
      <c r="ES1015" s="58"/>
      <c r="ET1015" s="83"/>
      <c r="EU1015" s="58"/>
    </row>
    <row r="1016" spans="1:151">
      <c r="A1016" s="83" t="s">
        <v>324</v>
      </c>
      <c r="B1016" s="173" t="s">
        <v>543</v>
      </c>
      <c r="C1016" s="173" t="s">
        <v>544</v>
      </c>
      <c r="D1016" s="83" t="s">
        <v>94</v>
      </c>
      <c r="F1016" s="49" t="s">
        <v>286</v>
      </c>
      <c r="G1016" s="49">
        <v>20.265000000000001</v>
      </c>
      <c r="I1016" s="49">
        <v>1886</v>
      </c>
      <c r="J1016" s="159">
        <v>1.5888795282224095</v>
      </c>
      <c r="K1016" s="49">
        <v>1</v>
      </c>
      <c r="L1016" s="49">
        <v>3</v>
      </c>
      <c r="M1016" s="83">
        <v>0</v>
      </c>
      <c r="N1016" s="49">
        <v>1</v>
      </c>
      <c r="O1016" s="49">
        <v>0</v>
      </c>
      <c r="P1016" s="49">
        <v>1</v>
      </c>
      <c r="Q1016" s="58">
        <v>0</v>
      </c>
      <c r="R1016" s="42">
        <v>2</v>
      </c>
      <c r="S1016" s="83" t="s">
        <v>283</v>
      </c>
      <c r="T1016" s="49">
        <v>7</v>
      </c>
      <c r="U1016" s="83">
        <v>1</v>
      </c>
      <c r="V1016" s="49">
        <v>3</v>
      </c>
      <c r="W1016" s="49">
        <v>1</v>
      </c>
      <c r="X1016" s="58">
        <v>2</v>
      </c>
      <c r="Y1016" s="83">
        <v>1</v>
      </c>
      <c r="Z1016" s="49">
        <v>3</v>
      </c>
      <c r="AA1016" s="49">
        <v>16</v>
      </c>
      <c r="AD1016" s="49">
        <v>11</v>
      </c>
      <c r="AE1016" s="49">
        <v>109</v>
      </c>
      <c r="AF1016" s="49">
        <v>5</v>
      </c>
      <c r="AG1016" s="49">
        <v>169</v>
      </c>
      <c r="AH1016" s="49">
        <v>9</v>
      </c>
      <c r="AI1016" s="49">
        <v>102</v>
      </c>
      <c r="AJ1016" s="49">
        <v>0</v>
      </c>
      <c r="AK1016" s="83">
        <v>0</v>
      </c>
      <c r="AL1016" s="49">
        <v>1</v>
      </c>
      <c r="AM1016" s="49">
        <v>0</v>
      </c>
      <c r="AN1016" s="49">
        <v>0</v>
      </c>
      <c r="AO1016" s="58">
        <v>0</v>
      </c>
      <c r="AP1016" s="174">
        <v>0</v>
      </c>
      <c r="AQ1016" s="175">
        <v>278</v>
      </c>
      <c r="AR1016" s="175">
        <v>0</v>
      </c>
      <c r="AS1016" s="175">
        <v>0</v>
      </c>
      <c r="AT1016" s="175">
        <v>0</v>
      </c>
      <c r="AU1016" s="175">
        <v>0</v>
      </c>
      <c r="AV1016" s="175"/>
      <c r="AW1016" s="175"/>
      <c r="AX1016" s="83">
        <v>0</v>
      </c>
      <c r="AY1016" s="49">
        <v>0</v>
      </c>
      <c r="AZ1016" s="49">
        <v>0</v>
      </c>
      <c r="BA1016" s="49">
        <v>0</v>
      </c>
      <c r="BB1016" s="58">
        <v>0</v>
      </c>
      <c r="BC1016" s="42">
        <v>135</v>
      </c>
      <c r="BS1016" s="58"/>
      <c r="BT1016" s="83"/>
      <c r="CE1016" s="83"/>
      <c r="CK1016" s="58"/>
      <c r="CL1016" s="83"/>
      <c r="CO1016" s="58"/>
      <c r="CP1016" s="83"/>
      <c r="CR1016" s="58"/>
      <c r="CS1016" s="83"/>
      <c r="CY1016" s="83"/>
      <c r="DG1016" s="58"/>
      <c r="DH1016" s="83"/>
      <c r="DQ1016" s="83"/>
      <c r="EE1016" s="58"/>
      <c r="EF1016" s="83"/>
      <c r="EI1016" s="83"/>
      <c r="EK1016" s="58"/>
      <c r="EL1016" s="83"/>
      <c r="EO1016" s="58"/>
      <c r="EP1016" s="83"/>
      <c r="EQ1016" s="58"/>
      <c r="ER1016" s="83"/>
      <c r="ES1016" s="58"/>
      <c r="ET1016" s="83"/>
      <c r="EU1016" s="58"/>
    </row>
    <row r="1017" spans="1:151">
      <c r="A1017" s="83" t="s">
        <v>324</v>
      </c>
      <c r="B1017" s="173" t="s">
        <v>543</v>
      </c>
      <c r="C1017" s="173" t="s">
        <v>544</v>
      </c>
      <c r="D1017" s="83" t="s">
        <v>95</v>
      </c>
      <c r="F1017" s="49" t="s">
        <v>287</v>
      </c>
      <c r="G1017" s="49">
        <v>20.265000000000001</v>
      </c>
      <c r="I1017" s="49">
        <v>844</v>
      </c>
      <c r="J1017" s="159">
        <v>1.8966292134831462</v>
      </c>
      <c r="K1017" s="49">
        <v>1</v>
      </c>
      <c r="L1017" s="49">
        <v>2</v>
      </c>
      <c r="M1017" s="83">
        <v>0</v>
      </c>
      <c r="N1017" s="49">
        <v>1</v>
      </c>
      <c r="O1017" s="49">
        <v>0</v>
      </c>
      <c r="P1017" s="49">
        <v>0</v>
      </c>
      <c r="Q1017" s="58">
        <v>0</v>
      </c>
      <c r="R1017" s="42">
        <v>1</v>
      </c>
      <c r="S1017" s="83">
        <v>1</v>
      </c>
      <c r="U1017" s="83">
        <v>1</v>
      </c>
      <c r="V1017" s="49">
        <v>2</v>
      </c>
      <c r="W1017" s="49">
        <v>2</v>
      </c>
      <c r="X1017" s="58"/>
      <c r="Y1017" s="83">
        <v>1</v>
      </c>
      <c r="Z1017" s="49">
        <v>7</v>
      </c>
      <c r="AA1017" s="49">
        <v>25</v>
      </c>
      <c r="AE1017" s="49">
        <v>11</v>
      </c>
      <c r="AF1017" s="49">
        <v>10</v>
      </c>
      <c r="AG1017" s="49">
        <v>48</v>
      </c>
      <c r="AI1017" s="49">
        <v>32</v>
      </c>
      <c r="AJ1017" s="49">
        <v>0</v>
      </c>
      <c r="AK1017" s="83">
        <v>0</v>
      </c>
      <c r="AL1017" s="49">
        <v>1</v>
      </c>
      <c r="AM1017" s="49">
        <v>0</v>
      </c>
      <c r="AN1017" s="49">
        <v>0</v>
      </c>
      <c r="AO1017" s="58">
        <v>0</v>
      </c>
      <c r="AP1017" s="174">
        <v>483</v>
      </c>
      <c r="AQ1017" s="175">
        <v>488</v>
      </c>
      <c r="AR1017" s="175">
        <v>0</v>
      </c>
      <c r="AS1017" s="175">
        <v>0</v>
      </c>
      <c r="AT1017" s="175">
        <v>0</v>
      </c>
      <c r="AU1017" s="175">
        <v>0</v>
      </c>
      <c r="AV1017" s="175">
        <v>0</v>
      </c>
      <c r="AW1017" s="175">
        <v>0</v>
      </c>
      <c r="AX1017" s="83">
        <v>0</v>
      </c>
      <c r="AY1017" s="49">
        <v>0</v>
      </c>
      <c r="AZ1017" s="49">
        <v>0</v>
      </c>
      <c r="BA1017" s="49">
        <v>0</v>
      </c>
      <c r="BB1017" s="58">
        <v>0</v>
      </c>
      <c r="BC1017" s="42">
        <v>94</v>
      </c>
      <c r="BS1017" s="58"/>
      <c r="BT1017" s="83"/>
      <c r="CE1017" s="83"/>
      <c r="CK1017" s="58"/>
      <c r="CL1017" s="83"/>
      <c r="CO1017" s="58"/>
      <c r="CP1017" s="83"/>
      <c r="CR1017" s="58"/>
      <c r="CS1017" s="83"/>
      <c r="CY1017" s="83"/>
      <c r="DG1017" s="58"/>
      <c r="DH1017" s="83"/>
      <c r="DQ1017" s="83"/>
      <c r="EE1017" s="58"/>
      <c r="EF1017" s="83"/>
      <c r="EI1017" s="83"/>
      <c r="EK1017" s="58"/>
      <c r="EL1017" s="83"/>
      <c r="EO1017" s="58"/>
      <c r="EP1017" s="83"/>
      <c r="EQ1017" s="58"/>
      <c r="ER1017" s="83"/>
      <c r="ES1017" s="58"/>
      <c r="ET1017" s="83"/>
      <c r="EU1017" s="58"/>
    </row>
    <row r="1018" spans="1:151">
      <c r="A1018" s="83" t="s">
        <v>324</v>
      </c>
      <c r="B1018" s="173" t="s">
        <v>543</v>
      </c>
      <c r="C1018" s="173" t="s">
        <v>544</v>
      </c>
      <c r="D1018" s="83" t="s">
        <v>96</v>
      </c>
      <c r="F1018" s="49" t="s">
        <v>287</v>
      </c>
      <c r="G1018" s="49">
        <v>20.265000000000001</v>
      </c>
      <c r="I1018" s="49">
        <v>660</v>
      </c>
      <c r="J1018" s="159">
        <v>2.5882352941176472</v>
      </c>
      <c r="K1018" s="49">
        <v>4</v>
      </c>
      <c r="L1018" s="49">
        <v>4</v>
      </c>
      <c r="M1018" s="83">
        <v>0</v>
      </c>
      <c r="N1018" s="49">
        <v>2</v>
      </c>
      <c r="O1018" s="49">
        <v>1</v>
      </c>
      <c r="P1018" s="49">
        <v>1</v>
      </c>
      <c r="Q1018" s="58">
        <v>0</v>
      </c>
      <c r="R1018" s="42">
        <v>4</v>
      </c>
      <c r="S1018" s="83" t="s">
        <v>283</v>
      </c>
      <c r="T1018" s="49">
        <v>7</v>
      </c>
      <c r="U1018" s="83">
        <v>1</v>
      </c>
      <c r="V1018" s="49">
        <v>4</v>
      </c>
      <c r="W1018" s="49">
        <v>1</v>
      </c>
      <c r="X1018" s="58">
        <v>1</v>
      </c>
      <c r="Y1018" s="83">
        <v>1</v>
      </c>
      <c r="AD1018" s="49">
        <v>11</v>
      </c>
      <c r="AE1018" s="49">
        <v>20</v>
      </c>
      <c r="AJ1018" s="49">
        <v>0</v>
      </c>
      <c r="AK1018" s="83">
        <v>0</v>
      </c>
      <c r="AL1018" s="49">
        <v>1</v>
      </c>
      <c r="AM1018" s="49">
        <v>0</v>
      </c>
      <c r="AN1018" s="49">
        <v>0</v>
      </c>
      <c r="AO1018" s="58">
        <v>0</v>
      </c>
      <c r="AP1018" s="174">
        <v>0</v>
      </c>
      <c r="AQ1018" s="175">
        <v>223</v>
      </c>
      <c r="AR1018" s="175">
        <v>0</v>
      </c>
      <c r="AS1018" s="175">
        <v>0</v>
      </c>
      <c r="AT1018" s="175">
        <v>0</v>
      </c>
      <c r="AU1018" s="175">
        <v>0</v>
      </c>
      <c r="AV1018" s="175"/>
      <c r="AW1018" s="175"/>
      <c r="AX1018" s="83">
        <v>0</v>
      </c>
      <c r="AY1018" s="49">
        <v>0</v>
      </c>
      <c r="AZ1018" s="49">
        <v>0</v>
      </c>
      <c r="BA1018" s="49">
        <v>0</v>
      </c>
      <c r="BB1018" s="58">
        <v>0</v>
      </c>
      <c r="BC1018" s="42">
        <v>94</v>
      </c>
      <c r="BS1018" s="58"/>
      <c r="BT1018" s="83"/>
      <c r="CE1018" s="83"/>
      <c r="CK1018" s="58"/>
      <c r="CL1018" s="83"/>
      <c r="CO1018" s="58"/>
      <c r="CP1018" s="83"/>
      <c r="CR1018" s="58"/>
      <c r="CS1018" s="83"/>
      <c r="CY1018" s="83"/>
      <c r="DG1018" s="58"/>
      <c r="DH1018" s="83"/>
      <c r="DQ1018" s="83"/>
      <c r="EE1018" s="58"/>
      <c r="EF1018" s="83"/>
      <c r="EI1018" s="83"/>
      <c r="EK1018" s="58"/>
      <c r="EL1018" s="83"/>
      <c r="EO1018" s="58"/>
      <c r="EP1018" s="83"/>
      <c r="EQ1018" s="58"/>
      <c r="ER1018" s="83"/>
      <c r="ES1018" s="58"/>
      <c r="ET1018" s="83"/>
      <c r="EU1018" s="58"/>
    </row>
    <row r="1019" spans="1:151">
      <c r="A1019" s="83" t="s">
        <v>324</v>
      </c>
      <c r="B1019" s="173" t="s">
        <v>543</v>
      </c>
      <c r="C1019" s="173" t="s">
        <v>544</v>
      </c>
      <c r="D1019" s="83" t="s">
        <v>97</v>
      </c>
      <c r="F1019" s="49" t="s">
        <v>286</v>
      </c>
      <c r="G1019" s="49">
        <v>20.265000000000001</v>
      </c>
      <c r="I1019" s="49">
        <v>1962</v>
      </c>
      <c r="J1019" s="159">
        <v>1.582258064516129</v>
      </c>
      <c r="K1019" s="49">
        <v>4</v>
      </c>
      <c r="L1019" s="49">
        <v>3</v>
      </c>
      <c r="M1019" s="83">
        <v>0</v>
      </c>
      <c r="N1019" s="49">
        <v>2</v>
      </c>
      <c r="O1019" s="49">
        <v>1</v>
      </c>
      <c r="P1019" s="49">
        <v>1</v>
      </c>
      <c r="Q1019" s="58">
        <v>0</v>
      </c>
      <c r="R1019" s="42">
        <v>4</v>
      </c>
      <c r="S1019" s="83" t="s">
        <v>283</v>
      </c>
      <c r="T1019" s="49">
        <v>11</v>
      </c>
      <c r="U1019" s="83">
        <v>1</v>
      </c>
      <c r="V1019" s="49">
        <v>4</v>
      </c>
      <c r="W1019" s="49">
        <v>2</v>
      </c>
      <c r="X1019" s="58"/>
      <c r="Y1019" s="83">
        <v>1</v>
      </c>
      <c r="Z1019" s="49">
        <v>5</v>
      </c>
      <c r="AA1019" s="49">
        <v>13</v>
      </c>
      <c r="AE1019" s="49">
        <v>31</v>
      </c>
      <c r="AF1019" s="49">
        <v>7</v>
      </c>
      <c r="AG1019" s="49">
        <v>43</v>
      </c>
      <c r="AJ1019" s="49">
        <v>0</v>
      </c>
      <c r="AK1019" s="83">
        <v>0</v>
      </c>
      <c r="AL1019" s="49">
        <v>1</v>
      </c>
      <c r="AM1019" s="49">
        <v>0</v>
      </c>
      <c r="AN1019" s="49">
        <v>0</v>
      </c>
      <c r="AO1019" s="58">
        <v>0</v>
      </c>
      <c r="AP1019" s="174">
        <v>0</v>
      </c>
      <c r="AQ1019" s="175">
        <v>750</v>
      </c>
      <c r="AR1019" s="175">
        <v>0</v>
      </c>
      <c r="AS1019" s="175">
        <v>0</v>
      </c>
      <c r="AT1019" s="175">
        <v>0</v>
      </c>
      <c r="AU1019" s="175">
        <v>0</v>
      </c>
      <c r="AV1019" s="175"/>
      <c r="AW1019" s="175"/>
      <c r="AX1019" s="83">
        <v>0</v>
      </c>
      <c r="AY1019" s="49">
        <v>0</v>
      </c>
      <c r="AZ1019" s="49">
        <v>0</v>
      </c>
      <c r="BA1019" s="49">
        <v>0</v>
      </c>
      <c r="BB1019" s="58">
        <v>0</v>
      </c>
      <c r="BC1019" s="42">
        <v>135</v>
      </c>
      <c r="BS1019" s="58"/>
      <c r="BT1019" s="83"/>
      <c r="CE1019" s="83"/>
      <c r="CK1019" s="58"/>
      <c r="CL1019" s="83"/>
      <c r="CO1019" s="58"/>
      <c r="CP1019" s="83"/>
      <c r="CR1019" s="58"/>
      <c r="CS1019" s="83"/>
      <c r="CY1019" s="83"/>
      <c r="DG1019" s="58"/>
      <c r="DH1019" s="83"/>
      <c r="DQ1019" s="83"/>
      <c r="EE1019" s="58"/>
      <c r="EF1019" s="83"/>
      <c r="EI1019" s="83"/>
      <c r="EK1019" s="58"/>
      <c r="EL1019" s="83"/>
      <c r="EO1019" s="58"/>
      <c r="EP1019" s="83"/>
      <c r="EQ1019" s="58"/>
      <c r="ER1019" s="83"/>
      <c r="ES1019" s="58"/>
      <c r="ET1019" s="83"/>
      <c r="EU1019" s="58"/>
    </row>
    <row r="1020" spans="1:151">
      <c r="A1020" s="83" t="s">
        <v>324</v>
      </c>
      <c r="B1020" s="173" t="s">
        <v>543</v>
      </c>
      <c r="C1020" s="173" t="s">
        <v>544</v>
      </c>
      <c r="D1020" s="83" t="s">
        <v>114</v>
      </c>
      <c r="F1020" s="49" t="s">
        <v>287</v>
      </c>
      <c r="G1020" s="49">
        <v>20.265000000000001</v>
      </c>
      <c r="I1020" s="49">
        <v>774</v>
      </c>
      <c r="J1020" s="159">
        <v>1.8832116788321167</v>
      </c>
      <c r="K1020" s="49">
        <v>1</v>
      </c>
      <c r="L1020" s="49">
        <v>3</v>
      </c>
      <c r="M1020" s="83">
        <v>1</v>
      </c>
      <c r="N1020" s="49">
        <v>1</v>
      </c>
      <c r="O1020" s="49">
        <v>1</v>
      </c>
      <c r="P1020" s="49">
        <v>1</v>
      </c>
      <c r="Q1020" s="58">
        <v>0</v>
      </c>
      <c r="R1020" s="42">
        <v>4</v>
      </c>
      <c r="S1020" s="83" t="s">
        <v>283</v>
      </c>
      <c r="T1020" s="49">
        <v>8</v>
      </c>
      <c r="U1020" s="83">
        <v>1</v>
      </c>
      <c r="V1020" s="49">
        <v>4</v>
      </c>
      <c r="W1020" s="49">
        <v>1</v>
      </c>
      <c r="X1020" s="58">
        <v>2</v>
      </c>
      <c r="Y1020" s="83">
        <v>1</v>
      </c>
      <c r="AD1020" s="49">
        <v>6</v>
      </c>
      <c r="AE1020" s="49">
        <v>12</v>
      </c>
      <c r="AH1020" s="49">
        <v>4</v>
      </c>
      <c r="AI1020" s="49">
        <v>32</v>
      </c>
      <c r="AJ1020" s="49">
        <v>0</v>
      </c>
      <c r="AK1020" s="83">
        <v>0</v>
      </c>
      <c r="AL1020" s="49">
        <v>0</v>
      </c>
      <c r="AM1020" s="49">
        <v>0</v>
      </c>
      <c r="AN1020" s="49">
        <v>0</v>
      </c>
      <c r="AO1020" s="58">
        <v>0</v>
      </c>
      <c r="AP1020" s="174">
        <v>0</v>
      </c>
      <c r="AQ1020" s="175">
        <v>0</v>
      </c>
      <c r="AR1020" s="175">
        <v>0</v>
      </c>
      <c r="AS1020" s="175">
        <v>0</v>
      </c>
      <c r="AT1020" s="175">
        <v>0</v>
      </c>
      <c r="AU1020" s="175">
        <v>0</v>
      </c>
      <c r="AV1020" s="175"/>
      <c r="AW1020" s="175"/>
      <c r="AX1020" s="83">
        <v>1</v>
      </c>
      <c r="AY1020" s="49">
        <v>0</v>
      </c>
      <c r="AZ1020" s="49">
        <v>0</v>
      </c>
      <c r="BA1020" s="49">
        <v>1</v>
      </c>
      <c r="BB1020" s="58">
        <v>2</v>
      </c>
      <c r="BC1020" s="42">
        <v>106</v>
      </c>
      <c r="BS1020" s="58"/>
      <c r="BT1020" s="83"/>
      <c r="CE1020" s="83"/>
      <c r="CK1020" s="58"/>
      <c r="CL1020" s="83"/>
      <c r="CO1020" s="58"/>
      <c r="CP1020" s="83"/>
      <c r="CR1020" s="58"/>
      <c r="CS1020" s="83"/>
      <c r="CY1020" s="83"/>
      <c r="DG1020" s="58"/>
      <c r="DH1020" s="83"/>
      <c r="DQ1020" s="83"/>
      <c r="EE1020" s="58"/>
      <c r="EF1020" s="83"/>
      <c r="EI1020" s="83"/>
      <c r="EK1020" s="58"/>
      <c r="EL1020" s="83"/>
      <c r="EO1020" s="58"/>
      <c r="EP1020" s="83"/>
      <c r="EQ1020" s="58"/>
      <c r="ER1020" s="83"/>
      <c r="ES1020" s="58"/>
      <c r="ET1020" s="83"/>
      <c r="EU1020" s="58"/>
    </row>
    <row r="1021" spans="1:151">
      <c r="A1021" s="83" t="s">
        <v>324</v>
      </c>
      <c r="B1021" s="173" t="s">
        <v>543</v>
      </c>
      <c r="C1021" s="173" t="s">
        <v>544</v>
      </c>
      <c r="D1021" s="83" t="s">
        <v>120</v>
      </c>
      <c r="F1021" s="49" t="s">
        <v>286</v>
      </c>
      <c r="G1021" s="49">
        <v>20.265000000000001</v>
      </c>
      <c r="I1021" s="49">
        <v>1173</v>
      </c>
      <c r="J1021" s="159">
        <v>1.7074235807860263</v>
      </c>
      <c r="K1021" s="49">
        <v>1</v>
      </c>
      <c r="L1021" s="49">
        <v>2</v>
      </c>
      <c r="M1021" s="83">
        <v>1</v>
      </c>
      <c r="N1021" s="49">
        <v>2</v>
      </c>
      <c r="O1021" s="49">
        <v>0</v>
      </c>
      <c r="P1021" s="49">
        <v>1</v>
      </c>
      <c r="Q1021" s="58">
        <v>0</v>
      </c>
      <c r="R1021" s="42">
        <v>4</v>
      </c>
      <c r="S1021" s="83" t="s">
        <v>283</v>
      </c>
      <c r="T1021" s="49">
        <v>6</v>
      </c>
      <c r="U1021" s="83">
        <v>1</v>
      </c>
      <c r="V1021" s="49">
        <v>3</v>
      </c>
      <c r="W1021" s="49">
        <v>1</v>
      </c>
      <c r="X1021" s="58">
        <v>2</v>
      </c>
      <c r="Y1021" s="83">
        <v>5</v>
      </c>
      <c r="AD1021" s="49">
        <v>8</v>
      </c>
      <c r="AE1021" s="49">
        <v>83</v>
      </c>
      <c r="AF1021" s="49">
        <v>6</v>
      </c>
      <c r="AG1021" s="49">
        <v>197</v>
      </c>
      <c r="AH1021" s="49">
        <v>10</v>
      </c>
      <c r="AI1021" s="49">
        <v>50</v>
      </c>
      <c r="AJ1021" s="49">
        <v>0</v>
      </c>
      <c r="AK1021" s="83">
        <v>0</v>
      </c>
      <c r="AL1021" s="49">
        <v>0</v>
      </c>
      <c r="AM1021" s="49">
        <v>0</v>
      </c>
      <c r="AN1021" s="49">
        <v>0</v>
      </c>
      <c r="AO1021" s="58">
        <v>0</v>
      </c>
      <c r="AP1021" s="174">
        <v>0</v>
      </c>
      <c r="AQ1021" s="175">
        <v>0</v>
      </c>
      <c r="AR1021" s="175">
        <v>0</v>
      </c>
      <c r="AS1021" s="175">
        <v>0</v>
      </c>
      <c r="AT1021" s="175">
        <v>0</v>
      </c>
      <c r="AU1021" s="175">
        <v>0</v>
      </c>
      <c r="AV1021" s="175"/>
      <c r="AW1021" s="175"/>
      <c r="AX1021" s="83">
        <v>0</v>
      </c>
      <c r="AY1021" s="49">
        <v>0</v>
      </c>
      <c r="AZ1021" s="49">
        <v>0</v>
      </c>
      <c r="BA1021" s="49">
        <v>0</v>
      </c>
      <c r="BB1021" s="58">
        <v>0</v>
      </c>
      <c r="BC1021" s="42">
        <v>123</v>
      </c>
      <c r="BS1021" s="58"/>
      <c r="BT1021" s="83"/>
      <c r="CE1021" s="83"/>
      <c r="CK1021" s="58"/>
      <c r="CL1021" s="83"/>
      <c r="CO1021" s="58"/>
      <c r="CP1021" s="83"/>
      <c r="CR1021" s="58"/>
      <c r="CS1021" s="83"/>
      <c r="CY1021" s="83"/>
      <c r="DG1021" s="58"/>
      <c r="DH1021" s="83"/>
      <c r="DQ1021" s="83"/>
      <c r="EE1021" s="58"/>
      <c r="EF1021" s="83"/>
      <c r="EI1021" s="83"/>
      <c r="EK1021" s="58"/>
      <c r="EL1021" s="83"/>
      <c r="EO1021" s="58"/>
      <c r="EP1021" s="83"/>
      <c r="EQ1021" s="58"/>
      <c r="ER1021" s="83"/>
      <c r="ES1021" s="58"/>
      <c r="ET1021" s="83"/>
      <c r="EU1021" s="58"/>
    </row>
    <row r="1022" spans="1:151">
      <c r="A1022" s="83" t="s">
        <v>324</v>
      </c>
      <c r="B1022" s="173" t="s">
        <v>543</v>
      </c>
      <c r="C1022" s="173" t="s">
        <v>544</v>
      </c>
      <c r="D1022" s="83" t="s">
        <v>101</v>
      </c>
      <c r="F1022" s="49" t="s">
        <v>286</v>
      </c>
      <c r="G1022" s="49">
        <v>20.265000000000001</v>
      </c>
      <c r="I1022" s="49">
        <v>3017</v>
      </c>
      <c r="J1022" s="159">
        <v>2.8169934640522878</v>
      </c>
      <c r="K1022" s="49">
        <v>4</v>
      </c>
      <c r="L1022" s="49">
        <v>3</v>
      </c>
      <c r="M1022" s="83">
        <v>1</v>
      </c>
      <c r="N1022" s="49">
        <v>2</v>
      </c>
      <c r="O1022" s="49">
        <v>0</v>
      </c>
      <c r="P1022" s="49">
        <v>0</v>
      </c>
      <c r="Q1022" s="58">
        <v>0</v>
      </c>
      <c r="R1022" s="42">
        <v>3</v>
      </c>
      <c r="S1022" s="83" t="s">
        <v>283</v>
      </c>
      <c r="T1022" s="49">
        <v>8</v>
      </c>
      <c r="U1022" s="83">
        <v>1</v>
      </c>
      <c r="V1022" s="49">
        <v>3</v>
      </c>
      <c r="W1022" s="49">
        <v>1</v>
      </c>
      <c r="X1022" s="58">
        <v>1</v>
      </c>
      <c r="Y1022" s="83">
        <v>1</v>
      </c>
      <c r="AA1022" s="49">
        <v>17</v>
      </c>
      <c r="AD1022" s="49">
        <v>17</v>
      </c>
      <c r="AE1022" s="49">
        <v>44</v>
      </c>
      <c r="AF1022" s="49">
        <v>11</v>
      </c>
      <c r="AG1022" s="49">
        <v>143</v>
      </c>
      <c r="AH1022" s="49">
        <v>17</v>
      </c>
      <c r="AI1022" s="49">
        <v>174</v>
      </c>
      <c r="AJ1022" s="49">
        <v>0</v>
      </c>
      <c r="AK1022" s="83">
        <v>0</v>
      </c>
      <c r="AL1022" s="49">
        <v>0</v>
      </c>
      <c r="AM1022" s="49">
        <v>0</v>
      </c>
      <c r="AN1022" s="49">
        <v>0</v>
      </c>
      <c r="AO1022" s="58">
        <v>0</v>
      </c>
      <c r="AP1022" s="174">
        <v>0</v>
      </c>
      <c r="AQ1022" s="175">
        <v>0</v>
      </c>
      <c r="AR1022" s="175">
        <v>0</v>
      </c>
      <c r="AS1022" s="175">
        <v>0</v>
      </c>
      <c r="AT1022" s="175">
        <v>0</v>
      </c>
      <c r="AU1022" s="175">
        <v>0</v>
      </c>
      <c r="AV1022" s="175"/>
      <c r="AW1022" s="175"/>
      <c r="AX1022" s="83">
        <v>0</v>
      </c>
      <c r="AY1022" s="49">
        <v>0</v>
      </c>
      <c r="AZ1022" s="49">
        <v>0</v>
      </c>
      <c r="BA1022" s="49">
        <v>0</v>
      </c>
      <c r="BB1022" s="58">
        <v>0</v>
      </c>
      <c r="BC1022" s="42">
        <v>128</v>
      </c>
      <c r="BS1022" s="58"/>
      <c r="BT1022" s="83"/>
      <c r="CE1022" s="83"/>
      <c r="CK1022" s="58"/>
      <c r="CL1022" s="83"/>
      <c r="CO1022" s="58"/>
      <c r="CP1022" s="83"/>
      <c r="CR1022" s="58"/>
      <c r="CS1022" s="83"/>
      <c r="CY1022" s="83"/>
      <c r="DG1022" s="58"/>
      <c r="DH1022" s="83"/>
      <c r="DQ1022" s="83"/>
      <c r="EE1022" s="58"/>
      <c r="EF1022" s="83"/>
      <c r="EI1022" s="83"/>
      <c r="EK1022" s="58"/>
      <c r="EL1022" s="83"/>
      <c r="EO1022" s="58"/>
      <c r="EP1022" s="83"/>
      <c r="EQ1022" s="58"/>
      <c r="ER1022" s="83"/>
      <c r="ES1022" s="58"/>
      <c r="ET1022" s="83"/>
      <c r="EU1022" s="58"/>
    </row>
    <row r="1023" spans="1:151">
      <c r="A1023" s="83" t="s">
        <v>324</v>
      </c>
      <c r="B1023" s="173" t="s">
        <v>543</v>
      </c>
      <c r="C1023" s="173" t="s">
        <v>544</v>
      </c>
      <c r="D1023" s="83" t="s">
        <v>102</v>
      </c>
      <c r="F1023" s="49" t="s">
        <v>286</v>
      </c>
      <c r="G1023" s="49">
        <v>20.265000000000001</v>
      </c>
      <c r="I1023" s="49">
        <v>2417</v>
      </c>
      <c r="J1023" s="159">
        <v>2.9583843329253368</v>
      </c>
      <c r="K1023" s="49">
        <v>1</v>
      </c>
      <c r="L1023" s="49">
        <v>2</v>
      </c>
      <c r="M1023" s="83">
        <v>0</v>
      </c>
      <c r="N1023" s="49">
        <v>1</v>
      </c>
      <c r="O1023" s="49">
        <v>1</v>
      </c>
      <c r="P1023" s="49">
        <v>1</v>
      </c>
      <c r="Q1023" s="58">
        <v>0</v>
      </c>
      <c r="R1023" s="42">
        <v>3</v>
      </c>
      <c r="S1023" s="83" t="s">
        <v>283</v>
      </c>
      <c r="T1023" s="49">
        <v>16</v>
      </c>
      <c r="U1023" s="83">
        <v>2</v>
      </c>
      <c r="V1023" s="49">
        <v>2</v>
      </c>
      <c r="W1023" s="49">
        <v>1</v>
      </c>
      <c r="X1023" s="58">
        <v>3</v>
      </c>
      <c r="Y1023" s="83">
        <v>1</v>
      </c>
      <c r="AD1023" s="49">
        <v>14</v>
      </c>
      <c r="AE1023" s="49">
        <v>58</v>
      </c>
      <c r="AF1023" s="49">
        <v>8</v>
      </c>
      <c r="AG1023" s="49">
        <v>37</v>
      </c>
      <c r="AH1023" s="49">
        <v>16</v>
      </c>
      <c r="AI1023" s="49">
        <v>146</v>
      </c>
      <c r="AJ1023" s="49">
        <v>0</v>
      </c>
      <c r="AK1023" s="83">
        <v>0</v>
      </c>
      <c r="AL1023" s="49">
        <v>1</v>
      </c>
      <c r="AM1023" s="49">
        <v>1</v>
      </c>
      <c r="AN1023" s="49">
        <v>0</v>
      </c>
      <c r="AO1023" s="58">
        <v>0</v>
      </c>
      <c r="AP1023" s="174">
        <v>0</v>
      </c>
      <c r="AQ1023" s="175">
        <v>250</v>
      </c>
      <c r="AR1023" s="175">
        <v>54</v>
      </c>
      <c r="AS1023" s="175">
        <v>90</v>
      </c>
      <c r="AT1023" s="175">
        <v>0</v>
      </c>
      <c r="AU1023" s="175">
        <v>0</v>
      </c>
      <c r="AV1023" s="175"/>
      <c r="AW1023" s="175"/>
      <c r="AX1023" s="83">
        <v>0</v>
      </c>
      <c r="AY1023" s="49">
        <v>0</v>
      </c>
      <c r="AZ1023" s="49">
        <v>0</v>
      </c>
      <c r="BA1023" s="49">
        <v>0</v>
      </c>
      <c r="BB1023" s="58">
        <v>0</v>
      </c>
      <c r="BC1023" s="42">
        <v>130</v>
      </c>
      <c r="BS1023" s="58"/>
      <c r="BT1023" s="83">
        <v>79.040000000000006</v>
      </c>
      <c r="BU1023" s="49">
        <v>74.62</v>
      </c>
      <c r="CE1023" s="83"/>
      <c r="CK1023" s="58"/>
      <c r="CL1023" s="83">
        <v>69.790000000000006</v>
      </c>
      <c r="CO1023" s="58"/>
      <c r="CP1023" s="83"/>
      <c r="CR1023" s="58"/>
      <c r="CS1023" s="83"/>
      <c r="CY1023" s="83"/>
      <c r="DG1023" s="58"/>
      <c r="DH1023" s="83"/>
      <c r="DQ1023" s="83"/>
      <c r="EE1023" s="58"/>
      <c r="EF1023" s="83"/>
      <c r="EI1023" s="83"/>
      <c r="EK1023" s="58"/>
      <c r="EL1023" s="83"/>
      <c r="EO1023" s="58"/>
      <c r="EP1023" s="83"/>
      <c r="EQ1023" s="58"/>
      <c r="ER1023" s="83"/>
      <c r="ES1023" s="58"/>
      <c r="ET1023" s="83"/>
      <c r="EU1023" s="58"/>
    </row>
    <row r="1024" spans="1:151">
      <c r="A1024" s="83" t="s">
        <v>324</v>
      </c>
      <c r="B1024" s="173" t="s">
        <v>543</v>
      </c>
      <c r="C1024" s="173" t="s">
        <v>544</v>
      </c>
      <c r="D1024" s="83" t="s">
        <v>103</v>
      </c>
      <c r="F1024" s="49" t="s">
        <v>287</v>
      </c>
      <c r="G1024" s="49">
        <v>20.265000000000001</v>
      </c>
      <c r="I1024" s="49">
        <v>555</v>
      </c>
      <c r="J1024" s="159">
        <v>1.4919354838709677</v>
      </c>
      <c r="K1024" s="49">
        <v>1</v>
      </c>
      <c r="L1024" s="49">
        <v>2</v>
      </c>
      <c r="M1024" s="83">
        <v>0</v>
      </c>
      <c r="N1024" s="49">
        <v>0</v>
      </c>
      <c r="O1024" s="49">
        <v>1</v>
      </c>
      <c r="P1024" s="49">
        <v>1</v>
      </c>
      <c r="Q1024" s="58">
        <v>0</v>
      </c>
      <c r="R1024" s="42">
        <v>2</v>
      </c>
      <c r="S1024" s="83" t="s">
        <v>283</v>
      </c>
      <c r="T1024" s="49">
        <v>10</v>
      </c>
      <c r="U1024" s="83">
        <v>2</v>
      </c>
      <c r="V1024" s="49">
        <v>3</v>
      </c>
      <c r="W1024" s="49">
        <v>1</v>
      </c>
      <c r="X1024" s="58">
        <v>3</v>
      </c>
      <c r="Y1024" s="83">
        <v>0</v>
      </c>
      <c r="AJ1024" s="49">
        <v>0</v>
      </c>
      <c r="AK1024" s="83">
        <v>0</v>
      </c>
      <c r="AL1024" s="49">
        <v>0</v>
      </c>
      <c r="AM1024" s="49">
        <v>0</v>
      </c>
      <c r="AN1024" s="49">
        <v>0</v>
      </c>
      <c r="AO1024" s="58">
        <v>0</v>
      </c>
      <c r="AP1024" s="174">
        <v>0</v>
      </c>
      <c r="AQ1024" s="175">
        <v>0</v>
      </c>
      <c r="AR1024" s="175">
        <v>0</v>
      </c>
      <c r="AS1024" s="175">
        <v>0</v>
      </c>
      <c r="AT1024" s="175">
        <v>0</v>
      </c>
      <c r="AU1024" s="175">
        <v>0</v>
      </c>
      <c r="AV1024" s="175"/>
      <c r="AW1024" s="175"/>
      <c r="AX1024" s="83">
        <v>0</v>
      </c>
      <c r="AY1024" s="49">
        <v>0</v>
      </c>
      <c r="AZ1024" s="49">
        <v>0</v>
      </c>
      <c r="BA1024" s="49">
        <v>0</v>
      </c>
      <c r="BB1024" s="58">
        <v>0</v>
      </c>
      <c r="BC1024" s="42">
        <v>110</v>
      </c>
      <c r="BS1024" s="58"/>
      <c r="BT1024" s="83"/>
      <c r="CE1024" s="83"/>
      <c r="CK1024" s="58"/>
      <c r="CL1024" s="83"/>
      <c r="CO1024" s="58"/>
      <c r="CP1024" s="83"/>
      <c r="CR1024" s="58"/>
      <c r="CS1024" s="83"/>
      <c r="CY1024" s="83"/>
      <c r="DG1024" s="58"/>
      <c r="DH1024" s="83"/>
      <c r="DQ1024" s="83"/>
      <c r="EE1024" s="58"/>
      <c r="EF1024" s="83"/>
      <c r="EI1024" s="83"/>
      <c r="EK1024" s="58"/>
      <c r="EL1024" s="83"/>
      <c r="EO1024" s="58"/>
      <c r="EP1024" s="83"/>
      <c r="EQ1024" s="58"/>
      <c r="ER1024" s="83"/>
      <c r="ES1024" s="58"/>
      <c r="ET1024" s="83"/>
      <c r="EU1024" s="58"/>
    </row>
    <row r="1025" spans="1:151">
      <c r="A1025" s="83" t="s">
        <v>324</v>
      </c>
      <c r="B1025" s="173" t="s">
        <v>543</v>
      </c>
      <c r="C1025" s="173" t="s">
        <v>544</v>
      </c>
      <c r="D1025" s="83" t="s">
        <v>147</v>
      </c>
      <c r="F1025" s="49" t="s">
        <v>286</v>
      </c>
      <c r="G1025" s="49">
        <v>20.265000000000001</v>
      </c>
      <c r="I1025" s="49">
        <v>1054</v>
      </c>
      <c r="J1025" s="159">
        <v>1.3443877551020409</v>
      </c>
      <c r="K1025" s="49">
        <v>1</v>
      </c>
      <c r="L1025" s="49">
        <v>2</v>
      </c>
      <c r="M1025" s="83">
        <v>1</v>
      </c>
      <c r="N1025" s="49">
        <v>0</v>
      </c>
      <c r="O1025" s="49">
        <v>0</v>
      </c>
      <c r="P1025" s="49">
        <v>0</v>
      </c>
      <c r="Q1025" s="58">
        <v>0</v>
      </c>
      <c r="R1025" s="42">
        <v>1</v>
      </c>
      <c r="S1025" s="83" t="s">
        <v>283</v>
      </c>
      <c r="T1025" s="49">
        <v>9</v>
      </c>
      <c r="U1025" s="83">
        <v>1</v>
      </c>
      <c r="V1025" s="49">
        <v>2</v>
      </c>
      <c r="W1025" s="49">
        <v>1</v>
      </c>
      <c r="X1025" s="58">
        <v>1</v>
      </c>
      <c r="Y1025" s="83">
        <v>1</v>
      </c>
      <c r="AA1025" s="49">
        <v>8</v>
      </c>
      <c r="AD1025" s="49">
        <v>23</v>
      </c>
      <c r="AE1025" s="49">
        <v>24</v>
      </c>
      <c r="AF1025" s="49">
        <v>15</v>
      </c>
      <c r="AG1025" s="49">
        <v>28</v>
      </c>
      <c r="AH1025" s="49">
        <v>11</v>
      </c>
      <c r="AI1025" s="49">
        <v>102</v>
      </c>
      <c r="AJ1025" s="49">
        <v>9</v>
      </c>
      <c r="AK1025" s="83">
        <v>0</v>
      </c>
      <c r="AL1025" s="49">
        <v>0</v>
      </c>
      <c r="AM1025" s="49">
        <v>0</v>
      </c>
      <c r="AN1025" s="49">
        <v>0</v>
      </c>
      <c r="AO1025" s="58">
        <v>0</v>
      </c>
      <c r="AP1025" s="174">
        <v>0</v>
      </c>
      <c r="AQ1025" s="175">
        <v>0</v>
      </c>
      <c r="AR1025" s="175">
        <v>0</v>
      </c>
      <c r="AS1025" s="175">
        <v>0</v>
      </c>
      <c r="AT1025" s="175">
        <v>0</v>
      </c>
      <c r="AU1025" s="175">
        <v>0</v>
      </c>
      <c r="AV1025" s="175"/>
      <c r="AW1025" s="175"/>
      <c r="AX1025" s="83">
        <v>0</v>
      </c>
      <c r="AY1025" s="49">
        <v>0</v>
      </c>
      <c r="AZ1025" s="49">
        <v>0</v>
      </c>
      <c r="BA1025" s="49">
        <v>0</v>
      </c>
      <c r="BB1025" s="58">
        <v>0</v>
      </c>
      <c r="BC1025" s="42">
        <v>107</v>
      </c>
      <c r="BS1025" s="58"/>
      <c r="BT1025" s="83"/>
      <c r="CE1025" s="83"/>
      <c r="CK1025" s="58"/>
      <c r="CL1025" s="83"/>
      <c r="CO1025" s="58"/>
      <c r="CP1025" s="83"/>
      <c r="CR1025" s="58"/>
      <c r="CS1025" s="83"/>
      <c r="CY1025" s="83"/>
      <c r="DG1025" s="58"/>
      <c r="DH1025" s="83"/>
      <c r="DQ1025" s="83"/>
      <c r="EE1025" s="58"/>
      <c r="EF1025" s="83"/>
      <c r="EI1025" s="83"/>
      <c r="EK1025" s="58"/>
      <c r="EL1025" s="83"/>
      <c r="EO1025" s="58"/>
      <c r="EP1025" s="83"/>
      <c r="EQ1025" s="58"/>
      <c r="ER1025" s="83"/>
      <c r="ES1025" s="58"/>
      <c r="ET1025" s="83"/>
      <c r="EU1025" s="58"/>
    </row>
    <row r="1026" spans="1:151">
      <c r="A1026" s="83" t="s">
        <v>324</v>
      </c>
      <c r="B1026" s="173" t="s">
        <v>543</v>
      </c>
      <c r="C1026" s="173" t="s">
        <v>544</v>
      </c>
      <c r="D1026" s="83" t="s">
        <v>148</v>
      </c>
      <c r="F1026" s="49" t="s">
        <v>286</v>
      </c>
      <c r="G1026" s="49">
        <v>20.265000000000001</v>
      </c>
      <c r="I1026" s="49">
        <v>1846</v>
      </c>
      <c r="J1026" s="159">
        <v>2.438573315719947</v>
      </c>
      <c r="K1026" s="49">
        <v>1</v>
      </c>
      <c r="L1026" s="49">
        <v>2</v>
      </c>
      <c r="M1026" s="83">
        <v>0</v>
      </c>
      <c r="N1026" s="49">
        <v>0</v>
      </c>
      <c r="O1026" s="49">
        <v>1</v>
      </c>
      <c r="P1026" s="49">
        <v>1</v>
      </c>
      <c r="Q1026" s="58">
        <v>0</v>
      </c>
      <c r="R1026" s="42">
        <v>2</v>
      </c>
      <c r="S1026" s="83" t="s">
        <v>283</v>
      </c>
      <c r="T1026" s="49">
        <v>6</v>
      </c>
      <c r="U1026" s="83">
        <v>1</v>
      </c>
      <c r="V1026" s="49">
        <v>2</v>
      </c>
      <c r="W1026" s="49">
        <v>1</v>
      </c>
      <c r="X1026" s="58">
        <v>3</v>
      </c>
      <c r="Y1026" s="83">
        <v>1</v>
      </c>
      <c r="AF1026" s="49">
        <v>8</v>
      </c>
      <c r="AG1026" s="49">
        <v>90</v>
      </c>
      <c r="AH1026" s="49">
        <v>11</v>
      </c>
      <c r="AI1026" s="49">
        <v>31</v>
      </c>
      <c r="AJ1026" s="49">
        <v>0</v>
      </c>
      <c r="AK1026" s="83">
        <v>0</v>
      </c>
      <c r="AL1026" s="49">
        <v>0</v>
      </c>
      <c r="AM1026" s="49">
        <v>0</v>
      </c>
      <c r="AN1026" s="49">
        <v>0</v>
      </c>
      <c r="AO1026" s="58">
        <v>0</v>
      </c>
      <c r="AP1026" s="174">
        <v>0</v>
      </c>
      <c r="AQ1026" s="175">
        <v>0</v>
      </c>
      <c r="AR1026" s="175">
        <v>0</v>
      </c>
      <c r="AS1026" s="175">
        <v>0</v>
      </c>
      <c r="AT1026" s="175">
        <v>0</v>
      </c>
      <c r="AU1026" s="175">
        <v>0</v>
      </c>
      <c r="AV1026" s="175"/>
      <c r="AW1026" s="175"/>
      <c r="AX1026" s="83">
        <v>0</v>
      </c>
      <c r="AY1026" s="49">
        <v>0</v>
      </c>
      <c r="AZ1026" s="49">
        <v>0</v>
      </c>
      <c r="BA1026" s="49">
        <v>0</v>
      </c>
      <c r="BB1026" s="58">
        <v>0</v>
      </c>
      <c r="BC1026" s="42">
        <v>111</v>
      </c>
      <c r="BS1026" s="58"/>
      <c r="BT1026" s="83"/>
      <c r="CE1026" s="83"/>
      <c r="CK1026" s="58"/>
      <c r="CL1026" s="83"/>
      <c r="CO1026" s="58"/>
      <c r="CP1026" s="83"/>
      <c r="CR1026" s="58"/>
      <c r="CS1026" s="83"/>
      <c r="CY1026" s="83"/>
      <c r="DG1026" s="58"/>
      <c r="DH1026" s="83"/>
      <c r="DQ1026" s="83"/>
      <c r="EE1026" s="58"/>
      <c r="EF1026" s="83"/>
      <c r="EI1026" s="83"/>
      <c r="EK1026" s="58"/>
      <c r="EL1026" s="83"/>
      <c r="EO1026" s="58"/>
      <c r="EP1026" s="83"/>
      <c r="EQ1026" s="58"/>
      <c r="ER1026" s="83"/>
      <c r="ES1026" s="58"/>
      <c r="ET1026" s="83"/>
      <c r="EU1026" s="58"/>
    </row>
    <row r="1027" spans="1:151">
      <c r="A1027" s="83" t="s">
        <v>324</v>
      </c>
      <c r="B1027" s="173" t="s">
        <v>543</v>
      </c>
      <c r="C1027" s="173" t="s">
        <v>544</v>
      </c>
      <c r="D1027" s="83" t="s">
        <v>104</v>
      </c>
      <c r="F1027" s="49" t="s">
        <v>286</v>
      </c>
      <c r="G1027" s="49">
        <v>20.265000000000001</v>
      </c>
      <c r="I1027" s="49">
        <v>1562</v>
      </c>
      <c r="J1027" s="159">
        <v>2.3313432835820898</v>
      </c>
      <c r="K1027" s="49">
        <v>4</v>
      </c>
      <c r="L1027" s="49">
        <v>4</v>
      </c>
      <c r="M1027" s="83">
        <v>0</v>
      </c>
      <c r="N1027" s="49">
        <v>2</v>
      </c>
      <c r="O1027" s="49">
        <v>1</v>
      </c>
      <c r="P1027" s="49">
        <v>1</v>
      </c>
      <c r="Q1027" s="58">
        <v>0</v>
      </c>
      <c r="R1027" s="42">
        <v>4</v>
      </c>
      <c r="S1027" s="83" t="s">
        <v>283</v>
      </c>
      <c r="T1027" s="49">
        <v>11</v>
      </c>
      <c r="U1027" s="83">
        <v>3</v>
      </c>
      <c r="V1027" s="49">
        <v>4</v>
      </c>
      <c r="W1027" s="49">
        <v>3</v>
      </c>
      <c r="X1027" s="58">
        <v>3</v>
      </c>
      <c r="Y1027" s="83">
        <v>1</v>
      </c>
      <c r="AD1027" s="49">
        <v>5</v>
      </c>
      <c r="AE1027" s="49">
        <v>9</v>
      </c>
      <c r="AI1027" s="49">
        <v>22</v>
      </c>
      <c r="AJ1027" s="49">
        <v>0</v>
      </c>
      <c r="AK1027" s="83">
        <v>0</v>
      </c>
      <c r="AL1027" s="49">
        <v>0</v>
      </c>
      <c r="AM1027" s="49">
        <v>0</v>
      </c>
      <c r="AN1027" s="49">
        <v>0</v>
      </c>
      <c r="AO1027" s="58">
        <v>0</v>
      </c>
      <c r="AP1027" s="174">
        <v>0</v>
      </c>
      <c r="AQ1027" s="175">
        <v>0</v>
      </c>
      <c r="AR1027" s="175">
        <v>0</v>
      </c>
      <c r="AS1027" s="175">
        <v>0</v>
      </c>
      <c r="AT1027" s="175">
        <v>0</v>
      </c>
      <c r="AU1027" s="175">
        <v>0</v>
      </c>
      <c r="AV1027" s="175"/>
      <c r="AW1027" s="175"/>
      <c r="AX1027" s="83">
        <v>0</v>
      </c>
      <c r="AY1027" s="49">
        <v>0</v>
      </c>
      <c r="AZ1027" s="49">
        <v>0</v>
      </c>
      <c r="BA1027" s="49">
        <v>0</v>
      </c>
      <c r="BB1027" s="58">
        <v>0</v>
      </c>
      <c r="BC1027" s="42">
        <v>99</v>
      </c>
      <c r="BS1027" s="58"/>
      <c r="BT1027" s="83">
        <v>78.91</v>
      </c>
      <c r="CE1027" s="83"/>
      <c r="CK1027" s="58"/>
      <c r="CL1027" s="83">
        <v>67.14</v>
      </c>
      <c r="CO1027" s="58"/>
      <c r="CP1027" s="83"/>
      <c r="CR1027" s="58"/>
      <c r="CS1027" s="83"/>
      <c r="CY1027" s="83">
        <v>81.52</v>
      </c>
      <c r="CZ1027" s="49">
        <v>78.77</v>
      </c>
      <c r="DG1027" s="58"/>
      <c r="DH1027" s="83"/>
      <c r="DQ1027" s="83"/>
      <c r="EE1027" s="58"/>
      <c r="EF1027" s="83"/>
      <c r="EI1027" s="83"/>
      <c r="EK1027" s="58"/>
      <c r="EL1027" s="83"/>
      <c r="EO1027" s="58"/>
      <c r="EP1027" s="83"/>
      <c r="EQ1027" s="58"/>
      <c r="ER1027" s="83"/>
      <c r="ES1027" s="58"/>
      <c r="ET1027" s="83"/>
      <c r="EU1027" s="58"/>
    </row>
    <row r="1028" spans="1:151" ht="17" thickBot="1">
      <c r="A1028" s="83" t="s">
        <v>324</v>
      </c>
      <c r="B1028" s="173" t="s">
        <v>543</v>
      </c>
      <c r="C1028" s="173" t="s">
        <v>544</v>
      </c>
      <c r="D1028" s="83" t="s">
        <v>105</v>
      </c>
      <c r="F1028" s="49" t="s">
        <v>286</v>
      </c>
      <c r="G1028" s="49">
        <v>20.265000000000001</v>
      </c>
      <c r="I1028" s="49">
        <v>1188</v>
      </c>
      <c r="J1028" s="159">
        <v>1.0780399274047188</v>
      </c>
      <c r="K1028" s="49">
        <v>1</v>
      </c>
      <c r="L1028" s="49">
        <v>2</v>
      </c>
      <c r="M1028" s="83">
        <v>0</v>
      </c>
      <c r="N1028" s="49">
        <v>1</v>
      </c>
      <c r="O1028" s="49">
        <v>1</v>
      </c>
      <c r="P1028" s="49">
        <v>1</v>
      </c>
      <c r="Q1028" s="58">
        <v>0</v>
      </c>
      <c r="R1028" s="42">
        <v>3</v>
      </c>
      <c r="S1028" s="83" t="s">
        <v>283</v>
      </c>
      <c r="T1028" s="49">
        <v>6</v>
      </c>
      <c r="U1028" s="83">
        <v>1</v>
      </c>
      <c r="V1028" s="49">
        <v>2</v>
      </c>
      <c r="W1028" s="49">
        <v>1</v>
      </c>
      <c r="X1028" s="58">
        <v>1</v>
      </c>
      <c r="Y1028" s="83">
        <v>1</v>
      </c>
      <c r="AE1028" s="49">
        <v>19</v>
      </c>
      <c r="AH1028" s="49">
        <v>15</v>
      </c>
      <c r="AI1028" s="49">
        <v>56</v>
      </c>
      <c r="AJ1028" s="49">
        <v>0</v>
      </c>
      <c r="AK1028" s="83">
        <v>0</v>
      </c>
      <c r="AL1028" s="49">
        <v>0</v>
      </c>
      <c r="AM1028" s="49">
        <v>0</v>
      </c>
      <c r="AN1028" s="49">
        <v>0</v>
      </c>
      <c r="AO1028" s="58">
        <v>0</v>
      </c>
      <c r="AP1028" s="174">
        <v>0</v>
      </c>
      <c r="AQ1028" s="175">
        <v>0</v>
      </c>
      <c r="AR1028" s="175">
        <v>0</v>
      </c>
      <c r="AS1028" s="175">
        <v>0</v>
      </c>
      <c r="AT1028" s="175">
        <v>0</v>
      </c>
      <c r="AU1028" s="175">
        <v>0</v>
      </c>
      <c r="AV1028" s="175"/>
      <c r="AW1028" s="175"/>
      <c r="AX1028" s="83">
        <v>0</v>
      </c>
      <c r="AY1028" s="49">
        <v>0</v>
      </c>
      <c r="AZ1028" s="49">
        <v>0</v>
      </c>
      <c r="BA1028" s="49">
        <v>0</v>
      </c>
      <c r="BB1028" s="58">
        <v>0</v>
      </c>
      <c r="BC1028" s="42">
        <v>125</v>
      </c>
      <c r="BS1028" s="58"/>
      <c r="BT1028" s="83"/>
      <c r="CE1028" s="83"/>
      <c r="CK1028" s="58"/>
      <c r="CL1028" s="83"/>
      <c r="CO1028" s="58"/>
      <c r="CP1028" s="83"/>
      <c r="CR1028" s="58"/>
      <c r="CS1028" s="83"/>
      <c r="CY1028" s="83"/>
      <c r="DG1028" s="58"/>
      <c r="DH1028" s="83"/>
      <c r="DQ1028" s="83"/>
      <c r="EE1028" s="58"/>
      <c r="EF1028" s="83"/>
      <c r="EI1028" s="83"/>
      <c r="EK1028" s="58"/>
      <c r="EL1028" s="83"/>
      <c r="EO1028" s="58"/>
      <c r="EP1028" s="83"/>
      <c r="EQ1028" s="58"/>
      <c r="ER1028" s="83"/>
      <c r="ES1028" s="58"/>
      <c r="ET1028" s="83"/>
      <c r="EU1028" s="58"/>
    </row>
    <row r="1029" spans="1:151">
      <c r="A1029" s="87" t="s">
        <v>324</v>
      </c>
      <c r="B1029" s="7" t="s">
        <v>545</v>
      </c>
      <c r="C1029" s="7" t="s">
        <v>544</v>
      </c>
      <c r="D1029" s="147" t="s">
        <v>64</v>
      </c>
      <c r="E1029" s="148"/>
      <c r="F1029" s="148" t="s">
        <v>286</v>
      </c>
      <c r="G1029" s="148">
        <v>20.265000000000001</v>
      </c>
      <c r="H1029" s="148"/>
      <c r="I1029" s="148">
        <v>3027</v>
      </c>
      <c r="J1029" s="158">
        <v>1.4602026049204051</v>
      </c>
      <c r="K1029" s="148">
        <v>1</v>
      </c>
      <c r="L1029" s="148">
        <v>3</v>
      </c>
      <c r="M1029" s="147">
        <v>0</v>
      </c>
      <c r="N1029" s="148">
        <v>1</v>
      </c>
      <c r="O1029" s="148">
        <v>1</v>
      </c>
      <c r="P1029" s="148">
        <v>1</v>
      </c>
      <c r="Q1029" s="149">
        <v>0</v>
      </c>
      <c r="R1029" s="87">
        <v>3</v>
      </c>
      <c r="S1029" s="147" t="s">
        <v>283</v>
      </c>
      <c r="T1029" s="148">
        <v>11</v>
      </c>
      <c r="U1029" s="147">
        <v>1</v>
      </c>
      <c r="V1029" s="148">
        <v>3</v>
      </c>
      <c r="W1029" s="148">
        <v>1</v>
      </c>
      <c r="X1029" s="149">
        <v>1</v>
      </c>
      <c r="Y1029" s="147">
        <v>1</v>
      </c>
      <c r="Z1029" s="148">
        <v>8</v>
      </c>
      <c r="AA1029" s="148">
        <v>40</v>
      </c>
      <c r="AB1029" s="148"/>
      <c r="AC1029" s="148"/>
      <c r="AD1029" s="148" t="s">
        <v>271</v>
      </c>
      <c r="AE1029" s="148">
        <v>77</v>
      </c>
      <c r="AF1029" s="148">
        <v>11</v>
      </c>
      <c r="AG1029" s="148">
        <v>117</v>
      </c>
      <c r="AH1029" s="148">
        <v>32</v>
      </c>
      <c r="AI1029" s="148">
        <v>90</v>
      </c>
      <c r="AJ1029" s="148">
        <v>0</v>
      </c>
      <c r="AK1029" s="147">
        <v>0</v>
      </c>
      <c r="AL1029" s="148">
        <v>0</v>
      </c>
      <c r="AM1029" s="148">
        <v>0</v>
      </c>
      <c r="AN1029" s="148">
        <v>0</v>
      </c>
      <c r="AO1029" s="149">
        <v>0</v>
      </c>
      <c r="AP1029" s="169">
        <v>0</v>
      </c>
      <c r="AQ1029" s="170">
        <v>0</v>
      </c>
      <c r="AR1029" s="170">
        <v>0</v>
      </c>
      <c r="AS1029" s="170">
        <v>0</v>
      </c>
      <c r="AT1029" s="170">
        <v>0</v>
      </c>
      <c r="AU1029" s="170">
        <v>0</v>
      </c>
      <c r="AV1029" s="170"/>
      <c r="AW1029" s="170"/>
      <c r="AX1029" s="147">
        <v>0</v>
      </c>
      <c r="AY1029" s="148">
        <v>0</v>
      </c>
      <c r="AZ1029" s="148">
        <v>0</v>
      </c>
      <c r="BA1029" s="148">
        <v>0</v>
      </c>
      <c r="BB1029" s="149">
        <v>0</v>
      </c>
      <c r="BC1029" s="87">
        <v>136</v>
      </c>
      <c r="BD1029" s="148"/>
      <c r="BE1029" s="158"/>
      <c r="BF1029" s="148"/>
      <c r="BG1029" s="148"/>
      <c r="BH1029" s="148"/>
      <c r="BI1029" s="148"/>
      <c r="BJ1029" s="148"/>
      <c r="BK1029" s="148"/>
      <c r="BL1029" s="148"/>
      <c r="BM1029" s="148"/>
      <c r="BN1029" s="148"/>
      <c r="BO1029" s="148"/>
      <c r="BP1029" s="148"/>
      <c r="BQ1029" s="148"/>
      <c r="BR1029" s="148"/>
      <c r="BS1029" s="149"/>
      <c r="BT1029" s="147"/>
      <c r="BU1029" s="148"/>
      <c r="BV1029" s="148"/>
      <c r="BW1029" s="148"/>
      <c r="BX1029" s="148"/>
      <c r="BY1029" s="148"/>
      <c r="BZ1029" s="148"/>
      <c r="CA1029" s="148"/>
      <c r="CB1029" s="148"/>
      <c r="CC1029" s="148"/>
      <c r="CD1029" s="148"/>
      <c r="CE1029" s="147"/>
      <c r="CF1029" s="148"/>
      <c r="CG1029" s="148"/>
      <c r="CH1029" s="148"/>
      <c r="CI1029" s="148"/>
      <c r="CJ1029" s="148"/>
      <c r="CK1029" s="149"/>
      <c r="CL1029" s="147"/>
      <c r="CM1029" s="148"/>
      <c r="CN1029" s="148"/>
      <c r="CO1029" s="149"/>
      <c r="CP1029" s="147"/>
      <c r="CQ1029" s="148"/>
      <c r="CR1029" s="149"/>
      <c r="CS1029" s="147"/>
      <c r="CT1029" s="148"/>
      <c r="CU1029" s="148"/>
      <c r="CV1029" s="148"/>
      <c r="CW1029" s="148"/>
      <c r="CX1029" s="148"/>
      <c r="CY1029" s="147"/>
      <c r="CZ1029" s="148"/>
      <c r="DA1029" s="148"/>
      <c r="DB1029" s="148"/>
      <c r="DC1029" s="148"/>
      <c r="DD1029" s="148"/>
      <c r="DE1029" s="148"/>
      <c r="DF1029" s="148"/>
      <c r="DG1029" s="149"/>
      <c r="DH1029" s="147"/>
      <c r="DI1029" s="148"/>
      <c r="DJ1029" s="148"/>
      <c r="DK1029" s="148"/>
      <c r="DL1029" s="148"/>
      <c r="DM1029" s="148"/>
      <c r="DN1029" s="148"/>
      <c r="DO1029" s="148"/>
      <c r="DP1029" s="148"/>
      <c r="DQ1029" s="147"/>
      <c r="DR1029" s="148"/>
      <c r="DS1029" s="148"/>
      <c r="DT1029" s="148"/>
      <c r="DU1029" s="148"/>
      <c r="DV1029" s="148"/>
      <c r="DW1029" s="148"/>
      <c r="DX1029" s="148"/>
      <c r="DY1029" s="148"/>
      <c r="DZ1029" s="148"/>
      <c r="EA1029" s="148"/>
      <c r="EB1029" s="148"/>
      <c r="EC1029" s="148"/>
      <c r="ED1029" s="148"/>
      <c r="EE1029" s="149"/>
      <c r="EF1029" s="147"/>
      <c r="EG1029" s="148"/>
      <c r="EH1029" s="148"/>
      <c r="EI1029" s="147"/>
      <c r="EJ1029" s="148"/>
      <c r="EK1029" s="149"/>
      <c r="EL1029" s="147"/>
      <c r="EM1029" s="148"/>
      <c r="EN1029" s="148"/>
      <c r="EO1029" s="149"/>
      <c r="EP1029" s="147"/>
      <c r="EQ1029" s="149"/>
      <c r="ER1029" s="147"/>
      <c r="ES1029" s="149"/>
      <c r="ET1029" s="147"/>
      <c r="EU1029" s="149"/>
    </row>
    <row r="1030" spans="1:151">
      <c r="A1030" s="42" t="s">
        <v>324</v>
      </c>
      <c r="B1030" s="173" t="s">
        <v>545</v>
      </c>
      <c r="C1030" s="173" t="s">
        <v>544</v>
      </c>
      <c r="D1030" s="83" t="s">
        <v>65</v>
      </c>
      <c r="F1030" s="49" t="s">
        <v>286</v>
      </c>
      <c r="G1030" s="49">
        <v>20.265000000000001</v>
      </c>
      <c r="I1030" s="49">
        <v>1946</v>
      </c>
      <c r="J1030" s="159">
        <v>1.4194018964259665</v>
      </c>
      <c r="K1030" s="49">
        <v>1</v>
      </c>
      <c r="L1030" s="49">
        <v>3</v>
      </c>
      <c r="M1030" s="83">
        <v>1</v>
      </c>
      <c r="N1030" s="49">
        <v>2</v>
      </c>
      <c r="O1030" s="49">
        <v>1</v>
      </c>
      <c r="P1030" s="49">
        <v>1</v>
      </c>
      <c r="Q1030" s="58">
        <v>0</v>
      </c>
      <c r="R1030" s="42">
        <v>5</v>
      </c>
      <c r="S1030" s="83" t="s">
        <v>283</v>
      </c>
      <c r="T1030" s="49">
        <v>11</v>
      </c>
      <c r="U1030" s="83">
        <v>2</v>
      </c>
      <c r="V1030" s="49">
        <v>4</v>
      </c>
      <c r="W1030" s="49">
        <v>1</v>
      </c>
      <c r="X1030" s="58">
        <v>3</v>
      </c>
      <c r="Y1030" s="83">
        <v>2</v>
      </c>
      <c r="Z1030" s="49">
        <v>5</v>
      </c>
      <c r="AA1030" s="49">
        <v>14</v>
      </c>
      <c r="AD1030" s="49">
        <v>8</v>
      </c>
      <c r="AE1030" s="49">
        <v>86</v>
      </c>
      <c r="AF1030" s="49">
        <v>4</v>
      </c>
      <c r="AG1030" s="49">
        <v>78</v>
      </c>
      <c r="AH1030" s="49">
        <v>12</v>
      </c>
      <c r="AI1030" s="49">
        <v>586</v>
      </c>
      <c r="AJ1030" s="49">
        <v>0</v>
      </c>
      <c r="AK1030" s="83">
        <v>0</v>
      </c>
      <c r="AL1030" s="49">
        <v>0</v>
      </c>
      <c r="AM1030" s="49">
        <v>0</v>
      </c>
      <c r="AN1030" s="49">
        <v>0</v>
      </c>
      <c r="AO1030" s="58">
        <v>0</v>
      </c>
      <c r="AP1030" s="174">
        <v>0</v>
      </c>
      <c r="AQ1030" s="175">
        <v>0</v>
      </c>
      <c r="AR1030" s="175">
        <v>0</v>
      </c>
      <c r="AS1030" s="175">
        <v>0</v>
      </c>
      <c r="AT1030" s="175">
        <v>0</v>
      </c>
      <c r="AU1030" s="175">
        <v>0</v>
      </c>
      <c r="AV1030" s="175"/>
      <c r="AW1030" s="175"/>
      <c r="AX1030" s="83">
        <v>0</v>
      </c>
      <c r="AY1030" s="49">
        <v>0</v>
      </c>
      <c r="AZ1030" s="49">
        <v>0</v>
      </c>
      <c r="BA1030" s="49">
        <v>0</v>
      </c>
      <c r="BB1030" s="58">
        <v>0</v>
      </c>
      <c r="BC1030" s="42">
        <v>122</v>
      </c>
      <c r="BS1030" s="58"/>
      <c r="BT1030" s="83"/>
      <c r="CE1030" s="83"/>
      <c r="CK1030" s="58"/>
      <c r="CL1030" s="83"/>
      <c r="CO1030" s="58"/>
      <c r="CP1030" s="83"/>
      <c r="CR1030" s="58"/>
      <c r="CS1030" s="83"/>
      <c r="CY1030" s="83"/>
      <c r="DG1030" s="58"/>
      <c r="DH1030" s="83"/>
      <c r="DQ1030" s="83"/>
      <c r="EE1030" s="58"/>
      <c r="EF1030" s="83"/>
      <c r="EI1030" s="83"/>
      <c r="EK1030" s="58"/>
      <c r="EL1030" s="83"/>
      <c r="EO1030" s="58"/>
      <c r="EP1030" s="83"/>
      <c r="EQ1030" s="58"/>
      <c r="ER1030" s="83"/>
      <c r="ES1030" s="58"/>
      <c r="ET1030" s="83"/>
      <c r="EU1030" s="58"/>
    </row>
    <row r="1031" spans="1:151">
      <c r="A1031" s="42" t="s">
        <v>324</v>
      </c>
      <c r="B1031" s="173" t="s">
        <v>545</v>
      </c>
      <c r="C1031" s="173" t="s">
        <v>544</v>
      </c>
      <c r="D1031" s="83" t="s">
        <v>68</v>
      </c>
      <c r="F1031" s="49" t="s">
        <v>286</v>
      </c>
      <c r="G1031" s="49">
        <v>20.265000000000001</v>
      </c>
      <c r="I1031" s="49">
        <v>1399</v>
      </c>
      <c r="J1031" s="159">
        <v>1.615473441108545</v>
      </c>
      <c r="K1031" s="49">
        <v>1</v>
      </c>
      <c r="L1031" s="49">
        <v>2</v>
      </c>
      <c r="M1031" s="83">
        <v>0</v>
      </c>
      <c r="N1031" s="49">
        <v>1</v>
      </c>
      <c r="O1031" s="49">
        <v>1</v>
      </c>
      <c r="P1031" s="49">
        <v>1</v>
      </c>
      <c r="Q1031" s="58">
        <v>0</v>
      </c>
      <c r="R1031" s="42">
        <v>3</v>
      </c>
      <c r="S1031" s="83" t="s">
        <v>283</v>
      </c>
      <c r="T1031" s="49">
        <v>13</v>
      </c>
      <c r="U1031" s="83">
        <v>2</v>
      </c>
      <c r="V1031" s="49">
        <v>3</v>
      </c>
      <c r="W1031" s="49">
        <v>1</v>
      </c>
      <c r="X1031" s="58">
        <v>3</v>
      </c>
      <c r="Y1031" s="83">
        <v>1</v>
      </c>
      <c r="AD1031" s="49">
        <v>4</v>
      </c>
      <c r="AE1031" s="49">
        <v>12</v>
      </c>
      <c r="AF1031" s="49">
        <v>11</v>
      </c>
      <c r="AG1031" s="49">
        <v>63</v>
      </c>
      <c r="AI1031" s="49">
        <v>25</v>
      </c>
      <c r="AJ1031" s="49">
        <v>0</v>
      </c>
      <c r="AK1031" s="83">
        <v>0</v>
      </c>
      <c r="AL1031" s="49">
        <v>0</v>
      </c>
      <c r="AM1031" s="49">
        <v>0</v>
      </c>
      <c r="AN1031" s="49">
        <v>0</v>
      </c>
      <c r="AO1031" s="58">
        <v>0</v>
      </c>
      <c r="AP1031" s="174">
        <v>0</v>
      </c>
      <c r="AQ1031" s="175">
        <v>0</v>
      </c>
      <c r="AR1031" s="175">
        <v>0</v>
      </c>
      <c r="AS1031" s="175">
        <v>0</v>
      </c>
      <c r="AT1031" s="175">
        <v>0</v>
      </c>
      <c r="AU1031" s="175">
        <v>0</v>
      </c>
      <c r="AV1031" s="175"/>
      <c r="AW1031" s="175"/>
      <c r="AX1031" s="83">
        <v>0</v>
      </c>
      <c r="AY1031" s="49">
        <v>0</v>
      </c>
      <c r="AZ1031" s="49">
        <v>0</v>
      </c>
      <c r="BA1031" s="49">
        <v>0</v>
      </c>
      <c r="BB1031" s="58">
        <v>0</v>
      </c>
      <c r="BC1031" s="42">
        <v>120</v>
      </c>
      <c r="BS1031" s="58"/>
      <c r="BT1031" s="83"/>
      <c r="CE1031" s="83"/>
      <c r="CK1031" s="58"/>
      <c r="CL1031" s="83"/>
      <c r="CO1031" s="58"/>
      <c r="CP1031" s="83"/>
      <c r="CR1031" s="58"/>
      <c r="CS1031" s="83"/>
      <c r="CY1031" s="83"/>
      <c r="DG1031" s="58"/>
      <c r="DH1031" s="83"/>
      <c r="DQ1031" s="83"/>
      <c r="EE1031" s="58"/>
      <c r="EF1031" s="83"/>
      <c r="EI1031" s="83"/>
      <c r="EK1031" s="58"/>
      <c r="EL1031" s="83"/>
      <c r="EO1031" s="58"/>
      <c r="EP1031" s="83"/>
      <c r="EQ1031" s="58"/>
      <c r="ER1031" s="83"/>
      <c r="ES1031" s="58"/>
      <c r="ET1031" s="83"/>
      <c r="EU1031" s="58"/>
    </row>
    <row r="1032" spans="1:151">
      <c r="A1032" s="42" t="s">
        <v>324</v>
      </c>
      <c r="B1032" s="173" t="s">
        <v>545</v>
      </c>
      <c r="C1032" s="173" t="s">
        <v>544</v>
      </c>
      <c r="D1032" s="83" t="s">
        <v>69</v>
      </c>
      <c r="F1032" s="49" t="s">
        <v>286</v>
      </c>
      <c r="G1032" s="49">
        <v>20.265000000000001</v>
      </c>
      <c r="I1032" s="49">
        <v>2860</v>
      </c>
      <c r="J1032" s="159">
        <v>1.3376987839101964</v>
      </c>
      <c r="K1032" s="49">
        <v>4</v>
      </c>
      <c r="L1032" s="49">
        <v>4</v>
      </c>
      <c r="M1032" s="83">
        <v>0</v>
      </c>
      <c r="N1032" s="49">
        <v>3</v>
      </c>
      <c r="O1032" s="49">
        <v>0</v>
      </c>
      <c r="P1032" s="49">
        <v>0</v>
      </c>
      <c r="Q1032" s="58">
        <v>0</v>
      </c>
      <c r="R1032" s="42">
        <v>3</v>
      </c>
      <c r="S1032" s="83" t="s">
        <v>283</v>
      </c>
      <c r="T1032" s="49">
        <v>21</v>
      </c>
      <c r="U1032" s="83">
        <v>1</v>
      </c>
      <c r="V1032" s="49">
        <v>4</v>
      </c>
      <c r="W1032" s="49">
        <v>2</v>
      </c>
      <c r="X1032" s="58"/>
      <c r="Y1032" s="83">
        <v>2</v>
      </c>
      <c r="AA1032" s="49">
        <v>12</v>
      </c>
      <c r="AD1032" s="49">
        <v>9</v>
      </c>
      <c r="AE1032" s="49">
        <v>54</v>
      </c>
      <c r="AF1032" s="49">
        <v>29</v>
      </c>
      <c r="AG1032" s="49">
        <v>336</v>
      </c>
      <c r="AH1032" s="49">
        <v>121</v>
      </c>
      <c r="AI1032" s="49">
        <v>255</v>
      </c>
      <c r="AJ1032" s="49">
        <v>0</v>
      </c>
      <c r="AK1032" s="83">
        <v>0</v>
      </c>
      <c r="AL1032" s="49">
        <v>0</v>
      </c>
      <c r="AM1032" s="49">
        <v>1</v>
      </c>
      <c r="AN1032" s="49">
        <v>0</v>
      </c>
      <c r="AO1032" s="58">
        <v>0</v>
      </c>
      <c r="AP1032" s="174">
        <v>0</v>
      </c>
      <c r="AQ1032" s="175">
        <v>0</v>
      </c>
      <c r="AR1032" s="175">
        <v>54</v>
      </c>
      <c r="AS1032" s="175">
        <v>71</v>
      </c>
      <c r="AT1032" s="175">
        <v>0</v>
      </c>
      <c r="AU1032" s="175">
        <v>0</v>
      </c>
      <c r="AV1032" s="175"/>
      <c r="AW1032" s="175"/>
      <c r="AX1032" s="83">
        <v>0</v>
      </c>
      <c r="AY1032" s="49">
        <v>0</v>
      </c>
      <c r="AZ1032" s="49">
        <v>0</v>
      </c>
      <c r="BA1032" s="49">
        <v>0</v>
      </c>
      <c r="BB1032" s="58">
        <v>0</v>
      </c>
      <c r="BC1032" s="42">
        <v>132</v>
      </c>
      <c r="BS1032" s="58"/>
      <c r="BT1032" s="83"/>
      <c r="CE1032" s="83"/>
      <c r="CK1032" s="58"/>
      <c r="CL1032" s="83"/>
      <c r="CO1032" s="58"/>
      <c r="CP1032" s="83"/>
      <c r="CR1032" s="58"/>
      <c r="CS1032" s="83"/>
      <c r="CY1032" s="83"/>
      <c r="DG1032" s="58"/>
      <c r="DH1032" s="83"/>
      <c r="DQ1032" s="83"/>
      <c r="EE1032" s="58"/>
      <c r="EF1032" s="83"/>
      <c r="EI1032" s="83"/>
      <c r="EK1032" s="58"/>
      <c r="EL1032" s="83"/>
      <c r="EO1032" s="58"/>
      <c r="EP1032" s="83"/>
      <c r="EQ1032" s="58"/>
      <c r="ER1032" s="83"/>
      <c r="ES1032" s="58"/>
      <c r="ET1032" s="83"/>
      <c r="EU1032" s="58"/>
    </row>
    <row r="1033" spans="1:151">
      <c r="A1033" s="42" t="s">
        <v>324</v>
      </c>
      <c r="B1033" s="173" t="s">
        <v>545</v>
      </c>
      <c r="C1033" s="173" t="s">
        <v>544</v>
      </c>
      <c r="D1033" s="83" t="s">
        <v>74</v>
      </c>
      <c r="F1033" s="49" t="s">
        <v>286</v>
      </c>
      <c r="G1033" s="49">
        <v>20.265000000000001</v>
      </c>
      <c r="I1033" s="49">
        <v>1653</v>
      </c>
      <c r="J1033" s="159">
        <v>4.5163934426229506</v>
      </c>
      <c r="K1033" s="49">
        <v>1</v>
      </c>
      <c r="L1033" s="49">
        <v>2</v>
      </c>
      <c r="M1033" s="83">
        <v>0</v>
      </c>
      <c r="N1033" s="49">
        <v>2</v>
      </c>
      <c r="O1033" s="49">
        <v>0</v>
      </c>
      <c r="P1033" s="49">
        <v>1</v>
      </c>
      <c r="Q1033" s="58">
        <v>0</v>
      </c>
      <c r="R1033" s="42">
        <v>3</v>
      </c>
      <c r="S1033" s="83">
        <v>1</v>
      </c>
      <c r="U1033" s="83">
        <v>1</v>
      </c>
      <c r="V1033" s="49">
        <v>3</v>
      </c>
      <c r="W1033" s="49">
        <v>1</v>
      </c>
      <c r="X1033" s="58">
        <v>2</v>
      </c>
      <c r="Y1033" s="83">
        <v>15</v>
      </c>
      <c r="AD1033" s="49">
        <v>5</v>
      </c>
      <c r="AE1033" s="49">
        <v>97</v>
      </c>
      <c r="AF1033" s="49">
        <v>6</v>
      </c>
      <c r="AG1033" s="49">
        <v>387</v>
      </c>
      <c r="AH1033" s="49">
        <v>5</v>
      </c>
      <c r="AI1033" s="49">
        <v>92</v>
      </c>
      <c r="AJ1033" s="49">
        <v>0</v>
      </c>
      <c r="AK1033" s="83">
        <v>0</v>
      </c>
      <c r="AL1033" s="49">
        <v>1</v>
      </c>
      <c r="AM1033" s="49">
        <v>0</v>
      </c>
      <c r="AN1033" s="49">
        <v>0</v>
      </c>
      <c r="AO1033" s="58">
        <v>0</v>
      </c>
      <c r="AP1033" s="174">
        <v>0</v>
      </c>
      <c r="AQ1033" s="175">
        <v>941</v>
      </c>
      <c r="AR1033" s="175">
        <v>0</v>
      </c>
      <c r="AS1033" s="175">
        <v>0</v>
      </c>
      <c r="AT1033" s="175">
        <v>0</v>
      </c>
      <c r="AU1033" s="175">
        <v>0</v>
      </c>
      <c r="AV1033" s="175">
        <v>0</v>
      </c>
      <c r="AW1033" s="175">
        <v>0</v>
      </c>
      <c r="AX1033" s="83">
        <v>0</v>
      </c>
      <c r="AY1033" s="49">
        <v>0</v>
      </c>
      <c r="AZ1033" s="49">
        <v>0</v>
      </c>
      <c r="BA1033" s="49">
        <v>0</v>
      </c>
      <c r="BB1033" s="58">
        <v>0</v>
      </c>
      <c r="BC1033" s="42">
        <v>140</v>
      </c>
      <c r="BD1033" s="49">
        <v>60.72</v>
      </c>
      <c r="BE1033" s="159">
        <v>60.68</v>
      </c>
      <c r="BS1033" s="58"/>
      <c r="BT1033" s="83">
        <v>78.16</v>
      </c>
      <c r="BU1033" s="49">
        <v>71.52</v>
      </c>
      <c r="CE1033" s="83"/>
      <c r="CK1033" s="58"/>
      <c r="CL1033" s="83">
        <v>66.260000000000005</v>
      </c>
      <c r="CO1033" s="58"/>
      <c r="CP1033" s="83"/>
      <c r="CR1033" s="58"/>
      <c r="CS1033" s="83"/>
      <c r="CY1033" s="83"/>
      <c r="DG1033" s="58"/>
      <c r="DH1033" s="83"/>
      <c r="DQ1033" s="83"/>
      <c r="EE1033" s="58"/>
      <c r="EF1033" s="83"/>
      <c r="EI1033" s="83"/>
      <c r="EK1033" s="58"/>
      <c r="EL1033" s="83">
        <v>77.37</v>
      </c>
      <c r="EO1033" s="58"/>
      <c r="EP1033" s="83"/>
      <c r="EQ1033" s="58"/>
      <c r="ER1033" s="83">
        <v>64.33</v>
      </c>
      <c r="ES1033" s="58"/>
      <c r="ET1033" s="83"/>
      <c r="EU1033" s="58"/>
    </row>
    <row r="1034" spans="1:151">
      <c r="A1034" s="42" t="s">
        <v>324</v>
      </c>
      <c r="B1034" s="173" t="s">
        <v>545</v>
      </c>
      <c r="C1034" s="173" t="s">
        <v>544</v>
      </c>
      <c r="D1034" s="83" t="s">
        <v>75</v>
      </c>
      <c r="F1034" s="49" t="s">
        <v>286</v>
      </c>
      <c r="G1034" s="49">
        <v>20.265000000000001</v>
      </c>
      <c r="I1034" s="49">
        <v>1068</v>
      </c>
      <c r="J1034" s="159">
        <v>1.3622448979591837</v>
      </c>
      <c r="K1034" s="49">
        <v>1</v>
      </c>
      <c r="L1034" s="49">
        <v>3</v>
      </c>
      <c r="M1034" s="83">
        <v>0</v>
      </c>
      <c r="N1034" s="49">
        <v>1</v>
      </c>
      <c r="O1034" s="49">
        <v>1</v>
      </c>
      <c r="P1034" s="49">
        <v>1</v>
      </c>
      <c r="Q1034" s="58">
        <v>0</v>
      </c>
      <c r="R1034" s="42">
        <v>3</v>
      </c>
      <c r="S1034" s="83" t="s">
        <v>283</v>
      </c>
      <c r="T1034" s="49">
        <v>8</v>
      </c>
      <c r="U1034" s="83">
        <v>1</v>
      </c>
      <c r="V1034" s="49">
        <v>2</v>
      </c>
      <c r="W1034" s="49">
        <v>1</v>
      </c>
      <c r="X1034" s="58">
        <v>2</v>
      </c>
      <c r="Y1034" s="83">
        <v>1</v>
      </c>
      <c r="AD1034" s="49">
        <v>9</v>
      </c>
      <c r="AE1034" s="49">
        <v>67</v>
      </c>
      <c r="AG1034" s="49">
        <v>38</v>
      </c>
      <c r="AI1034" s="49">
        <v>14</v>
      </c>
      <c r="AJ1034" s="49">
        <v>0</v>
      </c>
      <c r="AK1034" s="83">
        <v>0</v>
      </c>
      <c r="AL1034" s="49">
        <v>1</v>
      </c>
      <c r="AM1034" s="49">
        <v>0</v>
      </c>
      <c r="AN1034" s="49">
        <v>0</v>
      </c>
      <c r="AO1034" s="58">
        <v>0</v>
      </c>
      <c r="AP1034" s="174">
        <v>0</v>
      </c>
      <c r="AQ1034" s="175">
        <v>581</v>
      </c>
      <c r="AR1034" s="175">
        <v>0</v>
      </c>
      <c r="AS1034" s="175">
        <v>0</v>
      </c>
      <c r="AT1034" s="175">
        <v>0</v>
      </c>
      <c r="AU1034" s="175">
        <v>0</v>
      </c>
      <c r="AV1034" s="175"/>
      <c r="AW1034" s="175"/>
      <c r="AX1034" s="83">
        <v>0</v>
      </c>
      <c r="AY1034" s="49">
        <v>0</v>
      </c>
      <c r="AZ1034" s="49">
        <v>0</v>
      </c>
      <c r="BA1034" s="49">
        <v>0</v>
      </c>
      <c r="BB1034" s="58">
        <v>0</v>
      </c>
      <c r="BC1034" s="42">
        <v>107</v>
      </c>
      <c r="BS1034" s="58"/>
      <c r="BT1034" s="83">
        <v>80.53</v>
      </c>
      <c r="CE1034" s="83">
        <v>75.66</v>
      </c>
      <c r="CK1034" s="58"/>
      <c r="CL1034" s="83">
        <v>64.16</v>
      </c>
      <c r="CO1034" s="58"/>
      <c r="CP1034" s="83"/>
      <c r="CR1034" s="58"/>
      <c r="CS1034" s="83"/>
      <c r="CY1034" s="83"/>
      <c r="DG1034" s="58"/>
      <c r="DH1034" s="83"/>
      <c r="DQ1034" s="83"/>
      <c r="EE1034" s="58"/>
      <c r="EF1034" s="83"/>
      <c r="EI1034" s="83"/>
      <c r="EK1034" s="58"/>
      <c r="EL1034" s="83"/>
      <c r="EO1034" s="58"/>
      <c r="EP1034" s="83"/>
      <c r="EQ1034" s="58"/>
      <c r="ER1034" s="83"/>
      <c r="ES1034" s="58"/>
      <c r="ET1034" s="83"/>
      <c r="EU1034" s="58"/>
    </row>
    <row r="1035" spans="1:151">
      <c r="A1035" s="42" t="s">
        <v>324</v>
      </c>
      <c r="B1035" s="173" t="s">
        <v>545</v>
      </c>
      <c r="C1035" s="173" t="s">
        <v>544</v>
      </c>
      <c r="D1035" s="83" t="s">
        <v>76</v>
      </c>
      <c r="F1035" s="49" t="s">
        <v>286</v>
      </c>
      <c r="G1035" s="49">
        <v>20.265000000000001</v>
      </c>
      <c r="I1035" s="49">
        <v>2840</v>
      </c>
      <c r="J1035" s="159">
        <v>3.8797814207650272</v>
      </c>
      <c r="K1035" s="49">
        <v>1</v>
      </c>
      <c r="L1035" s="49">
        <v>2</v>
      </c>
      <c r="M1035" s="83">
        <v>0</v>
      </c>
      <c r="N1035" s="49">
        <v>1</v>
      </c>
      <c r="O1035" s="49">
        <v>0</v>
      </c>
      <c r="P1035" s="49">
        <v>1</v>
      </c>
      <c r="Q1035" s="58">
        <v>0</v>
      </c>
      <c r="R1035" s="42">
        <v>2</v>
      </c>
      <c r="S1035" s="83" t="s">
        <v>283</v>
      </c>
      <c r="T1035" s="49">
        <v>14</v>
      </c>
      <c r="U1035" s="83">
        <v>1</v>
      </c>
      <c r="V1035" s="49">
        <v>2</v>
      </c>
      <c r="W1035" s="49">
        <v>1</v>
      </c>
      <c r="X1035" s="58">
        <v>2</v>
      </c>
      <c r="Y1035" s="83">
        <v>0</v>
      </c>
      <c r="AJ1035" s="49">
        <v>0</v>
      </c>
      <c r="AK1035" s="83">
        <v>0</v>
      </c>
      <c r="AL1035" s="49">
        <v>1</v>
      </c>
      <c r="AM1035" s="49">
        <v>0</v>
      </c>
      <c r="AN1035" s="49">
        <v>0</v>
      </c>
      <c r="AO1035" s="58">
        <v>0</v>
      </c>
      <c r="AP1035" s="174">
        <v>0</v>
      </c>
      <c r="AQ1035" s="175">
        <v>1155</v>
      </c>
      <c r="AR1035" s="175">
        <v>0</v>
      </c>
      <c r="AS1035" s="175">
        <v>0</v>
      </c>
      <c r="AT1035" s="175">
        <v>0</v>
      </c>
      <c r="AU1035" s="175">
        <v>0</v>
      </c>
      <c r="AV1035" s="175"/>
      <c r="AW1035" s="175"/>
      <c r="AX1035" s="83">
        <v>0</v>
      </c>
      <c r="AY1035" s="49">
        <v>0</v>
      </c>
      <c r="AZ1035" s="49">
        <v>0</v>
      </c>
      <c r="BA1035" s="49">
        <v>0</v>
      </c>
      <c r="BB1035" s="58">
        <v>0</v>
      </c>
      <c r="BC1035" s="42">
        <v>141</v>
      </c>
      <c r="BS1035" s="58"/>
      <c r="BT1035" s="83"/>
      <c r="CE1035" s="83"/>
      <c r="CK1035" s="58"/>
      <c r="CL1035" s="83"/>
      <c r="CO1035" s="58"/>
      <c r="CP1035" s="83"/>
      <c r="CR1035" s="58"/>
      <c r="CS1035" s="83"/>
      <c r="CY1035" s="83"/>
      <c r="DG1035" s="58"/>
      <c r="DH1035" s="83"/>
      <c r="DQ1035" s="83"/>
      <c r="EE1035" s="58"/>
      <c r="EF1035" s="83"/>
      <c r="EI1035" s="83"/>
      <c r="EK1035" s="58"/>
      <c r="EL1035" s="83"/>
      <c r="EO1035" s="58"/>
      <c r="EP1035" s="83"/>
      <c r="EQ1035" s="58"/>
      <c r="ER1035" s="83"/>
      <c r="ES1035" s="58"/>
      <c r="ET1035" s="83"/>
      <c r="EU1035" s="58"/>
    </row>
    <row r="1036" spans="1:151">
      <c r="A1036" s="42" t="s">
        <v>324</v>
      </c>
      <c r="B1036" s="173" t="s">
        <v>545</v>
      </c>
      <c r="C1036" s="173" t="s">
        <v>544</v>
      </c>
      <c r="D1036" s="83" t="s">
        <v>73</v>
      </c>
      <c r="F1036" s="49" t="s">
        <v>286</v>
      </c>
      <c r="G1036" s="49">
        <v>20.265000000000001</v>
      </c>
      <c r="I1036" s="49">
        <v>1124</v>
      </c>
      <c r="J1036" s="159">
        <v>1.3707317073170733</v>
      </c>
      <c r="K1036" s="49">
        <v>4</v>
      </c>
      <c r="L1036" s="49">
        <v>2</v>
      </c>
      <c r="M1036" s="83">
        <v>1</v>
      </c>
      <c r="N1036" s="49">
        <v>1</v>
      </c>
      <c r="O1036" s="49">
        <v>1</v>
      </c>
      <c r="P1036" s="49">
        <v>1</v>
      </c>
      <c r="Q1036" s="58">
        <v>0</v>
      </c>
      <c r="R1036" s="42">
        <v>4</v>
      </c>
      <c r="S1036" s="83" t="s">
        <v>283</v>
      </c>
      <c r="T1036" s="49">
        <v>12</v>
      </c>
      <c r="U1036" s="83">
        <v>1</v>
      </c>
      <c r="V1036" s="49">
        <v>4</v>
      </c>
      <c r="W1036" s="49">
        <v>1</v>
      </c>
      <c r="X1036" s="58">
        <v>1</v>
      </c>
      <c r="Y1036" s="83">
        <v>1</v>
      </c>
      <c r="AA1036" s="49">
        <v>6</v>
      </c>
      <c r="AD1036" s="49">
        <v>6</v>
      </c>
      <c r="AE1036" s="49">
        <v>26</v>
      </c>
      <c r="AG1036" s="49">
        <v>5</v>
      </c>
      <c r="AJ1036" s="49">
        <v>0</v>
      </c>
      <c r="AK1036" s="83">
        <v>0</v>
      </c>
      <c r="AL1036" s="49">
        <v>0</v>
      </c>
      <c r="AM1036" s="49">
        <v>2</v>
      </c>
      <c r="AN1036" s="49">
        <v>0</v>
      </c>
      <c r="AO1036" s="58">
        <v>0</v>
      </c>
      <c r="AP1036" s="174">
        <v>0</v>
      </c>
      <c r="AQ1036" s="175">
        <v>0</v>
      </c>
      <c r="AR1036" s="175">
        <v>27</v>
      </c>
      <c r="AS1036" s="175">
        <v>96</v>
      </c>
      <c r="AT1036" s="175">
        <v>0</v>
      </c>
      <c r="AU1036" s="175">
        <v>0</v>
      </c>
      <c r="AV1036" s="175"/>
      <c r="AW1036" s="175"/>
      <c r="AX1036" s="83">
        <v>0</v>
      </c>
      <c r="AY1036" s="49">
        <v>0</v>
      </c>
      <c r="AZ1036" s="49">
        <v>0</v>
      </c>
      <c r="BA1036" s="49">
        <v>0</v>
      </c>
      <c r="BB1036" s="58">
        <v>0</v>
      </c>
      <c r="BC1036" s="42">
        <v>126</v>
      </c>
      <c r="BS1036" s="58"/>
      <c r="BT1036" s="83">
        <v>75.34</v>
      </c>
      <c r="BU1036" s="49">
        <v>74.02</v>
      </c>
      <c r="BV1036" s="49">
        <v>80.05</v>
      </c>
      <c r="CE1036" s="83">
        <v>76.86</v>
      </c>
      <c r="CK1036" s="58"/>
      <c r="CL1036" s="83">
        <v>67.180000000000007</v>
      </c>
      <c r="CO1036" s="58"/>
      <c r="CP1036" s="83"/>
      <c r="CR1036" s="58"/>
      <c r="CS1036" s="83"/>
      <c r="CY1036" s="83"/>
      <c r="DG1036" s="58"/>
      <c r="DH1036" s="83"/>
      <c r="DQ1036" s="83"/>
      <c r="EE1036" s="58"/>
      <c r="EF1036" s="83"/>
      <c r="EI1036" s="83"/>
      <c r="EK1036" s="58"/>
      <c r="EL1036" s="83"/>
      <c r="EO1036" s="58"/>
      <c r="EP1036" s="83"/>
      <c r="EQ1036" s="58"/>
      <c r="ER1036" s="83"/>
      <c r="ES1036" s="58"/>
      <c r="ET1036" s="83"/>
      <c r="EU1036" s="58"/>
    </row>
    <row r="1037" spans="1:151">
      <c r="A1037" s="42" t="s">
        <v>324</v>
      </c>
      <c r="B1037" s="173" t="s">
        <v>545</v>
      </c>
      <c r="C1037" s="173" t="s">
        <v>544</v>
      </c>
      <c r="D1037" s="83" t="s">
        <v>81</v>
      </c>
      <c r="F1037" s="49" t="s">
        <v>286</v>
      </c>
      <c r="G1037" s="49">
        <v>20.265000000000001</v>
      </c>
      <c r="I1037" s="49">
        <v>1559</v>
      </c>
      <c r="J1037" s="159">
        <v>1.7264673311184939</v>
      </c>
      <c r="K1037" s="49">
        <v>4</v>
      </c>
      <c r="L1037" s="49">
        <v>3</v>
      </c>
      <c r="M1037" s="83">
        <v>0</v>
      </c>
      <c r="N1037" s="49">
        <v>3</v>
      </c>
      <c r="O1037" s="49">
        <v>0</v>
      </c>
      <c r="P1037" s="49">
        <v>1</v>
      </c>
      <c r="Q1037" s="58">
        <v>0</v>
      </c>
      <c r="R1037" s="42">
        <v>4</v>
      </c>
      <c r="S1037" s="83" t="s">
        <v>283</v>
      </c>
      <c r="T1037" s="49">
        <v>11</v>
      </c>
      <c r="U1037" s="83">
        <v>1</v>
      </c>
      <c r="V1037" s="49">
        <v>4</v>
      </c>
      <c r="W1037" s="49">
        <v>1</v>
      </c>
      <c r="X1037" s="58">
        <v>2</v>
      </c>
      <c r="Y1037" s="83">
        <v>25</v>
      </c>
      <c r="AD1037" s="49">
        <v>12</v>
      </c>
      <c r="AE1037" s="49">
        <v>137</v>
      </c>
      <c r="AF1037" s="49">
        <v>17</v>
      </c>
      <c r="AG1037" s="49">
        <v>428</v>
      </c>
      <c r="AH1037" s="49">
        <v>8</v>
      </c>
      <c r="AI1037" s="49">
        <v>300</v>
      </c>
      <c r="AJ1037" s="49">
        <v>0</v>
      </c>
      <c r="AK1037" s="83">
        <v>0</v>
      </c>
      <c r="AL1037" s="49">
        <v>0</v>
      </c>
      <c r="AM1037" s="49">
        <v>1</v>
      </c>
      <c r="AN1037" s="49">
        <v>0</v>
      </c>
      <c r="AO1037" s="58">
        <v>0</v>
      </c>
      <c r="AP1037" s="174">
        <v>0</v>
      </c>
      <c r="AQ1037" s="175">
        <v>0</v>
      </c>
      <c r="AR1037" s="175">
        <v>54</v>
      </c>
      <c r="AS1037" s="175">
        <v>75</v>
      </c>
      <c r="AT1037" s="175">
        <v>0</v>
      </c>
      <c r="AU1037" s="175">
        <v>0</v>
      </c>
      <c r="AV1037" s="175"/>
      <c r="AW1037" s="175"/>
      <c r="AX1037" s="83">
        <v>0</v>
      </c>
      <c r="AY1037" s="49">
        <v>0</v>
      </c>
      <c r="AZ1037" s="49">
        <v>0</v>
      </c>
      <c r="BA1037" s="49">
        <v>0</v>
      </c>
      <c r="BB1037" s="58">
        <v>0</v>
      </c>
      <c r="BC1037" s="42">
        <v>137</v>
      </c>
      <c r="BS1037" s="58"/>
      <c r="BT1037" s="83"/>
      <c r="CE1037" s="83"/>
      <c r="CK1037" s="58"/>
      <c r="CL1037" s="83"/>
      <c r="CO1037" s="58"/>
      <c r="CP1037" s="83"/>
      <c r="CR1037" s="58"/>
      <c r="CS1037" s="83"/>
      <c r="CY1037" s="83"/>
      <c r="DG1037" s="58"/>
      <c r="DH1037" s="83"/>
      <c r="DQ1037" s="83"/>
      <c r="EE1037" s="58"/>
      <c r="EF1037" s="83"/>
      <c r="EI1037" s="83"/>
      <c r="EK1037" s="58"/>
      <c r="EL1037" s="83"/>
      <c r="EO1037" s="58"/>
      <c r="EP1037" s="83"/>
      <c r="EQ1037" s="58"/>
      <c r="ER1037" s="83"/>
      <c r="ES1037" s="58"/>
      <c r="ET1037" s="83"/>
      <c r="EU1037" s="58"/>
    </row>
    <row r="1038" spans="1:151">
      <c r="A1038" s="42" t="s">
        <v>324</v>
      </c>
      <c r="B1038" s="173" t="s">
        <v>545</v>
      </c>
      <c r="C1038" s="173" t="s">
        <v>544</v>
      </c>
      <c r="D1038" s="83" t="s">
        <v>87</v>
      </c>
      <c r="F1038" s="49" t="s">
        <v>286</v>
      </c>
      <c r="G1038" s="49">
        <v>20.265000000000001</v>
      </c>
      <c r="I1038" s="49">
        <v>1645</v>
      </c>
      <c r="J1038" s="159">
        <v>2.0258620689655173</v>
      </c>
      <c r="K1038" s="49">
        <v>1</v>
      </c>
      <c r="L1038" s="49">
        <v>3</v>
      </c>
      <c r="M1038" s="83">
        <v>0</v>
      </c>
      <c r="N1038" s="49">
        <v>1</v>
      </c>
      <c r="O1038" s="49">
        <v>0</v>
      </c>
      <c r="P1038" s="49">
        <v>1</v>
      </c>
      <c r="Q1038" s="58">
        <v>0</v>
      </c>
      <c r="R1038" s="42">
        <v>2</v>
      </c>
      <c r="S1038" s="83" t="s">
        <v>283</v>
      </c>
      <c r="T1038" s="49">
        <v>13</v>
      </c>
      <c r="U1038" s="83">
        <v>1</v>
      </c>
      <c r="V1038" s="49">
        <v>3</v>
      </c>
      <c r="W1038" s="49">
        <v>1</v>
      </c>
      <c r="X1038" s="58">
        <v>2</v>
      </c>
      <c r="Y1038" s="83">
        <v>1</v>
      </c>
      <c r="Z1038" s="49">
        <v>5</v>
      </c>
      <c r="AA1038" s="49">
        <v>13</v>
      </c>
      <c r="AD1038" s="49">
        <v>13</v>
      </c>
      <c r="AE1038" s="49">
        <v>31</v>
      </c>
      <c r="AF1038" s="49">
        <v>35</v>
      </c>
      <c r="AG1038" s="49">
        <v>155</v>
      </c>
      <c r="AJ1038" s="49">
        <v>0</v>
      </c>
      <c r="AK1038" s="83">
        <v>0</v>
      </c>
      <c r="AL1038" s="49">
        <v>0</v>
      </c>
      <c r="AM1038" s="49">
        <v>1</v>
      </c>
      <c r="AN1038" s="49">
        <v>0</v>
      </c>
      <c r="AO1038" s="58">
        <v>0</v>
      </c>
      <c r="AP1038" s="174">
        <v>0</v>
      </c>
      <c r="AQ1038" s="175">
        <v>0</v>
      </c>
      <c r="AR1038" s="175">
        <v>25</v>
      </c>
      <c r="AS1038" s="175">
        <v>200</v>
      </c>
      <c r="AT1038" s="175">
        <v>0</v>
      </c>
      <c r="AU1038" s="175">
        <v>0</v>
      </c>
      <c r="AV1038" s="175"/>
      <c r="AW1038" s="175"/>
      <c r="AX1038" s="83">
        <v>0</v>
      </c>
      <c r="AY1038" s="49">
        <v>0</v>
      </c>
      <c r="AZ1038" s="49">
        <v>0</v>
      </c>
      <c r="BA1038" s="49">
        <v>0</v>
      </c>
      <c r="BB1038" s="58">
        <v>0</v>
      </c>
      <c r="BC1038" s="42">
        <v>124</v>
      </c>
      <c r="BS1038" s="58"/>
      <c r="BT1038" s="83"/>
      <c r="CE1038" s="83"/>
      <c r="CK1038" s="58"/>
      <c r="CL1038" s="83"/>
      <c r="CO1038" s="58"/>
      <c r="CP1038" s="83"/>
      <c r="CR1038" s="58"/>
      <c r="CS1038" s="83"/>
      <c r="CY1038" s="83"/>
      <c r="DG1038" s="58"/>
      <c r="DH1038" s="83"/>
      <c r="DQ1038" s="83"/>
      <c r="EE1038" s="58"/>
      <c r="EF1038" s="83"/>
      <c r="EI1038" s="83"/>
      <c r="EK1038" s="58"/>
      <c r="EL1038" s="83"/>
      <c r="EO1038" s="58"/>
      <c r="EP1038" s="83"/>
      <c r="EQ1038" s="58"/>
      <c r="ER1038" s="83"/>
      <c r="ES1038" s="58"/>
      <c r="ET1038" s="83"/>
      <c r="EU1038" s="58"/>
    </row>
    <row r="1039" spans="1:151">
      <c r="A1039" s="42" t="s">
        <v>324</v>
      </c>
      <c r="B1039" s="173" t="s">
        <v>545</v>
      </c>
      <c r="C1039" s="173" t="s">
        <v>544</v>
      </c>
      <c r="D1039" s="83" t="s">
        <v>88</v>
      </c>
      <c r="F1039" s="49" t="s">
        <v>286</v>
      </c>
      <c r="G1039" s="49">
        <v>20.265000000000001</v>
      </c>
      <c r="I1039" s="49">
        <v>1686</v>
      </c>
      <c r="J1039" s="159">
        <v>1.09126213592233</v>
      </c>
      <c r="K1039" s="49">
        <v>1</v>
      </c>
      <c r="L1039" s="49">
        <v>1</v>
      </c>
      <c r="M1039" s="83">
        <v>0</v>
      </c>
      <c r="N1039" s="49">
        <v>1</v>
      </c>
      <c r="O1039" s="49">
        <v>0</v>
      </c>
      <c r="P1039" s="49">
        <v>0</v>
      </c>
      <c r="Q1039" s="58">
        <v>0</v>
      </c>
      <c r="R1039" s="42">
        <v>1</v>
      </c>
      <c r="S1039" s="83" t="s">
        <v>283</v>
      </c>
      <c r="T1039" s="49">
        <v>15</v>
      </c>
      <c r="U1039" s="83">
        <v>0</v>
      </c>
      <c r="V1039" s="49">
        <v>0</v>
      </c>
      <c r="W1039" s="49">
        <v>0</v>
      </c>
      <c r="X1039" s="58"/>
      <c r="Y1039" s="83">
        <v>15</v>
      </c>
      <c r="Z1039" s="49">
        <v>4</v>
      </c>
      <c r="AA1039" s="49">
        <v>22</v>
      </c>
      <c r="AD1039" s="49">
        <v>12</v>
      </c>
      <c r="AE1039" s="49">
        <v>55</v>
      </c>
      <c r="AF1039" s="49">
        <v>29</v>
      </c>
      <c r="AG1039" s="49">
        <v>158</v>
      </c>
      <c r="AH1039" s="49">
        <v>49</v>
      </c>
      <c r="AI1039" s="49">
        <v>779</v>
      </c>
      <c r="AJ1039" s="49">
        <v>0</v>
      </c>
      <c r="AK1039" s="83">
        <v>0</v>
      </c>
      <c r="AL1039" s="49">
        <v>0</v>
      </c>
      <c r="AM1039" s="49">
        <v>0</v>
      </c>
      <c r="AN1039" s="49">
        <v>0</v>
      </c>
      <c r="AO1039" s="58">
        <v>0</v>
      </c>
      <c r="AP1039" s="174">
        <v>0</v>
      </c>
      <c r="AQ1039" s="175">
        <v>0</v>
      </c>
      <c r="AR1039" s="175">
        <v>0</v>
      </c>
      <c r="AS1039" s="175">
        <v>0</v>
      </c>
      <c r="AT1039" s="175">
        <v>0</v>
      </c>
      <c r="AU1039" s="175">
        <v>0</v>
      </c>
      <c r="AV1039" s="175"/>
      <c r="AW1039" s="175"/>
      <c r="AX1039" s="83">
        <v>0</v>
      </c>
      <c r="AY1039" s="49">
        <v>0</v>
      </c>
      <c r="AZ1039" s="49">
        <v>0</v>
      </c>
      <c r="BA1039" s="49">
        <v>0</v>
      </c>
      <c r="BB1039" s="58">
        <v>0</v>
      </c>
      <c r="BC1039" s="42">
        <v>122</v>
      </c>
      <c r="BS1039" s="58"/>
      <c r="BT1039" s="83"/>
      <c r="CE1039" s="83"/>
      <c r="CK1039" s="58"/>
      <c r="CL1039" s="83"/>
      <c r="CO1039" s="58"/>
      <c r="CP1039" s="83"/>
      <c r="CR1039" s="58"/>
      <c r="CS1039" s="83"/>
      <c r="CY1039" s="83"/>
      <c r="DG1039" s="58"/>
      <c r="DH1039" s="83"/>
      <c r="DQ1039" s="83"/>
      <c r="EE1039" s="58"/>
      <c r="EF1039" s="83"/>
      <c r="EI1039" s="83"/>
      <c r="EK1039" s="58"/>
      <c r="EL1039" s="83"/>
      <c r="EO1039" s="58"/>
      <c r="EP1039" s="83"/>
      <c r="EQ1039" s="58"/>
      <c r="ER1039" s="83"/>
      <c r="ES1039" s="58"/>
      <c r="ET1039" s="83"/>
      <c r="EU1039" s="58"/>
    </row>
    <row r="1040" spans="1:151">
      <c r="A1040" s="42" t="s">
        <v>324</v>
      </c>
      <c r="B1040" s="173" t="s">
        <v>545</v>
      </c>
      <c r="C1040" s="173" t="s">
        <v>544</v>
      </c>
      <c r="D1040" s="83" t="s">
        <v>111</v>
      </c>
      <c r="F1040" s="49" t="s">
        <v>286</v>
      </c>
      <c r="G1040" s="49">
        <v>20.265000000000001</v>
      </c>
      <c r="I1040" s="49">
        <v>1814</v>
      </c>
      <c r="J1040" s="159">
        <v>1.3805175038051751</v>
      </c>
      <c r="K1040" s="49">
        <v>1</v>
      </c>
      <c r="L1040" s="49">
        <v>2</v>
      </c>
      <c r="M1040" s="83">
        <v>0</v>
      </c>
      <c r="N1040" s="49">
        <v>2</v>
      </c>
      <c r="O1040" s="49">
        <v>0</v>
      </c>
      <c r="P1040" s="49">
        <v>1</v>
      </c>
      <c r="Q1040" s="58">
        <v>0</v>
      </c>
      <c r="R1040" s="42">
        <v>3</v>
      </c>
      <c r="S1040" s="83" t="s">
        <v>283</v>
      </c>
      <c r="T1040" s="49">
        <v>14</v>
      </c>
      <c r="U1040" s="83">
        <v>2</v>
      </c>
      <c r="V1040" s="49">
        <v>3</v>
      </c>
      <c r="W1040" s="49">
        <v>3</v>
      </c>
      <c r="X1040" s="58">
        <v>2</v>
      </c>
      <c r="Y1040" s="83">
        <v>1</v>
      </c>
      <c r="Z1040" s="49">
        <v>5</v>
      </c>
      <c r="AA1040" s="49">
        <v>91</v>
      </c>
      <c r="AD1040" s="49">
        <v>5</v>
      </c>
      <c r="AE1040" s="49">
        <v>28</v>
      </c>
      <c r="AF1040" s="49">
        <v>8</v>
      </c>
      <c r="AG1040" s="49">
        <v>76</v>
      </c>
      <c r="AJ1040" s="49">
        <v>0</v>
      </c>
      <c r="AK1040" s="83">
        <v>0</v>
      </c>
      <c r="AL1040" s="49">
        <v>0</v>
      </c>
      <c r="AM1040" s="49">
        <v>1</v>
      </c>
      <c r="AN1040" s="49">
        <v>0</v>
      </c>
      <c r="AO1040" s="58">
        <v>0</v>
      </c>
      <c r="AP1040" s="174">
        <v>0</v>
      </c>
      <c r="AQ1040" s="175">
        <v>0</v>
      </c>
      <c r="AR1040" s="175">
        <v>27</v>
      </c>
      <c r="AS1040" s="175">
        <v>68</v>
      </c>
      <c r="AT1040" s="175">
        <v>0</v>
      </c>
      <c r="AU1040" s="175">
        <v>0</v>
      </c>
      <c r="AV1040" s="175"/>
      <c r="AW1040" s="175"/>
      <c r="AX1040" s="83">
        <v>0</v>
      </c>
      <c r="AY1040" s="49">
        <v>0</v>
      </c>
      <c r="AZ1040" s="49">
        <v>0</v>
      </c>
      <c r="BA1040" s="49">
        <v>0</v>
      </c>
      <c r="BB1040" s="58">
        <v>0</v>
      </c>
      <c r="BC1040" s="42">
        <v>143</v>
      </c>
      <c r="BS1040" s="58"/>
      <c r="BT1040" s="83"/>
      <c r="CE1040" s="83"/>
      <c r="CK1040" s="58"/>
      <c r="CL1040" s="83"/>
      <c r="CO1040" s="58"/>
      <c r="CP1040" s="83"/>
      <c r="CR1040" s="58"/>
      <c r="CS1040" s="83"/>
      <c r="CY1040" s="83"/>
      <c r="DG1040" s="58"/>
      <c r="DH1040" s="83"/>
      <c r="DQ1040" s="83"/>
      <c r="EE1040" s="58"/>
      <c r="EF1040" s="83"/>
      <c r="EI1040" s="83"/>
      <c r="EK1040" s="58"/>
      <c r="EL1040" s="83"/>
      <c r="EO1040" s="58"/>
      <c r="EP1040" s="83"/>
      <c r="EQ1040" s="58"/>
      <c r="ER1040" s="83"/>
      <c r="ES1040" s="58"/>
      <c r="ET1040" s="83"/>
      <c r="EU1040" s="58"/>
    </row>
    <row r="1041" spans="1:151">
      <c r="A1041" s="42" t="s">
        <v>324</v>
      </c>
      <c r="B1041" s="173" t="s">
        <v>545</v>
      </c>
      <c r="C1041" s="173" t="s">
        <v>544</v>
      </c>
      <c r="D1041" s="83" t="s">
        <v>93</v>
      </c>
      <c r="F1041" s="49" t="s">
        <v>286</v>
      </c>
      <c r="G1041" s="49">
        <v>20.265000000000001</v>
      </c>
      <c r="I1041" s="49">
        <v>1705</v>
      </c>
      <c r="J1041" s="159">
        <v>1.182385575589459</v>
      </c>
      <c r="K1041" s="49">
        <v>1</v>
      </c>
      <c r="L1041" s="49">
        <v>2</v>
      </c>
      <c r="M1041" s="83">
        <v>0</v>
      </c>
      <c r="N1041" s="49">
        <v>0</v>
      </c>
      <c r="O1041" s="49">
        <v>1</v>
      </c>
      <c r="P1041" s="49">
        <v>1</v>
      </c>
      <c r="Q1041" s="58">
        <v>0</v>
      </c>
      <c r="R1041" s="42">
        <v>2</v>
      </c>
      <c r="S1041" s="83" t="s">
        <v>283</v>
      </c>
      <c r="T1041" s="49">
        <v>15</v>
      </c>
      <c r="U1041" s="83">
        <v>1</v>
      </c>
      <c r="V1041" s="49">
        <v>2</v>
      </c>
      <c r="W1041" s="49">
        <v>2</v>
      </c>
      <c r="X1041" s="58"/>
      <c r="Y1041" s="83">
        <v>4</v>
      </c>
      <c r="Z1041" s="49">
        <v>10</v>
      </c>
      <c r="AA1041" s="49">
        <v>23</v>
      </c>
      <c r="AD1041" s="49">
        <v>19</v>
      </c>
      <c r="AE1041" s="49">
        <v>93</v>
      </c>
      <c r="AF1041" s="49">
        <v>13</v>
      </c>
      <c r="AG1041" s="49">
        <v>808</v>
      </c>
      <c r="AH1041" s="49">
        <v>10</v>
      </c>
      <c r="AI1041" s="49">
        <v>196</v>
      </c>
      <c r="AJ1041" s="49">
        <v>1</v>
      </c>
      <c r="AK1041" s="83">
        <v>0</v>
      </c>
      <c r="AL1041" s="49">
        <v>1</v>
      </c>
      <c r="AM1041" s="49">
        <v>0</v>
      </c>
      <c r="AN1041" s="49">
        <v>0</v>
      </c>
      <c r="AO1041" s="58">
        <v>0</v>
      </c>
      <c r="AP1041" s="174">
        <v>0</v>
      </c>
      <c r="AQ1041" s="175">
        <v>734</v>
      </c>
      <c r="AR1041" s="175">
        <v>0</v>
      </c>
      <c r="AS1041" s="175">
        <v>0</v>
      </c>
      <c r="AT1041" s="175">
        <v>0</v>
      </c>
      <c r="AU1041" s="175">
        <v>0</v>
      </c>
      <c r="AV1041" s="175"/>
      <c r="AW1041" s="175"/>
      <c r="AX1041" s="83">
        <v>0</v>
      </c>
      <c r="AY1041" s="49">
        <v>0</v>
      </c>
      <c r="AZ1041" s="49">
        <v>0</v>
      </c>
      <c r="BA1041" s="49">
        <v>0</v>
      </c>
      <c r="BB1041" s="58">
        <v>0</v>
      </c>
      <c r="BC1041" s="42">
        <v>156</v>
      </c>
      <c r="BD1041" s="49">
        <v>75.88</v>
      </c>
      <c r="BE1041" s="159">
        <v>75.31</v>
      </c>
      <c r="BS1041" s="58"/>
      <c r="BT1041" s="83">
        <v>78.92</v>
      </c>
      <c r="CE1041" s="83"/>
      <c r="CK1041" s="58"/>
      <c r="CL1041" s="83">
        <v>64.58</v>
      </c>
      <c r="CO1041" s="58"/>
      <c r="CP1041" s="83"/>
      <c r="CR1041" s="58"/>
      <c r="CS1041" s="83"/>
      <c r="CY1041" s="83"/>
      <c r="DG1041" s="58"/>
      <c r="DH1041" s="83"/>
      <c r="DQ1041" s="83"/>
      <c r="EE1041" s="58"/>
      <c r="EF1041" s="83"/>
      <c r="EI1041" s="83"/>
      <c r="EK1041" s="58"/>
      <c r="EL1041" s="83"/>
      <c r="EO1041" s="58"/>
      <c r="EP1041" s="83"/>
      <c r="EQ1041" s="58"/>
      <c r="ER1041" s="83"/>
      <c r="ES1041" s="58"/>
      <c r="ET1041" s="83"/>
      <c r="EU1041" s="58"/>
    </row>
    <row r="1042" spans="1:151">
      <c r="A1042" s="42" t="s">
        <v>324</v>
      </c>
      <c r="B1042" s="173" t="s">
        <v>545</v>
      </c>
      <c r="C1042" s="173" t="s">
        <v>544</v>
      </c>
      <c r="D1042" s="83" t="s">
        <v>112</v>
      </c>
      <c r="F1042" s="49" t="s">
        <v>286</v>
      </c>
      <c r="G1042" s="49">
        <v>20.265000000000001</v>
      </c>
      <c r="I1042" s="49">
        <v>1656</v>
      </c>
      <c r="J1042" s="159">
        <v>1.1017964071856288</v>
      </c>
      <c r="K1042" s="49">
        <v>1</v>
      </c>
      <c r="L1042" s="49">
        <v>1</v>
      </c>
      <c r="M1042" s="83">
        <v>0</v>
      </c>
      <c r="N1042" s="49">
        <v>0</v>
      </c>
      <c r="O1042" s="49">
        <v>1</v>
      </c>
      <c r="P1042" s="49">
        <v>1</v>
      </c>
      <c r="Q1042" s="58">
        <v>0</v>
      </c>
      <c r="R1042" s="42">
        <v>2</v>
      </c>
      <c r="S1042" s="83">
        <v>1</v>
      </c>
      <c r="U1042" s="83">
        <v>1</v>
      </c>
      <c r="V1042" s="49">
        <v>3</v>
      </c>
      <c r="W1042" s="49">
        <v>1</v>
      </c>
      <c r="X1042" s="58">
        <v>2</v>
      </c>
      <c r="Y1042" s="83">
        <v>1</v>
      </c>
      <c r="AA1042" s="49">
        <v>9</v>
      </c>
      <c r="AF1042" s="49">
        <v>19</v>
      </c>
      <c r="AG1042" s="49">
        <v>46</v>
      </c>
      <c r="AI1042" s="49">
        <v>338</v>
      </c>
      <c r="AJ1042" s="49">
        <v>0</v>
      </c>
      <c r="AK1042" s="83">
        <v>0</v>
      </c>
      <c r="AL1042" s="49">
        <v>1</v>
      </c>
      <c r="AM1042" s="49">
        <v>1</v>
      </c>
      <c r="AN1042" s="49">
        <v>0</v>
      </c>
      <c r="AO1042" s="58">
        <v>0</v>
      </c>
      <c r="AP1042" s="174">
        <v>0</v>
      </c>
      <c r="AQ1042" s="175">
        <v>1313</v>
      </c>
      <c r="AR1042" s="175">
        <v>0</v>
      </c>
      <c r="AS1042" s="175">
        <v>86</v>
      </c>
      <c r="AT1042" s="175">
        <v>0</v>
      </c>
      <c r="AU1042" s="175">
        <v>0</v>
      </c>
      <c r="AV1042" s="175">
        <v>0</v>
      </c>
      <c r="AW1042" s="175">
        <v>0</v>
      </c>
      <c r="AX1042" s="83">
        <v>0</v>
      </c>
      <c r="AY1042" s="49">
        <v>0</v>
      </c>
      <c r="AZ1042" s="49">
        <v>0</v>
      </c>
      <c r="BA1042" s="49">
        <v>0</v>
      </c>
      <c r="BB1042" s="58">
        <v>0</v>
      </c>
      <c r="BC1042" s="42">
        <v>15</v>
      </c>
      <c r="BS1042" s="58"/>
      <c r="BT1042" s="83"/>
      <c r="CE1042" s="83"/>
      <c r="CK1042" s="58"/>
      <c r="CL1042" s="83"/>
      <c r="CO1042" s="58"/>
      <c r="CP1042" s="83"/>
      <c r="CR1042" s="58"/>
      <c r="CS1042" s="83"/>
      <c r="CY1042" s="83"/>
      <c r="DG1042" s="58"/>
      <c r="DH1042" s="83"/>
      <c r="DQ1042" s="83"/>
      <c r="EE1042" s="58"/>
      <c r="EF1042" s="83"/>
      <c r="EI1042" s="83"/>
      <c r="EK1042" s="58"/>
      <c r="EL1042" s="83"/>
      <c r="EO1042" s="58"/>
      <c r="EP1042" s="83"/>
      <c r="EQ1042" s="58"/>
      <c r="ER1042" s="83"/>
      <c r="ES1042" s="58"/>
      <c r="ET1042" s="83"/>
      <c r="EU1042" s="58"/>
    </row>
    <row r="1043" spans="1:151">
      <c r="A1043" s="42" t="s">
        <v>324</v>
      </c>
      <c r="B1043" s="173" t="s">
        <v>545</v>
      </c>
      <c r="C1043" s="173" t="s">
        <v>544</v>
      </c>
      <c r="D1043" s="83" t="s">
        <v>94</v>
      </c>
      <c r="F1043" s="49" t="s">
        <v>286</v>
      </c>
      <c r="G1043" s="49">
        <v>20.265000000000001</v>
      </c>
      <c r="I1043" s="49">
        <v>2179</v>
      </c>
      <c r="J1043" s="159">
        <v>1.3870146403564609</v>
      </c>
      <c r="K1043" s="49">
        <v>1</v>
      </c>
      <c r="L1043" s="49">
        <v>2</v>
      </c>
      <c r="M1043" s="83">
        <v>0</v>
      </c>
      <c r="N1043" s="49">
        <v>1</v>
      </c>
      <c r="O1043" s="49">
        <v>1</v>
      </c>
      <c r="P1043" s="49">
        <v>1</v>
      </c>
      <c r="Q1043" s="58">
        <v>0</v>
      </c>
      <c r="R1043" s="42">
        <v>3</v>
      </c>
      <c r="S1043" s="83" t="s">
        <v>283</v>
      </c>
      <c r="T1043" s="49">
        <v>23</v>
      </c>
      <c r="U1043" s="83">
        <v>1</v>
      </c>
      <c r="V1043" s="49">
        <v>2</v>
      </c>
      <c r="W1043" s="49">
        <v>2</v>
      </c>
      <c r="X1043" s="58"/>
      <c r="Y1043" s="83">
        <v>1</v>
      </c>
      <c r="Z1043" s="49">
        <v>4</v>
      </c>
      <c r="AA1043" s="49">
        <v>15</v>
      </c>
      <c r="AI1043" s="49">
        <v>121</v>
      </c>
      <c r="AJ1043" s="49">
        <v>0</v>
      </c>
      <c r="AK1043" s="83">
        <v>0</v>
      </c>
      <c r="AL1043" s="49">
        <v>1</v>
      </c>
      <c r="AM1043" s="49">
        <v>1</v>
      </c>
      <c r="AN1043" s="49">
        <v>0</v>
      </c>
      <c r="AO1043" s="58">
        <v>0</v>
      </c>
      <c r="AP1043" s="174">
        <v>0</v>
      </c>
      <c r="AQ1043" s="175">
        <v>827</v>
      </c>
      <c r="AR1043" s="175">
        <v>19</v>
      </c>
      <c r="AS1043" s="175">
        <v>45</v>
      </c>
      <c r="AT1043" s="175">
        <v>0</v>
      </c>
      <c r="AU1043" s="175">
        <v>0</v>
      </c>
      <c r="AV1043" s="175"/>
      <c r="AW1043" s="175"/>
      <c r="AX1043" s="83">
        <v>0</v>
      </c>
      <c r="AY1043" s="49">
        <v>0</v>
      </c>
      <c r="AZ1043" s="49">
        <v>0</v>
      </c>
      <c r="BA1043" s="49">
        <v>0</v>
      </c>
      <c r="BB1043" s="58">
        <v>0</v>
      </c>
      <c r="BC1043" s="42">
        <v>127</v>
      </c>
      <c r="BS1043" s="58"/>
      <c r="BT1043" s="83"/>
      <c r="CE1043" s="83"/>
      <c r="CK1043" s="58"/>
      <c r="CL1043" s="83"/>
      <c r="CO1043" s="58"/>
      <c r="CP1043" s="83"/>
      <c r="CR1043" s="58"/>
      <c r="CS1043" s="83"/>
      <c r="CY1043" s="83"/>
      <c r="DG1043" s="58"/>
      <c r="DH1043" s="83"/>
      <c r="DQ1043" s="83"/>
      <c r="EE1043" s="58"/>
      <c r="EF1043" s="83"/>
      <c r="EI1043" s="83"/>
      <c r="EK1043" s="58"/>
      <c r="EL1043" s="83"/>
      <c r="EO1043" s="58"/>
      <c r="EP1043" s="83"/>
      <c r="EQ1043" s="58"/>
      <c r="ER1043" s="83"/>
      <c r="ES1043" s="58"/>
      <c r="ET1043" s="83"/>
      <c r="EU1043" s="58"/>
    </row>
    <row r="1044" spans="1:151">
      <c r="A1044" s="42" t="s">
        <v>324</v>
      </c>
      <c r="B1044" s="173" t="s">
        <v>545</v>
      </c>
      <c r="C1044" s="173" t="s">
        <v>544</v>
      </c>
      <c r="D1044" s="83" t="s">
        <v>96</v>
      </c>
      <c r="F1044" s="49" t="s">
        <v>286</v>
      </c>
      <c r="G1044" s="49">
        <v>20.265000000000001</v>
      </c>
      <c r="I1044" s="49">
        <v>1139</v>
      </c>
      <c r="J1044" s="159">
        <v>1.8253205128205128</v>
      </c>
      <c r="K1044" s="49">
        <v>1</v>
      </c>
      <c r="L1044" s="49">
        <v>1</v>
      </c>
      <c r="M1044" s="83">
        <v>0</v>
      </c>
      <c r="N1044" s="49">
        <v>2</v>
      </c>
      <c r="O1044" s="49">
        <v>0</v>
      </c>
      <c r="P1044" s="49">
        <v>1</v>
      </c>
      <c r="Q1044" s="58">
        <v>0</v>
      </c>
      <c r="R1044" s="42">
        <v>3</v>
      </c>
      <c r="S1044" s="83" t="s">
        <v>283</v>
      </c>
      <c r="T1044" s="49">
        <v>22</v>
      </c>
      <c r="U1044" s="83">
        <v>1</v>
      </c>
      <c r="V1044" s="49">
        <v>2</v>
      </c>
      <c r="W1044" s="49">
        <v>1</v>
      </c>
      <c r="X1044" s="58">
        <v>2</v>
      </c>
      <c r="Y1044" s="83">
        <v>1</v>
      </c>
      <c r="AA1044" s="49">
        <v>9</v>
      </c>
      <c r="AE1044" s="49">
        <v>15</v>
      </c>
      <c r="AF1044" s="49">
        <v>9</v>
      </c>
      <c r="AG1044" s="49">
        <v>9</v>
      </c>
      <c r="AH1044" s="49">
        <v>9</v>
      </c>
      <c r="AI1044" s="49">
        <v>47</v>
      </c>
      <c r="AJ1044" s="49">
        <v>0</v>
      </c>
      <c r="AK1044" s="83">
        <v>0</v>
      </c>
      <c r="AL1044" s="49">
        <v>1</v>
      </c>
      <c r="AM1044" s="49">
        <v>1</v>
      </c>
      <c r="AN1044" s="49">
        <v>0</v>
      </c>
      <c r="AO1044" s="58">
        <v>0</v>
      </c>
      <c r="AP1044" s="174">
        <v>0</v>
      </c>
      <c r="AQ1044" s="175">
        <v>492</v>
      </c>
      <c r="AR1044" s="175">
        <v>21</v>
      </c>
      <c r="AS1044" s="175">
        <v>101</v>
      </c>
      <c r="AT1044" s="175">
        <v>0</v>
      </c>
      <c r="AU1044" s="175">
        <v>0</v>
      </c>
      <c r="AV1044" s="175"/>
      <c r="AW1044" s="175"/>
      <c r="AX1044" s="83">
        <v>0</v>
      </c>
      <c r="AY1044" s="49">
        <v>0</v>
      </c>
      <c r="AZ1044" s="49">
        <v>0</v>
      </c>
      <c r="BA1044" s="49">
        <v>0</v>
      </c>
      <c r="BB1044" s="58">
        <v>0</v>
      </c>
      <c r="BC1044" s="42">
        <v>96</v>
      </c>
      <c r="BS1044" s="58"/>
      <c r="BT1044" s="83">
        <v>79.3</v>
      </c>
      <c r="CE1044" s="83">
        <v>65.989999999999995</v>
      </c>
      <c r="CK1044" s="58"/>
      <c r="CL1044" s="83"/>
      <c r="CO1044" s="58"/>
      <c r="CP1044" s="83"/>
      <c r="CR1044" s="58"/>
      <c r="CS1044" s="83"/>
      <c r="CY1044" s="83">
        <v>73.430000000000007</v>
      </c>
      <c r="DG1044" s="58"/>
      <c r="DH1044" s="83"/>
      <c r="DQ1044" s="83"/>
      <c r="EE1044" s="58"/>
      <c r="EF1044" s="83"/>
      <c r="EI1044" s="83"/>
      <c r="EK1044" s="58"/>
      <c r="EL1044" s="83"/>
      <c r="EO1044" s="58"/>
      <c r="EP1044" s="83"/>
      <c r="EQ1044" s="58"/>
      <c r="ER1044" s="83"/>
      <c r="ES1044" s="58"/>
      <c r="ET1044" s="83"/>
      <c r="EU1044" s="58"/>
    </row>
    <row r="1045" spans="1:151">
      <c r="A1045" s="42" t="s">
        <v>324</v>
      </c>
      <c r="B1045" s="173" t="s">
        <v>545</v>
      </c>
      <c r="C1045" s="173" t="s">
        <v>544</v>
      </c>
      <c r="D1045" s="83" t="s">
        <v>97</v>
      </c>
      <c r="E1045" s="49" t="s">
        <v>0</v>
      </c>
      <c r="F1045" s="49" t="s">
        <v>287</v>
      </c>
      <c r="G1045" s="49">
        <v>20.265000000000001</v>
      </c>
      <c r="I1045" s="49">
        <v>595</v>
      </c>
      <c r="J1045" s="159">
        <v>1.3163716814159292</v>
      </c>
      <c r="K1045" s="49">
        <v>1</v>
      </c>
      <c r="L1045" s="49">
        <v>2</v>
      </c>
      <c r="M1045" s="83">
        <v>0</v>
      </c>
      <c r="N1045" s="49">
        <v>0</v>
      </c>
      <c r="O1045" s="49">
        <v>1</v>
      </c>
      <c r="P1045" s="49">
        <v>1</v>
      </c>
      <c r="Q1045" s="58">
        <v>0</v>
      </c>
      <c r="R1045" s="42">
        <v>2</v>
      </c>
      <c r="S1045" s="83" t="s">
        <v>283</v>
      </c>
      <c r="T1045" s="49">
        <v>14</v>
      </c>
      <c r="U1045" s="83">
        <v>2</v>
      </c>
      <c r="V1045" s="49">
        <v>2</v>
      </c>
      <c r="W1045" s="49">
        <v>1</v>
      </c>
      <c r="X1045" s="58">
        <v>3</v>
      </c>
      <c r="Y1045" s="83">
        <v>1</v>
      </c>
      <c r="AG1045" s="49">
        <v>95</v>
      </c>
      <c r="AJ1045" s="49">
        <v>0</v>
      </c>
      <c r="AK1045" s="83">
        <v>0</v>
      </c>
      <c r="AL1045" s="49">
        <v>0</v>
      </c>
      <c r="AM1045" s="49">
        <v>0</v>
      </c>
      <c r="AN1045" s="49">
        <v>0</v>
      </c>
      <c r="AO1045" s="58">
        <v>0</v>
      </c>
      <c r="AP1045" s="174">
        <v>0</v>
      </c>
      <c r="AQ1045" s="175">
        <v>0</v>
      </c>
      <c r="AR1045" s="175">
        <v>0</v>
      </c>
      <c r="AS1045" s="175">
        <v>0</v>
      </c>
      <c r="AT1045" s="175">
        <v>0</v>
      </c>
      <c r="AU1045" s="175">
        <v>0</v>
      </c>
      <c r="AV1045" s="175"/>
      <c r="AW1045" s="175"/>
      <c r="AX1045" s="83">
        <v>0</v>
      </c>
      <c r="AY1045" s="49">
        <v>0</v>
      </c>
      <c r="AZ1045" s="49">
        <v>0</v>
      </c>
      <c r="BA1045" s="49">
        <v>0</v>
      </c>
      <c r="BB1045" s="58">
        <v>0</v>
      </c>
      <c r="BC1045" s="42">
        <v>136</v>
      </c>
      <c r="BS1045" s="58"/>
      <c r="BT1045" s="83"/>
      <c r="CE1045" s="83"/>
      <c r="CK1045" s="58"/>
      <c r="CL1045" s="83"/>
      <c r="CO1045" s="58"/>
      <c r="CP1045" s="83"/>
      <c r="CR1045" s="58"/>
      <c r="CS1045" s="83"/>
      <c r="CY1045" s="83"/>
      <c r="DG1045" s="58"/>
      <c r="DH1045" s="83"/>
      <c r="DQ1045" s="83"/>
      <c r="EE1045" s="58"/>
      <c r="EF1045" s="83"/>
      <c r="EI1045" s="83"/>
      <c r="EK1045" s="58"/>
      <c r="EL1045" s="83"/>
      <c r="EO1045" s="58"/>
      <c r="EP1045" s="83"/>
      <c r="EQ1045" s="58"/>
      <c r="ER1045" s="83"/>
      <c r="ES1045" s="58"/>
      <c r="ET1045" s="83"/>
      <c r="EU1045" s="58"/>
    </row>
    <row r="1046" spans="1:151">
      <c r="A1046" s="42" t="s">
        <v>324</v>
      </c>
      <c r="B1046" s="173" t="s">
        <v>545</v>
      </c>
      <c r="C1046" s="173" t="s">
        <v>544</v>
      </c>
      <c r="D1046" s="83" t="s">
        <v>97</v>
      </c>
      <c r="E1046" s="49" t="s">
        <v>1</v>
      </c>
      <c r="F1046" s="49" t="s">
        <v>286</v>
      </c>
      <c r="G1046" s="49">
        <v>20.265000000000001</v>
      </c>
      <c r="I1046" s="49">
        <v>1074</v>
      </c>
      <c r="J1046" s="159">
        <v>1.996282527881041</v>
      </c>
      <c r="K1046" s="49">
        <v>1</v>
      </c>
      <c r="L1046" s="49">
        <v>1</v>
      </c>
      <c r="M1046" s="83">
        <v>1</v>
      </c>
      <c r="N1046" s="49">
        <v>0</v>
      </c>
      <c r="O1046" s="49">
        <v>1</v>
      </c>
      <c r="P1046" s="49">
        <v>1</v>
      </c>
      <c r="Q1046" s="58">
        <v>0</v>
      </c>
      <c r="R1046" s="42">
        <v>3</v>
      </c>
      <c r="S1046" s="83" t="s">
        <v>283</v>
      </c>
      <c r="T1046" s="49">
        <v>9</v>
      </c>
      <c r="U1046" s="83">
        <v>2</v>
      </c>
      <c r="V1046" s="49">
        <v>3</v>
      </c>
      <c r="W1046" s="49">
        <v>1</v>
      </c>
      <c r="X1046" s="58">
        <v>3</v>
      </c>
      <c r="Y1046" s="83">
        <v>1</v>
      </c>
      <c r="AD1046" s="49">
        <v>6</v>
      </c>
      <c r="AE1046" s="49">
        <v>14</v>
      </c>
      <c r="AH1046" s="49">
        <v>5</v>
      </c>
      <c r="AI1046" s="49">
        <v>53</v>
      </c>
      <c r="AJ1046" s="49">
        <v>0</v>
      </c>
      <c r="AK1046" s="83">
        <v>0</v>
      </c>
      <c r="AL1046" s="49">
        <v>1</v>
      </c>
      <c r="AM1046" s="49">
        <v>0</v>
      </c>
      <c r="AN1046" s="49">
        <v>0</v>
      </c>
      <c r="AO1046" s="58">
        <v>0</v>
      </c>
      <c r="AP1046" s="174">
        <v>0</v>
      </c>
      <c r="AQ1046" s="175">
        <v>159</v>
      </c>
      <c r="AR1046" s="175">
        <v>0</v>
      </c>
      <c r="AS1046" s="175">
        <v>0</v>
      </c>
      <c r="AT1046" s="175">
        <v>0</v>
      </c>
      <c r="AU1046" s="175">
        <v>0</v>
      </c>
      <c r="AV1046" s="175"/>
      <c r="AW1046" s="175"/>
      <c r="AX1046" s="83">
        <v>0</v>
      </c>
      <c r="AY1046" s="49">
        <v>0</v>
      </c>
      <c r="AZ1046" s="49">
        <v>0</v>
      </c>
      <c r="BA1046" s="49">
        <v>0</v>
      </c>
      <c r="BB1046" s="58">
        <v>0</v>
      </c>
      <c r="BC1046" s="42">
        <v>136</v>
      </c>
      <c r="BS1046" s="58"/>
      <c r="BT1046" s="83"/>
      <c r="CE1046" s="83"/>
      <c r="CK1046" s="58"/>
      <c r="CL1046" s="83"/>
      <c r="CO1046" s="58"/>
      <c r="CP1046" s="83"/>
      <c r="CR1046" s="58"/>
      <c r="CS1046" s="83"/>
      <c r="CY1046" s="83"/>
      <c r="DG1046" s="58"/>
      <c r="DH1046" s="83"/>
      <c r="DQ1046" s="83"/>
      <c r="EE1046" s="58"/>
      <c r="EF1046" s="83"/>
      <c r="EI1046" s="83"/>
      <c r="EK1046" s="58"/>
      <c r="EL1046" s="83"/>
      <c r="EO1046" s="58"/>
      <c r="EP1046" s="83"/>
      <c r="EQ1046" s="58"/>
      <c r="ER1046" s="83"/>
      <c r="ES1046" s="58"/>
      <c r="ET1046" s="83"/>
      <c r="EU1046" s="58"/>
    </row>
    <row r="1047" spans="1:151">
      <c r="A1047" s="42" t="s">
        <v>324</v>
      </c>
      <c r="B1047" s="173" t="s">
        <v>545</v>
      </c>
      <c r="C1047" s="173" t="s">
        <v>544</v>
      </c>
      <c r="D1047" s="83" t="s">
        <v>98</v>
      </c>
      <c r="F1047" s="49" t="s">
        <v>286</v>
      </c>
      <c r="G1047" s="49">
        <v>20.265000000000001</v>
      </c>
      <c r="I1047" s="49">
        <v>2381</v>
      </c>
      <c r="J1047" s="159">
        <v>1.553163731245923</v>
      </c>
      <c r="K1047" s="49">
        <v>4</v>
      </c>
      <c r="L1047" s="49">
        <v>3</v>
      </c>
      <c r="M1047" s="83">
        <v>0</v>
      </c>
      <c r="N1047" s="49">
        <v>2</v>
      </c>
      <c r="O1047" s="49">
        <v>0</v>
      </c>
      <c r="P1047" s="49">
        <v>0</v>
      </c>
      <c r="Q1047" s="58">
        <v>0</v>
      </c>
      <c r="R1047" s="42">
        <v>2</v>
      </c>
      <c r="S1047" s="83" t="s">
        <v>283</v>
      </c>
      <c r="T1047" s="49">
        <v>19</v>
      </c>
      <c r="U1047" s="83">
        <v>1</v>
      </c>
      <c r="V1047" s="49">
        <v>3</v>
      </c>
      <c r="W1047" s="49">
        <v>2</v>
      </c>
      <c r="X1047" s="58"/>
      <c r="Y1047" s="83">
        <v>1</v>
      </c>
      <c r="Z1047" s="49">
        <v>4</v>
      </c>
      <c r="AA1047" s="49">
        <v>34</v>
      </c>
      <c r="AD1047" s="49">
        <v>7</v>
      </c>
      <c r="AE1047" s="49">
        <v>15</v>
      </c>
      <c r="AF1047" s="49">
        <v>3</v>
      </c>
      <c r="AG1047" s="49">
        <v>25</v>
      </c>
      <c r="AH1047" s="49">
        <v>11</v>
      </c>
      <c r="AI1047" s="49">
        <v>43</v>
      </c>
      <c r="AJ1047" s="49">
        <v>1</v>
      </c>
      <c r="AK1047" s="83">
        <v>0</v>
      </c>
      <c r="AL1047" s="49">
        <v>0</v>
      </c>
      <c r="AM1047" s="49">
        <v>1</v>
      </c>
      <c r="AN1047" s="49">
        <v>0</v>
      </c>
      <c r="AO1047" s="58">
        <v>0</v>
      </c>
      <c r="AP1047" s="174">
        <v>0</v>
      </c>
      <c r="AQ1047" s="175">
        <v>0</v>
      </c>
      <c r="AR1047" s="175">
        <v>9</v>
      </c>
      <c r="AS1047" s="175">
        <v>57</v>
      </c>
      <c r="AT1047" s="175">
        <v>0</v>
      </c>
      <c r="AU1047" s="175">
        <v>0</v>
      </c>
      <c r="AV1047" s="175"/>
      <c r="AW1047" s="175"/>
      <c r="AX1047" s="83">
        <v>0</v>
      </c>
      <c r="AY1047" s="49">
        <v>0</v>
      </c>
      <c r="AZ1047" s="49">
        <v>0</v>
      </c>
      <c r="BA1047" s="49">
        <v>0</v>
      </c>
      <c r="BB1047" s="58">
        <v>0</v>
      </c>
      <c r="BC1047" s="42">
        <v>155</v>
      </c>
      <c r="BD1047" s="49">
        <v>75.84</v>
      </c>
      <c r="BS1047" s="58"/>
      <c r="BT1047" s="83">
        <v>80.739999999999995</v>
      </c>
      <c r="CE1047" s="83"/>
      <c r="CK1047" s="58"/>
      <c r="CL1047" s="83">
        <v>65.989999999999995</v>
      </c>
      <c r="CO1047" s="58"/>
      <c r="CP1047" s="83"/>
      <c r="CR1047" s="58"/>
      <c r="CS1047" s="83"/>
      <c r="CY1047" s="83"/>
      <c r="DG1047" s="58"/>
      <c r="DH1047" s="83"/>
      <c r="DQ1047" s="83"/>
      <c r="EE1047" s="58"/>
      <c r="EF1047" s="83"/>
      <c r="EI1047" s="83"/>
      <c r="EK1047" s="58"/>
      <c r="EL1047" s="83"/>
      <c r="EO1047" s="58"/>
      <c r="EP1047" s="83"/>
      <c r="EQ1047" s="58"/>
      <c r="ER1047" s="83"/>
      <c r="ES1047" s="58"/>
      <c r="ET1047" s="83"/>
      <c r="EU1047" s="58"/>
    </row>
    <row r="1048" spans="1:151">
      <c r="A1048" s="42" t="s">
        <v>324</v>
      </c>
      <c r="B1048" s="173" t="s">
        <v>545</v>
      </c>
      <c r="C1048" s="173" t="s">
        <v>544</v>
      </c>
      <c r="D1048" s="83" t="s">
        <v>99</v>
      </c>
      <c r="F1048" s="49" t="s">
        <v>286</v>
      </c>
      <c r="G1048" s="49">
        <v>20.265000000000001</v>
      </c>
      <c r="I1048" s="49">
        <v>1806</v>
      </c>
      <c r="J1048" s="159">
        <v>1.2763250883392225</v>
      </c>
      <c r="K1048" s="49">
        <v>4</v>
      </c>
      <c r="L1048" s="49">
        <v>4</v>
      </c>
      <c r="M1048" s="83">
        <v>0</v>
      </c>
      <c r="N1048" s="49">
        <v>0</v>
      </c>
      <c r="O1048" s="49">
        <v>1</v>
      </c>
      <c r="P1048" s="49">
        <v>1</v>
      </c>
      <c r="Q1048" s="58">
        <v>0</v>
      </c>
      <c r="R1048" s="42">
        <v>2</v>
      </c>
      <c r="S1048" s="83" t="s">
        <v>283</v>
      </c>
      <c r="T1048" s="49">
        <v>18</v>
      </c>
      <c r="U1048" s="83">
        <v>1</v>
      </c>
      <c r="V1048" s="49">
        <v>4</v>
      </c>
      <c r="W1048" s="49">
        <v>1</v>
      </c>
      <c r="X1048" s="58">
        <v>2</v>
      </c>
      <c r="Y1048" s="83">
        <v>1</v>
      </c>
      <c r="Z1048" s="49">
        <v>6</v>
      </c>
      <c r="AA1048" s="49">
        <v>9</v>
      </c>
      <c r="AD1048" s="49">
        <v>10</v>
      </c>
      <c r="AE1048" s="49">
        <v>16</v>
      </c>
      <c r="AF1048" s="49">
        <v>4</v>
      </c>
      <c r="AG1048" s="49">
        <v>12</v>
      </c>
      <c r="AH1048" s="49">
        <v>6</v>
      </c>
      <c r="AI1048" s="49">
        <v>54</v>
      </c>
      <c r="AJ1048" s="49">
        <v>0</v>
      </c>
      <c r="AK1048" s="83">
        <v>0</v>
      </c>
      <c r="AL1048" s="49">
        <v>0</v>
      </c>
      <c r="AM1048" s="49">
        <v>1</v>
      </c>
      <c r="AN1048" s="49">
        <v>0</v>
      </c>
      <c r="AO1048" s="58">
        <v>0</v>
      </c>
      <c r="AP1048" s="174">
        <v>0</v>
      </c>
      <c r="AQ1048" s="175">
        <v>0</v>
      </c>
      <c r="AR1048" s="175">
        <v>11</v>
      </c>
      <c r="AS1048" s="175">
        <v>72</v>
      </c>
      <c r="AT1048" s="175">
        <v>0</v>
      </c>
      <c r="AU1048" s="175">
        <v>0</v>
      </c>
      <c r="AV1048" s="175"/>
      <c r="AW1048" s="175"/>
      <c r="AX1048" s="83">
        <v>0</v>
      </c>
      <c r="AY1048" s="49">
        <v>0</v>
      </c>
      <c r="AZ1048" s="49">
        <v>0</v>
      </c>
      <c r="BA1048" s="49">
        <v>0</v>
      </c>
      <c r="BB1048" s="58">
        <v>0</v>
      </c>
      <c r="BC1048" s="42">
        <v>126</v>
      </c>
      <c r="BD1048" s="49">
        <v>78.81</v>
      </c>
      <c r="BE1048" s="159">
        <v>78.209999999999994</v>
      </c>
      <c r="BS1048" s="58"/>
      <c r="BT1048" s="83">
        <v>82.33</v>
      </c>
      <c r="CE1048" s="83">
        <v>68.180000000000007</v>
      </c>
      <c r="CK1048" s="58"/>
      <c r="CL1048" s="83">
        <v>68.650000000000006</v>
      </c>
      <c r="CO1048" s="58"/>
      <c r="CP1048" s="83"/>
      <c r="CR1048" s="58"/>
      <c r="CS1048" s="83"/>
      <c r="CY1048" s="83"/>
      <c r="DG1048" s="58"/>
      <c r="DH1048" s="83"/>
      <c r="DQ1048" s="83"/>
      <c r="EE1048" s="58"/>
      <c r="EF1048" s="83"/>
      <c r="EI1048" s="83"/>
      <c r="EK1048" s="58"/>
      <c r="EL1048" s="83"/>
      <c r="EO1048" s="58"/>
      <c r="EP1048" s="83"/>
      <c r="EQ1048" s="58"/>
      <c r="ER1048" s="83"/>
      <c r="ES1048" s="58"/>
      <c r="ET1048" s="83"/>
      <c r="EU1048" s="58"/>
    </row>
    <row r="1049" spans="1:151">
      <c r="A1049" s="42" t="s">
        <v>324</v>
      </c>
      <c r="B1049" s="173" t="s">
        <v>545</v>
      </c>
      <c r="C1049" s="173" t="s">
        <v>544</v>
      </c>
      <c r="D1049" s="83" t="s">
        <v>100</v>
      </c>
      <c r="F1049" s="49" t="s">
        <v>286</v>
      </c>
      <c r="G1049" s="49">
        <v>20.265000000000001</v>
      </c>
      <c r="I1049" s="49">
        <v>1565</v>
      </c>
      <c r="J1049" s="159">
        <v>1.3421955403087478</v>
      </c>
      <c r="K1049" s="49">
        <v>1</v>
      </c>
      <c r="L1049" s="49">
        <v>3</v>
      </c>
      <c r="M1049" s="83">
        <v>0</v>
      </c>
      <c r="N1049" s="49">
        <v>0</v>
      </c>
      <c r="O1049" s="49">
        <v>1</v>
      </c>
      <c r="P1049" s="49">
        <v>1</v>
      </c>
      <c r="Q1049" s="58">
        <v>0</v>
      </c>
      <c r="R1049" s="42">
        <v>2</v>
      </c>
      <c r="S1049" s="83" t="s">
        <v>283</v>
      </c>
      <c r="T1049" s="49">
        <v>13</v>
      </c>
      <c r="U1049" s="83">
        <v>2</v>
      </c>
      <c r="V1049" s="49">
        <v>3</v>
      </c>
      <c r="W1049" s="49">
        <v>1</v>
      </c>
      <c r="X1049" s="58">
        <v>3</v>
      </c>
      <c r="Y1049" s="83">
        <v>1</v>
      </c>
      <c r="Z1049" s="49">
        <v>7</v>
      </c>
      <c r="AA1049" s="49">
        <v>21</v>
      </c>
      <c r="AB1049" s="49">
        <v>4</v>
      </c>
      <c r="AC1049" s="49">
        <v>16</v>
      </c>
      <c r="AD1049" s="49">
        <v>10</v>
      </c>
      <c r="AE1049" s="49">
        <v>19</v>
      </c>
      <c r="AF1049" s="49">
        <v>5</v>
      </c>
      <c r="AG1049" s="49">
        <v>17</v>
      </c>
      <c r="AI1049" s="49">
        <v>128</v>
      </c>
      <c r="AJ1049" s="49">
        <v>0</v>
      </c>
      <c r="AK1049" s="83">
        <v>0</v>
      </c>
      <c r="AL1049" s="49">
        <v>0</v>
      </c>
      <c r="AM1049" s="49">
        <v>1</v>
      </c>
      <c r="AN1049" s="49">
        <v>0</v>
      </c>
      <c r="AO1049" s="58">
        <v>0</v>
      </c>
      <c r="AP1049" s="174">
        <v>0</v>
      </c>
      <c r="AQ1049" s="175">
        <v>0</v>
      </c>
      <c r="AR1049" s="175">
        <v>27</v>
      </c>
      <c r="AS1049" s="175">
        <v>48</v>
      </c>
      <c r="AT1049" s="175">
        <v>0</v>
      </c>
      <c r="AU1049" s="175">
        <v>0</v>
      </c>
      <c r="AV1049" s="175"/>
      <c r="AW1049" s="175"/>
      <c r="AX1049" s="83">
        <v>0</v>
      </c>
      <c r="AY1049" s="49">
        <v>0</v>
      </c>
      <c r="AZ1049" s="49">
        <v>0</v>
      </c>
      <c r="BA1049" s="49">
        <v>0</v>
      </c>
      <c r="BB1049" s="58">
        <v>0</v>
      </c>
      <c r="BC1049" s="42">
        <v>125</v>
      </c>
      <c r="BS1049" s="58"/>
      <c r="BT1049" s="83"/>
      <c r="CE1049" s="83"/>
      <c r="CK1049" s="58"/>
      <c r="CL1049" s="83"/>
      <c r="CO1049" s="58"/>
      <c r="CP1049" s="83"/>
      <c r="CR1049" s="58"/>
      <c r="CS1049" s="83"/>
      <c r="CY1049" s="83"/>
      <c r="DG1049" s="58"/>
      <c r="DH1049" s="83"/>
      <c r="DQ1049" s="83"/>
      <c r="EE1049" s="58"/>
      <c r="EF1049" s="83"/>
      <c r="EI1049" s="83"/>
      <c r="EK1049" s="58"/>
      <c r="EL1049" s="83"/>
      <c r="EO1049" s="58"/>
      <c r="EP1049" s="83"/>
      <c r="EQ1049" s="58"/>
      <c r="ER1049" s="83"/>
      <c r="ES1049" s="58"/>
      <c r="ET1049" s="83"/>
      <c r="EU1049" s="58"/>
    </row>
    <row r="1050" spans="1:151">
      <c r="A1050" s="42" t="s">
        <v>324</v>
      </c>
      <c r="B1050" s="173" t="s">
        <v>545</v>
      </c>
      <c r="C1050" s="173" t="s">
        <v>544</v>
      </c>
      <c r="D1050" s="83" t="s">
        <v>119</v>
      </c>
      <c r="E1050" s="49" t="s">
        <v>0</v>
      </c>
      <c r="F1050" s="49" t="s">
        <v>286</v>
      </c>
      <c r="G1050" s="49">
        <v>20.265000000000001</v>
      </c>
      <c r="I1050" s="49">
        <v>4045</v>
      </c>
      <c r="J1050" s="159">
        <v>1.6728701406120761</v>
      </c>
      <c r="K1050" s="49">
        <v>1</v>
      </c>
      <c r="L1050" s="49">
        <v>2</v>
      </c>
      <c r="M1050" s="83">
        <v>0</v>
      </c>
      <c r="N1050" s="49">
        <v>1</v>
      </c>
      <c r="O1050" s="49">
        <v>0</v>
      </c>
      <c r="P1050" s="49">
        <v>1</v>
      </c>
      <c r="Q1050" s="58">
        <v>0</v>
      </c>
      <c r="R1050" s="42">
        <v>2</v>
      </c>
      <c r="S1050" s="83" t="s">
        <v>283</v>
      </c>
      <c r="T1050" s="49">
        <v>17</v>
      </c>
      <c r="U1050" s="83">
        <v>1</v>
      </c>
      <c r="V1050" s="49">
        <v>2</v>
      </c>
      <c r="W1050" s="49">
        <v>1</v>
      </c>
      <c r="X1050" s="58">
        <v>2</v>
      </c>
      <c r="Y1050" s="83">
        <v>15</v>
      </c>
      <c r="Z1050" s="49">
        <v>9</v>
      </c>
      <c r="AA1050" s="49">
        <v>81</v>
      </c>
      <c r="AD1050" s="49">
        <v>11</v>
      </c>
      <c r="AE1050" s="49">
        <v>205</v>
      </c>
      <c r="AF1050" s="49">
        <v>9</v>
      </c>
      <c r="AG1050" s="49">
        <v>398</v>
      </c>
      <c r="AH1050" s="49">
        <v>44</v>
      </c>
      <c r="AI1050" s="49">
        <v>1148</v>
      </c>
      <c r="AJ1050" s="49">
        <v>0</v>
      </c>
      <c r="AK1050" s="83">
        <v>0</v>
      </c>
      <c r="AL1050" s="49">
        <v>0</v>
      </c>
      <c r="AM1050" s="49">
        <v>0</v>
      </c>
      <c r="AN1050" s="49">
        <v>0</v>
      </c>
      <c r="AO1050" s="58">
        <v>0</v>
      </c>
      <c r="AP1050" s="174">
        <v>0</v>
      </c>
      <c r="AQ1050" s="175">
        <v>0</v>
      </c>
      <c r="AR1050" s="175">
        <v>0</v>
      </c>
      <c r="AS1050" s="175">
        <v>0</v>
      </c>
      <c r="AT1050" s="175">
        <v>0</v>
      </c>
      <c r="AU1050" s="175">
        <v>0</v>
      </c>
      <c r="AV1050" s="175"/>
      <c r="AW1050" s="175"/>
      <c r="AX1050" s="83">
        <v>0</v>
      </c>
      <c r="AY1050" s="49">
        <v>0</v>
      </c>
      <c r="AZ1050" s="49">
        <v>0</v>
      </c>
      <c r="BA1050" s="49">
        <v>0</v>
      </c>
      <c r="BB1050" s="58">
        <v>0</v>
      </c>
      <c r="BC1050" s="42">
        <v>136</v>
      </c>
      <c r="BD1050" s="49">
        <v>79.180000000000007</v>
      </c>
      <c r="BE1050" s="159">
        <v>78.97</v>
      </c>
      <c r="BS1050" s="58"/>
      <c r="BT1050" s="83"/>
      <c r="CE1050" s="83">
        <v>81.48</v>
      </c>
      <c r="CK1050" s="58"/>
      <c r="CL1050" s="83">
        <v>65.819999999999993</v>
      </c>
      <c r="CM1050" s="49">
        <v>68.33</v>
      </c>
      <c r="CO1050" s="58"/>
      <c r="CP1050" s="83">
        <v>61.76</v>
      </c>
      <c r="CQ1050" s="49">
        <v>61.76</v>
      </c>
      <c r="CR1050" s="58">
        <v>62.54</v>
      </c>
      <c r="CS1050" s="83">
        <v>80.180000000000007</v>
      </c>
      <c r="CT1050" s="49">
        <v>82.84</v>
      </c>
      <c r="CU1050" s="49">
        <v>82.32</v>
      </c>
      <c r="CY1050" s="83"/>
      <c r="DG1050" s="58"/>
      <c r="DH1050" s="83"/>
      <c r="DQ1050" s="83"/>
      <c r="EE1050" s="58"/>
      <c r="EF1050" s="83"/>
      <c r="EI1050" s="83"/>
      <c r="EK1050" s="58"/>
      <c r="EL1050" s="83"/>
      <c r="EO1050" s="58"/>
      <c r="EP1050" s="83"/>
      <c r="EQ1050" s="58"/>
      <c r="ER1050" s="83"/>
      <c r="ES1050" s="58"/>
      <c r="ET1050" s="83"/>
      <c r="EU1050" s="58"/>
    </row>
    <row r="1051" spans="1:151">
      <c r="A1051" s="42" t="s">
        <v>324</v>
      </c>
      <c r="B1051" s="173" t="s">
        <v>545</v>
      </c>
      <c r="C1051" s="173" t="s">
        <v>544</v>
      </c>
      <c r="D1051" s="83" t="s">
        <v>119</v>
      </c>
      <c r="E1051" s="49" t="s">
        <v>1</v>
      </c>
      <c r="F1051" s="49" t="s">
        <v>286</v>
      </c>
      <c r="G1051" s="49">
        <v>20.265000000000001</v>
      </c>
      <c r="I1051" s="49">
        <v>1621</v>
      </c>
      <c r="J1051" s="159">
        <v>2.3873343151693667</v>
      </c>
      <c r="K1051" s="49">
        <v>4</v>
      </c>
      <c r="L1051" s="49">
        <v>3</v>
      </c>
      <c r="M1051" s="83">
        <v>0</v>
      </c>
      <c r="N1051" s="49">
        <v>0</v>
      </c>
      <c r="O1051" s="49">
        <v>0</v>
      </c>
      <c r="P1051" s="49">
        <v>1</v>
      </c>
      <c r="Q1051" s="58">
        <v>0</v>
      </c>
      <c r="R1051" s="42">
        <v>1</v>
      </c>
      <c r="S1051" s="83" t="s">
        <v>283</v>
      </c>
      <c r="T1051" s="49">
        <v>15</v>
      </c>
      <c r="U1051" s="83">
        <v>1</v>
      </c>
      <c r="V1051" s="49">
        <v>3</v>
      </c>
      <c r="W1051" s="49">
        <v>1</v>
      </c>
      <c r="X1051" s="58">
        <v>2</v>
      </c>
      <c r="Y1051" s="83">
        <v>0</v>
      </c>
      <c r="AJ1051" s="49">
        <v>0</v>
      </c>
      <c r="AK1051" s="83">
        <v>0</v>
      </c>
      <c r="AL1051" s="49">
        <v>1</v>
      </c>
      <c r="AM1051" s="49">
        <v>0</v>
      </c>
      <c r="AN1051" s="49">
        <v>0</v>
      </c>
      <c r="AO1051" s="58">
        <v>0</v>
      </c>
      <c r="AP1051" s="174">
        <v>0</v>
      </c>
      <c r="AQ1051" s="175">
        <v>360</v>
      </c>
      <c r="AR1051" s="175">
        <v>0</v>
      </c>
      <c r="AS1051" s="175">
        <v>0</v>
      </c>
      <c r="AT1051" s="175">
        <v>0</v>
      </c>
      <c r="AU1051" s="175">
        <v>0</v>
      </c>
      <c r="AV1051" s="175"/>
      <c r="AW1051" s="175"/>
      <c r="AX1051" s="83">
        <v>0</v>
      </c>
      <c r="AY1051" s="49">
        <v>0</v>
      </c>
      <c r="AZ1051" s="49">
        <v>0</v>
      </c>
      <c r="BA1051" s="49">
        <v>0</v>
      </c>
      <c r="BB1051" s="58">
        <v>0</v>
      </c>
      <c r="BC1051" s="42">
        <v>136</v>
      </c>
      <c r="BS1051" s="58"/>
      <c r="BT1051" s="83"/>
      <c r="CE1051" s="83"/>
      <c r="CK1051" s="58"/>
      <c r="CL1051" s="83"/>
      <c r="CO1051" s="58"/>
      <c r="CP1051" s="83"/>
      <c r="CR1051" s="58"/>
      <c r="CS1051" s="83"/>
      <c r="CY1051" s="83"/>
      <c r="DG1051" s="58"/>
      <c r="DH1051" s="83"/>
      <c r="DQ1051" s="83"/>
      <c r="EE1051" s="58"/>
      <c r="EF1051" s="83"/>
      <c r="EI1051" s="83"/>
      <c r="EK1051" s="58"/>
      <c r="EL1051" s="83"/>
      <c r="EO1051" s="58"/>
      <c r="EP1051" s="83"/>
      <c r="EQ1051" s="58"/>
      <c r="ER1051" s="83"/>
      <c r="ES1051" s="58"/>
      <c r="ET1051" s="83"/>
      <c r="EU1051" s="58"/>
    </row>
    <row r="1052" spans="1:151">
      <c r="A1052" s="42" t="s">
        <v>324</v>
      </c>
      <c r="B1052" s="173" t="s">
        <v>545</v>
      </c>
      <c r="C1052" s="173" t="s">
        <v>544</v>
      </c>
      <c r="D1052" s="83" t="s">
        <v>120</v>
      </c>
      <c r="F1052" s="49" t="s">
        <v>286</v>
      </c>
      <c r="G1052" s="49">
        <v>20.265000000000001</v>
      </c>
      <c r="I1052" s="49">
        <v>10525</v>
      </c>
      <c r="J1052" s="159">
        <v>1.3661734164070614</v>
      </c>
      <c r="K1052" s="49">
        <v>1</v>
      </c>
      <c r="L1052" s="49">
        <v>2</v>
      </c>
      <c r="M1052" s="83">
        <v>1</v>
      </c>
      <c r="N1052" s="49">
        <v>0</v>
      </c>
      <c r="O1052" s="49">
        <v>1</v>
      </c>
      <c r="P1052" s="49">
        <v>1</v>
      </c>
      <c r="Q1052" s="58">
        <v>0</v>
      </c>
      <c r="R1052" s="42">
        <v>3</v>
      </c>
      <c r="S1052" s="83" t="s">
        <v>283</v>
      </c>
      <c r="T1052" s="49">
        <v>12</v>
      </c>
      <c r="U1052" s="83">
        <v>2</v>
      </c>
      <c r="V1052" s="49">
        <v>3</v>
      </c>
      <c r="W1052" s="49">
        <v>1</v>
      </c>
      <c r="X1052" s="58">
        <v>1</v>
      </c>
      <c r="Y1052" s="83">
        <v>3</v>
      </c>
      <c r="Z1052" s="49">
        <v>10</v>
      </c>
      <c r="AA1052" s="49">
        <v>141</v>
      </c>
      <c r="AD1052" s="49">
        <v>33</v>
      </c>
      <c r="AE1052" s="49">
        <v>251</v>
      </c>
      <c r="AF1052" s="49">
        <v>16</v>
      </c>
      <c r="AG1052" s="49">
        <v>800</v>
      </c>
      <c r="AH1052" s="49">
        <v>84</v>
      </c>
      <c r="AI1052" s="49">
        <v>1031</v>
      </c>
      <c r="AJ1052" s="49">
        <v>0</v>
      </c>
      <c r="AK1052" s="83">
        <v>0</v>
      </c>
      <c r="AL1052" s="49">
        <v>1</v>
      </c>
      <c r="AM1052" s="49">
        <v>0</v>
      </c>
      <c r="AN1052" s="49">
        <v>0</v>
      </c>
      <c r="AO1052" s="58">
        <v>0</v>
      </c>
      <c r="AP1052" s="174">
        <v>0</v>
      </c>
      <c r="AQ1052" s="175">
        <v>759</v>
      </c>
      <c r="AR1052" s="175">
        <v>0</v>
      </c>
      <c r="AS1052" s="175">
        <v>0</v>
      </c>
      <c r="AT1052" s="175">
        <v>0</v>
      </c>
      <c r="AU1052" s="175">
        <v>0</v>
      </c>
      <c r="AV1052" s="175"/>
      <c r="AW1052" s="175"/>
      <c r="AX1052" s="83">
        <v>0</v>
      </c>
      <c r="AY1052" s="49">
        <v>0</v>
      </c>
      <c r="AZ1052" s="49">
        <v>0</v>
      </c>
      <c r="BA1052" s="49">
        <v>0</v>
      </c>
      <c r="BB1052" s="58">
        <v>0</v>
      </c>
      <c r="BC1052" s="42">
        <v>154</v>
      </c>
      <c r="BS1052" s="58"/>
      <c r="BT1052" s="83"/>
      <c r="CE1052" s="83"/>
      <c r="CK1052" s="58"/>
      <c r="CL1052" s="83"/>
      <c r="CO1052" s="58"/>
      <c r="CP1052" s="83"/>
      <c r="CR1052" s="58"/>
      <c r="CS1052" s="83"/>
      <c r="CY1052" s="83"/>
      <c r="DG1052" s="58"/>
      <c r="DH1052" s="83"/>
      <c r="DQ1052" s="83"/>
      <c r="EE1052" s="58"/>
      <c r="EF1052" s="83"/>
      <c r="EI1052" s="83"/>
      <c r="EK1052" s="58"/>
      <c r="EL1052" s="83"/>
      <c r="EO1052" s="58"/>
      <c r="EP1052" s="83"/>
      <c r="EQ1052" s="58"/>
      <c r="ER1052" s="83"/>
      <c r="ES1052" s="58"/>
      <c r="ET1052" s="83"/>
      <c r="EU1052" s="58"/>
    </row>
    <row r="1053" spans="1:151">
      <c r="A1053" s="42" t="s">
        <v>324</v>
      </c>
      <c r="B1053" s="173" t="s">
        <v>545</v>
      </c>
      <c r="C1053" s="173" t="s">
        <v>544</v>
      </c>
      <c r="D1053" s="83" t="s">
        <v>101</v>
      </c>
      <c r="F1053" s="49" t="s">
        <v>286</v>
      </c>
      <c r="G1053" s="49">
        <v>20.265000000000001</v>
      </c>
      <c r="I1053" s="49">
        <v>3390</v>
      </c>
      <c r="J1053" s="159">
        <v>1.4309835373575348</v>
      </c>
      <c r="K1053" s="49">
        <v>1</v>
      </c>
      <c r="L1053" s="49">
        <v>3</v>
      </c>
      <c r="M1053" s="83">
        <v>0</v>
      </c>
      <c r="N1053" s="49">
        <v>3</v>
      </c>
      <c r="O1053" s="49">
        <v>1</v>
      </c>
      <c r="P1053" s="49">
        <v>1</v>
      </c>
      <c r="Q1053" s="58">
        <v>0</v>
      </c>
      <c r="R1053" s="42">
        <v>5</v>
      </c>
      <c r="S1053" s="83" t="s">
        <v>283</v>
      </c>
      <c r="T1053" s="49">
        <v>17</v>
      </c>
      <c r="U1053" s="83">
        <v>1</v>
      </c>
      <c r="V1053" s="49">
        <v>2</v>
      </c>
      <c r="W1053" s="49">
        <v>1</v>
      </c>
      <c r="X1053" s="58">
        <v>2</v>
      </c>
      <c r="Y1053" s="83">
        <v>1</v>
      </c>
      <c r="Z1053" s="49">
        <v>4</v>
      </c>
      <c r="AA1053" s="49">
        <v>26</v>
      </c>
      <c r="AD1053" s="49">
        <v>11</v>
      </c>
      <c r="AE1053" s="49">
        <v>28</v>
      </c>
      <c r="AF1053" s="49">
        <v>14</v>
      </c>
      <c r="AG1053" s="49">
        <v>288</v>
      </c>
      <c r="AH1053" s="49">
        <v>19</v>
      </c>
      <c r="AI1053" s="49">
        <v>345</v>
      </c>
      <c r="AJ1053" s="49">
        <v>0</v>
      </c>
      <c r="AK1053" s="83">
        <v>0</v>
      </c>
      <c r="AL1053" s="49">
        <v>1</v>
      </c>
      <c r="AM1053" s="49">
        <v>0</v>
      </c>
      <c r="AN1053" s="49">
        <v>0</v>
      </c>
      <c r="AO1053" s="58">
        <v>0</v>
      </c>
      <c r="AP1053" s="174">
        <v>0</v>
      </c>
      <c r="AQ1053" s="175">
        <v>545</v>
      </c>
      <c r="AR1053" s="175">
        <v>0</v>
      </c>
      <c r="AS1053" s="175">
        <v>0</v>
      </c>
      <c r="AT1053" s="175">
        <v>0</v>
      </c>
      <c r="AU1053" s="175">
        <v>0</v>
      </c>
      <c r="AV1053" s="175"/>
      <c r="AW1053" s="175"/>
      <c r="AX1053" s="83">
        <v>0</v>
      </c>
      <c r="AY1053" s="49">
        <v>0</v>
      </c>
      <c r="AZ1053" s="49">
        <v>0</v>
      </c>
      <c r="BA1053" s="49">
        <v>0</v>
      </c>
      <c r="BB1053" s="58">
        <v>0</v>
      </c>
      <c r="BC1053" s="42">
        <v>133</v>
      </c>
      <c r="BS1053" s="58"/>
      <c r="BT1053" s="83"/>
      <c r="CE1053" s="83"/>
      <c r="CK1053" s="58"/>
      <c r="CL1053" s="83"/>
      <c r="CO1053" s="58"/>
      <c r="CP1053" s="83"/>
      <c r="CR1053" s="58"/>
      <c r="CS1053" s="83"/>
      <c r="CY1053" s="83"/>
      <c r="DG1053" s="58"/>
      <c r="DH1053" s="83"/>
      <c r="DQ1053" s="83"/>
      <c r="EE1053" s="58"/>
      <c r="EF1053" s="83"/>
      <c r="EI1053" s="83"/>
      <c r="EK1053" s="58"/>
      <c r="EL1053" s="83"/>
      <c r="EO1053" s="58"/>
      <c r="EP1053" s="83"/>
      <c r="EQ1053" s="58"/>
      <c r="ER1053" s="83"/>
      <c r="ES1053" s="58"/>
      <c r="ET1053" s="83"/>
      <c r="EU1053" s="58"/>
    </row>
    <row r="1054" spans="1:151">
      <c r="A1054" s="42" t="s">
        <v>324</v>
      </c>
      <c r="B1054" s="173" t="s">
        <v>545</v>
      </c>
      <c r="C1054" s="173" t="s">
        <v>544</v>
      </c>
      <c r="D1054" s="83" t="s">
        <v>103</v>
      </c>
      <c r="F1054" s="49" t="s">
        <v>286</v>
      </c>
      <c r="G1054" s="49">
        <v>20.265000000000001</v>
      </c>
      <c r="I1054" s="49">
        <v>4270</v>
      </c>
      <c r="J1054" s="159">
        <v>2.6554726368159205</v>
      </c>
      <c r="K1054" s="49">
        <v>1</v>
      </c>
      <c r="L1054" s="49">
        <v>1</v>
      </c>
      <c r="M1054" s="83">
        <v>0</v>
      </c>
      <c r="N1054" s="49">
        <v>3</v>
      </c>
      <c r="O1054" s="49">
        <v>0</v>
      </c>
      <c r="P1054" s="49">
        <v>1</v>
      </c>
      <c r="Q1054" s="58">
        <v>0</v>
      </c>
      <c r="R1054" s="42">
        <v>4</v>
      </c>
      <c r="S1054" s="83" t="s">
        <v>283</v>
      </c>
      <c r="T1054" s="49">
        <v>13</v>
      </c>
      <c r="U1054" s="83">
        <v>1</v>
      </c>
      <c r="V1054" s="49">
        <v>2</v>
      </c>
      <c r="W1054" s="49">
        <v>1</v>
      </c>
      <c r="X1054" s="58">
        <v>2</v>
      </c>
      <c r="Y1054" s="83">
        <v>15</v>
      </c>
      <c r="Z1054" s="49">
        <v>8</v>
      </c>
      <c r="AA1054" s="49">
        <v>29</v>
      </c>
      <c r="AD1054" s="49">
        <v>14</v>
      </c>
      <c r="AE1054" s="49">
        <v>46</v>
      </c>
      <c r="AF1054" s="49">
        <v>9</v>
      </c>
      <c r="AG1054" s="49">
        <v>131</v>
      </c>
      <c r="AH1054" s="49">
        <v>35</v>
      </c>
      <c r="AI1054" s="49">
        <v>1138</v>
      </c>
      <c r="AJ1054" s="49">
        <v>0</v>
      </c>
      <c r="AK1054" s="83">
        <v>0</v>
      </c>
      <c r="AL1054" s="49">
        <v>1</v>
      </c>
      <c r="AM1054" s="49">
        <v>0</v>
      </c>
      <c r="AN1054" s="49">
        <v>0</v>
      </c>
      <c r="AO1054" s="58">
        <v>0</v>
      </c>
      <c r="AP1054" s="174">
        <v>0</v>
      </c>
      <c r="AQ1054" s="175">
        <v>1307</v>
      </c>
      <c r="AR1054" s="175">
        <v>0</v>
      </c>
      <c r="AS1054" s="175">
        <v>0</v>
      </c>
      <c r="AT1054" s="175">
        <v>0</v>
      </c>
      <c r="AU1054" s="175">
        <v>0</v>
      </c>
      <c r="AV1054" s="175"/>
      <c r="AW1054" s="175"/>
      <c r="AX1054" s="83">
        <v>0</v>
      </c>
      <c r="AY1054" s="49">
        <v>0</v>
      </c>
      <c r="AZ1054" s="49">
        <v>0</v>
      </c>
      <c r="BA1054" s="49">
        <v>0</v>
      </c>
      <c r="BB1054" s="58">
        <v>0</v>
      </c>
      <c r="BC1054" s="42">
        <v>128</v>
      </c>
      <c r="BD1054" s="49">
        <v>78.7</v>
      </c>
      <c r="BE1054" s="159">
        <v>79.02</v>
      </c>
      <c r="BF1054" s="49">
        <v>78.319999999999993</v>
      </c>
      <c r="BS1054" s="58"/>
      <c r="BT1054" s="83"/>
      <c r="CE1054" s="83"/>
      <c r="CK1054" s="58"/>
      <c r="CL1054" s="83">
        <v>64.13</v>
      </c>
      <c r="CO1054" s="58"/>
      <c r="CP1054" s="83"/>
      <c r="CR1054" s="58"/>
      <c r="CS1054" s="83"/>
      <c r="CY1054" s="83"/>
      <c r="DG1054" s="58"/>
      <c r="DH1054" s="83"/>
      <c r="DQ1054" s="83">
        <v>73.02</v>
      </c>
      <c r="EE1054" s="58"/>
      <c r="EF1054" s="83"/>
      <c r="EI1054" s="83"/>
      <c r="EK1054" s="58"/>
      <c r="EL1054" s="83"/>
      <c r="EO1054" s="58"/>
      <c r="EP1054" s="83"/>
      <c r="EQ1054" s="58"/>
      <c r="ER1054" s="83"/>
      <c r="ES1054" s="58"/>
      <c r="ET1054" s="83"/>
      <c r="EU1054" s="58"/>
    </row>
    <row r="1055" spans="1:151">
      <c r="A1055" s="42" t="s">
        <v>324</v>
      </c>
      <c r="B1055" s="173" t="s">
        <v>545</v>
      </c>
      <c r="C1055" s="173" t="s">
        <v>544</v>
      </c>
      <c r="D1055" s="83" t="s">
        <v>147</v>
      </c>
      <c r="F1055" s="49" t="s">
        <v>286</v>
      </c>
      <c r="G1055" s="49">
        <v>20.265000000000001</v>
      </c>
      <c r="I1055" s="49">
        <v>7351</v>
      </c>
      <c r="J1055" s="159">
        <v>1.9618361355751268</v>
      </c>
      <c r="K1055" s="49">
        <v>4</v>
      </c>
      <c r="L1055" s="49">
        <v>3</v>
      </c>
      <c r="M1055" s="83">
        <v>0</v>
      </c>
      <c r="N1055" s="49">
        <v>2</v>
      </c>
      <c r="O1055" s="49">
        <v>0</v>
      </c>
      <c r="P1055" s="49">
        <v>1</v>
      </c>
      <c r="Q1055" s="58">
        <v>0</v>
      </c>
      <c r="R1055" s="42">
        <v>3</v>
      </c>
      <c r="S1055" s="83" t="s">
        <v>283</v>
      </c>
      <c r="T1055" s="49">
        <v>10</v>
      </c>
      <c r="U1055" s="83">
        <v>2</v>
      </c>
      <c r="V1055" s="49">
        <v>4</v>
      </c>
      <c r="W1055" s="49">
        <v>1</v>
      </c>
      <c r="X1055" s="58">
        <v>2</v>
      </c>
      <c r="Y1055" s="83">
        <v>15</v>
      </c>
      <c r="AA1055" s="49">
        <v>20</v>
      </c>
      <c r="AD1055" s="49">
        <v>7</v>
      </c>
      <c r="AE1055" s="49">
        <v>235</v>
      </c>
      <c r="AF1055" s="49">
        <v>6</v>
      </c>
      <c r="AG1055" s="49">
        <v>471</v>
      </c>
      <c r="AH1055" s="49">
        <v>11</v>
      </c>
      <c r="AI1055" s="49">
        <v>1475</v>
      </c>
      <c r="AJ1055" s="49">
        <v>0</v>
      </c>
      <c r="AK1055" s="83">
        <v>0</v>
      </c>
      <c r="AL1055" s="49">
        <v>0</v>
      </c>
      <c r="AM1055" s="49">
        <v>0</v>
      </c>
      <c r="AN1055" s="49">
        <v>0</v>
      </c>
      <c r="AO1055" s="58">
        <v>0</v>
      </c>
      <c r="AP1055" s="174">
        <v>0</v>
      </c>
      <c r="AQ1055" s="175">
        <v>0</v>
      </c>
      <c r="AR1055" s="175">
        <v>0</v>
      </c>
      <c r="AS1055" s="175">
        <v>0</v>
      </c>
      <c r="AT1055" s="175">
        <v>0</v>
      </c>
      <c r="AU1055" s="175">
        <v>0</v>
      </c>
      <c r="AV1055" s="175"/>
      <c r="AW1055" s="175"/>
      <c r="AX1055" s="83">
        <v>0</v>
      </c>
      <c r="AY1055" s="49">
        <v>0</v>
      </c>
      <c r="AZ1055" s="49">
        <v>0</v>
      </c>
      <c r="BA1055" s="49">
        <v>0</v>
      </c>
      <c r="BB1055" s="58">
        <v>0</v>
      </c>
      <c r="BC1055" s="42">
        <v>127</v>
      </c>
      <c r="BD1055" s="49">
        <v>62.41</v>
      </c>
      <c r="BE1055" s="159">
        <v>63.17</v>
      </c>
      <c r="BS1055" s="58"/>
      <c r="BT1055" s="83">
        <v>67.459999999999994</v>
      </c>
      <c r="CE1055" s="83">
        <v>79.39</v>
      </c>
      <c r="CF1055" s="49">
        <v>74.150000000000006</v>
      </c>
      <c r="CG1055" s="49">
        <v>79.72</v>
      </c>
      <c r="CH1055" s="49">
        <v>79.760000000000005</v>
      </c>
      <c r="CK1055" s="58"/>
      <c r="CL1055" s="83">
        <v>61.05</v>
      </c>
      <c r="CO1055" s="58"/>
      <c r="CP1055" s="83"/>
      <c r="CR1055" s="58"/>
      <c r="CS1055" s="83"/>
      <c r="CY1055" s="83"/>
      <c r="DG1055" s="58"/>
      <c r="DH1055" s="83"/>
      <c r="DQ1055" s="83">
        <v>62.08</v>
      </c>
      <c r="DR1055" s="49">
        <v>62.17</v>
      </c>
      <c r="EE1055" s="58"/>
      <c r="EF1055" s="83"/>
      <c r="EI1055" s="83"/>
      <c r="EK1055" s="58"/>
      <c r="EL1055" s="83"/>
      <c r="EO1055" s="58"/>
      <c r="EP1055" s="83"/>
      <c r="EQ1055" s="58"/>
      <c r="ER1055" s="83"/>
      <c r="ES1055" s="58"/>
      <c r="ET1055" s="83"/>
      <c r="EU1055" s="58"/>
    </row>
    <row r="1056" spans="1:151">
      <c r="A1056" s="42" t="s">
        <v>324</v>
      </c>
      <c r="B1056" s="173" t="s">
        <v>545</v>
      </c>
      <c r="C1056" s="173" t="s">
        <v>544</v>
      </c>
      <c r="D1056" s="83" t="s">
        <v>148</v>
      </c>
      <c r="F1056" s="49" t="s">
        <v>286</v>
      </c>
      <c r="G1056" s="49">
        <v>20.265000000000001</v>
      </c>
      <c r="I1056" s="49">
        <v>5582</v>
      </c>
      <c r="J1056" s="159">
        <v>1.304510399626081</v>
      </c>
      <c r="K1056" s="49">
        <v>1</v>
      </c>
      <c r="L1056" s="49">
        <v>3</v>
      </c>
      <c r="M1056" s="83">
        <v>0</v>
      </c>
      <c r="N1056" s="49">
        <v>0</v>
      </c>
      <c r="O1056" s="49">
        <v>1</v>
      </c>
      <c r="P1056" s="49">
        <v>1</v>
      </c>
      <c r="Q1056" s="58">
        <v>0</v>
      </c>
      <c r="R1056" s="42">
        <v>2</v>
      </c>
      <c r="S1056" s="83">
        <v>1</v>
      </c>
      <c r="U1056" s="83">
        <v>1</v>
      </c>
      <c r="V1056" s="49">
        <v>2</v>
      </c>
      <c r="W1056" s="49">
        <v>1</v>
      </c>
      <c r="X1056" s="58">
        <v>2</v>
      </c>
      <c r="Y1056" s="83">
        <v>3</v>
      </c>
      <c r="Z1056" s="49">
        <v>14</v>
      </c>
      <c r="AA1056" s="49">
        <v>24</v>
      </c>
      <c r="AD1056" s="49">
        <v>46</v>
      </c>
      <c r="AE1056" s="49">
        <v>181</v>
      </c>
      <c r="AF1056" s="49">
        <v>17</v>
      </c>
      <c r="AG1056" s="49">
        <v>553</v>
      </c>
      <c r="AH1056" s="49">
        <v>76</v>
      </c>
      <c r="AI1056" s="49">
        <v>705</v>
      </c>
      <c r="AJ1056" s="49">
        <v>0</v>
      </c>
      <c r="AK1056" s="83">
        <v>0</v>
      </c>
      <c r="AL1056" s="49">
        <v>0</v>
      </c>
      <c r="AM1056" s="49">
        <v>0</v>
      </c>
      <c r="AN1056" s="49">
        <v>0</v>
      </c>
      <c r="AO1056" s="58">
        <v>0</v>
      </c>
      <c r="AP1056" s="174">
        <v>0</v>
      </c>
      <c r="AQ1056" s="175">
        <v>0</v>
      </c>
      <c r="AR1056" s="175">
        <v>0</v>
      </c>
      <c r="AS1056" s="175">
        <v>0</v>
      </c>
      <c r="AT1056" s="175">
        <v>0</v>
      </c>
      <c r="AU1056" s="175">
        <v>0</v>
      </c>
      <c r="AV1056" s="175">
        <v>0</v>
      </c>
      <c r="AW1056" s="175">
        <v>0</v>
      </c>
      <c r="AX1056" s="83">
        <v>0</v>
      </c>
      <c r="AY1056" s="49">
        <v>0</v>
      </c>
      <c r="AZ1056" s="49">
        <v>0</v>
      </c>
      <c r="BA1056" s="49">
        <v>0</v>
      </c>
      <c r="BB1056" s="58">
        <v>0</v>
      </c>
      <c r="BC1056" s="42">
        <v>118</v>
      </c>
      <c r="BD1056" s="49">
        <v>79.08</v>
      </c>
      <c r="BS1056" s="58"/>
      <c r="BT1056" s="83">
        <v>78.099999999999994</v>
      </c>
      <c r="BU1056" s="49">
        <v>78.11</v>
      </c>
      <c r="CE1056" s="83">
        <v>82.69</v>
      </c>
      <c r="CF1056" s="49">
        <v>81.37</v>
      </c>
      <c r="CK1056" s="58"/>
      <c r="CL1056" s="83">
        <v>67.88</v>
      </c>
      <c r="CO1056" s="58"/>
      <c r="CP1056" s="83"/>
      <c r="CR1056" s="58"/>
      <c r="CS1056" s="83"/>
      <c r="CY1056" s="83"/>
      <c r="DG1056" s="58"/>
      <c r="DH1056" s="83"/>
      <c r="DQ1056" s="83"/>
      <c r="EE1056" s="58"/>
      <c r="EF1056" s="83"/>
      <c r="EI1056" s="83"/>
      <c r="EK1056" s="58"/>
      <c r="EL1056" s="83"/>
      <c r="EO1056" s="58"/>
      <c r="EP1056" s="83"/>
      <c r="EQ1056" s="58"/>
      <c r="ER1056" s="83"/>
      <c r="ES1056" s="58"/>
      <c r="ET1056" s="83"/>
      <c r="EU1056" s="58"/>
    </row>
    <row r="1057" spans="1:151">
      <c r="A1057" s="42" t="s">
        <v>324</v>
      </c>
      <c r="B1057" s="173" t="s">
        <v>545</v>
      </c>
      <c r="C1057" s="173" t="s">
        <v>544</v>
      </c>
      <c r="D1057" s="83" t="s">
        <v>104</v>
      </c>
      <c r="F1057" s="49" t="s">
        <v>286</v>
      </c>
      <c r="G1057" s="49">
        <v>20.265000000000001</v>
      </c>
      <c r="I1057" s="49">
        <v>3815</v>
      </c>
      <c r="J1057" s="159">
        <v>1.5823309829946079</v>
      </c>
      <c r="K1057" s="49">
        <v>1</v>
      </c>
      <c r="L1057" s="49">
        <v>2</v>
      </c>
      <c r="M1057" s="83">
        <v>0</v>
      </c>
      <c r="N1057" s="49">
        <v>0</v>
      </c>
      <c r="O1057" s="49">
        <v>1</v>
      </c>
      <c r="P1057" s="49">
        <v>1</v>
      </c>
      <c r="Q1057" s="58">
        <v>0</v>
      </c>
      <c r="R1057" s="42">
        <v>2</v>
      </c>
      <c r="S1057" s="83">
        <v>1</v>
      </c>
      <c r="U1057" s="83">
        <v>1</v>
      </c>
      <c r="V1057" s="49">
        <v>2</v>
      </c>
      <c r="W1057" s="49">
        <v>1</v>
      </c>
      <c r="X1057" s="58">
        <v>2</v>
      </c>
      <c r="Y1057" s="83">
        <v>10</v>
      </c>
      <c r="Z1057" s="49">
        <v>10</v>
      </c>
      <c r="AA1057" s="49">
        <v>34</v>
      </c>
      <c r="AD1057" s="49">
        <v>18</v>
      </c>
      <c r="AE1057" s="49">
        <v>52</v>
      </c>
      <c r="AF1057" s="49">
        <v>47</v>
      </c>
      <c r="AG1057" s="49">
        <v>735</v>
      </c>
      <c r="AH1057" s="49">
        <v>45</v>
      </c>
      <c r="AI1057" s="49">
        <v>325</v>
      </c>
      <c r="AJ1057" s="49">
        <v>0</v>
      </c>
      <c r="AK1057" s="83">
        <v>0</v>
      </c>
      <c r="AL1057" s="49">
        <v>1</v>
      </c>
      <c r="AM1057" s="49">
        <v>0</v>
      </c>
      <c r="AN1057" s="49">
        <v>0</v>
      </c>
      <c r="AO1057" s="58">
        <v>0</v>
      </c>
      <c r="AP1057" s="174">
        <v>462</v>
      </c>
      <c r="AQ1057" s="175">
        <v>2707</v>
      </c>
      <c r="AR1057" s="175">
        <v>0</v>
      </c>
      <c r="AS1057" s="175">
        <v>0</v>
      </c>
      <c r="AT1057" s="175">
        <v>0</v>
      </c>
      <c r="AU1057" s="175">
        <v>0</v>
      </c>
      <c r="AV1057" s="175">
        <v>0</v>
      </c>
      <c r="AW1057" s="175">
        <v>0</v>
      </c>
      <c r="AX1057" s="83">
        <v>0</v>
      </c>
      <c r="AY1057" s="49">
        <v>0</v>
      </c>
      <c r="AZ1057" s="49">
        <v>0</v>
      </c>
      <c r="BA1057" s="49">
        <v>0</v>
      </c>
      <c r="BB1057" s="58">
        <v>0</v>
      </c>
      <c r="BC1057" s="42">
        <v>145</v>
      </c>
      <c r="BS1057" s="58"/>
      <c r="BT1057" s="83"/>
      <c r="CE1057" s="83"/>
      <c r="CK1057" s="58"/>
      <c r="CL1057" s="83"/>
      <c r="CO1057" s="58"/>
      <c r="CP1057" s="83"/>
      <c r="CR1057" s="58"/>
      <c r="CS1057" s="83"/>
      <c r="CY1057" s="83"/>
      <c r="DG1057" s="58"/>
      <c r="DH1057" s="83"/>
      <c r="DQ1057" s="83"/>
      <c r="EE1057" s="58"/>
      <c r="EF1057" s="83"/>
      <c r="EI1057" s="83"/>
      <c r="EK1057" s="58"/>
      <c r="EL1057" s="83"/>
      <c r="EO1057" s="58"/>
      <c r="EP1057" s="83"/>
      <c r="EQ1057" s="58"/>
      <c r="ER1057" s="83"/>
      <c r="ES1057" s="58"/>
      <c r="ET1057" s="83"/>
      <c r="EU1057" s="58"/>
    </row>
    <row r="1058" spans="1:151">
      <c r="A1058" s="42" t="s">
        <v>324</v>
      </c>
      <c r="B1058" s="173" t="s">
        <v>545</v>
      </c>
      <c r="C1058" s="173" t="s">
        <v>544</v>
      </c>
      <c r="D1058" s="83" t="s">
        <v>149</v>
      </c>
      <c r="F1058" s="49" t="s">
        <v>286</v>
      </c>
      <c r="G1058" s="49">
        <v>20.265000000000001</v>
      </c>
      <c r="I1058" s="49">
        <v>3465</v>
      </c>
      <c r="J1058" s="159">
        <v>1.2128106405320267</v>
      </c>
      <c r="K1058" s="49">
        <v>1</v>
      </c>
      <c r="L1058" s="49">
        <v>3</v>
      </c>
      <c r="M1058" s="83">
        <v>0</v>
      </c>
      <c r="N1058" s="49">
        <v>1</v>
      </c>
      <c r="O1058" s="49">
        <v>1</v>
      </c>
      <c r="P1058" s="49">
        <v>1</v>
      </c>
      <c r="Q1058" s="58">
        <v>0</v>
      </c>
      <c r="R1058" s="42">
        <v>3</v>
      </c>
      <c r="S1058" s="83" t="s">
        <v>283</v>
      </c>
      <c r="T1058" s="49">
        <v>17</v>
      </c>
      <c r="U1058" s="83">
        <v>2</v>
      </c>
      <c r="V1058" s="49">
        <v>3</v>
      </c>
      <c r="W1058" s="49">
        <v>1</v>
      </c>
      <c r="X1058" s="58">
        <v>3</v>
      </c>
      <c r="Y1058" s="83">
        <v>1</v>
      </c>
      <c r="AA1058" s="49">
        <v>15</v>
      </c>
      <c r="AD1058" s="49">
        <v>15</v>
      </c>
      <c r="AE1058" s="49">
        <v>114</v>
      </c>
      <c r="AF1058" s="49">
        <v>14</v>
      </c>
      <c r="AG1058" s="49">
        <v>90</v>
      </c>
      <c r="AH1058" s="49">
        <v>25</v>
      </c>
      <c r="AI1058" s="49">
        <v>392</v>
      </c>
      <c r="AJ1058" s="49">
        <v>0</v>
      </c>
      <c r="AK1058" s="83">
        <v>0</v>
      </c>
      <c r="AL1058" s="49">
        <v>1</v>
      </c>
      <c r="AM1058" s="49">
        <v>0</v>
      </c>
      <c r="AN1058" s="49">
        <v>0</v>
      </c>
      <c r="AO1058" s="58">
        <v>0</v>
      </c>
      <c r="AP1058" s="174">
        <v>400</v>
      </c>
      <c r="AQ1058" s="175">
        <v>1438</v>
      </c>
      <c r="AR1058" s="175">
        <v>34</v>
      </c>
      <c r="AS1058" s="175">
        <v>67</v>
      </c>
      <c r="AT1058" s="175">
        <v>0</v>
      </c>
      <c r="AU1058" s="175">
        <v>0</v>
      </c>
      <c r="AV1058" s="175"/>
      <c r="AW1058" s="175"/>
      <c r="AX1058" s="83">
        <v>1</v>
      </c>
      <c r="AY1058" s="49">
        <v>0</v>
      </c>
      <c r="AZ1058" s="49">
        <v>0</v>
      </c>
      <c r="BA1058" s="49">
        <v>0</v>
      </c>
      <c r="BB1058" s="58">
        <v>1</v>
      </c>
      <c r="BC1058" s="42">
        <v>135</v>
      </c>
      <c r="BS1058" s="58"/>
      <c r="BT1058" s="83"/>
      <c r="CE1058" s="83"/>
      <c r="CK1058" s="58"/>
      <c r="CL1058" s="83"/>
      <c r="CO1058" s="58"/>
      <c r="CP1058" s="83"/>
      <c r="CR1058" s="58"/>
      <c r="CS1058" s="83"/>
      <c r="CY1058" s="83"/>
      <c r="DG1058" s="58"/>
      <c r="DH1058" s="83"/>
      <c r="DQ1058" s="83"/>
      <c r="EE1058" s="58"/>
      <c r="EF1058" s="83"/>
      <c r="EI1058" s="83"/>
      <c r="EK1058" s="58"/>
      <c r="EL1058" s="83"/>
      <c r="EO1058" s="58"/>
      <c r="EP1058" s="83"/>
      <c r="EQ1058" s="58"/>
      <c r="ER1058" s="83"/>
      <c r="ES1058" s="58"/>
      <c r="ET1058" s="83"/>
      <c r="EU1058" s="58"/>
    </row>
    <row r="1059" spans="1:151">
      <c r="A1059" s="42" t="s">
        <v>324</v>
      </c>
      <c r="B1059" s="173" t="s">
        <v>545</v>
      </c>
      <c r="C1059" s="173" t="s">
        <v>544</v>
      </c>
      <c r="D1059" s="83" t="s">
        <v>106</v>
      </c>
      <c r="E1059" s="49" t="s">
        <v>0</v>
      </c>
      <c r="F1059" s="49" t="s">
        <v>286</v>
      </c>
      <c r="G1059" s="49">
        <v>20.265000000000001</v>
      </c>
      <c r="I1059" s="49">
        <v>4909</v>
      </c>
      <c r="J1059" s="159">
        <v>1.8808429118773946</v>
      </c>
      <c r="K1059" s="49">
        <v>1</v>
      </c>
      <c r="L1059" s="49">
        <v>2</v>
      </c>
      <c r="M1059" s="83">
        <v>0</v>
      </c>
      <c r="N1059" s="49">
        <v>0</v>
      </c>
      <c r="O1059" s="49">
        <v>0</v>
      </c>
      <c r="P1059" s="49">
        <v>1</v>
      </c>
      <c r="Q1059" s="58">
        <v>0</v>
      </c>
      <c r="R1059" s="42">
        <v>1</v>
      </c>
      <c r="S1059" s="83" t="s">
        <v>283</v>
      </c>
      <c r="T1059" s="49">
        <v>15</v>
      </c>
      <c r="U1059" s="83">
        <v>1</v>
      </c>
      <c r="V1059" s="49">
        <v>3</v>
      </c>
      <c r="W1059" s="49">
        <v>1</v>
      </c>
      <c r="X1059" s="58">
        <v>2</v>
      </c>
      <c r="Y1059" s="83">
        <v>1</v>
      </c>
      <c r="AA1059" s="49">
        <v>14</v>
      </c>
      <c r="AD1059" s="49">
        <v>32</v>
      </c>
      <c r="AE1059" s="49">
        <v>162</v>
      </c>
      <c r="AH1059" s="49">
        <v>24</v>
      </c>
      <c r="AI1059" s="49">
        <v>204</v>
      </c>
      <c r="AJ1059" s="49">
        <v>0</v>
      </c>
      <c r="AK1059" s="83">
        <v>0</v>
      </c>
      <c r="AL1059" s="49">
        <v>0</v>
      </c>
      <c r="AM1059" s="49">
        <v>1</v>
      </c>
      <c r="AN1059" s="49">
        <v>0</v>
      </c>
      <c r="AO1059" s="58">
        <v>0</v>
      </c>
      <c r="AP1059" s="174">
        <v>0</v>
      </c>
      <c r="AQ1059" s="175">
        <v>0</v>
      </c>
      <c r="AR1059" s="175">
        <v>0</v>
      </c>
      <c r="AS1059" s="175">
        <v>629</v>
      </c>
      <c r="AT1059" s="175">
        <v>0</v>
      </c>
      <c r="AU1059" s="175">
        <v>0</v>
      </c>
      <c r="AV1059" s="175"/>
      <c r="AW1059" s="175"/>
      <c r="AX1059" s="83">
        <v>0</v>
      </c>
      <c r="AY1059" s="49">
        <v>0</v>
      </c>
      <c r="AZ1059" s="49">
        <v>0</v>
      </c>
      <c r="BA1059" s="49">
        <v>0</v>
      </c>
      <c r="BB1059" s="58">
        <v>0</v>
      </c>
      <c r="BC1059" s="42">
        <v>150</v>
      </c>
      <c r="BS1059" s="58"/>
      <c r="BT1059" s="83"/>
      <c r="CE1059" s="83"/>
      <c r="CK1059" s="58"/>
      <c r="CL1059" s="83"/>
      <c r="CO1059" s="58"/>
      <c r="CP1059" s="83"/>
      <c r="CR1059" s="58"/>
      <c r="CS1059" s="83"/>
      <c r="CY1059" s="83"/>
      <c r="DG1059" s="58"/>
      <c r="DH1059" s="83"/>
      <c r="DQ1059" s="83"/>
      <c r="EE1059" s="58"/>
      <c r="EF1059" s="83"/>
      <c r="EI1059" s="83"/>
      <c r="EK1059" s="58"/>
      <c r="EL1059" s="83"/>
      <c r="EO1059" s="58"/>
      <c r="EP1059" s="83"/>
      <c r="EQ1059" s="58"/>
      <c r="ER1059" s="83"/>
      <c r="ES1059" s="58"/>
      <c r="ET1059" s="83"/>
      <c r="EU1059" s="58"/>
    </row>
    <row r="1060" spans="1:151">
      <c r="A1060" s="42" t="s">
        <v>324</v>
      </c>
      <c r="B1060" s="173" t="s">
        <v>545</v>
      </c>
      <c r="C1060" s="173" t="s">
        <v>544</v>
      </c>
      <c r="D1060" s="83" t="s">
        <v>106</v>
      </c>
      <c r="E1060" s="49" t="s">
        <v>1</v>
      </c>
      <c r="F1060" s="49" t="s">
        <v>286</v>
      </c>
      <c r="G1060" s="49">
        <v>20.265000000000001</v>
      </c>
      <c r="I1060" s="49">
        <v>3341</v>
      </c>
      <c r="J1060" s="159">
        <v>2.819409282700422</v>
      </c>
      <c r="K1060" s="49">
        <v>1</v>
      </c>
      <c r="L1060" s="49">
        <v>2</v>
      </c>
      <c r="M1060" s="83">
        <v>0</v>
      </c>
      <c r="N1060" s="49">
        <v>2</v>
      </c>
      <c r="O1060" s="49">
        <v>0</v>
      </c>
      <c r="P1060" s="49">
        <v>1</v>
      </c>
      <c r="Q1060" s="58">
        <v>0</v>
      </c>
      <c r="R1060" s="42">
        <v>3</v>
      </c>
      <c r="S1060" s="83" t="s">
        <v>283</v>
      </c>
      <c r="T1060" s="49">
        <v>13</v>
      </c>
      <c r="U1060" s="83">
        <v>1</v>
      </c>
      <c r="V1060" s="49">
        <v>3</v>
      </c>
      <c r="W1060" s="49">
        <v>1</v>
      </c>
      <c r="X1060" s="58">
        <v>2</v>
      </c>
      <c r="Y1060" s="83">
        <v>2</v>
      </c>
      <c r="AD1060" s="49">
        <v>32</v>
      </c>
      <c r="AE1060" s="49">
        <v>55</v>
      </c>
      <c r="AF1060" s="49">
        <v>23</v>
      </c>
      <c r="AG1060" s="49">
        <v>236</v>
      </c>
      <c r="AH1060" s="49">
        <v>28</v>
      </c>
      <c r="AI1060" s="49">
        <v>343</v>
      </c>
      <c r="AJ1060" s="49">
        <v>0</v>
      </c>
      <c r="AK1060" s="83">
        <v>0</v>
      </c>
      <c r="AL1060" s="49">
        <v>1</v>
      </c>
      <c r="AM1060" s="49">
        <v>0</v>
      </c>
      <c r="AN1060" s="49">
        <v>0</v>
      </c>
      <c r="AO1060" s="58">
        <v>0</v>
      </c>
      <c r="AP1060" s="174">
        <v>718</v>
      </c>
      <c r="AQ1060" s="175">
        <v>987</v>
      </c>
      <c r="AR1060" s="175">
        <v>0</v>
      </c>
      <c r="AS1060" s="175">
        <v>0</v>
      </c>
      <c r="AT1060" s="175">
        <v>0</v>
      </c>
      <c r="AU1060" s="175">
        <v>0</v>
      </c>
      <c r="AV1060" s="175"/>
      <c r="AW1060" s="175"/>
      <c r="AX1060" s="83">
        <v>0</v>
      </c>
      <c r="AY1060" s="49">
        <v>0</v>
      </c>
      <c r="AZ1060" s="49">
        <v>0</v>
      </c>
      <c r="BA1060" s="49">
        <v>0</v>
      </c>
      <c r="BB1060" s="58">
        <v>0</v>
      </c>
      <c r="BC1060" s="42">
        <v>150</v>
      </c>
      <c r="BS1060" s="58"/>
      <c r="BT1060" s="83"/>
      <c r="CE1060" s="83"/>
      <c r="CK1060" s="58"/>
      <c r="CL1060" s="83"/>
      <c r="CO1060" s="58"/>
      <c r="CP1060" s="83"/>
      <c r="CR1060" s="58"/>
      <c r="CS1060" s="83"/>
      <c r="CY1060" s="83"/>
      <c r="DG1060" s="58"/>
      <c r="DH1060" s="83"/>
      <c r="DQ1060" s="83"/>
      <c r="EE1060" s="58"/>
      <c r="EF1060" s="83"/>
      <c r="EI1060" s="83"/>
      <c r="EK1060" s="58"/>
      <c r="EL1060" s="83"/>
      <c r="EO1060" s="58"/>
      <c r="EP1060" s="83"/>
      <c r="EQ1060" s="58"/>
      <c r="ER1060" s="83"/>
      <c r="ES1060" s="58"/>
      <c r="ET1060" s="83"/>
      <c r="EU1060" s="58"/>
    </row>
    <row r="1061" spans="1:151" ht="17" thickBot="1">
      <c r="A1061" s="55" t="s">
        <v>324</v>
      </c>
      <c r="B1061" s="47" t="s">
        <v>545</v>
      </c>
      <c r="C1061" s="47" t="s">
        <v>544</v>
      </c>
      <c r="D1061" s="84" t="s">
        <v>107</v>
      </c>
      <c r="E1061" s="57"/>
      <c r="F1061" s="57" t="s">
        <v>286</v>
      </c>
      <c r="G1061" s="57">
        <v>20.265000000000001</v>
      </c>
      <c r="H1061" s="57"/>
      <c r="I1061" s="57">
        <v>4463</v>
      </c>
      <c r="J1061" s="75">
        <v>1.6164433176385367</v>
      </c>
      <c r="K1061" s="57">
        <v>4</v>
      </c>
      <c r="L1061" s="57">
        <v>4</v>
      </c>
      <c r="M1061" s="84">
        <v>1</v>
      </c>
      <c r="N1061" s="57">
        <v>0</v>
      </c>
      <c r="O1061" s="57">
        <v>1</v>
      </c>
      <c r="P1061" s="57">
        <v>1</v>
      </c>
      <c r="Q1061" s="56">
        <v>0</v>
      </c>
      <c r="R1061" s="55">
        <v>3</v>
      </c>
      <c r="S1061" s="84" t="s">
        <v>283</v>
      </c>
      <c r="T1061" s="57">
        <v>18</v>
      </c>
      <c r="U1061" s="84">
        <v>1</v>
      </c>
      <c r="V1061" s="57">
        <v>4</v>
      </c>
      <c r="W1061" s="57">
        <v>1</v>
      </c>
      <c r="X1061" s="56">
        <v>1</v>
      </c>
      <c r="Y1061" s="84">
        <v>0</v>
      </c>
      <c r="Z1061" s="57">
        <v>6</v>
      </c>
      <c r="AA1061" s="57">
        <v>15</v>
      </c>
      <c r="AB1061" s="57"/>
      <c r="AC1061" s="57"/>
      <c r="AD1061" s="57">
        <v>17</v>
      </c>
      <c r="AE1061" s="57">
        <v>41</v>
      </c>
      <c r="AF1061" s="57">
        <v>16</v>
      </c>
      <c r="AG1061" s="57">
        <v>144</v>
      </c>
      <c r="AH1061" s="57"/>
      <c r="AI1061" s="57">
        <v>152</v>
      </c>
      <c r="AJ1061" s="57">
        <v>0</v>
      </c>
      <c r="AK1061" s="84">
        <v>0</v>
      </c>
      <c r="AL1061" s="57">
        <v>1</v>
      </c>
      <c r="AM1061" s="57">
        <v>0</v>
      </c>
      <c r="AN1061" s="57">
        <v>0</v>
      </c>
      <c r="AO1061" s="56">
        <v>0</v>
      </c>
      <c r="AP1061" s="178">
        <v>756</v>
      </c>
      <c r="AQ1061" s="179">
        <v>1089</v>
      </c>
      <c r="AR1061" s="179">
        <v>0</v>
      </c>
      <c r="AS1061" s="179">
        <v>0</v>
      </c>
      <c r="AT1061" s="179">
        <v>0</v>
      </c>
      <c r="AU1061" s="179">
        <v>0</v>
      </c>
      <c r="AV1061" s="179"/>
      <c r="AW1061" s="179"/>
      <c r="AX1061" s="84">
        <v>0</v>
      </c>
      <c r="AY1061" s="57">
        <v>0</v>
      </c>
      <c r="AZ1061" s="57">
        <v>0</v>
      </c>
      <c r="BA1061" s="57">
        <v>1</v>
      </c>
      <c r="BB1061" s="56">
        <v>1</v>
      </c>
      <c r="BC1061" s="55">
        <v>143</v>
      </c>
      <c r="BD1061" s="57"/>
      <c r="BE1061" s="75"/>
      <c r="BF1061" s="57"/>
      <c r="BG1061" s="57"/>
      <c r="BH1061" s="57"/>
      <c r="BI1061" s="57"/>
      <c r="BJ1061" s="57"/>
      <c r="BK1061" s="57"/>
      <c r="BL1061" s="57"/>
      <c r="BM1061" s="57"/>
      <c r="BN1061" s="57"/>
      <c r="BO1061" s="57"/>
      <c r="BP1061" s="57"/>
      <c r="BQ1061" s="57"/>
      <c r="BR1061" s="57"/>
      <c r="BS1061" s="56"/>
      <c r="BT1061" s="84">
        <v>79.459999999999994</v>
      </c>
      <c r="BU1061" s="57">
        <v>76.739999999999995</v>
      </c>
      <c r="BV1061" s="57">
        <v>75.239999999999995</v>
      </c>
      <c r="BW1061" s="57"/>
      <c r="BX1061" s="57"/>
      <c r="BY1061" s="57"/>
      <c r="BZ1061" s="57"/>
      <c r="CA1061" s="57"/>
      <c r="CB1061" s="57"/>
      <c r="CC1061" s="57"/>
      <c r="CD1061" s="57"/>
      <c r="CE1061" s="84">
        <v>70.41</v>
      </c>
      <c r="CF1061" s="57"/>
      <c r="CG1061" s="57"/>
      <c r="CH1061" s="57"/>
      <c r="CI1061" s="57"/>
      <c r="CJ1061" s="57"/>
      <c r="CK1061" s="56"/>
      <c r="CL1061" s="84">
        <v>66.37</v>
      </c>
      <c r="CM1061" s="57"/>
      <c r="CN1061" s="57"/>
      <c r="CO1061" s="56"/>
      <c r="CP1061" s="84"/>
      <c r="CQ1061" s="57"/>
      <c r="CR1061" s="56"/>
      <c r="CS1061" s="84"/>
      <c r="CT1061" s="57"/>
      <c r="CU1061" s="57"/>
      <c r="CV1061" s="57"/>
      <c r="CW1061" s="57"/>
      <c r="CX1061" s="57"/>
      <c r="CY1061" s="84"/>
      <c r="CZ1061" s="57"/>
      <c r="DA1061" s="57"/>
      <c r="DB1061" s="57"/>
      <c r="DC1061" s="57"/>
      <c r="DD1061" s="57"/>
      <c r="DE1061" s="57"/>
      <c r="DF1061" s="57"/>
      <c r="DG1061" s="56"/>
      <c r="DH1061" s="84"/>
      <c r="DI1061" s="57"/>
      <c r="DJ1061" s="57"/>
      <c r="DK1061" s="57"/>
      <c r="DL1061" s="57"/>
      <c r="DM1061" s="57"/>
      <c r="DN1061" s="57"/>
      <c r="DO1061" s="57"/>
      <c r="DP1061" s="57"/>
      <c r="DQ1061" s="84"/>
      <c r="DR1061" s="57"/>
      <c r="DS1061" s="57"/>
      <c r="DT1061" s="57"/>
      <c r="DU1061" s="57"/>
      <c r="DV1061" s="57"/>
      <c r="DW1061" s="57"/>
      <c r="DX1061" s="57"/>
      <c r="DY1061" s="57"/>
      <c r="DZ1061" s="57"/>
      <c r="EA1061" s="57"/>
      <c r="EB1061" s="57"/>
      <c r="EC1061" s="57"/>
      <c r="ED1061" s="57"/>
      <c r="EE1061" s="56"/>
      <c r="EF1061" s="84"/>
      <c r="EG1061" s="57"/>
      <c r="EH1061" s="57"/>
      <c r="EI1061" s="84"/>
      <c r="EJ1061" s="57"/>
      <c r="EK1061" s="56"/>
      <c r="EL1061" s="84"/>
      <c r="EM1061" s="57"/>
      <c r="EN1061" s="57"/>
      <c r="EO1061" s="56"/>
      <c r="EP1061" s="84"/>
      <c r="EQ1061" s="56"/>
      <c r="ER1061" s="84"/>
      <c r="ES1061" s="56"/>
      <c r="ET1061" s="84"/>
      <c r="EU1061" s="56"/>
    </row>
    <row r="1062" spans="1:151">
      <c r="A1062" s="83" t="s">
        <v>324</v>
      </c>
      <c r="B1062" s="173" t="s">
        <v>546</v>
      </c>
      <c r="C1062" s="173" t="s">
        <v>547</v>
      </c>
      <c r="D1062" s="83" t="s">
        <v>64</v>
      </c>
      <c r="F1062" s="49" t="s">
        <v>286</v>
      </c>
      <c r="G1062" s="49">
        <v>19.445</v>
      </c>
      <c r="I1062" s="49">
        <v>2742</v>
      </c>
      <c r="J1062" s="159">
        <v>1.5561861520998865</v>
      </c>
      <c r="K1062" s="49">
        <v>4</v>
      </c>
      <c r="L1062" s="49">
        <v>5</v>
      </c>
      <c r="M1062" s="83">
        <v>0</v>
      </c>
      <c r="N1062" s="49">
        <v>3</v>
      </c>
      <c r="O1062" s="49">
        <v>0</v>
      </c>
      <c r="P1062" s="49">
        <v>0</v>
      </c>
      <c r="Q1062" s="58">
        <v>0</v>
      </c>
      <c r="R1062" s="42">
        <v>3</v>
      </c>
      <c r="S1062" s="83" t="s">
        <v>283</v>
      </c>
      <c r="T1062" s="49">
        <v>8</v>
      </c>
      <c r="U1062" s="83">
        <v>1</v>
      </c>
      <c r="V1062" s="49">
        <v>5</v>
      </c>
      <c r="W1062" s="49">
        <v>2</v>
      </c>
      <c r="X1062" s="58"/>
      <c r="Y1062" s="83">
        <v>10</v>
      </c>
      <c r="Z1062" s="49">
        <v>11</v>
      </c>
      <c r="AA1062" s="49">
        <v>12</v>
      </c>
      <c r="AD1062" s="49">
        <v>19</v>
      </c>
      <c r="AE1062" s="49">
        <v>607</v>
      </c>
      <c r="AF1062" s="49">
        <v>20</v>
      </c>
      <c r="AG1062" s="49">
        <v>303</v>
      </c>
      <c r="AI1062" s="49">
        <v>812</v>
      </c>
      <c r="AJ1062" s="49">
        <v>0</v>
      </c>
      <c r="AK1062" s="83">
        <v>0</v>
      </c>
      <c r="AL1062" s="49">
        <v>0</v>
      </c>
      <c r="AM1062" s="49">
        <v>0</v>
      </c>
      <c r="AN1062" s="49">
        <v>0</v>
      </c>
      <c r="AO1062" s="58">
        <v>0</v>
      </c>
      <c r="AP1062" s="174">
        <v>0</v>
      </c>
      <c r="AQ1062" s="175">
        <v>0</v>
      </c>
      <c r="AR1062" s="175">
        <v>0</v>
      </c>
      <c r="AS1062" s="175">
        <v>0</v>
      </c>
      <c r="AT1062" s="175">
        <v>0</v>
      </c>
      <c r="AU1062" s="175">
        <v>0</v>
      </c>
      <c r="AV1062" s="175">
        <v>0</v>
      </c>
      <c r="AW1062" s="175">
        <v>0</v>
      </c>
      <c r="AX1062" s="83">
        <v>0</v>
      </c>
      <c r="AY1062" s="49">
        <v>0</v>
      </c>
      <c r="AZ1062" s="49">
        <v>0</v>
      </c>
      <c r="BA1062" s="49">
        <v>0</v>
      </c>
      <c r="BB1062" s="58">
        <v>0</v>
      </c>
      <c r="BC1062" s="42">
        <v>126</v>
      </c>
      <c r="BS1062" s="58"/>
      <c r="BT1062" s="83"/>
      <c r="CE1062" s="83"/>
      <c r="CK1062" s="58"/>
      <c r="CL1062" s="83"/>
      <c r="CO1062" s="58"/>
      <c r="CP1062" s="83"/>
      <c r="CR1062" s="58"/>
      <c r="CS1062" s="83"/>
      <c r="CY1062" s="83"/>
      <c r="DG1062" s="58"/>
      <c r="DH1062" s="83"/>
      <c r="DQ1062" s="83"/>
      <c r="EE1062" s="58"/>
      <c r="EF1062" s="83"/>
      <c r="EI1062" s="83"/>
      <c r="EK1062" s="58"/>
      <c r="EL1062" s="83"/>
      <c r="EO1062" s="58"/>
      <c r="EP1062" s="83"/>
      <c r="EQ1062" s="58"/>
      <c r="ER1062" s="83"/>
      <c r="ES1062" s="58"/>
      <c r="ET1062" s="83"/>
      <c r="EU1062" s="58"/>
    </row>
    <row r="1063" spans="1:151">
      <c r="A1063" s="83" t="s">
        <v>324</v>
      </c>
      <c r="B1063" s="173" t="s">
        <v>546</v>
      </c>
      <c r="C1063" s="173" t="s">
        <v>547</v>
      </c>
      <c r="D1063" s="83" t="s">
        <v>65</v>
      </c>
      <c r="F1063" s="49" t="s">
        <v>286</v>
      </c>
      <c r="G1063" s="49">
        <v>19.445</v>
      </c>
      <c r="I1063" s="49">
        <v>1062</v>
      </c>
      <c r="J1063" s="159">
        <v>1.8405545927209706</v>
      </c>
      <c r="K1063" s="49">
        <v>1</v>
      </c>
      <c r="L1063" s="49">
        <v>3</v>
      </c>
      <c r="M1063" s="83">
        <v>1</v>
      </c>
      <c r="N1063" s="49">
        <v>1</v>
      </c>
      <c r="O1063" s="49">
        <v>0</v>
      </c>
      <c r="P1063" s="49">
        <v>1</v>
      </c>
      <c r="Q1063" s="58">
        <v>0</v>
      </c>
      <c r="R1063" s="42">
        <v>3</v>
      </c>
      <c r="S1063" s="83">
        <v>1</v>
      </c>
      <c r="U1063" s="83">
        <v>1</v>
      </c>
      <c r="V1063" s="49">
        <v>4</v>
      </c>
      <c r="W1063" s="49">
        <v>1</v>
      </c>
      <c r="X1063" s="58">
        <v>1</v>
      </c>
      <c r="Y1063" s="83">
        <v>1</v>
      </c>
      <c r="AF1063" s="49">
        <v>44</v>
      </c>
      <c r="AG1063" s="49">
        <v>251</v>
      </c>
      <c r="AJ1063" s="49">
        <v>0</v>
      </c>
      <c r="AK1063" s="83">
        <v>0</v>
      </c>
      <c r="AL1063" s="49">
        <v>1</v>
      </c>
      <c r="AM1063" s="49">
        <v>0</v>
      </c>
      <c r="AN1063" s="49">
        <v>0</v>
      </c>
      <c r="AO1063" s="58">
        <v>0</v>
      </c>
      <c r="AP1063" s="174">
        <v>0</v>
      </c>
      <c r="AQ1063" s="175">
        <v>708</v>
      </c>
      <c r="AR1063" s="175">
        <v>0</v>
      </c>
      <c r="AS1063" s="175">
        <v>0</v>
      </c>
      <c r="AT1063" s="175">
        <v>0</v>
      </c>
      <c r="AU1063" s="175">
        <v>0</v>
      </c>
      <c r="AV1063" s="175">
        <v>0</v>
      </c>
      <c r="AW1063" s="175">
        <v>0</v>
      </c>
      <c r="AX1063" s="83">
        <v>0</v>
      </c>
      <c r="AY1063" s="49">
        <v>0</v>
      </c>
      <c r="AZ1063" s="49">
        <v>0</v>
      </c>
      <c r="BA1063" s="49">
        <v>0</v>
      </c>
      <c r="BB1063" s="58">
        <v>0</v>
      </c>
      <c r="BC1063" s="42">
        <v>101</v>
      </c>
      <c r="BS1063" s="58"/>
      <c r="BT1063" s="83"/>
      <c r="CE1063" s="83"/>
      <c r="CK1063" s="58"/>
      <c r="CL1063" s="83"/>
      <c r="CO1063" s="58"/>
      <c r="CP1063" s="83"/>
      <c r="CR1063" s="58"/>
      <c r="CS1063" s="83"/>
      <c r="CY1063" s="83"/>
      <c r="DG1063" s="58"/>
      <c r="DH1063" s="83"/>
      <c r="DQ1063" s="83"/>
      <c r="EE1063" s="58"/>
      <c r="EF1063" s="83"/>
      <c r="EI1063" s="83">
        <v>68.27</v>
      </c>
      <c r="EK1063" s="58"/>
      <c r="EL1063" s="83">
        <v>75.790000000000006</v>
      </c>
      <c r="EO1063" s="58"/>
      <c r="EP1063" s="83"/>
      <c r="EQ1063" s="58"/>
      <c r="ER1063" s="83">
        <v>64.06</v>
      </c>
      <c r="ES1063" s="58"/>
      <c r="ET1063" s="83">
        <v>75.3</v>
      </c>
      <c r="EU1063" s="58"/>
    </row>
    <row r="1064" spans="1:151">
      <c r="A1064" s="83" t="s">
        <v>324</v>
      </c>
      <c r="B1064" s="173" t="s">
        <v>546</v>
      </c>
      <c r="C1064" s="173" t="s">
        <v>547</v>
      </c>
      <c r="D1064" s="83" t="s">
        <v>66</v>
      </c>
      <c r="F1064" s="49" t="s">
        <v>286</v>
      </c>
      <c r="G1064" s="49">
        <v>19.445</v>
      </c>
      <c r="I1064" s="49">
        <v>1202</v>
      </c>
      <c r="J1064" s="159">
        <v>2.267924528301887</v>
      </c>
      <c r="K1064" s="49">
        <v>1</v>
      </c>
      <c r="L1064" s="49">
        <v>2</v>
      </c>
      <c r="M1064" s="83">
        <v>0</v>
      </c>
      <c r="N1064" s="49">
        <v>1</v>
      </c>
      <c r="O1064" s="49">
        <v>0</v>
      </c>
      <c r="P1064" s="49">
        <v>0</v>
      </c>
      <c r="Q1064" s="58">
        <v>0</v>
      </c>
      <c r="R1064" s="42">
        <v>1</v>
      </c>
      <c r="S1064" s="83">
        <v>1</v>
      </c>
      <c r="U1064" s="83">
        <v>1</v>
      </c>
      <c r="V1064" s="49">
        <v>2</v>
      </c>
      <c r="W1064" s="49">
        <v>2</v>
      </c>
      <c r="X1064" s="58"/>
      <c r="Y1064" s="83">
        <v>1</v>
      </c>
      <c r="Z1064" s="49">
        <v>5</v>
      </c>
      <c r="AA1064" s="49">
        <v>8</v>
      </c>
      <c r="AD1064" s="49">
        <v>12</v>
      </c>
      <c r="AE1064" s="49">
        <v>14</v>
      </c>
      <c r="AF1064" s="49">
        <v>4</v>
      </c>
      <c r="AG1064" s="49">
        <v>22</v>
      </c>
      <c r="AJ1064" s="49">
        <v>0</v>
      </c>
      <c r="AK1064" s="83">
        <v>0</v>
      </c>
      <c r="AL1064" s="49">
        <v>1</v>
      </c>
      <c r="AM1064" s="49">
        <v>0</v>
      </c>
      <c r="AN1064" s="49">
        <v>0</v>
      </c>
      <c r="AO1064" s="58">
        <v>0</v>
      </c>
      <c r="AP1064" s="174">
        <v>0</v>
      </c>
      <c r="AQ1064" s="175">
        <v>716</v>
      </c>
      <c r="AR1064" s="175">
        <v>0</v>
      </c>
      <c r="AS1064" s="175">
        <v>0</v>
      </c>
      <c r="AT1064" s="175">
        <v>0</v>
      </c>
      <c r="AU1064" s="175">
        <v>0</v>
      </c>
      <c r="AV1064" s="175">
        <v>0</v>
      </c>
      <c r="AW1064" s="175">
        <v>0</v>
      </c>
      <c r="AX1064" s="83">
        <v>0</v>
      </c>
      <c r="AY1064" s="49">
        <v>0</v>
      </c>
      <c r="AZ1064" s="49">
        <v>0</v>
      </c>
      <c r="BA1064" s="49">
        <v>0</v>
      </c>
      <c r="BB1064" s="58">
        <v>0</v>
      </c>
      <c r="BC1064" s="42">
        <v>120</v>
      </c>
      <c r="BD1064" s="159">
        <v>79.48</v>
      </c>
      <c r="BS1064" s="58"/>
      <c r="BT1064" s="83"/>
      <c r="CE1064" s="83"/>
      <c r="CK1064" s="58"/>
      <c r="CL1064" s="83"/>
      <c r="CO1064" s="58"/>
      <c r="CP1064" s="83"/>
      <c r="CR1064" s="58"/>
      <c r="CS1064" s="83"/>
      <c r="CY1064" s="83"/>
      <c r="DG1064" s="58"/>
      <c r="DH1064" s="83"/>
      <c r="DQ1064" s="83"/>
      <c r="EE1064" s="58"/>
      <c r="EF1064" s="83"/>
      <c r="EI1064" s="83">
        <v>79.14</v>
      </c>
      <c r="EK1064" s="58"/>
      <c r="EL1064" s="83"/>
      <c r="EO1064" s="58"/>
      <c r="EP1064" s="83">
        <v>67.52</v>
      </c>
      <c r="EQ1064" s="58">
        <v>66.77</v>
      </c>
      <c r="ER1064" s="83"/>
      <c r="ES1064" s="58"/>
      <c r="ET1064" s="83"/>
      <c r="EU1064" s="58"/>
    </row>
    <row r="1065" spans="1:151">
      <c r="A1065" s="83" t="s">
        <v>324</v>
      </c>
      <c r="B1065" s="173" t="s">
        <v>546</v>
      </c>
      <c r="C1065" s="173" t="s">
        <v>547</v>
      </c>
      <c r="D1065" s="83" t="s">
        <v>67</v>
      </c>
      <c r="F1065" s="49" t="s">
        <v>286</v>
      </c>
      <c r="G1065" s="49">
        <v>19.445</v>
      </c>
      <c r="I1065" s="49">
        <v>1632</v>
      </c>
      <c r="J1065" s="159">
        <v>1.1492957746478873</v>
      </c>
      <c r="K1065" s="49">
        <v>4</v>
      </c>
      <c r="L1065" s="49">
        <v>4</v>
      </c>
      <c r="M1065" s="83">
        <v>1</v>
      </c>
      <c r="N1065" s="49">
        <v>2</v>
      </c>
      <c r="O1065" s="49">
        <v>1</v>
      </c>
      <c r="P1065" s="49">
        <v>0</v>
      </c>
      <c r="Q1065" s="58">
        <v>0</v>
      </c>
      <c r="R1065" s="42">
        <v>4</v>
      </c>
      <c r="S1065" s="83" t="s">
        <v>283</v>
      </c>
      <c r="T1065" s="49">
        <v>12</v>
      </c>
      <c r="U1065" s="83">
        <v>1</v>
      </c>
      <c r="V1065" s="49">
        <v>4</v>
      </c>
      <c r="W1065" s="49">
        <v>1</v>
      </c>
      <c r="X1065" s="58">
        <v>1</v>
      </c>
      <c r="Y1065" s="83">
        <v>1</v>
      </c>
      <c r="AA1065" s="49">
        <v>6</v>
      </c>
      <c r="AD1065" s="49">
        <v>8</v>
      </c>
      <c r="AE1065" s="49">
        <v>49</v>
      </c>
      <c r="AF1065" s="49">
        <v>26</v>
      </c>
      <c r="AG1065" s="49">
        <v>89</v>
      </c>
      <c r="AJ1065" s="49">
        <v>0</v>
      </c>
      <c r="AK1065" s="83">
        <v>0</v>
      </c>
      <c r="AL1065" s="49">
        <v>0</v>
      </c>
      <c r="AM1065" s="49">
        <v>0</v>
      </c>
      <c r="AN1065" s="49">
        <v>0</v>
      </c>
      <c r="AO1065" s="58">
        <v>0</v>
      </c>
      <c r="AP1065" s="174">
        <v>0</v>
      </c>
      <c r="AQ1065" s="175">
        <v>0</v>
      </c>
      <c r="AR1065" s="175">
        <v>0</v>
      </c>
      <c r="AS1065" s="175">
        <v>0</v>
      </c>
      <c r="AT1065" s="175">
        <v>0</v>
      </c>
      <c r="AU1065" s="175">
        <v>0</v>
      </c>
      <c r="AV1065" s="175">
        <v>0</v>
      </c>
      <c r="AW1065" s="175">
        <v>0</v>
      </c>
      <c r="AX1065" s="83">
        <v>0</v>
      </c>
      <c r="AY1065" s="49">
        <v>0</v>
      </c>
      <c r="AZ1065" s="49">
        <v>0</v>
      </c>
      <c r="BA1065" s="49">
        <v>0</v>
      </c>
      <c r="BB1065" s="58">
        <v>0</v>
      </c>
      <c r="BC1065" s="42">
        <v>110</v>
      </c>
      <c r="BD1065" s="49">
        <v>80.02</v>
      </c>
      <c r="BE1065" s="159">
        <v>81.819999999999993</v>
      </c>
      <c r="BS1065" s="58"/>
      <c r="BT1065" s="83">
        <v>70.709999999999994</v>
      </c>
      <c r="CE1065" s="83">
        <v>66.680000000000007</v>
      </c>
      <c r="CK1065" s="58"/>
      <c r="CL1065" s="83"/>
      <c r="CO1065" s="58"/>
      <c r="CP1065" s="83"/>
      <c r="CR1065" s="58"/>
      <c r="CS1065" s="83"/>
      <c r="CY1065" s="83"/>
      <c r="DG1065" s="58"/>
      <c r="DH1065" s="83"/>
      <c r="DQ1065" s="83">
        <v>75.55</v>
      </c>
      <c r="EE1065" s="58"/>
      <c r="EF1065" s="83"/>
      <c r="EI1065" s="83"/>
      <c r="EK1065" s="58"/>
      <c r="EL1065" s="83"/>
      <c r="EO1065" s="58"/>
      <c r="EP1065" s="83"/>
      <c r="EQ1065" s="58"/>
      <c r="ER1065" s="83"/>
      <c r="ES1065" s="58"/>
      <c r="ET1065" s="83"/>
      <c r="EU1065" s="58"/>
    </row>
    <row r="1066" spans="1:151">
      <c r="A1066" s="83" t="s">
        <v>324</v>
      </c>
      <c r="B1066" s="173" t="s">
        <v>546</v>
      </c>
      <c r="C1066" s="173" t="s">
        <v>547</v>
      </c>
      <c r="D1066" s="83" t="s">
        <v>69</v>
      </c>
      <c r="F1066" s="49" t="s">
        <v>286</v>
      </c>
      <c r="G1066" s="49">
        <v>19.445</v>
      </c>
      <c r="I1066" s="49">
        <v>1750</v>
      </c>
      <c r="J1066" s="159">
        <v>1.5597147950089127</v>
      </c>
      <c r="K1066" s="49">
        <v>1</v>
      </c>
      <c r="L1066" s="49">
        <v>3</v>
      </c>
      <c r="M1066" s="83">
        <v>0</v>
      </c>
      <c r="N1066" s="49">
        <v>2</v>
      </c>
      <c r="O1066" s="49">
        <v>1</v>
      </c>
      <c r="P1066" s="49">
        <v>0</v>
      </c>
      <c r="Q1066" s="58">
        <v>0</v>
      </c>
      <c r="R1066" s="42">
        <v>3</v>
      </c>
      <c r="S1066" s="83" t="s">
        <v>283</v>
      </c>
      <c r="T1066" s="49">
        <v>5</v>
      </c>
      <c r="U1066" s="83">
        <v>2</v>
      </c>
      <c r="V1066" s="49">
        <v>3</v>
      </c>
      <c r="W1066" s="49">
        <v>3</v>
      </c>
      <c r="X1066" s="58">
        <v>1</v>
      </c>
      <c r="Y1066" s="83">
        <v>1</v>
      </c>
      <c r="Z1066" s="49">
        <v>2</v>
      </c>
      <c r="AA1066" s="49">
        <v>8</v>
      </c>
      <c r="AD1066" s="49">
        <v>12</v>
      </c>
      <c r="AE1066" s="49">
        <v>18</v>
      </c>
      <c r="AF1066" s="49">
        <v>12</v>
      </c>
      <c r="AG1066" s="49">
        <v>87</v>
      </c>
      <c r="AH1066" s="49">
        <v>11</v>
      </c>
      <c r="AI1066" s="49">
        <v>43</v>
      </c>
      <c r="AJ1066" s="49">
        <v>0</v>
      </c>
      <c r="AK1066" s="83">
        <v>0</v>
      </c>
      <c r="AL1066" s="49">
        <v>0</v>
      </c>
      <c r="AM1066" s="49">
        <v>0</v>
      </c>
      <c r="AN1066" s="49">
        <v>0</v>
      </c>
      <c r="AO1066" s="58">
        <v>0</v>
      </c>
      <c r="AP1066" s="174">
        <v>0</v>
      </c>
      <c r="AQ1066" s="175">
        <v>0</v>
      </c>
      <c r="AR1066" s="175">
        <v>0</v>
      </c>
      <c r="AS1066" s="175">
        <v>0</v>
      </c>
      <c r="AT1066" s="175">
        <v>0</v>
      </c>
      <c r="AU1066" s="175">
        <v>0</v>
      </c>
      <c r="AV1066" s="175">
        <v>0</v>
      </c>
      <c r="AW1066" s="175">
        <v>0</v>
      </c>
      <c r="AX1066" s="83">
        <v>0</v>
      </c>
      <c r="AY1066" s="49">
        <v>0</v>
      </c>
      <c r="AZ1066" s="49">
        <v>0</v>
      </c>
      <c r="BA1066" s="49">
        <v>0</v>
      </c>
      <c r="BB1066" s="58">
        <v>0</v>
      </c>
      <c r="BC1066" s="42">
        <v>113</v>
      </c>
      <c r="BD1066" s="49">
        <v>77.16</v>
      </c>
      <c r="BS1066" s="58"/>
      <c r="BT1066" s="83">
        <v>73.2</v>
      </c>
      <c r="BU1066" s="49">
        <v>80.77</v>
      </c>
      <c r="CE1066" s="83">
        <v>76.13</v>
      </c>
      <c r="CF1066" s="49">
        <v>75.37</v>
      </c>
      <c r="CK1066" s="58"/>
      <c r="CL1066" s="83">
        <v>71.19</v>
      </c>
      <c r="CO1066" s="58"/>
      <c r="CP1066" s="83"/>
      <c r="CR1066" s="58"/>
      <c r="CS1066" s="83"/>
      <c r="CY1066" s="83"/>
      <c r="DG1066" s="58"/>
      <c r="DH1066" s="83"/>
      <c r="DQ1066" s="83"/>
      <c r="EE1066" s="58"/>
      <c r="EF1066" s="83"/>
      <c r="EI1066" s="83"/>
      <c r="EK1066" s="58"/>
      <c r="EL1066" s="83"/>
      <c r="EO1066" s="58"/>
      <c r="EP1066" s="83"/>
      <c r="EQ1066" s="58"/>
      <c r="ER1066" s="83"/>
      <c r="ES1066" s="58"/>
      <c r="ET1066" s="83"/>
      <c r="EU1066" s="58"/>
    </row>
    <row r="1067" spans="1:151">
      <c r="A1067" s="83" t="s">
        <v>324</v>
      </c>
      <c r="B1067" s="173" t="s">
        <v>546</v>
      </c>
      <c r="C1067" s="173" t="s">
        <v>547</v>
      </c>
      <c r="D1067" s="83" t="s">
        <v>272</v>
      </c>
      <c r="F1067" s="49" t="s">
        <v>286</v>
      </c>
      <c r="G1067" s="49">
        <v>19.445</v>
      </c>
      <c r="I1067" s="49">
        <v>1366</v>
      </c>
      <c r="J1067" s="159">
        <v>1.102502017756255</v>
      </c>
      <c r="K1067" s="49">
        <v>4</v>
      </c>
      <c r="L1067" s="49">
        <v>4</v>
      </c>
      <c r="M1067" s="83">
        <v>0</v>
      </c>
      <c r="N1067" s="49">
        <v>0</v>
      </c>
      <c r="O1067" s="49">
        <v>0</v>
      </c>
      <c r="P1067" s="49">
        <v>0</v>
      </c>
      <c r="Q1067" s="58">
        <v>0</v>
      </c>
      <c r="R1067" s="42">
        <v>0</v>
      </c>
      <c r="S1067" s="83" t="s">
        <v>283</v>
      </c>
      <c r="T1067" s="49">
        <v>5</v>
      </c>
      <c r="U1067" s="83">
        <v>1</v>
      </c>
      <c r="V1067" s="49">
        <v>4</v>
      </c>
      <c r="W1067" s="49">
        <v>4</v>
      </c>
      <c r="X1067" s="58"/>
      <c r="Y1067" s="83">
        <v>1</v>
      </c>
      <c r="Z1067" s="49">
        <v>11</v>
      </c>
      <c r="AA1067" s="49">
        <v>15</v>
      </c>
      <c r="AD1067" s="49">
        <v>9</v>
      </c>
      <c r="AE1067" s="49">
        <v>16</v>
      </c>
      <c r="AF1067" s="49">
        <v>11</v>
      </c>
      <c r="AG1067" s="49">
        <v>39</v>
      </c>
      <c r="AJ1067" s="49">
        <v>0</v>
      </c>
      <c r="AK1067" s="83">
        <v>0</v>
      </c>
      <c r="AL1067" s="49">
        <v>0</v>
      </c>
      <c r="AM1067" s="49">
        <v>0</v>
      </c>
      <c r="AN1067" s="49">
        <v>0</v>
      </c>
      <c r="AO1067" s="58">
        <v>0</v>
      </c>
      <c r="AP1067" s="174">
        <v>0</v>
      </c>
      <c r="AQ1067" s="175">
        <v>0</v>
      </c>
      <c r="AR1067" s="175">
        <v>0</v>
      </c>
      <c r="AS1067" s="175">
        <v>0</v>
      </c>
      <c r="AT1067" s="175">
        <v>0</v>
      </c>
      <c r="AU1067" s="175">
        <v>0</v>
      </c>
      <c r="AV1067" s="175">
        <v>0</v>
      </c>
      <c r="AW1067" s="175">
        <v>0</v>
      </c>
      <c r="AX1067" s="83">
        <v>0</v>
      </c>
      <c r="AY1067" s="49">
        <v>0</v>
      </c>
      <c r="AZ1067" s="49">
        <v>0</v>
      </c>
      <c r="BA1067" s="49">
        <v>0</v>
      </c>
      <c r="BB1067" s="58">
        <v>0</v>
      </c>
      <c r="BC1067" s="42">
        <v>122</v>
      </c>
      <c r="BS1067" s="58"/>
      <c r="BT1067" s="83"/>
      <c r="CE1067" s="83"/>
      <c r="CK1067" s="58"/>
      <c r="CL1067" s="83"/>
      <c r="CO1067" s="58"/>
      <c r="CP1067" s="83"/>
      <c r="CR1067" s="58"/>
      <c r="CS1067" s="83"/>
      <c r="CY1067" s="83"/>
      <c r="DG1067" s="58"/>
      <c r="DH1067" s="83"/>
      <c r="DQ1067" s="83"/>
      <c r="EE1067" s="58"/>
      <c r="EF1067" s="83"/>
      <c r="EI1067" s="83"/>
      <c r="EK1067" s="58"/>
      <c r="EL1067" s="83"/>
      <c r="EO1067" s="58"/>
      <c r="EP1067" s="83"/>
      <c r="EQ1067" s="58"/>
      <c r="ER1067" s="83"/>
      <c r="ES1067" s="58"/>
      <c r="ET1067" s="83"/>
      <c r="EU1067" s="58"/>
    </row>
    <row r="1068" spans="1:151">
      <c r="A1068" s="83" t="s">
        <v>324</v>
      </c>
      <c r="B1068" s="173" t="s">
        <v>546</v>
      </c>
      <c r="C1068" s="173" t="s">
        <v>547</v>
      </c>
      <c r="D1068" s="83" t="s">
        <v>76</v>
      </c>
      <c r="F1068" s="49" t="s">
        <v>286</v>
      </c>
      <c r="G1068" s="49">
        <v>19.445</v>
      </c>
      <c r="I1068" s="49">
        <v>2807</v>
      </c>
      <c r="J1068" s="159">
        <v>1.1929451763705907</v>
      </c>
      <c r="K1068" s="49">
        <v>1</v>
      </c>
      <c r="L1068" s="49">
        <v>2</v>
      </c>
      <c r="M1068" s="83">
        <v>0</v>
      </c>
      <c r="N1068" s="49">
        <v>1</v>
      </c>
      <c r="O1068" s="49">
        <v>0</v>
      </c>
      <c r="P1068" s="49">
        <v>0</v>
      </c>
      <c r="Q1068" s="58">
        <v>0</v>
      </c>
      <c r="R1068" s="42">
        <v>1</v>
      </c>
      <c r="S1068" s="83" t="s">
        <v>283</v>
      </c>
      <c r="T1068" s="49">
        <v>7</v>
      </c>
      <c r="U1068" s="83">
        <v>1</v>
      </c>
      <c r="V1068" s="49">
        <v>1</v>
      </c>
      <c r="W1068" s="49">
        <v>2</v>
      </c>
      <c r="X1068" s="58"/>
      <c r="Y1068" s="83">
        <v>1</v>
      </c>
      <c r="Z1068" s="49">
        <v>15</v>
      </c>
      <c r="AA1068" s="49">
        <v>25</v>
      </c>
      <c r="AE1068" s="49">
        <v>44</v>
      </c>
      <c r="AG1068" s="49">
        <v>25</v>
      </c>
      <c r="AJ1068" s="49">
        <v>0</v>
      </c>
      <c r="AK1068" s="83">
        <v>0</v>
      </c>
      <c r="AL1068" s="49">
        <v>0</v>
      </c>
      <c r="AM1068" s="49">
        <v>0</v>
      </c>
      <c r="AN1068" s="49">
        <v>0</v>
      </c>
      <c r="AO1068" s="58">
        <v>0</v>
      </c>
      <c r="AP1068" s="174">
        <v>0</v>
      </c>
      <c r="AQ1068" s="175">
        <v>0</v>
      </c>
      <c r="AR1068" s="175">
        <v>0</v>
      </c>
      <c r="AS1068" s="175">
        <v>0</v>
      </c>
      <c r="AT1068" s="175">
        <v>0</v>
      </c>
      <c r="AU1068" s="175">
        <v>0</v>
      </c>
      <c r="AV1068" s="175">
        <v>0</v>
      </c>
      <c r="AW1068" s="175">
        <v>0</v>
      </c>
      <c r="AX1068" s="83">
        <v>0</v>
      </c>
      <c r="AY1068" s="49">
        <v>0</v>
      </c>
      <c r="AZ1068" s="49">
        <v>0</v>
      </c>
      <c r="BA1068" s="49">
        <v>0</v>
      </c>
      <c r="BB1068" s="58">
        <v>0</v>
      </c>
      <c r="BC1068" s="42">
        <v>133</v>
      </c>
      <c r="BS1068" s="58"/>
      <c r="BT1068" s="83"/>
      <c r="CE1068" s="83"/>
      <c r="CK1068" s="58"/>
      <c r="CL1068" s="83"/>
      <c r="CO1068" s="58"/>
      <c r="CP1068" s="83"/>
      <c r="CR1068" s="58"/>
      <c r="CS1068" s="83"/>
      <c r="CY1068" s="83"/>
      <c r="DG1068" s="58"/>
      <c r="DH1068" s="83"/>
      <c r="DQ1068" s="83"/>
      <c r="EE1068" s="58"/>
      <c r="EF1068" s="83"/>
      <c r="EI1068" s="83"/>
      <c r="EK1068" s="58"/>
      <c r="EL1068" s="83"/>
      <c r="EO1068" s="58"/>
      <c r="EP1068" s="83"/>
      <c r="EQ1068" s="58"/>
      <c r="ER1068" s="83"/>
      <c r="ES1068" s="58"/>
      <c r="ET1068" s="83"/>
      <c r="EU1068" s="58"/>
    </row>
    <row r="1069" spans="1:151">
      <c r="A1069" s="83" t="s">
        <v>324</v>
      </c>
      <c r="B1069" s="173" t="s">
        <v>546</v>
      </c>
      <c r="C1069" s="173" t="s">
        <v>547</v>
      </c>
      <c r="D1069" s="83" t="s">
        <v>73</v>
      </c>
      <c r="F1069" s="49" t="s">
        <v>286</v>
      </c>
      <c r="G1069" s="49">
        <v>19.445</v>
      </c>
      <c r="I1069" s="49">
        <v>1646</v>
      </c>
      <c r="J1069" s="159">
        <v>3.9758454106280192</v>
      </c>
      <c r="K1069" s="49">
        <v>1</v>
      </c>
      <c r="L1069" s="49">
        <v>2</v>
      </c>
      <c r="M1069" s="83">
        <v>0</v>
      </c>
      <c r="N1069" s="49">
        <v>3</v>
      </c>
      <c r="O1069" s="49">
        <v>0</v>
      </c>
      <c r="P1069" s="49">
        <v>0</v>
      </c>
      <c r="Q1069" s="58">
        <v>0</v>
      </c>
      <c r="R1069" s="42">
        <v>3</v>
      </c>
      <c r="S1069" s="83" t="s">
        <v>283</v>
      </c>
      <c r="T1069" s="49">
        <v>4</v>
      </c>
      <c r="U1069" s="83">
        <v>1</v>
      </c>
      <c r="V1069" s="49">
        <v>1</v>
      </c>
      <c r="W1069" s="49">
        <v>2</v>
      </c>
      <c r="X1069" s="58"/>
      <c r="Y1069" s="83">
        <v>1</v>
      </c>
      <c r="AD1069" s="49">
        <v>8</v>
      </c>
      <c r="AE1069" s="49">
        <v>228</v>
      </c>
      <c r="AF1069" s="49">
        <v>20</v>
      </c>
      <c r="AG1069" s="49">
        <v>30</v>
      </c>
      <c r="AJ1069" s="49">
        <v>0</v>
      </c>
      <c r="AK1069" s="83">
        <v>0</v>
      </c>
      <c r="AL1069" s="49">
        <v>1</v>
      </c>
      <c r="AM1069" s="49">
        <v>0</v>
      </c>
      <c r="AN1069" s="49">
        <v>0</v>
      </c>
      <c r="AO1069" s="58">
        <v>0</v>
      </c>
      <c r="AP1069" s="174">
        <v>295</v>
      </c>
      <c r="AQ1069" s="175">
        <v>440</v>
      </c>
      <c r="AR1069" s="175">
        <v>0</v>
      </c>
      <c r="AS1069" s="175">
        <v>0</v>
      </c>
      <c r="AT1069" s="175">
        <v>0</v>
      </c>
      <c r="AU1069" s="175">
        <v>0</v>
      </c>
      <c r="AV1069" s="175">
        <v>0</v>
      </c>
      <c r="AW1069" s="175">
        <v>0</v>
      </c>
      <c r="AX1069" s="83">
        <v>0</v>
      </c>
      <c r="AY1069" s="49">
        <v>0</v>
      </c>
      <c r="AZ1069" s="49">
        <v>0</v>
      </c>
      <c r="BA1069" s="49">
        <v>0</v>
      </c>
      <c r="BB1069" s="58">
        <v>0</v>
      </c>
      <c r="BC1069" s="42">
        <v>119</v>
      </c>
      <c r="BS1069" s="58"/>
      <c r="BT1069" s="83"/>
      <c r="CE1069" s="83"/>
      <c r="CK1069" s="58"/>
      <c r="CL1069" s="83"/>
      <c r="CO1069" s="58"/>
      <c r="CP1069" s="83"/>
      <c r="CR1069" s="58"/>
      <c r="CS1069" s="83"/>
      <c r="CY1069" s="83"/>
      <c r="DG1069" s="58"/>
      <c r="DH1069" s="83"/>
      <c r="DQ1069" s="83"/>
      <c r="EE1069" s="58"/>
      <c r="EF1069" s="83"/>
      <c r="EI1069" s="83"/>
      <c r="EK1069" s="58"/>
      <c r="EL1069" s="83"/>
      <c r="EO1069" s="58"/>
      <c r="EP1069" s="83"/>
      <c r="EQ1069" s="58"/>
      <c r="ER1069" s="83"/>
      <c r="ES1069" s="58"/>
      <c r="ET1069" s="83"/>
      <c r="EU1069" s="58"/>
    </row>
    <row r="1070" spans="1:151">
      <c r="A1070" s="83" t="s">
        <v>324</v>
      </c>
      <c r="B1070" s="173" t="s">
        <v>546</v>
      </c>
      <c r="C1070" s="173" t="s">
        <v>547</v>
      </c>
      <c r="D1070" s="83" t="s">
        <v>81</v>
      </c>
      <c r="F1070" s="49" t="s">
        <v>286</v>
      </c>
      <c r="G1070" s="49">
        <v>19.445</v>
      </c>
      <c r="I1070" s="49">
        <v>2280</v>
      </c>
      <c r="J1070" s="159">
        <v>2.1428571428571428</v>
      </c>
      <c r="K1070" s="49">
        <v>1</v>
      </c>
      <c r="L1070" s="49">
        <v>1</v>
      </c>
      <c r="M1070" s="83">
        <v>0</v>
      </c>
      <c r="N1070" s="49">
        <v>2</v>
      </c>
      <c r="O1070" s="49">
        <v>1</v>
      </c>
      <c r="P1070" s="49">
        <v>1</v>
      </c>
      <c r="Q1070" s="58">
        <v>0</v>
      </c>
      <c r="R1070" s="42">
        <v>4</v>
      </c>
      <c r="S1070" s="83" t="s">
        <v>283</v>
      </c>
      <c r="T1070" s="49">
        <v>18</v>
      </c>
      <c r="U1070" s="83">
        <v>2</v>
      </c>
      <c r="V1070" s="49">
        <v>2</v>
      </c>
      <c r="W1070" s="49">
        <v>1</v>
      </c>
      <c r="X1070" s="58">
        <v>2</v>
      </c>
      <c r="Y1070" s="83">
        <v>2</v>
      </c>
      <c r="Z1070" s="49">
        <v>6</v>
      </c>
      <c r="AA1070" s="49">
        <v>15</v>
      </c>
      <c r="AD1070" s="49">
        <v>11</v>
      </c>
      <c r="AE1070" s="49">
        <v>58</v>
      </c>
      <c r="AF1070" s="49">
        <v>5</v>
      </c>
      <c r="AG1070" s="49">
        <v>86</v>
      </c>
      <c r="AH1070" s="49">
        <v>9</v>
      </c>
      <c r="AI1070" s="49">
        <v>101</v>
      </c>
      <c r="AJ1070" s="49">
        <v>0</v>
      </c>
      <c r="AK1070" s="83">
        <v>0</v>
      </c>
      <c r="AL1070" s="49">
        <v>1</v>
      </c>
      <c r="AM1070" s="49">
        <v>0</v>
      </c>
      <c r="AN1070" s="49">
        <v>0</v>
      </c>
      <c r="AO1070" s="58">
        <v>0</v>
      </c>
      <c r="AP1070" s="174">
        <v>0</v>
      </c>
      <c r="AQ1070" s="175">
        <v>157</v>
      </c>
      <c r="AR1070" s="175">
        <v>0</v>
      </c>
      <c r="AS1070" s="175">
        <v>0</v>
      </c>
      <c r="AT1070" s="175">
        <v>0</v>
      </c>
      <c r="AU1070" s="175">
        <v>0</v>
      </c>
      <c r="AV1070" s="175">
        <v>0</v>
      </c>
      <c r="AW1070" s="175">
        <v>0</v>
      </c>
      <c r="AX1070" s="83">
        <v>0</v>
      </c>
      <c r="AY1070" s="49">
        <v>0</v>
      </c>
      <c r="AZ1070" s="49">
        <v>0</v>
      </c>
      <c r="BA1070" s="49">
        <v>0</v>
      </c>
      <c r="BB1070" s="58">
        <v>0</v>
      </c>
      <c r="BC1070" s="42">
        <v>142</v>
      </c>
      <c r="BS1070" s="58"/>
      <c r="BT1070" s="83"/>
      <c r="CE1070" s="83"/>
      <c r="CK1070" s="58"/>
      <c r="CL1070" s="83"/>
      <c r="CO1070" s="58"/>
      <c r="CP1070" s="83"/>
      <c r="CR1070" s="58"/>
      <c r="CS1070" s="83"/>
      <c r="CY1070" s="83"/>
      <c r="DG1070" s="58"/>
      <c r="DH1070" s="83"/>
      <c r="DQ1070" s="83"/>
      <c r="EE1070" s="58"/>
      <c r="EF1070" s="83"/>
      <c r="EI1070" s="83"/>
      <c r="EK1070" s="58"/>
      <c r="EL1070" s="83"/>
      <c r="EO1070" s="58"/>
      <c r="EP1070" s="83"/>
      <c r="EQ1070" s="58"/>
      <c r="ER1070" s="83"/>
      <c r="ES1070" s="58"/>
      <c r="ET1070" s="83"/>
      <c r="EU1070" s="58"/>
    </row>
    <row r="1071" spans="1:151">
      <c r="A1071" s="83" t="s">
        <v>324</v>
      </c>
      <c r="B1071" s="173" t="s">
        <v>546</v>
      </c>
      <c r="C1071" s="173" t="s">
        <v>547</v>
      </c>
      <c r="D1071" s="83" t="s">
        <v>87</v>
      </c>
      <c r="F1071" s="49" t="s">
        <v>286</v>
      </c>
      <c r="G1071" s="49">
        <v>19.445</v>
      </c>
      <c r="I1071" s="49">
        <v>2106</v>
      </c>
      <c r="J1071" s="159">
        <v>2.5101311084624554</v>
      </c>
      <c r="K1071" s="49">
        <v>1</v>
      </c>
      <c r="L1071" s="49">
        <v>3</v>
      </c>
      <c r="M1071" s="83">
        <v>0</v>
      </c>
      <c r="N1071" s="49">
        <v>0</v>
      </c>
      <c r="O1071" s="49">
        <v>0</v>
      </c>
      <c r="P1071" s="49">
        <v>1</v>
      </c>
      <c r="Q1071" s="58">
        <v>0</v>
      </c>
      <c r="R1071" s="42">
        <v>1</v>
      </c>
      <c r="S1071" s="83" t="s">
        <v>283</v>
      </c>
      <c r="U1071" s="83">
        <v>1</v>
      </c>
      <c r="V1071" s="49">
        <v>2</v>
      </c>
      <c r="W1071" s="49">
        <v>2</v>
      </c>
      <c r="X1071" s="58"/>
      <c r="Y1071" s="83">
        <v>1</v>
      </c>
      <c r="Z1071" s="49">
        <v>3</v>
      </c>
      <c r="AA1071" s="49">
        <v>21</v>
      </c>
      <c r="AD1071" s="49">
        <v>8</v>
      </c>
      <c r="AE1071" s="49">
        <v>20</v>
      </c>
      <c r="AI1071" s="49">
        <v>38</v>
      </c>
      <c r="AJ1071" s="49">
        <v>0</v>
      </c>
      <c r="AK1071" s="83">
        <v>0</v>
      </c>
      <c r="AL1071" s="49">
        <v>1</v>
      </c>
      <c r="AM1071" s="49">
        <v>0</v>
      </c>
      <c r="AN1071" s="49">
        <v>0</v>
      </c>
      <c r="AO1071" s="58">
        <v>0</v>
      </c>
      <c r="AP1071" s="174">
        <v>624</v>
      </c>
      <c r="AQ1071" s="175">
        <v>929</v>
      </c>
      <c r="AR1071" s="175">
        <v>0</v>
      </c>
      <c r="AS1071" s="175">
        <v>0</v>
      </c>
      <c r="AT1071" s="175">
        <v>0</v>
      </c>
      <c r="AU1071" s="175">
        <v>0</v>
      </c>
      <c r="AV1071" s="175">
        <v>0</v>
      </c>
      <c r="AW1071" s="175">
        <v>0</v>
      </c>
      <c r="AX1071" s="83">
        <v>0</v>
      </c>
      <c r="AY1071" s="49">
        <v>0</v>
      </c>
      <c r="AZ1071" s="49">
        <v>0</v>
      </c>
      <c r="BA1071" s="49">
        <v>0</v>
      </c>
      <c r="BB1071" s="58">
        <v>0</v>
      </c>
      <c r="BC1071" s="42">
        <v>132</v>
      </c>
      <c r="BS1071" s="58"/>
      <c r="BT1071" s="83"/>
      <c r="CE1071" s="83"/>
      <c r="CK1071" s="58"/>
      <c r="CL1071" s="83"/>
      <c r="CO1071" s="58"/>
      <c r="CP1071" s="83"/>
      <c r="CR1071" s="58"/>
      <c r="CS1071" s="83"/>
      <c r="CY1071" s="83"/>
      <c r="DG1071" s="58"/>
      <c r="DH1071" s="83"/>
      <c r="DQ1071" s="83"/>
      <c r="EE1071" s="58"/>
      <c r="EF1071" s="83"/>
      <c r="EI1071" s="83"/>
      <c r="EK1071" s="58"/>
      <c r="EL1071" s="83"/>
      <c r="EO1071" s="58"/>
      <c r="EP1071" s="83"/>
      <c r="EQ1071" s="58"/>
      <c r="ER1071" s="83"/>
      <c r="ES1071" s="58"/>
      <c r="ET1071" s="83"/>
      <c r="EU1071" s="58"/>
    </row>
    <row r="1072" spans="1:151">
      <c r="A1072" s="83" t="s">
        <v>324</v>
      </c>
      <c r="B1072" s="173" t="s">
        <v>546</v>
      </c>
      <c r="C1072" s="173" t="s">
        <v>547</v>
      </c>
      <c r="D1072" s="83" t="s">
        <v>88</v>
      </c>
      <c r="F1072" s="49" t="s">
        <v>286</v>
      </c>
      <c r="G1072" s="49">
        <v>19.445</v>
      </c>
      <c r="I1072" s="49">
        <v>2494</v>
      </c>
      <c r="J1072" s="159">
        <v>1.5179549604382228</v>
      </c>
      <c r="K1072" s="49">
        <v>4</v>
      </c>
      <c r="L1072" s="49">
        <v>3</v>
      </c>
      <c r="M1072" s="83">
        <v>0</v>
      </c>
      <c r="N1072" s="49">
        <v>0</v>
      </c>
      <c r="O1072" s="49">
        <v>0</v>
      </c>
      <c r="P1072" s="49">
        <v>1</v>
      </c>
      <c r="Q1072" s="58">
        <v>0</v>
      </c>
      <c r="R1072" s="42">
        <v>1</v>
      </c>
      <c r="S1072" s="83">
        <v>1</v>
      </c>
      <c r="U1072" s="83">
        <v>1</v>
      </c>
      <c r="V1072" s="49">
        <v>3</v>
      </c>
      <c r="W1072" s="49">
        <v>2</v>
      </c>
      <c r="X1072" s="58"/>
      <c r="Y1072" s="83">
        <v>1</v>
      </c>
      <c r="AI1072" s="49">
        <v>45</v>
      </c>
      <c r="AJ1072" s="49">
        <v>0</v>
      </c>
      <c r="AK1072" s="83">
        <v>0</v>
      </c>
      <c r="AL1072" s="49">
        <v>0</v>
      </c>
      <c r="AM1072" s="49">
        <v>0</v>
      </c>
      <c r="AN1072" s="49">
        <v>0</v>
      </c>
      <c r="AO1072" s="58">
        <v>0</v>
      </c>
      <c r="AP1072" s="174">
        <v>0</v>
      </c>
      <c r="AQ1072" s="175">
        <v>0</v>
      </c>
      <c r="AR1072" s="175">
        <v>0</v>
      </c>
      <c r="AS1072" s="175">
        <v>0</v>
      </c>
      <c r="AT1072" s="175">
        <v>0</v>
      </c>
      <c r="AU1072" s="175">
        <v>0</v>
      </c>
      <c r="AV1072" s="175">
        <v>0</v>
      </c>
      <c r="AW1072" s="175">
        <v>0</v>
      </c>
      <c r="AX1072" s="83">
        <v>0</v>
      </c>
      <c r="AY1072" s="49">
        <v>0</v>
      </c>
      <c r="AZ1072" s="49">
        <v>0</v>
      </c>
      <c r="BA1072" s="49">
        <v>0</v>
      </c>
      <c r="BB1072" s="58">
        <v>0</v>
      </c>
      <c r="BC1072" s="42">
        <v>121</v>
      </c>
      <c r="BS1072" s="58"/>
      <c r="BT1072" s="83"/>
      <c r="CE1072" s="83"/>
      <c r="CK1072" s="58"/>
      <c r="CL1072" s="83"/>
      <c r="CO1072" s="58"/>
      <c r="CP1072" s="83"/>
      <c r="CR1072" s="58"/>
      <c r="CS1072" s="83"/>
      <c r="CY1072" s="83"/>
      <c r="DG1072" s="58"/>
      <c r="DH1072" s="83"/>
      <c r="DQ1072" s="83"/>
      <c r="EE1072" s="58"/>
      <c r="EF1072" s="83"/>
      <c r="EI1072" s="83"/>
      <c r="EK1072" s="58"/>
      <c r="EL1072" s="83"/>
      <c r="EO1072" s="58"/>
      <c r="EP1072" s="83"/>
      <c r="EQ1072" s="58"/>
      <c r="ER1072" s="83"/>
      <c r="ES1072" s="58"/>
      <c r="ET1072" s="83"/>
      <c r="EU1072" s="58"/>
    </row>
    <row r="1073" spans="1:151">
      <c r="A1073" s="83" t="s">
        <v>324</v>
      </c>
      <c r="B1073" s="173" t="s">
        <v>546</v>
      </c>
      <c r="C1073" s="173" t="s">
        <v>547</v>
      </c>
      <c r="D1073" s="83" t="s">
        <v>111</v>
      </c>
      <c r="F1073" s="49" t="s">
        <v>286</v>
      </c>
      <c r="G1073" s="49">
        <v>19.445</v>
      </c>
      <c r="I1073" s="49">
        <v>2520</v>
      </c>
      <c r="J1073" s="159">
        <v>8.4848484848484844</v>
      </c>
      <c r="K1073" s="49">
        <v>2</v>
      </c>
      <c r="L1073" s="49">
        <v>3</v>
      </c>
      <c r="M1073" s="83">
        <v>0</v>
      </c>
      <c r="N1073" s="49">
        <v>3</v>
      </c>
      <c r="O1073" s="49">
        <v>0</v>
      </c>
      <c r="P1073" s="49">
        <v>0</v>
      </c>
      <c r="Q1073" s="58">
        <v>0</v>
      </c>
      <c r="R1073" s="42">
        <v>3</v>
      </c>
      <c r="S1073" s="83" t="s">
        <v>283</v>
      </c>
      <c r="T1073" s="49">
        <v>2</v>
      </c>
      <c r="U1073" s="83">
        <v>0</v>
      </c>
      <c r="V1073" s="49">
        <v>0</v>
      </c>
      <c r="W1073" s="49">
        <v>0</v>
      </c>
      <c r="X1073" s="58"/>
      <c r="Y1073" s="83">
        <v>1</v>
      </c>
      <c r="AD1073" s="49">
        <v>16</v>
      </c>
      <c r="AE1073" s="49">
        <v>397</v>
      </c>
      <c r="AJ1073" s="49">
        <v>0</v>
      </c>
      <c r="AK1073" s="83">
        <v>0</v>
      </c>
      <c r="AL1073" s="49">
        <v>1</v>
      </c>
      <c r="AM1073" s="49">
        <v>0</v>
      </c>
      <c r="AN1073" s="49">
        <v>0</v>
      </c>
      <c r="AO1073" s="58">
        <v>0</v>
      </c>
      <c r="AP1073" s="174">
        <v>266</v>
      </c>
      <c r="AQ1073" s="175">
        <v>308</v>
      </c>
      <c r="AR1073" s="175">
        <v>0</v>
      </c>
      <c r="AS1073" s="175">
        <v>0</v>
      </c>
      <c r="AT1073" s="175">
        <v>0</v>
      </c>
      <c r="AU1073" s="175">
        <v>0</v>
      </c>
      <c r="AV1073" s="175">
        <v>0</v>
      </c>
      <c r="AW1073" s="175">
        <v>0</v>
      </c>
      <c r="AX1073" s="83">
        <v>0</v>
      </c>
      <c r="AY1073" s="49">
        <v>0</v>
      </c>
      <c r="AZ1073" s="49">
        <v>0</v>
      </c>
      <c r="BA1073" s="49">
        <v>0</v>
      </c>
      <c r="BB1073" s="58">
        <v>0</v>
      </c>
      <c r="BC1073" s="42">
        <v>126</v>
      </c>
      <c r="BD1073" s="49">
        <v>76.77</v>
      </c>
      <c r="BE1073" s="49">
        <v>75.84</v>
      </c>
      <c r="BS1073" s="58"/>
      <c r="BT1073" s="83"/>
      <c r="CE1073" s="83"/>
      <c r="CK1073" s="58"/>
      <c r="CL1073" s="83"/>
      <c r="CO1073" s="58"/>
      <c r="CP1073" s="83"/>
      <c r="CR1073" s="58"/>
      <c r="CS1073" s="83"/>
      <c r="CY1073" s="83"/>
      <c r="DG1073" s="58"/>
      <c r="DH1073" s="83"/>
      <c r="DQ1073" s="83">
        <v>69.510000000000005</v>
      </c>
      <c r="DR1073" s="49">
        <v>69.39</v>
      </c>
      <c r="DS1073" s="49">
        <v>69.75</v>
      </c>
      <c r="EE1073" s="58"/>
      <c r="EF1073" s="83"/>
      <c r="EI1073" s="83"/>
      <c r="EK1073" s="58"/>
      <c r="EL1073" s="83"/>
      <c r="EO1073" s="58"/>
      <c r="EP1073" s="83"/>
      <c r="EQ1073" s="58"/>
      <c r="ER1073" s="83"/>
      <c r="ES1073" s="58"/>
      <c r="ET1073" s="83"/>
      <c r="EU1073" s="58"/>
    </row>
    <row r="1074" spans="1:151">
      <c r="A1074" s="83" t="s">
        <v>324</v>
      </c>
      <c r="B1074" s="173" t="s">
        <v>546</v>
      </c>
      <c r="C1074" s="173" t="s">
        <v>547</v>
      </c>
      <c r="D1074" s="83" t="s">
        <v>92</v>
      </c>
      <c r="F1074" s="49" t="s">
        <v>286</v>
      </c>
      <c r="G1074" s="49">
        <v>19.445</v>
      </c>
      <c r="I1074" s="49">
        <v>1319</v>
      </c>
      <c r="J1074" s="159">
        <v>3.8343023255813953</v>
      </c>
      <c r="K1074" s="49">
        <v>1</v>
      </c>
      <c r="L1074" s="49">
        <v>3</v>
      </c>
      <c r="M1074" s="83">
        <v>0</v>
      </c>
      <c r="N1074" s="49">
        <v>0</v>
      </c>
      <c r="O1074" s="49">
        <v>0</v>
      </c>
      <c r="P1074" s="49">
        <v>1</v>
      </c>
      <c r="Q1074" s="58">
        <v>0</v>
      </c>
      <c r="R1074" s="42">
        <v>1</v>
      </c>
      <c r="S1074" s="83">
        <v>1</v>
      </c>
      <c r="U1074" s="83">
        <v>2</v>
      </c>
      <c r="V1074" s="49">
        <v>2</v>
      </c>
      <c r="W1074" s="49">
        <v>3</v>
      </c>
      <c r="X1074" s="58">
        <v>2</v>
      </c>
      <c r="Y1074" s="83">
        <v>1</v>
      </c>
      <c r="Z1074" s="49">
        <v>2</v>
      </c>
      <c r="AA1074" s="49">
        <v>13</v>
      </c>
      <c r="AD1074" s="49">
        <v>5</v>
      </c>
      <c r="AE1074" s="49">
        <v>94</v>
      </c>
      <c r="AJ1074" s="49">
        <v>0</v>
      </c>
      <c r="AK1074" s="83">
        <v>0</v>
      </c>
      <c r="AL1074" s="49">
        <v>1</v>
      </c>
      <c r="AM1074" s="49">
        <v>0</v>
      </c>
      <c r="AN1074" s="49">
        <v>0</v>
      </c>
      <c r="AO1074" s="58">
        <v>0</v>
      </c>
      <c r="AP1074" s="174">
        <v>0</v>
      </c>
      <c r="AQ1074" s="175">
        <v>1004</v>
      </c>
      <c r="AR1074" s="175">
        <v>0</v>
      </c>
      <c r="AS1074" s="175">
        <v>0</v>
      </c>
      <c r="AT1074" s="175">
        <v>0</v>
      </c>
      <c r="AU1074" s="175">
        <v>0</v>
      </c>
      <c r="AV1074" s="175">
        <v>0</v>
      </c>
      <c r="AW1074" s="175">
        <v>0</v>
      </c>
      <c r="AX1074" s="83">
        <v>0</v>
      </c>
      <c r="AY1074" s="49">
        <v>0</v>
      </c>
      <c r="AZ1074" s="49">
        <v>0</v>
      </c>
      <c r="BA1074" s="49">
        <v>0</v>
      </c>
      <c r="BB1074" s="58">
        <v>0</v>
      </c>
      <c r="BC1074" s="42">
        <v>103</v>
      </c>
      <c r="BS1074" s="58"/>
      <c r="BT1074" s="83"/>
      <c r="CE1074" s="83"/>
      <c r="CK1074" s="58"/>
      <c r="CL1074" s="83"/>
      <c r="CO1074" s="58"/>
      <c r="CP1074" s="83"/>
      <c r="CR1074" s="58"/>
      <c r="CS1074" s="83"/>
      <c r="CY1074" s="83"/>
      <c r="DG1074" s="58"/>
      <c r="DH1074" s="83"/>
      <c r="DQ1074" s="83"/>
      <c r="EE1074" s="58"/>
      <c r="EF1074" s="83"/>
      <c r="EI1074" s="83"/>
      <c r="EK1074" s="58"/>
      <c r="EL1074" s="83"/>
      <c r="EO1074" s="58"/>
      <c r="EP1074" s="83"/>
      <c r="EQ1074" s="58"/>
      <c r="ER1074" s="83"/>
      <c r="ES1074" s="58"/>
      <c r="ET1074" s="83"/>
      <c r="EU1074" s="58"/>
    </row>
    <row r="1075" spans="1:151">
      <c r="A1075" s="83" t="s">
        <v>324</v>
      </c>
      <c r="B1075" s="173" t="s">
        <v>546</v>
      </c>
      <c r="C1075" s="173" t="s">
        <v>547</v>
      </c>
      <c r="D1075" s="83" t="s">
        <v>93</v>
      </c>
      <c r="F1075" s="49" t="s">
        <v>286</v>
      </c>
      <c r="G1075" s="49">
        <v>19.445</v>
      </c>
      <c r="I1075" s="49">
        <v>1637</v>
      </c>
      <c r="J1075" s="159">
        <v>1.3363265306122449</v>
      </c>
      <c r="K1075" s="49">
        <v>1</v>
      </c>
      <c r="L1075" s="49">
        <v>1</v>
      </c>
      <c r="M1075" s="83">
        <v>1</v>
      </c>
      <c r="N1075" s="49">
        <v>1</v>
      </c>
      <c r="O1075" s="49">
        <v>0</v>
      </c>
      <c r="P1075" s="49">
        <v>1</v>
      </c>
      <c r="Q1075" s="58">
        <v>0</v>
      </c>
      <c r="R1075" s="42">
        <v>3</v>
      </c>
      <c r="S1075" s="83" t="s">
        <v>283</v>
      </c>
      <c r="T1075" s="49">
        <v>3</v>
      </c>
      <c r="U1075" s="83">
        <v>1</v>
      </c>
      <c r="V1075" s="49">
        <v>3</v>
      </c>
      <c r="W1075" s="49">
        <v>1</v>
      </c>
      <c r="X1075" s="58">
        <v>2</v>
      </c>
      <c r="Y1075" s="83">
        <v>8</v>
      </c>
      <c r="Z1075" s="49">
        <v>6</v>
      </c>
      <c r="AA1075" s="49">
        <v>18</v>
      </c>
      <c r="AD1075" s="49">
        <v>11</v>
      </c>
      <c r="AE1075" s="49">
        <v>326</v>
      </c>
      <c r="AF1075" s="49">
        <v>13</v>
      </c>
      <c r="AG1075" s="49">
        <v>78</v>
      </c>
      <c r="AI1075" s="49">
        <v>496</v>
      </c>
      <c r="AJ1075" s="49">
        <v>0</v>
      </c>
      <c r="AK1075" s="83">
        <v>0</v>
      </c>
      <c r="AL1075" s="49">
        <v>1</v>
      </c>
      <c r="AM1075" s="49">
        <v>0</v>
      </c>
      <c r="AN1075" s="49">
        <v>0</v>
      </c>
      <c r="AO1075" s="58">
        <v>0</v>
      </c>
      <c r="AP1075" s="174">
        <v>0</v>
      </c>
      <c r="AQ1075" s="175">
        <v>215</v>
      </c>
      <c r="AR1075" s="175">
        <v>0</v>
      </c>
      <c r="AS1075" s="175">
        <v>0</v>
      </c>
      <c r="AT1075" s="175">
        <v>0</v>
      </c>
      <c r="AU1075" s="175">
        <v>0</v>
      </c>
      <c r="AV1075" s="175">
        <v>0</v>
      </c>
      <c r="AW1075" s="175">
        <v>0</v>
      </c>
      <c r="AX1075" s="83">
        <v>0</v>
      </c>
      <c r="AY1075" s="49">
        <v>0</v>
      </c>
      <c r="AZ1075" s="49">
        <v>0</v>
      </c>
      <c r="BA1075" s="49">
        <v>0</v>
      </c>
      <c r="BB1075" s="58">
        <v>0</v>
      </c>
      <c r="BC1075" s="42">
        <v>105</v>
      </c>
      <c r="BS1075" s="58"/>
      <c r="BT1075" s="83">
        <v>79.790000000000006</v>
      </c>
      <c r="BU1075" s="49">
        <v>78.739999999999995</v>
      </c>
      <c r="CE1075" s="83">
        <v>69.87</v>
      </c>
      <c r="CK1075" s="58"/>
      <c r="CL1075" s="83"/>
      <c r="CO1075" s="58"/>
      <c r="CP1075" s="83">
        <v>72.849999999999994</v>
      </c>
      <c r="CR1075" s="58"/>
      <c r="CS1075" s="83">
        <v>78.709999999999994</v>
      </c>
      <c r="CY1075" s="83"/>
      <c r="DG1075" s="58"/>
      <c r="DH1075" s="83"/>
      <c r="DQ1075" s="83"/>
      <c r="EE1075" s="58"/>
      <c r="EF1075" s="83"/>
      <c r="EI1075" s="83"/>
      <c r="EK1075" s="58"/>
      <c r="EL1075" s="83"/>
      <c r="EO1075" s="58"/>
      <c r="EP1075" s="83"/>
      <c r="EQ1075" s="58"/>
      <c r="ER1075" s="83"/>
      <c r="ES1075" s="58"/>
      <c r="ET1075" s="83"/>
      <c r="EU1075" s="58"/>
    </row>
    <row r="1076" spans="1:151">
      <c r="A1076" s="83" t="s">
        <v>324</v>
      </c>
      <c r="B1076" s="173" t="s">
        <v>546</v>
      </c>
      <c r="C1076" s="173" t="s">
        <v>547</v>
      </c>
      <c r="D1076" s="83" t="s">
        <v>112</v>
      </c>
      <c r="F1076" s="49" t="s">
        <v>286</v>
      </c>
      <c r="G1076" s="49">
        <v>19.445</v>
      </c>
      <c r="I1076" s="49">
        <v>3010</v>
      </c>
      <c r="J1076" s="159">
        <v>1.7073170731707317</v>
      </c>
      <c r="K1076" s="49">
        <v>1</v>
      </c>
      <c r="L1076" s="49">
        <v>1</v>
      </c>
      <c r="M1076" s="83">
        <v>0</v>
      </c>
      <c r="N1076" s="49">
        <v>3</v>
      </c>
      <c r="O1076" s="49">
        <v>0</v>
      </c>
      <c r="P1076" s="49">
        <v>0</v>
      </c>
      <c r="Q1076" s="58">
        <v>0</v>
      </c>
      <c r="R1076" s="42">
        <v>3</v>
      </c>
      <c r="S1076" s="83" t="s">
        <v>283</v>
      </c>
      <c r="T1076" s="49">
        <v>4</v>
      </c>
      <c r="U1076" s="83">
        <v>1</v>
      </c>
      <c r="V1076" s="49">
        <v>1</v>
      </c>
      <c r="W1076" s="49">
        <v>2</v>
      </c>
      <c r="X1076" s="58"/>
      <c r="Y1076" s="83">
        <v>10</v>
      </c>
      <c r="Z1076" s="49">
        <v>4</v>
      </c>
      <c r="AA1076" s="49">
        <v>11</v>
      </c>
      <c r="AD1076" s="49">
        <v>7</v>
      </c>
      <c r="AE1076" s="49">
        <v>338</v>
      </c>
      <c r="AF1076" s="49">
        <v>6</v>
      </c>
      <c r="AG1076" s="49">
        <v>365</v>
      </c>
      <c r="AJ1076" s="49">
        <v>0</v>
      </c>
      <c r="AK1076" s="83">
        <v>0</v>
      </c>
      <c r="AL1076" s="49">
        <v>1</v>
      </c>
      <c r="AM1076" s="49">
        <v>0</v>
      </c>
      <c r="AN1076" s="49">
        <v>0</v>
      </c>
      <c r="AO1076" s="58">
        <v>0</v>
      </c>
      <c r="AP1076" s="174">
        <v>0</v>
      </c>
      <c r="AQ1076" s="175">
        <v>1504</v>
      </c>
      <c r="AR1076" s="175">
        <v>0</v>
      </c>
      <c r="AS1076" s="175">
        <v>0</v>
      </c>
      <c r="AT1076" s="175">
        <v>0</v>
      </c>
      <c r="AU1076" s="175">
        <v>0</v>
      </c>
      <c r="AV1076" s="175">
        <v>0</v>
      </c>
      <c r="AW1076" s="175">
        <v>0</v>
      </c>
      <c r="AX1076" s="83">
        <v>0</v>
      </c>
      <c r="AY1076" s="49">
        <v>0</v>
      </c>
      <c r="AZ1076" s="49">
        <v>0</v>
      </c>
      <c r="BA1076" s="49">
        <v>0</v>
      </c>
      <c r="BB1076" s="58">
        <v>0</v>
      </c>
      <c r="BC1076" s="42">
        <v>117</v>
      </c>
      <c r="BD1076" s="49">
        <v>81.55</v>
      </c>
      <c r="BE1076" s="159">
        <v>81.27</v>
      </c>
      <c r="BS1076" s="58"/>
      <c r="BT1076" s="83">
        <v>79.81</v>
      </c>
      <c r="BU1076" s="49">
        <v>80.45</v>
      </c>
      <c r="BV1076" s="49">
        <v>79.89</v>
      </c>
      <c r="CE1076" s="83"/>
      <c r="CK1076" s="58"/>
      <c r="CL1076" s="83"/>
      <c r="CO1076" s="58"/>
      <c r="CP1076" s="83"/>
      <c r="CR1076" s="58"/>
      <c r="CS1076" s="83"/>
      <c r="CY1076" s="83"/>
      <c r="DG1076" s="58"/>
      <c r="DH1076" s="83"/>
      <c r="DQ1076" s="83">
        <v>78.040000000000006</v>
      </c>
      <c r="EE1076" s="58"/>
      <c r="EF1076" s="83"/>
      <c r="EI1076" s="83"/>
      <c r="EK1076" s="58"/>
      <c r="EL1076" s="83"/>
      <c r="EO1076" s="58"/>
      <c r="EP1076" s="83"/>
      <c r="EQ1076" s="58"/>
      <c r="ER1076" s="83"/>
      <c r="ES1076" s="58"/>
      <c r="ET1076" s="83"/>
      <c r="EU1076" s="58"/>
    </row>
    <row r="1077" spans="1:151">
      <c r="A1077" s="83" t="s">
        <v>324</v>
      </c>
      <c r="B1077" s="173" t="s">
        <v>546</v>
      </c>
      <c r="C1077" s="173" t="s">
        <v>547</v>
      </c>
      <c r="D1077" s="83" t="s">
        <v>94</v>
      </c>
      <c r="F1077" s="49" t="s">
        <v>286</v>
      </c>
      <c r="G1077" s="49">
        <v>19.445</v>
      </c>
      <c r="I1077" s="49">
        <v>1552</v>
      </c>
      <c r="J1077" s="159">
        <v>1.0991501416430596</v>
      </c>
      <c r="K1077" s="49">
        <v>1</v>
      </c>
      <c r="L1077" s="49">
        <v>3</v>
      </c>
      <c r="M1077" s="83">
        <v>0</v>
      </c>
      <c r="N1077" s="49">
        <v>3</v>
      </c>
      <c r="O1077" s="49">
        <v>0</v>
      </c>
      <c r="P1077" s="49">
        <v>0</v>
      </c>
      <c r="Q1077" s="58">
        <v>0</v>
      </c>
      <c r="R1077" s="42">
        <v>3</v>
      </c>
      <c r="S1077" s="83" t="s">
        <v>283</v>
      </c>
      <c r="T1077" s="49">
        <v>5</v>
      </c>
      <c r="U1077" s="83">
        <v>2</v>
      </c>
      <c r="V1077" s="49">
        <v>3</v>
      </c>
      <c r="W1077" s="49">
        <v>3</v>
      </c>
      <c r="X1077" s="58">
        <v>1</v>
      </c>
      <c r="Y1077" s="83">
        <v>1</v>
      </c>
      <c r="Z1077" s="49">
        <v>9</v>
      </c>
      <c r="AA1077" s="49">
        <v>147</v>
      </c>
      <c r="AD1077" s="49">
        <v>11</v>
      </c>
      <c r="AE1077" s="49">
        <v>32</v>
      </c>
      <c r="AF1077" s="49">
        <v>11</v>
      </c>
      <c r="AG1077" s="49">
        <v>42</v>
      </c>
      <c r="AJ1077" s="49">
        <v>0</v>
      </c>
      <c r="AK1077" s="83">
        <v>0</v>
      </c>
      <c r="AL1077" s="49">
        <v>1</v>
      </c>
      <c r="AM1077" s="49">
        <v>0</v>
      </c>
      <c r="AN1077" s="49">
        <v>0</v>
      </c>
      <c r="AO1077" s="58">
        <v>0</v>
      </c>
      <c r="AP1077" s="174">
        <v>70</v>
      </c>
      <c r="AQ1077" s="175">
        <v>148</v>
      </c>
      <c r="AR1077" s="175">
        <v>0</v>
      </c>
      <c r="AS1077" s="175">
        <v>0</v>
      </c>
      <c r="AT1077" s="175">
        <v>0</v>
      </c>
      <c r="AU1077" s="175">
        <v>0</v>
      </c>
      <c r="AV1077" s="175">
        <v>0</v>
      </c>
      <c r="AW1077" s="175">
        <v>0</v>
      </c>
      <c r="AX1077" s="83">
        <v>0</v>
      </c>
      <c r="AY1077" s="49">
        <v>0</v>
      </c>
      <c r="AZ1077" s="49">
        <v>0</v>
      </c>
      <c r="BA1077" s="49">
        <v>0</v>
      </c>
      <c r="BB1077" s="58">
        <v>0</v>
      </c>
      <c r="BC1077" s="42">
        <v>119</v>
      </c>
      <c r="BS1077" s="58"/>
      <c r="BT1077" s="83"/>
      <c r="CE1077" s="83"/>
      <c r="CK1077" s="58"/>
      <c r="CL1077" s="83"/>
      <c r="CO1077" s="58"/>
      <c r="CP1077" s="83"/>
      <c r="CR1077" s="58"/>
      <c r="CS1077" s="83"/>
      <c r="CY1077" s="83"/>
      <c r="DG1077" s="58"/>
      <c r="DH1077" s="83"/>
      <c r="DQ1077" s="83"/>
      <c r="EE1077" s="58"/>
      <c r="EF1077" s="83"/>
      <c r="EI1077" s="83"/>
      <c r="EK1077" s="58"/>
      <c r="EL1077" s="83"/>
      <c r="EO1077" s="58"/>
      <c r="EP1077" s="83"/>
      <c r="EQ1077" s="58"/>
      <c r="ER1077" s="83"/>
      <c r="ES1077" s="58"/>
      <c r="ET1077" s="83"/>
      <c r="EU1077" s="58"/>
    </row>
    <row r="1078" spans="1:151">
      <c r="A1078" s="83" t="s">
        <v>324</v>
      </c>
      <c r="B1078" s="173" t="s">
        <v>546</v>
      </c>
      <c r="C1078" s="173" t="s">
        <v>547</v>
      </c>
      <c r="D1078" s="83" t="s">
        <v>95</v>
      </c>
      <c r="F1078" s="49" t="s">
        <v>286</v>
      </c>
      <c r="G1078" s="49">
        <v>19.445</v>
      </c>
      <c r="I1078" s="49">
        <v>1806</v>
      </c>
      <c r="J1078" s="159">
        <v>1.7568093385214008</v>
      </c>
      <c r="K1078" s="49">
        <v>1</v>
      </c>
      <c r="L1078" s="49">
        <v>2</v>
      </c>
      <c r="M1078" s="83">
        <v>0</v>
      </c>
      <c r="N1078" s="49">
        <v>0</v>
      </c>
      <c r="O1078" s="49">
        <v>0</v>
      </c>
      <c r="P1078" s="49">
        <v>1</v>
      </c>
      <c r="Q1078" s="58">
        <v>0</v>
      </c>
      <c r="R1078" s="42">
        <v>1</v>
      </c>
      <c r="S1078" s="83" t="s">
        <v>283</v>
      </c>
      <c r="T1078" s="49">
        <v>7</v>
      </c>
      <c r="U1078" s="83">
        <v>1</v>
      </c>
      <c r="V1078" s="49">
        <v>2</v>
      </c>
      <c r="W1078" s="49">
        <v>2</v>
      </c>
      <c r="X1078" s="58"/>
      <c r="Y1078" s="83">
        <v>1</v>
      </c>
      <c r="AE1078" s="49">
        <v>9</v>
      </c>
      <c r="AG1078" s="49">
        <v>112</v>
      </c>
      <c r="AJ1078" s="49">
        <v>0</v>
      </c>
      <c r="AK1078" s="83">
        <v>0</v>
      </c>
      <c r="AL1078" s="49">
        <v>0</v>
      </c>
      <c r="AM1078" s="49">
        <v>0</v>
      </c>
      <c r="AN1078" s="49">
        <v>0</v>
      </c>
      <c r="AO1078" s="58">
        <v>0</v>
      </c>
      <c r="AP1078" s="174">
        <v>0</v>
      </c>
      <c r="AQ1078" s="175">
        <v>0</v>
      </c>
      <c r="AR1078" s="175">
        <v>0</v>
      </c>
      <c r="AS1078" s="175">
        <v>0</v>
      </c>
      <c r="AT1078" s="175">
        <v>0</v>
      </c>
      <c r="AU1078" s="175">
        <v>0</v>
      </c>
      <c r="AV1078" s="175">
        <v>0</v>
      </c>
      <c r="AW1078" s="175">
        <v>0</v>
      </c>
      <c r="AX1078" s="83">
        <v>0</v>
      </c>
      <c r="AY1078" s="49">
        <v>0</v>
      </c>
      <c r="AZ1078" s="49">
        <v>0</v>
      </c>
      <c r="BA1078" s="49">
        <v>0</v>
      </c>
      <c r="BB1078" s="58">
        <v>0</v>
      </c>
      <c r="BC1078" s="42">
        <v>98</v>
      </c>
      <c r="BS1078" s="58"/>
      <c r="BT1078" s="83"/>
      <c r="CE1078" s="83"/>
      <c r="CK1078" s="58"/>
      <c r="CL1078" s="83"/>
      <c r="CO1078" s="58"/>
      <c r="CP1078" s="83"/>
      <c r="CR1078" s="58"/>
      <c r="CS1078" s="83"/>
      <c r="CY1078" s="83"/>
      <c r="DG1078" s="58"/>
      <c r="DH1078" s="83"/>
      <c r="DQ1078" s="83"/>
      <c r="EE1078" s="58"/>
      <c r="EF1078" s="83"/>
      <c r="EI1078" s="83"/>
      <c r="EK1078" s="58"/>
      <c r="EL1078" s="83"/>
      <c r="EO1078" s="58"/>
      <c r="EP1078" s="83"/>
      <c r="EQ1078" s="58"/>
      <c r="ER1078" s="83"/>
      <c r="ES1078" s="58"/>
      <c r="ET1078" s="83"/>
      <c r="EU1078" s="58"/>
    </row>
    <row r="1079" spans="1:151">
      <c r="A1079" s="83" t="s">
        <v>324</v>
      </c>
      <c r="B1079" s="173" t="s">
        <v>546</v>
      </c>
      <c r="C1079" s="173" t="s">
        <v>547</v>
      </c>
      <c r="D1079" s="83" t="s">
        <v>96</v>
      </c>
      <c r="F1079" s="49" t="s">
        <v>286</v>
      </c>
      <c r="G1079" s="49">
        <v>19.445</v>
      </c>
      <c r="I1079" s="49">
        <v>1903</v>
      </c>
      <c r="J1079" s="159">
        <v>1.2823450134770888</v>
      </c>
      <c r="K1079" s="49">
        <v>4</v>
      </c>
      <c r="L1079" s="49">
        <v>4</v>
      </c>
      <c r="M1079" s="83">
        <v>1</v>
      </c>
      <c r="N1079" s="49">
        <v>2</v>
      </c>
      <c r="O1079" s="49">
        <v>0</v>
      </c>
      <c r="P1079" s="49">
        <v>1</v>
      </c>
      <c r="Q1079" s="58">
        <v>0</v>
      </c>
      <c r="R1079" s="42">
        <v>4</v>
      </c>
      <c r="S1079" s="83" t="s">
        <v>283</v>
      </c>
      <c r="T1079" s="49">
        <v>6</v>
      </c>
      <c r="U1079" s="83">
        <v>2</v>
      </c>
      <c r="V1079" s="49">
        <v>4</v>
      </c>
      <c r="W1079" s="49">
        <v>3</v>
      </c>
      <c r="X1079" s="58">
        <v>2</v>
      </c>
      <c r="Y1079" s="83">
        <v>4</v>
      </c>
      <c r="Z1079" s="49">
        <v>5</v>
      </c>
      <c r="AA1079" s="49">
        <v>24</v>
      </c>
      <c r="AD1079" s="49">
        <v>4</v>
      </c>
      <c r="AE1079" s="49">
        <v>122</v>
      </c>
      <c r="AF1079" s="49">
        <v>4</v>
      </c>
      <c r="AG1079" s="49">
        <v>86</v>
      </c>
      <c r="AH1079" s="49">
        <v>22</v>
      </c>
      <c r="AI1079" s="49">
        <v>176</v>
      </c>
      <c r="AJ1079" s="49">
        <v>0</v>
      </c>
      <c r="AK1079" s="83">
        <v>0</v>
      </c>
      <c r="AL1079" s="49">
        <v>1</v>
      </c>
      <c r="AM1079" s="49">
        <v>0</v>
      </c>
      <c r="AN1079" s="49">
        <v>0</v>
      </c>
      <c r="AO1079" s="58">
        <v>0</v>
      </c>
      <c r="AP1079" s="174">
        <v>0</v>
      </c>
      <c r="AQ1079" s="175">
        <v>554</v>
      </c>
      <c r="AR1079" s="175">
        <v>0</v>
      </c>
      <c r="AS1079" s="175">
        <v>0</v>
      </c>
      <c r="AT1079" s="175">
        <v>0</v>
      </c>
      <c r="AU1079" s="175">
        <v>0</v>
      </c>
      <c r="AV1079" s="175">
        <v>0</v>
      </c>
      <c r="AW1079" s="175">
        <v>0</v>
      </c>
      <c r="AX1079" s="83">
        <v>0</v>
      </c>
      <c r="AY1079" s="49">
        <v>0</v>
      </c>
      <c r="AZ1079" s="49">
        <v>0</v>
      </c>
      <c r="BA1079" s="49">
        <v>0</v>
      </c>
      <c r="BB1079" s="58">
        <v>0</v>
      </c>
      <c r="BC1079" s="42">
        <v>117</v>
      </c>
      <c r="BS1079" s="58"/>
      <c r="BT1079" s="83">
        <v>77.42</v>
      </c>
      <c r="BU1079" s="49">
        <v>79.06</v>
      </c>
      <c r="CE1079" s="83">
        <v>70.75</v>
      </c>
      <c r="CK1079" s="58"/>
      <c r="CL1079" s="83"/>
      <c r="CO1079" s="58"/>
      <c r="CP1079" s="83"/>
      <c r="CR1079" s="58"/>
      <c r="CS1079" s="83"/>
      <c r="CY1079" s="83"/>
      <c r="DG1079" s="58"/>
      <c r="DH1079" s="83"/>
      <c r="DQ1079" s="83">
        <v>71.62</v>
      </c>
      <c r="EE1079" s="58"/>
      <c r="EF1079" s="83"/>
      <c r="EI1079" s="83"/>
      <c r="EK1079" s="58"/>
      <c r="EL1079" s="83"/>
      <c r="EO1079" s="58"/>
      <c r="EP1079" s="83"/>
      <c r="EQ1079" s="58"/>
      <c r="ER1079" s="83"/>
      <c r="ES1079" s="58"/>
      <c r="ET1079" s="83"/>
      <c r="EU1079" s="58"/>
    </row>
    <row r="1080" spans="1:151">
      <c r="A1080" s="83" t="s">
        <v>324</v>
      </c>
      <c r="B1080" s="173" t="s">
        <v>546</v>
      </c>
      <c r="C1080" s="173" t="s">
        <v>547</v>
      </c>
      <c r="D1080" s="83" t="s">
        <v>97</v>
      </c>
      <c r="F1080" s="49" t="s">
        <v>286</v>
      </c>
      <c r="G1080" s="49">
        <v>19.445</v>
      </c>
      <c r="I1080" s="49">
        <v>2491</v>
      </c>
      <c r="J1080" s="159">
        <v>1.1421366345712975</v>
      </c>
      <c r="K1080" s="49">
        <v>4</v>
      </c>
      <c r="L1080" s="49">
        <v>3</v>
      </c>
      <c r="M1080" s="83">
        <v>1</v>
      </c>
      <c r="N1080" s="49">
        <v>0</v>
      </c>
      <c r="O1080" s="49">
        <v>0</v>
      </c>
      <c r="P1080" s="49">
        <v>1</v>
      </c>
      <c r="Q1080" s="58">
        <v>0</v>
      </c>
      <c r="R1080" s="42">
        <v>2</v>
      </c>
      <c r="S1080" s="83" t="s">
        <v>283</v>
      </c>
      <c r="T1080" s="49">
        <v>4</v>
      </c>
      <c r="U1080" s="83">
        <v>2</v>
      </c>
      <c r="V1080" s="49">
        <v>3</v>
      </c>
      <c r="W1080" s="49">
        <v>1</v>
      </c>
      <c r="X1080" s="58">
        <v>3</v>
      </c>
      <c r="Y1080" s="83">
        <v>5</v>
      </c>
      <c r="Z1080" s="49">
        <v>9</v>
      </c>
      <c r="AA1080" s="49">
        <v>52</v>
      </c>
      <c r="AD1080" s="49">
        <v>12</v>
      </c>
      <c r="AE1080" s="49">
        <v>107</v>
      </c>
      <c r="AF1080" s="49">
        <v>7</v>
      </c>
      <c r="AG1080" s="49">
        <v>64</v>
      </c>
      <c r="AH1080" s="49">
        <v>26</v>
      </c>
      <c r="AI1080" s="49">
        <v>798</v>
      </c>
      <c r="AJ1080" s="49">
        <v>0</v>
      </c>
      <c r="AK1080" s="83">
        <v>0</v>
      </c>
      <c r="AL1080" s="49">
        <v>1</v>
      </c>
      <c r="AM1080" s="49">
        <v>0</v>
      </c>
      <c r="AN1080" s="49">
        <v>0</v>
      </c>
      <c r="AO1080" s="58">
        <v>0</v>
      </c>
      <c r="AP1080" s="174">
        <v>55</v>
      </c>
      <c r="AQ1080" s="175">
        <v>224</v>
      </c>
      <c r="AR1080" s="175">
        <v>0</v>
      </c>
      <c r="AS1080" s="175">
        <v>0</v>
      </c>
      <c r="AT1080" s="175">
        <v>0</v>
      </c>
      <c r="AU1080" s="175">
        <v>0</v>
      </c>
      <c r="AV1080" s="175">
        <v>0</v>
      </c>
      <c r="AW1080" s="175">
        <v>0</v>
      </c>
      <c r="AX1080" s="83">
        <v>0</v>
      </c>
      <c r="AY1080" s="49">
        <v>0</v>
      </c>
      <c r="AZ1080" s="49">
        <v>0</v>
      </c>
      <c r="BA1080" s="49">
        <v>0</v>
      </c>
      <c r="BB1080" s="58">
        <v>0</v>
      </c>
      <c r="BC1080" s="42">
        <v>122</v>
      </c>
      <c r="BD1080" s="49">
        <v>78.819999999999993</v>
      </c>
      <c r="BE1080" s="159">
        <v>80.459999999999994</v>
      </c>
      <c r="BF1080" s="49">
        <v>79.38</v>
      </c>
      <c r="BG1080" s="49">
        <v>80.099999999999994</v>
      </c>
      <c r="BS1080" s="58"/>
      <c r="BT1080" s="83">
        <v>83.28</v>
      </c>
      <c r="CE1080" s="83">
        <v>78.84</v>
      </c>
      <c r="CK1080" s="58"/>
      <c r="CL1080" s="83"/>
      <c r="CO1080" s="58"/>
      <c r="CP1080" s="83"/>
      <c r="CR1080" s="58"/>
      <c r="CS1080" s="83"/>
      <c r="CY1080" s="83"/>
      <c r="DG1080" s="58"/>
      <c r="DH1080" s="83"/>
      <c r="DQ1080" s="83"/>
      <c r="EE1080" s="58"/>
      <c r="EF1080" s="83"/>
      <c r="EI1080" s="83"/>
      <c r="EK1080" s="58"/>
      <c r="EL1080" s="83"/>
      <c r="EO1080" s="58"/>
      <c r="EP1080" s="83"/>
      <c r="EQ1080" s="58"/>
      <c r="ER1080" s="83"/>
      <c r="ES1080" s="58"/>
      <c r="ET1080" s="83"/>
      <c r="EU1080" s="58"/>
    </row>
    <row r="1081" spans="1:151">
      <c r="A1081" s="83" t="s">
        <v>324</v>
      </c>
      <c r="B1081" s="173" t="s">
        <v>546</v>
      </c>
      <c r="C1081" s="173" t="s">
        <v>547</v>
      </c>
      <c r="D1081" s="83" t="s">
        <v>98</v>
      </c>
      <c r="F1081" s="49" t="s">
        <v>286</v>
      </c>
      <c r="G1081" s="49">
        <v>19.445</v>
      </c>
      <c r="I1081" s="49">
        <v>2360</v>
      </c>
      <c r="J1081" s="159">
        <v>2.1751152073732718</v>
      </c>
      <c r="K1081" s="49">
        <v>1</v>
      </c>
      <c r="L1081" s="49">
        <v>2</v>
      </c>
      <c r="M1081" s="83">
        <v>0</v>
      </c>
      <c r="N1081" s="49">
        <v>0</v>
      </c>
      <c r="O1081" s="49">
        <v>0</v>
      </c>
      <c r="P1081" s="49">
        <v>1</v>
      </c>
      <c r="Q1081" s="58">
        <v>0</v>
      </c>
      <c r="R1081" s="42">
        <v>1</v>
      </c>
      <c r="S1081" s="83">
        <v>1</v>
      </c>
      <c r="U1081" s="83">
        <v>1</v>
      </c>
      <c r="V1081" s="49">
        <v>1</v>
      </c>
      <c r="W1081" s="49">
        <v>1</v>
      </c>
      <c r="X1081" s="58">
        <v>2</v>
      </c>
      <c r="Y1081" s="83">
        <v>0</v>
      </c>
      <c r="AJ1081" s="49">
        <v>0</v>
      </c>
      <c r="AK1081" s="83">
        <v>0</v>
      </c>
      <c r="AL1081" s="49">
        <v>1</v>
      </c>
      <c r="AM1081" s="49">
        <v>0</v>
      </c>
      <c r="AN1081" s="49">
        <v>0</v>
      </c>
      <c r="AO1081" s="58">
        <v>0</v>
      </c>
      <c r="AP1081" s="174">
        <v>715</v>
      </c>
      <c r="AQ1081" s="175">
        <v>1142</v>
      </c>
      <c r="AR1081" s="175">
        <v>0</v>
      </c>
      <c r="AS1081" s="175">
        <v>0</v>
      </c>
      <c r="AT1081" s="175">
        <v>0</v>
      </c>
      <c r="AU1081" s="175">
        <v>0</v>
      </c>
      <c r="AV1081" s="175">
        <v>0</v>
      </c>
      <c r="AW1081" s="175">
        <v>0</v>
      </c>
      <c r="AX1081" s="83">
        <v>0</v>
      </c>
      <c r="AY1081" s="49">
        <v>0</v>
      </c>
      <c r="AZ1081" s="49">
        <v>0</v>
      </c>
      <c r="BA1081" s="49">
        <v>0</v>
      </c>
      <c r="BB1081" s="58">
        <v>0</v>
      </c>
      <c r="BC1081" s="42">
        <v>119</v>
      </c>
      <c r="BS1081" s="58"/>
      <c r="BT1081" s="83"/>
      <c r="CE1081" s="83"/>
      <c r="CK1081" s="58"/>
      <c r="CL1081" s="83"/>
      <c r="CO1081" s="58"/>
      <c r="CP1081" s="83"/>
      <c r="CR1081" s="58"/>
      <c r="CS1081" s="83"/>
      <c r="CY1081" s="83"/>
      <c r="DG1081" s="58"/>
      <c r="DH1081" s="83"/>
      <c r="DQ1081" s="83"/>
      <c r="EE1081" s="58"/>
      <c r="EF1081" s="83"/>
      <c r="EI1081" s="83"/>
      <c r="EK1081" s="58"/>
      <c r="EL1081" s="83"/>
      <c r="EO1081" s="58"/>
      <c r="EP1081" s="83"/>
      <c r="EQ1081" s="58"/>
      <c r="ER1081" s="83"/>
      <c r="ES1081" s="58"/>
      <c r="ET1081" s="83"/>
      <c r="EU1081" s="58"/>
    </row>
    <row r="1082" spans="1:151">
      <c r="A1082" s="83" t="s">
        <v>324</v>
      </c>
      <c r="B1082" s="173" t="s">
        <v>546</v>
      </c>
      <c r="C1082" s="173" t="s">
        <v>547</v>
      </c>
      <c r="D1082" s="83" t="s">
        <v>99</v>
      </c>
      <c r="F1082" s="49" t="s">
        <v>286</v>
      </c>
      <c r="G1082" s="49">
        <v>19.445</v>
      </c>
      <c r="I1082" s="49">
        <v>2520</v>
      </c>
      <c r="J1082" s="159">
        <v>1.3938053097345133</v>
      </c>
      <c r="K1082" s="49">
        <v>1</v>
      </c>
      <c r="L1082" s="49">
        <v>2</v>
      </c>
      <c r="M1082" s="83">
        <v>1</v>
      </c>
      <c r="N1082" s="49">
        <v>0</v>
      </c>
      <c r="O1082" s="49">
        <v>0</v>
      </c>
      <c r="P1082" s="49">
        <v>1</v>
      </c>
      <c r="Q1082" s="58">
        <v>0</v>
      </c>
      <c r="R1082" s="42">
        <v>2</v>
      </c>
      <c r="S1082" s="83">
        <v>1</v>
      </c>
      <c r="U1082" s="83">
        <v>1</v>
      </c>
      <c r="V1082" s="49">
        <v>2</v>
      </c>
      <c r="W1082" s="49">
        <v>2</v>
      </c>
      <c r="X1082" s="58"/>
      <c r="Y1082" s="83">
        <v>1</v>
      </c>
      <c r="Z1082" s="49">
        <v>9</v>
      </c>
      <c r="AA1082" s="49">
        <v>20</v>
      </c>
      <c r="AD1082" s="49">
        <v>11</v>
      </c>
      <c r="AE1082" s="49">
        <v>44</v>
      </c>
      <c r="AF1082" s="49">
        <v>5</v>
      </c>
      <c r="AG1082" s="49">
        <v>18</v>
      </c>
      <c r="AH1082" s="49">
        <v>32</v>
      </c>
      <c r="AI1082" s="49">
        <v>45</v>
      </c>
      <c r="AJ1082" s="49">
        <v>0</v>
      </c>
      <c r="AK1082" s="83">
        <v>0</v>
      </c>
      <c r="AL1082" s="49">
        <v>0</v>
      </c>
      <c r="AM1082" s="49">
        <v>0</v>
      </c>
      <c r="AN1082" s="49">
        <v>0</v>
      </c>
      <c r="AO1082" s="58">
        <v>0</v>
      </c>
      <c r="AP1082" s="174" t="s">
        <v>284</v>
      </c>
      <c r="AQ1082" s="175" t="s">
        <v>284</v>
      </c>
      <c r="AR1082" s="175" t="s">
        <v>284</v>
      </c>
      <c r="AS1082" s="175" t="s">
        <v>284</v>
      </c>
      <c r="AT1082" s="175" t="s">
        <v>284</v>
      </c>
      <c r="AU1082" s="175" t="s">
        <v>284</v>
      </c>
      <c r="AV1082" s="175" t="s">
        <v>284</v>
      </c>
      <c r="AW1082" s="175" t="s">
        <v>284</v>
      </c>
      <c r="AX1082" s="83">
        <v>1</v>
      </c>
      <c r="AY1082" s="49">
        <v>0</v>
      </c>
      <c r="AZ1082" s="49">
        <v>0</v>
      </c>
      <c r="BA1082" s="49">
        <v>0</v>
      </c>
      <c r="BB1082" s="58">
        <v>1</v>
      </c>
      <c r="BC1082" s="42">
        <v>104</v>
      </c>
      <c r="BS1082" s="58"/>
      <c r="BT1082" s="83"/>
      <c r="CE1082" s="83"/>
      <c r="CK1082" s="58"/>
      <c r="CL1082" s="83"/>
      <c r="CO1082" s="58"/>
      <c r="CP1082" s="83"/>
      <c r="CR1082" s="58"/>
      <c r="CS1082" s="83"/>
      <c r="CY1082" s="83"/>
      <c r="DG1082" s="58"/>
      <c r="DH1082" s="83"/>
      <c r="DQ1082" s="83"/>
      <c r="EE1082" s="58"/>
      <c r="EF1082" s="83"/>
      <c r="EI1082" s="83"/>
      <c r="EK1082" s="58"/>
      <c r="EL1082" s="83"/>
      <c r="EO1082" s="58"/>
      <c r="EP1082" s="83"/>
      <c r="EQ1082" s="58"/>
      <c r="ER1082" s="83"/>
      <c r="ES1082" s="58"/>
      <c r="ET1082" s="83"/>
      <c r="EU1082" s="58"/>
    </row>
    <row r="1083" spans="1:151">
      <c r="A1083" s="83" t="s">
        <v>324</v>
      </c>
      <c r="B1083" s="173" t="s">
        <v>546</v>
      </c>
      <c r="C1083" s="173" t="s">
        <v>547</v>
      </c>
      <c r="D1083" s="83" t="s">
        <v>100</v>
      </c>
      <c r="F1083" s="49" t="s">
        <v>286</v>
      </c>
      <c r="G1083" s="49">
        <v>19.445</v>
      </c>
      <c r="I1083" s="49">
        <v>2722</v>
      </c>
      <c r="J1083" s="159">
        <v>1.7583979328165376</v>
      </c>
      <c r="K1083" s="49">
        <v>1</v>
      </c>
      <c r="L1083" s="49">
        <v>2</v>
      </c>
      <c r="M1083" s="83">
        <v>0</v>
      </c>
      <c r="N1083" s="49">
        <v>0</v>
      </c>
      <c r="O1083" s="49">
        <v>1</v>
      </c>
      <c r="P1083" s="49">
        <v>1</v>
      </c>
      <c r="Q1083" s="58">
        <v>0</v>
      </c>
      <c r="R1083" s="42">
        <v>2</v>
      </c>
      <c r="S1083" s="83">
        <v>1</v>
      </c>
      <c r="U1083" s="83">
        <v>2</v>
      </c>
      <c r="V1083" s="49">
        <v>3</v>
      </c>
      <c r="W1083" s="49">
        <v>1</v>
      </c>
      <c r="X1083" s="58">
        <v>3</v>
      </c>
      <c r="Y1083" s="83">
        <v>1</v>
      </c>
      <c r="Z1083" s="49">
        <v>7</v>
      </c>
      <c r="AA1083" s="49">
        <v>23</v>
      </c>
      <c r="AD1083" s="49">
        <v>9</v>
      </c>
      <c r="AE1083" s="49">
        <v>27</v>
      </c>
      <c r="AF1083" s="49">
        <v>13</v>
      </c>
      <c r="AG1083" s="49">
        <v>135</v>
      </c>
      <c r="AJ1083" s="49">
        <v>0</v>
      </c>
      <c r="AK1083" s="83">
        <v>0</v>
      </c>
      <c r="AL1083" s="49">
        <v>1</v>
      </c>
      <c r="AM1083" s="49">
        <v>0</v>
      </c>
      <c r="AN1083" s="49">
        <v>0</v>
      </c>
      <c r="AO1083" s="58">
        <v>0</v>
      </c>
      <c r="AP1083" s="174">
        <v>0</v>
      </c>
      <c r="AQ1083" s="175">
        <v>2282</v>
      </c>
      <c r="AR1083" s="175">
        <v>0</v>
      </c>
      <c r="AS1083" s="175">
        <v>0</v>
      </c>
      <c r="AT1083" s="175">
        <v>0</v>
      </c>
      <c r="AU1083" s="175">
        <v>0</v>
      </c>
      <c r="AV1083" s="175">
        <v>0</v>
      </c>
      <c r="AW1083" s="175">
        <v>0</v>
      </c>
      <c r="AX1083" s="83">
        <v>0</v>
      </c>
      <c r="AY1083" s="49">
        <v>0</v>
      </c>
      <c r="AZ1083" s="49">
        <v>0</v>
      </c>
      <c r="BA1083" s="49">
        <v>0</v>
      </c>
      <c r="BB1083" s="58">
        <v>0</v>
      </c>
      <c r="BC1083" s="42">
        <v>119</v>
      </c>
      <c r="BS1083" s="58"/>
      <c r="BT1083" s="83"/>
      <c r="CE1083" s="83"/>
      <c r="CK1083" s="58"/>
      <c r="CL1083" s="83"/>
      <c r="CO1083" s="58"/>
      <c r="CP1083" s="83"/>
      <c r="CR1083" s="58"/>
      <c r="CS1083" s="83"/>
      <c r="CY1083" s="83"/>
      <c r="DG1083" s="58"/>
      <c r="DH1083" s="83"/>
      <c r="DQ1083" s="83"/>
      <c r="EE1083" s="58"/>
      <c r="EF1083" s="83"/>
      <c r="EI1083" s="83"/>
      <c r="EK1083" s="58"/>
      <c r="EL1083" s="83"/>
      <c r="EO1083" s="58"/>
      <c r="EP1083" s="83"/>
      <c r="EQ1083" s="58"/>
      <c r="ER1083" s="83"/>
      <c r="ES1083" s="58"/>
      <c r="ET1083" s="83"/>
      <c r="EU1083" s="58"/>
    </row>
    <row r="1084" spans="1:151">
      <c r="A1084" s="83" t="s">
        <v>324</v>
      </c>
      <c r="B1084" s="173" t="s">
        <v>546</v>
      </c>
      <c r="C1084" s="173" t="s">
        <v>547</v>
      </c>
      <c r="D1084" s="83" t="s">
        <v>114</v>
      </c>
      <c r="F1084" s="49" t="s">
        <v>286</v>
      </c>
      <c r="G1084" s="49">
        <v>19.445</v>
      </c>
      <c r="I1084" s="49">
        <v>1750</v>
      </c>
      <c r="J1084" s="159">
        <v>3.6919831223628692</v>
      </c>
      <c r="K1084" s="49">
        <v>1</v>
      </c>
      <c r="L1084" s="49">
        <v>1</v>
      </c>
      <c r="M1084" s="83">
        <v>0</v>
      </c>
      <c r="N1084" s="49">
        <v>0</v>
      </c>
      <c r="O1084" s="49">
        <v>0</v>
      </c>
      <c r="P1084" s="49">
        <v>0</v>
      </c>
      <c r="Q1084" s="58">
        <v>0</v>
      </c>
      <c r="R1084" s="42">
        <v>0</v>
      </c>
      <c r="S1084" s="83" t="s">
        <v>283</v>
      </c>
      <c r="T1084" s="49">
        <v>7</v>
      </c>
      <c r="U1084" s="83">
        <v>1</v>
      </c>
      <c r="V1084" s="49">
        <v>1</v>
      </c>
      <c r="W1084" s="49">
        <v>2</v>
      </c>
      <c r="X1084" s="58"/>
      <c r="Y1084" s="83">
        <v>5</v>
      </c>
      <c r="AD1084" s="49">
        <v>7</v>
      </c>
      <c r="AE1084" s="49">
        <v>17</v>
      </c>
      <c r="AF1084" s="49">
        <v>9</v>
      </c>
      <c r="AG1084" s="49">
        <v>295</v>
      </c>
      <c r="AJ1084" s="49">
        <v>0</v>
      </c>
      <c r="AK1084" s="83">
        <v>0</v>
      </c>
      <c r="AL1084" s="49">
        <v>1</v>
      </c>
      <c r="AM1084" s="49">
        <v>0</v>
      </c>
      <c r="AN1084" s="49">
        <v>0</v>
      </c>
      <c r="AO1084" s="58">
        <v>0</v>
      </c>
      <c r="AP1084" s="174">
        <v>0</v>
      </c>
      <c r="AQ1084" s="175">
        <v>71</v>
      </c>
      <c r="AR1084" s="175">
        <v>0</v>
      </c>
      <c r="AS1084" s="175">
        <v>0</v>
      </c>
      <c r="AT1084" s="175">
        <v>0</v>
      </c>
      <c r="AU1084" s="175">
        <v>0</v>
      </c>
      <c r="AV1084" s="175">
        <v>0</v>
      </c>
      <c r="AW1084" s="175">
        <v>0</v>
      </c>
      <c r="AX1084" s="83">
        <v>0</v>
      </c>
      <c r="AY1084" s="49">
        <v>0</v>
      </c>
      <c r="AZ1084" s="49">
        <v>0</v>
      </c>
      <c r="BA1084" s="49">
        <v>0</v>
      </c>
      <c r="BB1084" s="58">
        <v>0</v>
      </c>
      <c r="BC1084" s="42">
        <v>122</v>
      </c>
      <c r="BS1084" s="58"/>
      <c r="BT1084" s="83"/>
      <c r="CE1084" s="83"/>
      <c r="CK1084" s="58"/>
      <c r="CL1084" s="83"/>
      <c r="CO1084" s="58"/>
      <c r="CP1084" s="83"/>
      <c r="CR1084" s="58"/>
      <c r="CS1084" s="83"/>
      <c r="CY1084" s="83"/>
      <c r="DG1084" s="58"/>
      <c r="DH1084" s="83"/>
      <c r="DQ1084" s="83"/>
      <c r="EE1084" s="58"/>
      <c r="EF1084" s="83"/>
      <c r="EI1084" s="83"/>
      <c r="EK1084" s="58"/>
      <c r="EL1084" s="83"/>
      <c r="EO1084" s="58"/>
      <c r="EP1084" s="83"/>
      <c r="EQ1084" s="58"/>
      <c r="ER1084" s="83"/>
      <c r="ES1084" s="58"/>
      <c r="ET1084" s="83"/>
      <c r="EU1084" s="58"/>
    </row>
    <row r="1085" spans="1:151">
      <c r="A1085" s="83" t="s">
        <v>324</v>
      </c>
      <c r="B1085" s="173" t="s">
        <v>546</v>
      </c>
      <c r="C1085" s="173" t="s">
        <v>547</v>
      </c>
      <c r="D1085" s="83" t="s">
        <v>119</v>
      </c>
      <c r="F1085" s="49" t="s">
        <v>286</v>
      </c>
      <c r="G1085" s="49">
        <v>19.445</v>
      </c>
      <c r="I1085" s="49">
        <v>2793</v>
      </c>
      <c r="J1085" s="159">
        <v>3.4868913857677901</v>
      </c>
      <c r="K1085" s="49">
        <v>4</v>
      </c>
      <c r="L1085" s="49">
        <v>4</v>
      </c>
      <c r="M1085" s="83">
        <v>0</v>
      </c>
      <c r="N1085" s="49">
        <v>2</v>
      </c>
      <c r="O1085" s="49">
        <v>1</v>
      </c>
      <c r="P1085" s="49">
        <v>1</v>
      </c>
      <c r="Q1085" s="58">
        <v>0</v>
      </c>
      <c r="R1085" s="42">
        <v>4</v>
      </c>
      <c r="S1085" s="83">
        <v>1</v>
      </c>
      <c r="U1085" s="83">
        <v>1</v>
      </c>
      <c r="V1085" s="49">
        <v>4</v>
      </c>
      <c r="W1085" s="49">
        <v>1</v>
      </c>
      <c r="X1085" s="58">
        <v>1</v>
      </c>
      <c r="Y1085" s="83">
        <v>3</v>
      </c>
      <c r="Z1085" s="49">
        <v>4</v>
      </c>
      <c r="AA1085" s="49">
        <v>21</v>
      </c>
      <c r="AD1085" s="49">
        <v>15</v>
      </c>
      <c r="AE1085" s="49">
        <v>18</v>
      </c>
      <c r="AH1085" s="49">
        <v>78</v>
      </c>
      <c r="AI1085" s="49">
        <v>192</v>
      </c>
      <c r="AJ1085" s="49">
        <v>0</v>
      </c>
      <c r="AK1085" s="83">
        <v>0</v>
      </c>
      <c r="AL1085" s="49">
        <v>1</v>
      </c>
      <c r="AM1085" s="49">
        <v>0</v>
      </c>
      <c r="AN1085" s="49">
        <v>0</v>
      </c>
      <c r="AO1085" s="58">
        <v>0</v>
      </c>
      <c r="AP1085" s="174">
        <v>0</v>
      </c>
      <c r="AQ1085" s="175">
        <v>1705</v>
      </c>
      <c r="AR1085" s="175">
        <v>0</v>
      </c>
      <c r="AS1085" s="175">
        <v>0</v>
      </c>
      <c r="AT1085" s="175">
        <v>0</v>
      </c>
      <c r="AU1085" s="175">
        <v>0</v>
      </c>
      <c r="AV1085" s="175">
        <v>0</v>
      </c>
      <c r="AW1085" s="175">
        <v>0</v>
      </c>
      <c r="AX1085" s="83">
        <v>0</v>
      </c>
      <c r="AY1085" s="49">
        <v>0</v>
      </c>
      <c r="AZ1085" s="49">
        <v>0</v>
      </c>
      <c r="BA1085" s="49">
        <v>0</v>
      </c>
      <c r="BB1085" s="58">
        <v>0</v>
      </c>
      <c r="BC1085" s="42">
        <v>142</v>
      </c>
      <c r="BS1085" s="58"/>
      <c r="BT1085" s="83"/>
      <c r="CE1085" s="83"/>
      <c r="CK1085" s="58"/>
      <c r="CL1085" s="83"/>
      <c r="CO1085" s="58"/>
      <c r="CP1085" s="83"/>
      <c r="CR1085" s="58"/>
      <c r="CS1085" s="83"/>
      <c r="CY1085" s="83"/>
      <c r="DG1085" s="58"/>
      <c r="DH1085" s="83"/>
      <c r="DQ1085" s="83"/>
      <c r="EE1085" s="58"/>
      <c r="EF1085" s="83"/>
      <c r="EI1085" s="83"/>
      <c r="EK1085" s="58"/>
      <c r="EL1085" s="83"/>
      <c r="EO1085" s="58"/>
      <c r="EP1085" s="83"/>
      <c r="EQ1085" s="58"/>
      <c r="ER1085" s="83"/>
      <c r="ES1085" s="58"/>
      <c r="ET1085" s="83"/>
      <c r="EU1085" s="58"/>
    </row>
    <row r="1086" spans="1:151">
      <c r="A1086" s="83" t="s">
        <v>324</v>
      </c>
      <c r="B1086" s="173" t="s">
        <v>546</v>
      </c>
      <c r="C1086" s="173" t="s">
        <v>547</v>
      </c>
      <c r="D1086" s="83" t="s">
        <v>120</v>
      </c>
      <c r="F1086" s="49" t="s">
        <v>286</v>
      </c>
      <c r="G1086" s="49">
        <v>19.445</v>
      </c>
      <c r="I1086" s="49">
        <v>2620</v>
      </c>
      <c r="J1086" s="159">
        <v>1.4139233675121425</v>
      </c>
      <c r="K1086" s="49">
        <v>1</v>
      </c>
      <c r="L1086" s="49">
        <v>2</v>
      </c>
      <c r="M1086" s="83">
        <v>0</v>
      </c>
      <c r="N1086" s="49">
        <v>0</v>
      </c>
      <c r="O1086" s="49">
        <v>1</v>
      </c>
      <c r="P1086" s="49">
        <v>1</v>
      </c>
      <c r="Q1086" s="58">
        <v>0</v>
      </c>
      <c r="R1086" s="42">
        <v>2</v>
      </c>
      <c r="S1086" s="83" t="s">
        <v>283</v>
      </c>
      <c r="T1086" s="49">
        <v>17</v>
      </c>
      <c r="U1086" s="83">
        <v>2</v>
      </c>
      <c r="V1086" s="49">
        <v>2</v>
      </c>
      <c r="W1086" s="49">
        <v>3</v>
      </c>
      <c r="X1086" s="58">
        <v>3</v>
      </c>
      <c r="Y1086" s="83">
        <v>2</v>
      </c>
      <c r="Z1086" s="49">
        <v>5</v>
      </c>
      <c r="AA1086" s="49">
        <v>37</v>
      </c>
      <c r="AB1086" s="49">
        <v>9</v>
      </c>
      <c r="AC1086" s="49">
        <v>9</v>
      </c>
      <c r="AD1086" s="49">
        <v>7</v>
      </c>
      <c r="AE1086" s="49">
        <v>50</v>
      </c>
      <c r="AF1086" s="49">
        <v>15</v>
      </c>
      <c r="AG1086" s="49">
        <v>196</v>
      </c>
      <c r="AJ1086" s="49">
        <v>0</v>
      </c>
      <c r="AK1086" s="83">
        <v>0</v>
      </c>
      <c r="AL1086" s="49">
        <v>1</v>
      </c>
      <c r="AM1086" s="49">
        <v>0</v>
      </c>
      <c r="AN1086" s="49">
        <v>0</v>
      </c>
      <c r="AO1086" s="58">
        <v>0</v>
      </c>
      <c r="AP1086" s="174">
        <v>123</v>
      </c>
      <c r="AQ1086" s="175">
        <v>760</v>
      </c>
      <c r="AR1086" s="175">
        <v>0</v>
      </c>
      <c r="AS1086" s="175">
        <v>0</v>
      </c>
      <c r="AT1086" s="175">
        <v>0</v>
      </c>
      <c r="AU1086" s="175">
        <v>0</v>
      </c>
      <c r="AV1086" s="175">
        <v>0</v>
      </c>
      <c r="AW1086" s="175">
        <v>0</v>
      </c>
      <c r="AX1086" s="83">
        <v>0</v>
      </c>
      <c r="AY1086" s="49">
        <v>0</v>
      </c>
      <c r="AZ1086" s="49">
        <v>0</v>
      </c>
      <c r="BA1086" s="49">
        <v>0</v>
      </c>
      <c r="BB1086" s="58">
        <v>0</v>
      </c>
      <c r="BC1086" s="42">
        <v>136</v>
      </c>
      <c r="BD1086" s="49">
        <v>78.650000000000006</v>
      </c>
      <c r="BS1086" s="58"/>
      <c r="BT1086" s="83">
        <v>79.680000000000007</v>
      </c>
      <c r="BU1086" s="49">
        <v>76.34</v>
      </c>
      <c r="CE1086" s="83">
        <v>71.16</v>
      </c>
      <c r="CK1086" s="58"/>
      <c r="CL1086" s="83"/>
      <c r="CO1086" s="58"/>
      <c r="CP1086" s="83"/>
      <c r="CR1086" s="58"/>
      <c r="CS1086" s="83"/>
      <c r="CY1086" s="83"/>
      <c r="DG1086" s="58"/>
      <c r="DH1086" s="83"/>
      <c r="DQ1086" s="83"/>
      <c r="EE1086" s="58"/>
      <c r="EF1086" s="83"/>
      <c r="EI1086" s="83"/>
      <c r="EK1086" s="58"/>
      <c r="EL1086" s="83"/>
      <c r="EO1086" s="58"/>
      <c r="EP1086" s="83"/>
      <c r="EQ1086" s="58"/>
      <c r="ER1086" s="83"/>
      <c r="ES1086" s="58"/>
      <c r="ET1086" s="83"/>
      <c r="EU1086" s="58"/>
    </row>
    <row r="1087" spans="1:151">
      <c r="A1087" s="83" t="s">
        <v>324</v>
      </c>
      <c r="B1087" s="173" t="s">
        <v>546</v>
      </c>
      <c r="C1087" s="173" t="s">
        <v>547</v>
      </c>
      <c r="D1087" s="83" t="s">
        <v>102</v>
      </c>
      <c r="F1087" s="49" t="s">
        <v>286</v>
      </c>
      <c r="G1087" s="49">
        <v>19.445</v>
      </c>
      <c r="I1087" s="49">
        <v>2119</v>
      </c>
      <c r="J1087" s="159">
        <v>1.2976117575015309</v>
      </c>
      <c r="K1087" s="49">
        <v>4</v>
      </c>
      <c r="L1087" s="49">
        <v>3</v>
      </c>
      <c r="M1087" s="83">
        <v>0</v>
      </c>
      <c r="N1087" s="49">
        <v>1</v>
      </c>
      <c r="O1087" s="49">
        <v>0</v>
      </c>
      <c r="P1087" s="49">
        <v>1</v>
      </c>
      <c r="Q1087" s="58">
        <v>0</v>
      </c>
      <c r="R1087" s="42">
        <v>2</v>
      </c>
      <c r="S1087" s="83" t="s">
        <v>283</v>
      </c>
      <c r="T1087" s="49">
        <v>7</v>
      </c>
      <c r="U1087" s="83">
        <v>1</v>
      </c>
      <c r="V1087" s="49">
        <v>3</v>
      </c>
      <c r="W1087" s="49">
        <v>2</v>
      </c>
      <c r="X1087" s="58"/>
      <c r="Y1087" s="83">
        <v>1</v>
      </c>
      <c r="Z1087" s="49">
        <v>5</v>
      </c>
      <c r="AA1087" s="49">
        <v>10</v>
      </c>
      <c r="AB1087" s="49">
        <v>32</v>
      </c>
      <c r="AC1087" s="49">
        <v>38</v>
      </c>
      <c r="AD1087" s="49">
        <v>12</v>
      </c>
      <c r="AE1087" s="49">
        <v>36</v>
      </c>
      <c r="AF1087" s="49">
        <v>11</v>
      </c>
      <c r="AG1087" s="49">
        <v>40</v>
      </c>
      <c r="AI1087" s="49">
        <v>138</v>
      </c>
      <c r="AJ1087" s="49">
        <v>0</v>
      </c>
      <c r="AK1087" s="83">
        <v>0</v>
      </c>
      <c r="AL1087" s="49">
        <v>1</v>
      </c>
      <c r="AM1087" s="49">
        <v>0</v>
      </c>
      <c r="AN1087" s="49">
        <v>0</v>
      </c>
      <c r="AO1087" s="58">
        <v>0</v>
      </c>
      <c r="AP1087" s="174">
        <v>125</v>
      </c>
      <c r="AQ1087" s="175">
        <v>167</v>
      </c>
      <c r="AR1087" s="175">
        <v>0</v>
      </c>
      <c r="AS1087" s="175">
        <v>0</v>
      </c>
      <c r="AT1087" s="175">
        <v>0</v>
      </c>
      <c r="AU1087" s="175">
        <v>0</v>
      </c>
      <c r="AV1087" s="175">
        <v>0</v>
      </c>
      <c r="AW1087" s="175">
        <v>0</v>
      </c>
      <c r="AX1087" s="83">
        <v>0</v>
      </c>
      <c r="AY1087" s="49">
        <v>0</v>
      </c>
      <c r="AZ1087" s="49">
        <v>0</v>
      </c>
      <c r="BA1087" s="49">
        <v>0</v>
      </c>
      <c r="BB1087" s="58">
        <v>0</v>
      </c>
      <c r="BC1087" s="42">
        <v>96</v>
      </c>
      <c r="BS1087" s="58"/>
      <c r="BT1087" s="83"/>
      <c r="CE1087" s="83"/>
      <c r="CK1087" s="58"/>
      <c r="CL1087" s="83"/>
      <c r="CO1087" s="58"/>
      <c r="CP1087" s="83"/>
      <c r="CR1087" s="58"/>
      <c r="CS1087" s="83"/>
      <c r="CY1087" s="83"/>
      <c r="DG1087" s="58"/>
      <c r="DH1087" s="83"/>
      <c r="DQ1087" s="83"/>
      <c r="EE1087" s="58"/>
      <c r="EF1087" s="83"/>
      <c r="EI1087" s="83"/>
      <c r="EK1087" s="58"/>
      <c r="EL1087" s="83"/>
      <c r="EO1087" s="58"/>
      <c r="EP1087" s="83"/>
      <c r="EQ1087" s="58"/>
      <c r="ER1087" s="83"/>
      <c r="ES1087" s="58"/>
      <c r="ET1087" s="83"/>
      <c r="EU1087" s="58"/>
    </row>
    <row r="1088" spans="1:151">
      <c r="A1088" s="83" t="s">
        <v>324</v>
      </c>
      <c r="B1088" s="173" t="s">
        <v>546</v>
      </c>
      <c r="C1088" s="173" t="s">
        <v>547</v>
      </c>
      <c r="D1088" s="83" t="s">
        <v>103</v>
      </c>
      <c r="F1088" s="49" t="s">
        <v>286</v>
      </c>
      <c r="G1088" s="49">
        <v>19.445</v>
      </c>
      <c r="I1088" s="49">
        <v>2971</v>
      </c>
      <c r="J1088" s="159">
        <v>1.2363712026633376</v>
      </c>
      <c r="K1088" s="49">
        <v>1</v>
      </c>
      <c r="L1088" s="49">
        <v>3</v>
      </c>
      <c r="M1088" s="83">
        <v>0</v>
      </c>
      <c r="N1088" s="49">
        <v>3</v>
      </c>
      <c r="O1088" s="49">
        <v>0</v>
      </c>
      <c r="P1088" s="49">
        <v>0</v>
      </c>
      <c r="Q1088" s="58">
        <v>0</v>
      </c>
      <c r="R1088" s="42">
        <v>3</v>
      </c>
      <c r="S1088" s="83" t="s">
        <v>283</v>
      </c>
      <c r="T1088" s="49">
        <v>13</v>
      </c>
      <c r="U1088" s="83">
        <v>1</v>
      </c>
      <c r="V1088" s="49">
        <v>3</v>
      </c>
      <c r="W1088" s="49">
        <v>2</v>
      </c>
      <c r="X1088" s="58"/>
      <c r="Y1088" s="83">
        <v>5</v>
      </c>
      <c r="AD1088" s="49">
        <v>69</v>
      </c>
      <c r="AE1088" s="49">
        <v>216</v>
      </c>
      <c r="AF1088" s="49">
        <v>78</v>
      </c>
      <c r="AG1088" s="49">
        <v>85</v>
      </c>
      <c r="AH1088" s="49">
        <v>257</v>
      </c>
      <c r="AI1088" s="49">
        <v>667</v>
      </c>
      <c r="AJ1088" s="49">
        <v>0</v>
      </c>
      <c r="AK1088" s="83">
        <v>0</v>
      </c>
      <c r="AL1088" s="49">
        <v>0</v>
      </c>
      <c r="AM1088" s="49">
        <v>0</v>
      </c>
      <c r="AN1088" s="49">
        <v>0</v>
      </c>
      <c r="AO1088" s="58">
        <v>0</v>
      </c>
      <c r="AP1088" s="174">
        <v>0</v>
      </c>
      <c r="AQ1088" s="175">
        <v>0</v>
      </c>
      <c r="AR1088" s="175">
        <v>0</v>
      </c>
      <c r="AS1088" s="175">
        <v>0</v>
      </c>
      <c r="AT1088" s="175">
        <v>0</v>
      </c>
      <c r="AU1088" s="175">
        <v>0</v>
      </c>
      <c r="AV1088" s="175">
        <v>0</v>
      </c>
      <c r="AW1088" s="175">
        <v>0</v>
      </c>
      <c r="AX1088" s="83">
        <v>0</v>
      </c>
      <c r="AY1088" s="49">
        <v>0</v>
      </c>
      <c r="AZ1088" s="49">
        <v>0</v>
      </c>
      <c r="BA1088" s="49">
        <v>0</v>
      </c>
      <c r="BB1088" s="58">
        <v>0</v>
      </c>
      <c r="BC1088" s="42">
        <v>143</v>
      </c>
      <c r="BD1088" s="49">
        <v>80.09</v>
      </c>
      <c r="BE1088" s="159">
        <v>78.709999999999994</v>
      </c>
      <c r="BF1088" s="49">
        <v>79.08</v>
      </c>
      <c r="BS1088" s="58"/>
      <c r="BT1088" s="83"/>
      <c r="CE1088" s="83"/>
      <c r="CK1088" s="58"/>
      <c r="CL1088" s="83">
        <v>68.819999999999993</v>
      </c>
      <c r="CO1088" s="58"/>
      <c r="CP1088" s="83"/>
      <c r="CR1088" s="58"/>
      <c r="CS1088" s="83"/>
      <c r="CY1088" s="83"/>
      <c r="DG1088" s="58"/>
      <c r="DH1088" s="83"/>
      <c r="DQ1088" s="83">
        <v>74.44</v>
      </c>
      <c r="EE1088" s="58"/>
      <c r="EF1088" s="83"/>
      <c r="EI1088" s="83"/>
      <c r="EK1088" s="58"/>
      <c r="EL1088" s="83"/>
      <c r="EO1088" s="58"/>
      <c r="EP1088" s="83"/>
      <c r="EQ1088" s="58"/>
      <c r="ER1088" s="83"/>
      <c r="ES1088" s="58"/>
      <c r="ET1088" s="83"/>
      <c r="EU1088" s="58"/>
    </row>
    <row r="1089" spans="1:151">
      <c r="A1089" s="83" t="s">
        <v>324</v>
      </c>
      <c r="B1089" s="173" t="s">
        <v>546</v>
      </c>
      <c r="C1089" s="173" t="s">
        <v>547</v>
      </c>
      <c r="D1089" s="83" t="s">
        <v>147</v>
      </c>
      <c r="F1089" s="49" t="s">
        <v>286</v>
      </c>
      <c r="G1089" s="49">
        <v>19.445</v>
      </c>
      <c r="I1089" s="49">
        <v>2469</v>
      </c>
      <c r="J1089" s="159">
        <v>1.2438287153652392</v>
      </c>
      <c r="K1089" s="49">
        <v>1</v>
      </c>
      <c r="L1089" s="49">
        <v>2</v>
      </c>
      <c r="M1089" s="83">
        <v>0</v>
      </c>
      <c r="N1089" s="49">
        <v>2</v>
      </c>
      <c r="O1089" s="49">
        <v>1</v>
      </c>
      <c r="P1089" s="49">
        <v>1</v>
      </c>
      <c r="Q1089" s="58">
        <v>0</v>
      </c>
      <c r="R1089" s="42">
        <v>4</v>
      </c>
      <c r="S1089" s="83" t="s">
        <v>283</v>
      </c>
      <c r="U1089" s="83">
        <v>1</v>
      </c>
      <c r="V1089" s="49">
        <v>2</v>
      </c>
      <c r="W1089" s="49">
        <v>1</v>
      </c>
      <c r="X1089" s="58">
        <v>2</v>
      </c>
      <c r="Y1089" s="83">
        <v>1</v>
      </c>
      <c r="Z1089" s="49">
        <v>11</v>
      </c>
      <c r="AA1089" s="49">
        <v>13</v>
      </c>
      <c r="AD1089" s="49">
        <v>9</v>
      </c>
      <c r="AE1089" s="49">
        <v>17</v>
      </c>
      <c r="AF1089" s="49">
        <v>20</v>
      </c>
      <c r="AG1089" s="49">
        <v>58</v>
      </c>
      <c r="AI1089" s="49">
        <v>160</v>
      </c>
      <c r="AJ1089" s="49">
        <v>0</v>
      </c>
      <c r="AK1089" s="83">
        <v>0</v>
      </c>
      <c r="AL1089" s="49">
        <v>1</v>
      </c>
      <c r="AM1089" s="49">
        <v>1</v>
      </c>
      <c r="AN1089" s="49">
        <v>0</v>
      </c>
      <c r="AO1089" s="58">
        <v>0</v>
      </c>
      <c r="AP1089" s="174">
        <v>123</v>
      </c>
      <c r="AQ1089" s="175">
        <v>421</v>
      </c>
      <c r="AR1089" s="175">
        <v>86</v>
      </c>
      <c r="AS1089" s="175">
        <v>188</v>
      </c>
      <c r="AT1089" s="175">
        <v>0</v>
      </c>
      <c r="AU1089" s="175">
        <v>0</v>
      </c>
      <c r="AV1089" s="175">
        <v>0</v>
      </c>
      <c r="AW1089" s="175">
        <v>0</v>
      </c>
      <c r="AX1089" s="83">
        <v>0</v>
      </c>
      <c r="AY1089" s="49">
        <v>0</v>
      </c>
      <c r="AZ1089" s="49">
        <v>0</v>
      </c>
      <c r="BA1089" s="49">
        <v>0</v>
      </c>
      <c r="BB1089" s="58">
        <v>0</v>
      </c>
      <c r="BC1089" s="42">
        <v>129</v>
      </c>
      <c r="BS1089" s="58"/>
      <c r="BT1089" s="83"/>
      <c r="CE1089" s="83"/>
      <c r="CK1089" s="58"/>
      <c r="CL1089" s="83"/>
      <c r="CO1089" s="58"/>
      <c r="CP1089" s="83"/>
      <c r="CR1089" s="58"/>
      <c r="CS1089" s="83"/>
      <c r="CY1089" s="83"/>
      <c r="DG1089" s="58"/>
      <c r="DH1089" s="83"/>
      <c r="DQ1089" s="83"/>
      <c r="EE1089" s="58"/>
      <c r="EF1089" s="83"/>
      <c r="EI1089" s="83"/>
      <c r="EK1089" s="58"/>
      <c r="EL1089" s="83"/>
      <c r="EO1089" s="58"/>
      <c r="EP1089" s="83"/>
      <c r="EQ1089" s="58"/>
      <c r="ER1089" s="83"/>
      <c r="ES1089" s="58"/>
      <c r="ET1089" s="83"/>
      <c r="EU1089" s="58"/>
    </row>
    <row r="1090" spans="1:151">
      <c r="A1090" s="83" t="s">
        <v>324</v>
      </c>
      <c r="B1090" s="173" t="s">
        <v>546</v>
      </c>
      <c r="C1090" s="173" t="s">
        <v>547</v>
      </c>
      <c r="D1090" s="83" t="s">
        <v>148</v>
      </c>
      <c r="F1090" s="49" t="s">
        <v>286</v>
      </c>
      <c r="G1090" s="49">
        <v>19.445</v>
      </c>
      <c r="I1090" s="49">
        <v>2103</v>
      </c>
      <c r="J1090" s="159">
        <v>1.9599254426840633</v>
      </c>
      <c r="K1090" s="49">
        <v>1</v>
      </c>
      <c r="L1090" s="49">
        <v>2</v>
      </c>
      <c r="M1090" s="83">
        <v>0</v>
      </c>
      <c r="N1090" s="49">
        <v>1</v>
      </c>
      <c r="O1090" s="49">
        <v>0</v>
      </c>
      <c r="P1090" s="49">
        <v>1</v>
      </c>
      <c r="Q1090" s="58">
        <v>0</v>
      </c>
      <c r="R1090" s="42">
        <v>2</v>
      </c>
      <c r="S1090" s="83" t="s">
        <v>283</v>
      </c>
      <c r="T1090" s="49">
        <v>6</v>
      </c>
      <c r="U1090" s="83">
        <v>2</v>
      </c>
      <c r="V1090" s="49">
        <v>2</v>
      </c>
      <c r="W1090" s="49">
        <v>3</v>
      </c>
      <c r="X1090" s="58">
        <v>1</v>
      </c>
      <c r="Y1090" s="83">
        <v>5</v>
      </c>
      <c r="Z1090" s="49">
        <v>7</v>
      </c>
      <c r="AA1090" s="49">
        <v>70</v>
      </c>
      <c r="AC1090" s="49">
        <v>64</v>
      </c>
      <c r="AD1090" s="49">
        <v>7</v>
      </c>
      <c r="AE1090" s="49">
        <v>164</v>
      </c>
      <c r="AF1090" s="49">
        <v>12</v>
      </c>
      <c r="AG1090" s="49">
        <v>59</v>
      </c>
      <c r="AH1090" s="49">
        <v>377</v>
      </c>
      <c r="AI1090" s="49">
        <v>607</v>
      </c>
      <c r="AJ1090" s="49">
        <v>0</v>
      </c>
      <c r="AK1090" s="83">
        <v>0</v>
      </c>
      <c r="AL1090" s="49">
        <v>1</v>
      </c>
      <c r="AM1090" s="49">
        <v>0</v>
      </c>
      <c r="AN1090" s="49">
        <v>0</v>
      </c>
      <c r="AO1090" s="58">
        <v>0</v>
      </c>
      <c r="AP1090" s="174">
        <v>0</v>
      </c>
      <c r="AQ1090" s="175">
        <v>0</v>
      </c>
      <c r="AR1090" s="175">
        <v>0</v>
      </c>
      <c r="AS1090" s="175">
        <v>0</v>
      </c>
      <c r="AT1090" s="175">
        <v>0</v>
      </c>
      <c r="AU1090" s="175">
        <v>0</v>
      </c>
      <c r="AV1090" s="175">
        <v>0</v>
      </c>
      <c r="AW1090" s="175">
        <v>0</v>
      </c>
      <c r="AX1090" s="83">
        <v>0</v>
      </c>
      <c r="AY1090" s="49">
        <v>0</v>
      </c>
      <c r="AZ1090" s="49">
        <v>0</v>
      </c>
      <c r="BA1090" s="49">
        <v>0</v>
      </c>
      <c r="BB1090" s="58">
        <v>0</v>
      </c>
      <c r="BC1090" s="42">
        <v>126</v>
      </c>
      <c r="BD1090" s="49">
        <v>80.2</v>
      </c>
      <c r="BE1090" s="49">
        <v>80.459999999999994</v>
      </c>
      <c r="BS1090" s="58"/>
      <c r="BT1090" s="89">
        <v>79.14</v>
      </c>
      <c r="CE1090" s="83">
        <v>81.14</v>
      </c>
      <c r="CF1090" s="49">
        <v>80.89</v>
      </c>
      <c r="CG1090" s="49">
        <v>80.989999999999995</v>
      </c>
      <c r="CK1090" s="58"/>
      <c r="CL1090" s="83"/>
      <c r="CO1090" s="58"/>
      <c r="CP1090" s="83"/>
      <c r="CR1090" s="58"/>
      <c r="CS1090" s="83"/>
      <c r="CY1090" s="83"/>
      <c r="DG1090" s="58"/>
      <c r="DH1090" s="83"/>
      <c r="DQ1090" s="83"/>
      <c r="EE1090" s="58"/>
      <c r="EF1090" s="83"/>
      <c r="EI1090" s="83"/>
      <c r="EK1090" s="58"/>
      <c r="EL1090" s="83"/>
      <c r="EO1090" s="58"/>
      <c r="EP1090" s="83"/>
      <c r="EQ1090" s="58"/>
      <c r="ER1090" s="83"/>
      <c r="ES1090" s="58"/>
      <c r="ET1090" s="83"/>
      <c r="EU1090" s="58"/>
    </row>
    <row r="1091" spans="1:151">
      <c r="A1091" s="83" t="s">
        <v>324</v>
      </c>
      <c r="B1091" s="173" t="s">
        <v>546</v>
      </c>
      <c r="C1091" s="173" t="s">
        <v>547</v>
      </c>
      <c r="D1091" s="83" t="s">
        <v>104</v>
      </c>
      <c r="F1091" s="49" t="s">
        <v>286</v>
      </c>
      <c r="G1091" s="49">
        <v>19.445</v>
      </c>
      <c r="I1091" s="49">
        <v>3179</v>
      </c>
      <c r="J1091" s="159">
        <v>1.447632058287796</v>
      </c>
      <c r="K1091" s="49">
        <v>1</v>
      </c>
      <c r="L1091" s="49">
        <v>2</v>
      </c>
      <c r="M1091" s="83">
        <v>0</v>
      </c>
      <c r="N1091" s="49">
        <v>1</v>
      </c>
      <c r="O1091" s="49">
        <v>0</v>
      </c>
      <c r="P1091" s="49">
        <v>0</v>
      </c>
      <c r="Q1091" s="58">
        <v>0</v>
      </c>
      <c r="R1091" s="42">
        <v>1</v>
      </c>
      <c r="S1091" s="83" t="s">
        <v>283</v>
      </c>
      <c r="T1091" s="49">
        <v>5</v>
      </c>
      <c r="U1091" s="83">
        <v>1</v>
      </c>
      <c r="V1091" s="49">
        <v>3</v>
      </c>
      <c r="W1091" s="49">
        <v>2</v>
      </c>
      <c r="X1091" s="58"/>
      <c r="Y1091" s="83">
        <v>2</v>
      </c>
      <c r="Z1091" s="49">
        <v>6</v>
      </c>
      <c r="AA1091" s="49">
        <v>24</v>
      </c>
      <c r="AC1091" s="49">
        <v>135</v>
      </c>
      <c r="AF1091" s="49">
        <v>24</v>
      </c>
      <c r="AG1091" s="49">
        <v>367</v>
      </c>
      <c r="AI1091" s="49">
        <v>1041</v>
      </c>
      <c r="AJ1091" s="49">
        <v>0</v>
      </c>
      <c r="AK1091" s="83">
        <v>0</v>
      </c>
      <c r="AL1091" s="49">
        <v>0</v>
      </c>
      <c r="AM1091" s="49">
        <v>0</v>
      </c>
      <c r="AN1091" s="49">
        <v>0</v>
      </c>
      <c r="AO1091" s="58">
        <v>0</v>
      </c>
      <c r="AP1091" s="174">
        <v>0</v>
      </c>
      <c r="AQ1091" s="175">
        <v>0</v>
      </c>
      <c r="AR1091" s="175">
        <v>0</v>
      </c>
      <c r="AS1091" s="175">
        <v>0</v>
      </c>
      <c r="AT1091" s="175">
        <v>0</v>
      </c>
      <c r="AU1091" s="175">
        <v>0</v>
      </c>
      <c r="AV1091" s="175">
        <v>0</v>
      </c>
      <c r="AW1091" s="175">
        <v>0</v>
      </c>
      <c r="AX1091" s="83">
        <v>0</v>
      </c>
      <c r="AY1091" s="49">
        <v>0</v>
      </c>
      <c r="AZ1091" s="49">
        <v>0</v>
      </c>
      <c r="BA1091" s="49">
        <v>0</v>
      </c>
      <c r="BB1091" s="58">
        <v>0</v>
      </c>
      <c r="BC1091" s="42">
        <v>135</v>
      </c>
      <c r="BD1091" s="49">
        <v>78.42</v>
      </c>
      <c r="BS1091" s="58"/>
      <c r="BT1091" s="83">
        <v>79.790000000000006</v>
      </c>
      <c r="BU1091" s="49">
        <v>79.98</v>
      </c>
      <c r="BV1091" s="49">
        <v>79.81</v>
      </c>
      <c r="BW1091" s="49">
        <v>78.94</v>
      </c>
      <c r="CE1091" s="83"/>
      <c r="CK1091" s="58"/>
      <c r="CL1091" s="83"/>
      <c r="CO1091" s="58"/>
      <c r="CP1091" s="83"/>
      <c r="CR1091" s="58"/>
      <c r="CS1091" s="83"/>
      <c r="CY1091" s="83"/>
      <c r="DG1091" s="58"/>
      <c r="DH1091" s="83"/>
      <c r="DQ1091" s="83"/>
      <c r="EE1091" s="58"/>
      <c r="EF1091" s="83"/>
      <c r="EI1091" s="83"/>
      <c r="EK1091" s="58"/>
      <c r="EL1091" s="83"/>
      <c r="EO1091" s="58"/>
      <c r="EP1091" s="83"/>
      <c r="EQ1091" s="58"/>
      <c r="ER1091" s="83"/>
      <c r="ES1091" s="58"/>
      <c r="ET1091" s="83"/>
      <c r="EU1091" s="58"/>
    </row>
    <row r="1092" spans="1:151">
      <c r="A1092" s="83" t="s">
        <v>324</v>
      </c>
      <c r="B1092" s="173" t="s">
        <v>546</v>
      </c>
      <c r="C1092" s="173" t="s">
        <v>547</v>
      </c>
      <c r="D1092" s="83" t="s">
        <v>105</v>
      </c>
      <c r="F1092" s="49" t="s">
        <v>286</v>
      </c>
      <c r="G1092" s="49">
        <v>19.445</v>
      </c>
      <c r="I1092" s="49">
        <v>1940</v>
      </c>
      <c r="J1092" s="159">
        <v>1.3296778615490061</v>
      </c>
      <c r="K1092" s="49">
        <v>1</v>
      </c>
      <c r="L1092" s="49">
        <v>2</v>
      </c>
      <c r="M1092" s="83">
        <v>0</v>
      </c>
      <c r="N1092" s="49">
        <v>0</v>
      </c>
      <c r="O1092" s="49">
        <v>1</v>
      </c>
      <c r="P1092" s="49">
        <v>1</v>
      </c>
      <c r="Q1092" s="58">
        <v>0</v>
      </c>
      <c r="R1092" s="42">
        <v>2</v>
      </c>
      <c r="S1092" s="83">
        <v>1</v>
      </c>
      <c r="U1092" s="83">
        <v>1</v>
      </c>
      <c r="V1092" s="49">
        <v>1</v>
      </c>
      <c r="W1092" s="49">
        <v>2</v>
      </c>
      <c r="X1092" s="58"/>
      <c r="Y1092" s="83">
        <v>1</v>
      </c>
      <c r="Z1092" s="49">
        <v>13</v>
      </c>
      <c r="AA1092" s="49">
        <v>135</v>
      </c>
      <c r="AD1092" s="49">
        <v>62</v>
      </c>
      <c r="AE1092" s="49">
        <v>107</v>
      </c>
      <c r="AJ1092" s="49">
        <v>0</v>
      </c>
      <c r="AK1092" s="83">
        <v>0</v>
      </c>
      <c r="AL1092" s="49">
        <v>1</v>
      </c>
      <c r="AM1092" s="49">
        <v>0</v>
      </c>
      <c r="AN1092" s="49">
        <v>0</v>
      </c>
      <c r="AO1092" s="58">
        <v>0</v>
      </c>
      <c r="AP1092" s="174">
        <v>0</v>
      </c>
      <c r="AQ1092" s="175">
        <v>981</v>
      </c>
      <c r="AR1092" s="175">
        <v>0</v>
      </c>
      <c r="AS1092" s="175">
        <v>0</v>
      </c>
      <c r="AT1092" s="175">
        <v>0</v>
      </c>
      <c r="AU1092" s="175">
        <v>0</v>
      </c>
      <c r="AV1092" s="175">
        <v>0</v>
      </c>
      <c r="AW1092" s="175">
        <v>0</v>
      </c>
      <c r="AX1092" s="83">
        <v>0</v>
      </c>
      <c r="AY1092" s="49">
        <v>0</v>
      </c>
      <c r="AZ1092" s="49">
        <v>0</v>
      </c>
      <c r="BA1092" s="49">
        <v>0</v>
      </c>
      <c r="BB1092" s="58">
        <v>0</v>
      </c>
      <c r="BC1092" s="42">
        <v>104</v>
      </c>
      <c r="BS1092" s="58"/>
      <c r="BT1092" s="83"/>
      <c r="CE1092" s="83"/>
      <c r="CK1092" s="58"/>
      <c r="CL1092" s="83"/>
      <c r="CO1092" s="58"/>
      <c r="CP1092" s="83"/>
      <c r="CR1092" s="58"/>
      <c r="CS1092" s="83"/>
      <c r="CY1092" s="83"/>
      <c r="DG1092" s="58"/>
      <c r="DH1092" s="83"/>
      <c r="DQ1092" s="83"/>
      <c r="EE1092" s="58"/>
      <c r="EF1092" s="83"/>
      <c r="EI1092" s="83"/>
      <c r="EK1092" s="58"/>
      <c r="EL1092" s="83"/>
      <c r="EO1092" s="58"/>
      <c r="EP1092" s="83"/>
      <c r="EQ1092" s="58"/>
      <c r="ER1092" s="83"/>
      <c r="ES1092" s="58"/>
      <c r="ET1092" s="83"/>
      <c r="EU1092" s="58"/>
    </row>
    <row r="1093" spans="1:151">
      <c r="A1093" s="83" t="s">
        <v>324</v>
      </c>
      <c r="B1093" s="173" t="s">
        <v>546</v>
      </c>
      <c r="C1093" s="173" t="s">
        <v>547</v>
      </c>
      <c r="D1093" s="83" t="s">
        <v>149</v>
      </c>
      <c r="F1093" s="49" t="s">
        <v>286</v>
      </c>
      <c r="G1093" s="49">
        <v>19.445</v>
      </c>
      <c r="I1093" s="49">
        <v>3045</v>
      </c>
      <c r="J1093" s="159">
        <v>1.7796610169491525</v>
      </c>
      <c r="K1093" s="49">
        <v>4</v>
      </c>
      <c r="L1093" s="49">
        <v>3</v>
      </c>
      <c r="M1093" s="83">
        <v>1</v>
      </c>
      <c r="N1093" s="49">
        <v>0</v>
      </c>
      <c r="O1093" s="49">
        <v>1</v>
      </c>
      <c r="P1093" s="49">
        <v>1</v>
      </c>
      <c r="Q1093" s="58">
        <v>0</v>
      </c>
      <c r="R1093" s="42">
        <v>3</v>
      </c>
      <c r="S1093" s="83">
        <v>1</v>
      </c>
      <c r="U1093" s="83">
        <v>1</v>
      </c>
      <c r="V1093" s="49">
        <v>3</v>
      </c>
      <c r="W1093" s="49">
        <v>1</v>
      </c>
      <c r="X1093" s="58">
        <v>1</v>
      </c>
      <c r="Y1093" s="83">
        <v>1</v>
      </c>
      <c r="Z1093" s="49">
        <v>4</v>
      </c>
      <c r="AA1093" s="49">
        <v>14</v>
      </c>
      <c r="AD1093" s="49">
        <v>21</v>
      </c>
      <c r="AE1093" s="49">
        <v>47</v>
      </c>
      <c r="AF1093" s="49">
        <v>9</v>
      </c>
      <c r="AG1093" s="49">
        <v>93</v>
      </c>
      <c r="AH1093" s="49">
        <v>296</v>
      </c>
      <c r="AI1093" s="49">
        <v>1018</v>
      </c>
      <c r="AJ1093" s="49">
        <v>0</v>
      </c>
      <c r="AK1093" s="83">
        <v>0</v>
      </c>
      <c r="AL1093" s="49">
        <v>1</v>
      </c>
      <c r="AM1093" s="49">
        <v>0</v>
      </c>
      <c r="AN1093" s="49">
        <v>0</v>
      </c>
      <c r="AO1093" s="58">
        <v>0</v>
      </c>
      <c r="AP1093" s="174">
        <v>0</v>
      </c>
      <c r="AQ1093" s="175">
        <v>1287</v>
      </c>
      <c r="AR1093" s="175">
        <v>0</v>
      </c>
      <c r="AS1093" s="175">
        <v>0</v>
      </c>
      <c r="AT1093" s="175">
        <v>0</v>
      </c>
      <c r="AU1093" s="175">
        <v>0</v>
      </c>
      <c r="AV1093" s="175">
        <v>0</v>
      </c>
      <c r="AW1093" s="175">
        <v>0</v>
      </c>
      <c r="AX1093" s="83">
        <v>0</v>
      </c>
      <c r="AY1093" s="49">
        <v>0</v>
      </c>
      <c r="AZ1093" s="49">
        <v>0</v>
      </c>
      <c r="BA1093" s="49">
        <v>0</v>
      </c>
      <c r="BB1093" s="58">
        <v>0</v>
      </c>
      <c r="BC1093" s="42">
        <v>123</v>
      </c>
      <c r="BS1093" s="58"/>
      <c r="BT1093" s="83"/>
      <c r="CE1093" s="83"/>
      <c r="CK1093" s="58"/>
      <c r="CL1093" s="83"/>
      <c r="CO1093" s="58"/>
      <c r="CP1093" s="83"/>
      <c r="CR1093" s="58"/>
      <c r="CS1093" s="83"/>
      <c r="CY1093" s="83"/>
      <c r="DG1093" s="58"/>
      <c r="DH1093" s="83"/>
      <c r="DQ1093" s="83"/>
      <c r="EE1093" s="58"/>
      <c r="EF1093" s="83"/>
      <c r="EI1093" s="83"/>
      <c r="EK1093" s="58"/>
      <c r="EL1093" s="83"/>
      <c r="EO1093" s="58"/>
      <c r="EP1093" s="83"/>
      <c r="EQ1093" s="58"/>
      <c r="ER1093" s="83"/>
      <c r="ES1093" s="58"/>
      <c r="ET1093" s="83"/>
      <c r="EU1093" s="58"/>
    </row>
    <row r="1094" spans="1:151">
      <c r="A1094" s="83" t="s">
        <v>324</v>
      </c>
      <c r="B1094" s="173" t="s">
        <v>546</v>
      </c>
      <c r="C1094" s="173" t="s">
        <v>547</v>
      </c>
      <c r="D1094" s="83" t="s">
        <v>106</v>
      </c>
      <c r="E1094" s="49" t="s">
        <v>0</v>
      </c>
      <c r="F1094" s="49" t="s">
        <v>286</v>
      </c>
      <c r="G1094" s="49">
        <v>19.445</v>
      </c>
      <c r="I1094" s="49">
        <v>1380</v>
      </c>
      <c r="J1094" s="159">
        <v>4.2331288343558287</v>
      </c>
      <c r="K1094" s="49">
        <v>4</v>
      </c>
      <c r="L1094" s="49">
        <v>4</v>
      </c>
      <c r="M1094" s="83">
        <v>0</v>
      </c>
      <c r="N1094" s="49">
        <v>1</v>
      </c>
      <c r="O1094" s="49">
        <v>0</v>
      </c>
      <c r="P1094" s="49">
        <v>0</v>
      </c>
      <c r="Q1094" s="58">
        <v>0</v>
      </c>
      <c r="R1094" s="42">
        <v>1</v>
      </c>
      <c r="S1094" s="83" t="s">
        <v>283</v>
      </c>
      <c r="T1094" s="49">
        <v>8</v>
      </c>
      <c r="U1094" s="83">
        <v>1</v>
      </c>
      <c r="V1094" s="49">
        <v>4</v>
      </c>
      <c r="W1094" s="49">
        <v>2</v>
      </c>
      <c r="X1094" s="58"/>
      <c r="Y1094" s="83">
        <v>2</v>
      </c>
      <c r="AE1094" s="49">
        <v>20</v>
      </c>
      <c r="AF1094" s="49">
        <v>9</v>
      </c>
      <c r="AG1094" s="49">
        <v>170</v>
      </c>
      <c r="AJ1094" s="49">
        <v>0</v>
      </c>
      <c r="AK1094" s="83">
        <v>0</v>
      </c>
      <c r="AL1094" s="49">
        <v>0</v>
      </c>
      <c r="AM1094" s="49">
        <v>0</v>
      </c>
      <c r="AN1094" s="49">
        <v>0</v>
      </c>
      <c r="AO1094" s="58">
        <v>0</v>
      </c>
      <c r="AP1094" s="174">
        <v>0</v>
      </c>
      <c r="AQ1094" s="175">
        <v>0</v>
      </c>
      <c r="AR1094" s="175">
        <v>0</v>
      </c>
      <c r="AS1094" s="175">
        <v>0</v>
      </c>
      <c r="AT1094" s="175">
        <v>0</v>
      </c>
      <c r="AU1094" s="175">
        <v>0</v>
      </c>
      <c r="AV1094" s="175">
        <v>0</v>
      </c>
      <c r="AW1094" s="175">
        <v>0</v>
      </c>
      <c r="AX1094" s="83">
        <v>0</v>
      </c>
      <c r="AY1094" s="49">
        <v>0</v>
      </c>
      <c r="AZ1094" s="49">
        <v>0</v>
      </c>
      <c r="BA1094" s="49">
        <v>0</v>
      </c>
      <c r="BB1094" s="58">
        <v>0</v>
      </c>
      <c r="BC1094" s="42">
        <v>134</v>
      </c>
      <c r="BS1094" s="58"/>
      <c r="BT1094" s="83"/>
      <c r="CE1094" s="83"/>
      <c r="CK1094" s="58"/>
      <c r="CL1094" s="83"/>
      <c r="CO1094" s="58"/>
      <c r="CP1094" s="83"/>
      <c r="CR1094" s="58"/>
      <c r="CS1094" s="83"/>
      <c r="CY1094" s="83"/>
      <c r="DG1094" s="58"/>
      <c r="DH1094" s="83"/>
      <c r="DQ1094" s="83"/>
      <c r="EE1094" s="58"/>
      <c r="EF1094" s="83"/>
      <c r="EI1094" s="83"/>
      <c r="EK1094" s="58"/>
      <c r="EL1094" s="83"/>
      <c r="EO1094" s="58"/>
      <c r="EP1094" s="83"/>
      <c r="EQ1094" s="58"/>
      <c r="ER1094" s="83"/>
      <c r="ES1094" s="58"/>
      <c r="ET1094" s="83"/>
      <c r="EU1094" s="58"/>
    </row>
    <row r="1095" spans="1:151">
      <c r="A1095" s="83" t="s">
        <v>324</v>
      </c>
      <c r="B1095" s="173" t="s">
        <v>546</v>
      </c>
      <c r="C1095" s="173" t="s">
        <v>547</v>
      </c>
      <c r="D1095" s="83" t="s">
        <v>107</v>
      </c>
      <c r="F1095" s="49" t="s">
        <v>286</v>
      </c>
      <c r="G1095" s="49">
        <v>19.445</v>
      </c>
      <c r="I1095" s="49">
        <v>2680</v>
      </c>
      <c r="J1095" s="159">
        <v>1.127946127946128</v>
      </c>
      <c r="K1095" s="49">
        <v>1</v>
      </c>
      <c r="L1095" s="49">
        <v>2</v>
      </c>
      <c r="M1095" s="83">
        <v>0</v>
      </c>
      <c r="N1095" s="49">
        <v>3</v>
      </c>
      <c r="O1095" s="49">
        <v>1</v>
      </c>
      <c r="P1095" s="49">
        <v>1</v>
      </c>
      <c r="Q1095" s="58">
        <v>0</v>
      </c>
      <c r="R1095" s="42">
        <v>5</v>
      </c>
      <c r="S1095" s="83" t="s">
        <v>283</v>
      </c>
      <c r="T1095" s="49">
        <v>8</v>
      </c>
      <c r="U1095" s="83">
        <v>1</v>
      </c>
      <c r="V1095" s="49">
        <v>3</v>
      </c>
      <c r="W1095" s="49">
        <v>1</v>
      </c>
      <c r="X1095" s="58">
        <v>1</v>
      </c>
      <c r="Y1095" s="83">
        <v>10</v>
      </c>
      <c r="Z1095" s="49">
        <v>7</v>
      </c>
      <c r="AA1095" s="49">
        <v>154</v>
      </c>
      <c r="AD1095" s="49">
        <v>13</v>
      </c>
      <c r="AE1095" s="49">
        <v>337</v>
      </c>
      <c r="AH1095" s="49">
        <v>86</v>
      </c>
      <c r="AI1095" s="49">
        <v>964</v>
      </c>
      <c r="AJ1095" s="49">
        <v>0</v>
      </c>
      <c r="AK1095" s="83">
        <v>0</v>
      </c>
      <c r="AL1095" s="49">
        <v>1</v>
      </c>
      <c r="AM1095" s="49">
        <v>0</v>
      </c>
      <c r="AN1095" s="49">
        <v>0</v>
      </c>
      <c r="AO1095" s="58">
        <v>0</v>
      </c>
      <c r="AP1095" s="174">
        <v>0</v>
      </c>
      <c r="AQ1095" s="175">
        <v>952</v>
      </c>
      <c r="AR1095" s="175">
        <v>0</v>
      </c>
      <c r="AS1095" s="175">
        <v>0</v>
      </c>
      <c r="AT1095" s="175">
        <v>0</v>
      </c>
      <c r="AU1095" s="175">
        <v>0</v>
      </c>
      <c r="AV1095" s="175">
        <v>0</v>
      </c>
      <c r="AW1095" s="175">
        <v>0</v>
      </c>
      <c r="AX1095" s="83">
        <v>0</v>
      </c>
      <c r="AY1095" s="49">
        <v>0</v>
      </c>
      <c r="AZ1095" s="49">
        <v>0</v>
      </c>
      <c r="BA1095" s="49">
        <v>0</v>
      </c>
      <c r="BB1095" s="58">
        <v>0</v>
      </c>
      <c r="BC1095" s="42">
        <v>120</v>
      </c>
      <c r="BS1095" s="58"/>
      <c r="BT1095" s="83"/>
      <c r="CE1095" s="83"/>
      <c r="CK1095" s="58"/>
      <c r="CL1095" s="83"/>
      <c r="CO1095" s="58"/>
      <c r="CP1095" s="83"/>
      <c r="CR1095" s="58"/>
      <c r="CS1095" s="83"/>
      <c r="CY1095" s="83"/>
      <c r="DG1095" s="58"/>
      <c r="DH1095" s="83"/>
      <c r="DQ1095" s="83"/>
      <c r="EE1095" s="58"/>
      <c r="EF1095" s="83"/>
      <c r="EI1095" s="83"/>
      <c r="EK1095" s="58"/>
      <c r="EL1095" s="83"/>
      <c r="EO1095" s="58"/>
      <c r="EP1095" s="83"/>
      <c r="EQ1095" s="58"/>
      <c r="ER1095" s="83"/>
      <c r="ES1095" s="58"/>
      <c r="ET1095" s="83"/>
      <c r="EU1095" s="58"/>
    </row>
    <row r="1096" spans="1:151">
      <c r="A1096" s="83" t="s">
        <v>324</v>
      </c>
      <c r="B1096" s="173" t="s">
        <v>546</v>
      </c>
      <c r="C1096" s="173" t="s">
        <v>547</v>
      </c>
      <c r="D1096" s="83" t="s">
        <v>151</v>
      </c>
      <c r="F1096" s="49" t="s">
        <v>286</v>
      </c>
      <c r="G1096" s="49">
        <v>19.445</v>
      </c>
      <c r="I1096" s="49">
        <v>3931</v>
      </c>
      <c r="J1096" s="159">
        <v>1.6907526881720429</v>
      </c>
      <c r="K1096" s="49">
        <v>4</v>
      </c>
      <c r="L1096" s="49">
        <v>3</v>
      </c>
      <c r="M1096" s="83">
        <v>0</v>
      </c>
      <c r="N1096" s="49">
        <v>3</v>
      </c>
      <c r="O1096" s="49">
        <v>0</v>
      </c>
      <c r="P1096" s="49">
        <v>1</v>
      </c>
      <c r="Q1096" s="58">
        <v>0</v>
      </c>
      <c r="R1096" s="42">
        <v>4</v>
      </c>
      <c r="S1096" s="83" t="s">
        <v>283</v>
      </c>
      <c r="T1096" s="49">
        <v>7</v>
      </c>
      <c r="U1096" s="83">
        <v>1</v>
      </c>
      <c r="V1096" s="49">
        <v>4</v>
      </c>
      <c r="W1096" s="49">
        <v>1</v>
      </c>
      <c r="X1096" s="58">
        <v>2</v>
      </c>
      <c r="Y1096" s="83">
        <v>5</v>
      </c>
      <c r="Z1096" s="49">
        <v>6</v>
      </c>
      <c r="AA1096" s="49">
        <v>61</v>
      </c>
      <c r="AD1096" s="49">
        <v>12</v>
      </c>
      <c r="AE1096" s="49">
        <v>299</v>
      </c>
      <c r="AF1096" s="49">
        <v>19</v>
      </c>
      <c r="AG1096" s="49">
        <v>35</v>
      </c>
      <c r="AH1096" s="49">
        <v>99</v>
      </c>
      <c r="AI1096" s="49">
        <v>562</v>
      </c>
      <c r="AJ1096" s="49">
        <v>0</v>
      </c>
      <c r="AK1096" s="83">
        <v>0</v>
      </c>
      <c r="AL1096" s="49">
        <v>0</v>
      </c>
      <c r="AM1096" s="49">
        <v>0</v>
      </c>
      <c r="AN1096" s="49">
        <v>0</v>
      </c>
      <c r="AO1096" s="58">
        <v>0</v>
      </c>
      <c r="AP1096" s="174">
        <v>0</v>
      </c>
      <c r="AQ1096" s="175">
        <v>0</v>
      </c>
      <c r="AR1096" s="175">
        <v>0</v>
      </c>
      <c r="AS1096" s="175">
        <v>0</v>
      </c>
      <c r="AT1096" s="175">
        <v>0</v>
      </c>
      <c r="AU1096" s="175">
        <v>0</v>
      </c>
      <c r="AV1096" s="175">
        <v>0</v>
      </c>
      <c r="AW1096" s="175">
        <v>0</v>
      </c>
      <c r="AX1096" s="83">
        <v>0</v>
      </c>
      <c r="AY1096" s="49">
        <v>0</v>
      </c>
      <c r="AZ1096" s="49">
        <v>0</v>
      </c>
      <c r="BA1096" s="49">
        <v>0</v>
      </c>
      <c r="BB1096" s="58">
        <v>0</v>
      </c>
      <c r="BC1096" s="42">
        <v>120</v>
      </c>
      <c r="BS1096" s="58"/>
      <c r="BT1096" s="83"/>
      <c r="CE1096" s="83"/>
      <c r="CK1096" s="58"/>
      <c r="CL1096" s="83"/>
      <c r="CO1096" s="58"/>
      <c r="CP1096" s="83"/>
      <c r="CR1096" s="58"/>
      <c r="CS1096" s="83"/>
      <c r="CY1096" s="83"/>
      <c r="DG1096" s="58"/>
      <c r="DH1096" s="83"/>
      <c r="DQ1096" s="83"/>
      <c r="EE1096" s="58"/>
      <c r="EF1096" s="83"/>
      <c r="EI1096" s="83"/>
      <c r="EK1096" s="58"/>
      <c r="EL1096" s="83"/>
      <c r="EO1096" s="58"/>
      <c r="EP1096" s="83"/>
      <c r="EQ1096" s="58"/>
      <c r="ER1096" s="83"/>
      <c r="ES1096" s="58"/>
      <c r="ET1096" s="83"/>
      <c r="EU1096" s="58"/>
    </row>
    <row r="1097" spans="1:151">
      <c r="A1097" s="83" t="s">
        <v>324</v>
      </c>
      <c r="B1097" s="173" t="s">
        <v>546</v>
      </c>
      <c r="C1097" s="173" t="s">
        <v>547</v>
      </c>
      <c r="D1097" s="83" t="s">
        <v>152</v>
      </c>
      <c r="F1097" s="49" t="s">
        <v>286</v>
      </c>
      <c r="G1097" s="49">
        <v>19.445</v>
      </c>
      <c r="I1097" s="49">
        <v>3628</v>
      </c>
      <c r="J1097" s="159">
        <v>1.6102973812694186</v>
      </c>
      <c r="K1097" s="49">
        <v>4</v>
      </c>
      <c r="L1097" s="49">
        <v>4</v>
      </c>
      <c r="M1097" s="83">
        <v>0</v>
      </c>
      <c r="N1097" s="49">
        <v>5</v>
      </c>
      <c r="O1097" s="49">
        <v>0</v>
      </c>
      <c r="P1097" s="49">
        <v>0</v>
      </c>
      <c r="Q1097" s="58">
        <v>0</v>
      </c>
      <c r="R1097" s="42">
        <v>5</v>
      </c>
      <c r="S1097" s="83" t="s">
        <v>283</v>
      </c>
      <c r="T1097" s="49">
        <v>6</v>
      </c>
      <c r="U1097" s="83">
        <v>1</v>
      </c>
      <c r="V1097" s="49">
        <v>5</v>
      </c>
      <c r="W1097" s="49">
        <v>2</v>
      </c>
      <c r="X1097" s="58"/>
      <c r="Y1097" s="83">
        <v>4</v>
      </c>
      <c r="Z1097" s="49">
        <v>7</v>
      </c>
      <c r="AA1097" s="49">
        <v>96</v>
      </c>
      <c r="AD1097" s="49">
        <v>12</v>
      </c>
      <c r="AE1097" s="49">
        <v>149</v>
      </c>
      <c r="AF1097" s="49">
        <v>13</v>
      </c>
      <c r="AG1097" s="49">
        <v>77</v>
      </c>
      <c r="AH1097" s="49">
        <v>75</v>
      </c>
      <c r="AI1097" s="49">
        <v>1222</v>
      </c>
      <c r="AJ1097" s="49">
        <v>0</v>
      </c>
      <c r="AK1097" s="83">
        <v>0</v>
      </c>
      <c r="AL1097" s="49">
        <v>0</v>
      </c>
      <c r="AM1097" s="49">
        <v>0</v>
      </c>
      <c r="AN1097" s="49">
        <v>0</v>
      </c>
      <c r="AO1097" s="58">
        <v>0</v>
      </c>
      <c r="AP1097" s="174">
        <v>0</v>
      </c>
      <c r="AQ1097" s="175">
        <v>0</v>
      </c>
      <c r="AR1097" s="175">
        <v>0</v>
      </c>
      <c r="AS1097" s="175">
        <v>0</v>
      </c>
      <c r="AT1097" s="175">
        <v>0</v>
      </c>
      <c r="AU1097" s="175">
        <v>0</v>
      </c>
      <c r="AV1097" s="175">
        <v>0</v>
      </c>
      <c r="AW1097" s="175">
        <v>0</v>
      </c>
      <c r="AX1097" s="83">
        <v>0</v>
      </c>
      <c r="AY1097" s="49">
        <v>0</v>
      </c>
      <c r="AZ1097" s="49">
        <v>0</v>
      </c>
      <c r="BA1097" s="49">
        <v>0</v>
      </c>
      <c r="BB1097" s="58">
        <v>0</v>
      </c>
      <c r="BC1097" s="42">
        <v>123</v>
      </c>
      <c r="BS1097" s="58"/>
      <c r="BT1097" s="83"/>
      <c r="CE1097" s="83"/>
      <c r="CK1097" s="58"/>
      <c r="CL1097" s="83"/>
      <c r="CO1097" s="58"/>
      <c r="CP1097" s="83"/>
      <c r="CR1097" s="58"/>
      <c r="CS1097" s="83"/>
      <c r="CY1097" s="83"/>
      <c r="DG1097" s="58"/>
      <c r="DH1097" s="83"/>
      <c r="DQ1097" s="83"/>
      <c r="EE1097" s="58"/>
      <c r="EF1097" s="83"/>
      <c r="EI1097" s="83"/>
      <c r="EK1097" s="58"/>
      <c r="EL1097" s="83"/>
      <c r="EO1097" s="58"/>
      <c r="EP1097" s="83"/>
      <c r="EQ1097" s="58"/>
      <c r="ER1097" s="83"/>
      <c r="ES1097" s="58"/>
      <c r="ET1097" s="83"/>
      <c r="EU1097" s="58"/>
    </row>
    <row r="1098" spans="1:151">
      <c r="A1098" s="83" t="s">
        <v>324</v>
      </c>
      <c r="B1098" s="173" t="s">
        <v>546</v>
      </c>
      <c r="C1098" s="173" t="s">
        <v>547</v>
      </c>
      <c r="D1098" s="83" t="s">
        <v>153</v>
      </c>
      <c r="F1098" s="49" t="s">
        <v>286</v>
      </c>
      <c r="G1098" s="49">
        <v>19.445</v>
      </c>
      <c r="I1098" s="49">
        <v>3334</v>
      </c>
      <c r="J1098" s="159">
        <v>1.6504950495049504</v>
      </c>
      <c r="K1098" s="49">
        <v>1</v>
      </c>
      <c r="L1098" s="49">
        <v>2</v>
      </c>
      <c r="M1098" s="83">
        <v>0</v>
      </c>
      <c r="N1098" s="49">
        <v>0</v>
      </c>
      <c r="O1098" s="49">
        <v>0</v>
      </c>
      <c r="P1098" s="49">
        <v>1</v>
      </c>
      <c r="Q1098" s="58">
        <v>0</v>
      </c>
      <c r="R1098" s="42">
        <v>1</v>
      </c>
      <c r="S1098" s="83">
        <v>1</v>
      </c>
      <c r="U1098" s="83">
        <v>1</v>
      </c>
      <c r="V1098" s="49">
        <v>2</v>
      </c>
      <c r="W1098" s="49">
        <v>2</v>
      </c>
      <c r="X1098" s="58"/>
      <c r="Y1098" s="83">
        <v>2</v>
      </c>
      <c r="Z1098" s="49">
        <v>13</v>
      </c>
      <c r="AA1098" s="49">
        <v>217</v>
      </c>
      <c r="AC1098" s="49">
        <v>99</v>
      </c>
      <c r="AD1098" s="49">
        <v>24</v>
      </c>
      <c r="AE1098" s="49">
        <v>354</v>
      </c>
      <c r="AF1098" s="49">
        <v>18</v>
      </c>
      <c r="AG1098" s="49">
        <v>156</v>
      </c>
      <c r="AJ1098" s="49">
        <v>0</v>
      </c>
      <c r="AK1098" s="83">
        <v>0</v>
      </c>
      <c r="AL1098" s="49">
        <v>1</v>
      </c>
      <c r="AM1098" s="49">
        <v>0</v>
      </c>
      <c r="AN1098" s="49">
        <v>0</v>
      </c>
      <c r="AO1098" s="58">
        <v>0</v>
      </c>
      <c r="AP1098" s="174">
        <v>413</v>
      </c>
      <c r="AQ1098" s="175">
        <v>983</v>
      </c>
      <c r="AR1098" s="175">
        <v>0</v>
      </c>
      <c r="AS1098" s="175">
        <v>0</v>
      </c>
      <c r="AT1098" s="175">
        <v>0</v>
      </c>
      <c r="AU1098" s="175">
        <v>0</v>
      </c>
      <c r="AV1098" s="175">
        <v>0</v>
      </c>
      <c r="AW1098" s="175">
        <v>0</v>
      </c>
      <c r="AX1098" s="83">
        <v>0</v>
      </c>
      <c r="AY1098" s="49">
        <v>0</v>
      </c>
      <c r="AZ1098" s="49">
        <v>0</v>
      </c>
      <c r="BA1098" s="49">
        <v>0</v>
      </c>
      <c r="BB1098" s="58">
        <v>0</v>
      </c>
      <c r="BC1098" s="42">
        <v>121</v>
      </c>
      <c r="BS1098" s="58"/>
      <c r="BT1098" s="83"/>
      <c r="CE1098" s="83"/>
      <c r="CK1098" s="58"/>
      <c r="CL1098" s="83"/>
      <c r="CO1098" s="58"/>
      <c r="CP1098" s="83"/>
      <c r="CR1098" s="58"/>
      <c r="CS1098" s="83"/>
      <c r="CY1098" s="83"/>
      <c r="DG1098" s="58"/>
      <c r="DH1098" s="83"/>
      <c r="DQ1098" s="83"/>
      <c r="EE1098" s="58"/>
      <c r="EF1098" s="83"/>
      <c r="EI1098" s="83"/>
      <c r="EK1098" s="58"/>
      <c r="EL1098" s="83"/>
      <c r="EO1098" s="58"/>
      <c r="EP1098" s="83"/>
      <c r="EQ1098" s="58"/>
      <c r="ER1098" s="83"/>
      <c r="ES1098" s="58"/>
      <c r="ET1098" s="83"/>
      <c r="EU1098" s="58"/>
    </row>
    <row r="1099" spans="1:151">
      <c r="A1099" s="83" t="s">
        <v>324</v>
      </c>
      <c r="B1099" s="173" t="s">
        <v>546</v>
      </c>
      <c r="C1099" s="173" t="s">
        <v>547</v>
      </c>
      <c r="D1099" s="83" t="s">
        <v>154</v>
      </c>
      <c r="F1099" s="49" t="s">
        <v>286</v>
      </c>
      <c r="G1099" s="49">
        <v>19.445</v>
      </c>
      <c r="I1099" s="49">
        <v>2538</v>
      </c>
      <c r="J1099" s="159">
        <v>1.0039556962025316</v>
      </c>
      <c r="K1099" s="49">
        <v>1</v>
      </c>
      <c r="L1099" s="49">
        <v>2</v>
      </c>
      <c r="M1099" s="83">
        <v>0</v>
      </c>
      <c r="N1099" s="49">
        <v>2</v>
      </c>
      <c r="O1099" s="49">
        <v>0</v>
      </c>
      <c r="P1099" s="49">
        <v>0</v>
      </c>
      <c r="Q1099" s="58">
        <v>0</v>
      </c>
      <c r="R1099" s="42">
        <v>2</v>
      </c>
      <c r="S1099" s="83" t="s">
        <v>283</v>
      </c>
      <c r="T1099" s="49">
        <v>5</v>
      </c>
      <c r="U1099" s="83">
        <v>1</v>
      </c>
      <c r="V1099" s="49">
        <v>2</v>
      </c>
      <c r="W1099" s="49">
        <v>2</v>
      </c>
      <c r="X1099" s="58"/>
      <c r="Y1099" s="83">
        <v>10</v>
      </c>
      <c r="Z1099" s="49">
        <v>7</v>
      </c>
      <c r="AA1099" s="49">
        <v>183</v>
      </c>
      <c r="AD1099" s="49">
        <v>8</v>
      </c>
      <c r="AE1099" s="49">
        <v>500</v>
      </c>
      <c r="AF1099" s="49">
        <v>17</v>
      </c>
      <c r="AG1099" s="49">
        <v>380</v>
      </c>
      <c r="AH1099" s="49">
        <v>23</v>
      </c>
      <c r="AI1099" s="49">
        <v>621</v>
      </c>
      <c r="AJ1099" s="49">
        <v>0</v>
      </c>
      <c r="AK1099" s="83">
        <v>0</v>
      </c>
      <c r="AL1099" s="49">
        <v>1</v>
      </c>
      <c r="AM1099" s="49">
        <v>0</v>
      </c>
      <c r="AN1099" s="49">
        <v>0</v>
      </c>
      <c r="AO1099" s="58">
        <v>0</v>
      </c>
      <c r="AP1099" s="174">
        <v>577</v>
      </c>
      <c r="AQ1099" s="175">
        <v>587</v>
      </c>
      <c r="AR1099" s="175">
        <v>0</v>
      </c>
      <c r="AS1099" s="175">
        <v>0</v>
      </c>
      <c r="AT1099" s="175">
        <v>0</v>
      </c>
      <c r="AU1099" s="175">
        <v>0</v>
      </c>
      <c r="AV1099" s="175">
        <v>0</v>
      </c>
      <c r="AW1099" s="175">
        <v>0</v>
      </c>
      <c r="AX1099" s="83">
        <v>0</v>
      </c>
      <c r="AY1099" s="49">
        <v>0</v>
      </c>
      <c r="AZ1099" s="49">
        <v>0</v>
      </c>
      <c r="BA1099" s="49">
        <v>0</v>
      </c>
      <c r="BB1099" s="58">
        <v>0</v>
      </c>
      <c r="BC1099" s="42">
        <v>118</v>
      </c>
      <c r="BS1099" s="58"/>
      <c r="BT1099" s="83"/>
      <c r="CE1099" s="83"/>
      <c r="CK1099" s="58"/>
      <c r="CL1099" s="83"/>
      <c r="CO1099" s="58"/>
      <c r="CP1099" s="83"/>
      <c r="CR1099" s="58"/>
      <c r="CS1099" s="83"/>
      <c r="CY1099" s="83"/>
      <c r="DG1099" s="58"/>
      <c r="DH1099" s="83"/>
      <c r="DQ1099" s="83"/>
      <c r="EE1099" s="58"/>
      <c r="EF1099" s="83"/>
      <c r="EI1099" s="83"/>
      <c r="EK1099" s="58"/>
      <c r="EL1099" s="83"/>
      <c r="EO1099" s="58"/>
      <c r="EP1099" s="83"/>
      <c r="EQ1099" s="58"/>
      <c r="ER1099" s="83"/>
      <c r="ES1099" s="58"/>
      <c r="ET1099" s="83"/>
      <c r="EU1099" s="58"/>
    </row>
    <row r="1100" spans="1:151">
      <c r="A1100" s="83" t="s">
        <v>324</v>
      </c>
      <c r="B1100" s="173" t="s">
        <v>546</v>
      </c>
      <c r="C1100" s="173" t="s">
        <v>547</v>
      </c>
      <c r="D1100" s="83" t="s">
        <v>156</v>
      </c>
      <c r="E1100" s="49" t="s">
        <v>0</v>
      </c>
      <c r="F1100" s="49" t="s">
        <v>286</v>
      </c>
      <c r="G1100" s="49">
        <v>19.445</v>
      </c>
      <c r="I1100" s="49">
        <v>1939</v>
      </c>
      <c r="J1100" s="159">
        <v>1.078420467185762</v>
      </c>
      <c r="K1100" s="49">
        <v>1</v>
      </c>
      <c r="L1100" s="49">
        <v>2</v>
      </c>
      <c r="M1100" s="83">
        <v>0</v>
      </c>
      <c r="N1100" s="49">
        <v>3</v>
      </c>
      <c r="O1100" s="49">
        <v>1</v>
      </c>
      <c r="P1100" s="49">
        <v>1</v>
      </c>
      <c r="Q1100" s="58">
        <v>0</v>
      </c>
      <c r="R1100" s="42">
        <v>5</v>
      </c>
      <c r="S1100" s="83" t="s">
        <v>283</v>
      </c>
      <c r="T1100" s="49">
        <v>19</v>
      </c>
      <c r="U1100" s="83">
        <v>2</v>
      </c>
      <c r="V1100" s="49">
        <v>3</v>
      </c>
      <c r="W1100" s="49">
        <v>1</v>
      </c>
      <c r="X1100" s="58">
        <v>3</v>
      </c>
      <c r="Y1100" s="83">
        <v>5</v>
      </c>
      <c r="Z1100" s="49">
        <v>8</v>
      </c>
      <c r="AA1100" s="49">
        <v>13</v>
      </c>
      <c r="AD1100" s="49">
        <v>12</v>
      </c>
      <c r="AE1100" s="49">
        <v>233</v>
      </c>
      <c r="AF1100" s="49">
        <v>12</v>
      </c>
      <c r="AG1100" s="49">
        <v>91</v>
      </c>
      <c r="AH1100" s="49">
        <v>51</v>
      </c>
      <c r="AI1100" s="49">
        <v>356</v>
      </c>
      <c r="AJ1100" s="49">
        <v>0</v>
      </c>
      <c r="AK1100" s="83">
        <v>0</v>
      </c>
      <c r="AL1100" s="49">
        <v>1</v>
      </c>
      <c r="AM1100" s="49">
        <v>0</v>
      </c>
      <c r="AN1100" s="49">
        <v>0</v>
      </c>
      <c r="AO1100" s="58">
        <v>0</v>
      </c>
      <c r="AP1100" s="174">
        <v>126</v>
      </c>
      <c r="AQ1100" s="175">
        <v>500</v>
      </c>
      <c r="AR1100" s="175">
        <v>0</v>
      </c>
      <c r="AS1100" s="175">
        <v>0</v>
      </c>
      <c r="AT1100" s="175">
        <v>0</v>
      </c>
      <c r="AU1100" s="175">
        <v>0</v>
      </c>
      <c r="AV1100" s="175">
        <v>0</v>
      </c>
      <c r="AW1100" s="175">
        <v>0</v>
      </c>
      <c r="AX1100" s="83">
        <v>0</v>
      </c>
      <c r="AY1100" s="49">
        <v>0</v>
      </c>
      <c r="AZ1100" s="49">
        <v>0</v>
      </c>
      <c r="BA1100" s="49">
        <v>0</v>
      </c>
      <c r="BB1100" s="58">
        <v>0</v>
      </c>
      <c r="BC1100" s="42">
        <v>129</v>
      </c>
      <c r="BS1100" s="58"/>
      <c r="BT1100" s="83">
        <v>81.150000000000006</v>
      </c>
      <c r="CE1100" s="83">
        <v>73.19</v>
      </c>
      <c r="CK1100" s="58"/>
      <c r="CL1100" s="83"/>
      <c r="CO1100" s="58"/>
      <c r="CP1100" s="83"/>
      <c r="CR1100" s="58"/>
      <c r="CS1100" s="83"/>
      <c r="CY1100" s="83">
        <v>78.95</v>
      </c>
      <c r="CZ1100" s="159">
        <v>80.7</v>
      </c>
      <c r="DG1100" s="58"/>
      <c r="DH1100" s="83"/>
      <c r="DQ1100" s="83">
        <v>77.459999999999994</v>
      </c>
      <c r="EE1100" s="58"/>
      <c r="EF1100" s="83"/>
      <c r="EI1100" s="83"/>
      <c r="EK1100" s="58"/>
      <c r="EL1100" s="83"/>
      <c r="EO1100" s="58"/>
      <c r="EP1100" s="83"/>
      <c r="EQ1100" s="58"/>
      <c r="ER1100" s="83"/>
      <c r="ES1100" s="58"/>
      <c r="ET1100" s="83"/>
      <c r="EU1100" s="58"/>
    </row>
    <row r="1101" spans="1:151">
      <c r="A1101" s="83" t="s">
        <v>324</v>
      </c>
      <c r="B1101" s="173" t="s">
        <v>546</v>
      </c>
      <c r="C1101" s="173" t="s">
        <v>547</v>
      </c>
      <c r="D1101" s="83" t="s">
        <v>156</v>
      </c>
      <c r="E1101" s="49" t="s">
        <v>1</v>
      </c>
      <c r="F1101" s="49" t="s">
        <v>286</v>
      </c>
      <c r="G1101" s="49">
        <v>19.445</v>
      </c>
      <c r="I1101" s="49">
        <v>2208</v>
      </c>
      <c r="J1101" s="159">
        <v>1.8323651452282157</v>
      </c>
      <c r="K1101" s="49">
        <v>1</v>
      </c>
      <c r="L1101" s="49">
        <v>2</v>
      </c>
      <c r="M1101" s="83">
        <v>0</v>
      </c>
      <c r="N1101" s="49">
        <v>0</v>
      </c>
      <c r="O1101" s="49">
        <v>1</v>
      </c>
      <c r="P1101" s="49">
        <v>1</v>
      </c>
      <c r="Q1101" s="58">
        <v>0</v>
      </c>
      <c r="R1101" s="42">
        <v>2</v>
      </c>
      <c r="S1101" s="83" t="s">
        <v>283</v>
      </c>
      <c r="T1101" s="49">
        <v>5</v>
      </c>
      <c r="U1101" s="83">
        <v>1</v>
      </c>
      <c r="V1101" s="49">
        <v>3</v>
      </c>
      <c r="W1101" s="49">
        <v>1</v>
      </c>
      <c r="X1101" s="58">
        <v>1</v>
      </c>
      <c r="Y1101" s="83">
        <v>2</v>
      </c>
      <c r="Z1101" s="49">
        <v>5</v>
      </c>
      <c r="AA1101" s="49">
        <v>18</v>
      </c>
      <c r="AD1101" s="49">
        <v>12</v>
      </c>
      <c r="AE1101" s="49">
        <v>418</v>
      </c>
      <c r="AF1101" s="49">
        <v>8</v>
      </c>
      <c r="AG1101" s="49">
        <v>68</v>
      </c>
      <c r="AJ1101" s="49">
        <v>0</v>
      </c>
      <c r="AK1101" s="83">
        <v>0</v>
      </c>
      <c r="AL1101" s="49">
        <v>1</v>
      </c>
      <c r="AM1101" s="49">
        <v>0</v>
      </c>
      <c r="AN1101" s="49">
        <v>0</v>
      </c>
      <c r="AO1101" s="58">
        <v>0</v>
      </c>
      <c r="AP1101" s="174">
        <v>306</v>
      </c>
      <c r="AQ1101" s="175">
        <v>1012</v>
      </c>
      <c r="AR1101" s="175">
        <v>0</v>
      </c>
      <c r="AS1101" s="175">
        <v>0</v>
      </c>
      <c r="AT1101" s="175">
        <v>0</v>
      </c>
      <c r="AU1101" s="175">
        <v>0</v>
      </c>
      <c r="AV1101" s="175">
        <v>0</v>
      </c>
      <c r="AW1101" s="175">
        <v>0</v>
      </c>
      <c r="AX1101" s="83">
        <v>0</v>
      </c>
      <c r="AY1101" s="49">
        <v>0</v>
      </c>
      <c r="AZ1101" s="49">
        <v>0</v>
      </c>
      <c r="BA1101" s="49">
        <v>0</v>
      </c>
      <c r="BB1101" s="58">
        <v>0</v>
      </c>
      <c r="BC1101" s="42">
        <v>129</v>
      </c>
      <c r="BD1101" s="49">
        <v>77.72</v>
      </c>
      <c r="BS1101" s="58"/>
      <c r="BT1101" s="83">
        <v>81.08</v>
      </c>
      <c r="CE1101" s="83">
        <v>79.87</v>
      </c>
      <c r="CK1101" s="58"/>
      <c r="CL1101" s="83"/>
      <c r="CO1101" s="58"/>
      <c r="CP1101" s="83"/>
      <c r="CR1101" s="58"/>
      <c r="CS1101" s="83"/>
      <c r="CY1101" s="83"/>
      <c r="DG1101" s="58"/>
      <c r="DH1101" s="83"/>
      <c r="DQ1101" s="83"/>
      <c r="EE1101" s="58"/>
      <c r="EF1101" s="83"/>
      <c r="EI1101" s="83"/>
      <c r="EK1101" s="58"/>
      <c r="EL1101" s="83"/>
      <c r="EO1101" s="58"/>
      <c r="EP1101" s="83"/>
      <c r="EQ1101" s="58"/>
      <c r="ER1101" s="83"/>
      <c r="ES1101" s="58"/>
      <c r="ET1101" s="83"/>
      <c r="EU1101" s="58"/>
    </row>
    <row r="1102" spans="1:151">
      <c r="A1102" s="83" t="s">
        <v>324</v>
      </c>
      <c r="B1102" s="173" t="s">
        <v>546</v>
      </c>
      <c r="C1102" s="173" t="s">
        <v>547</v>
      </c>
      <c r="D1102" s="83" t="s">
        <v>156</v>
      </c>
      <c r="E1102" s="49" t="s">
        <v>2</v>
      </c>
      <c r="F1102" s="49" t="s">
        <v>286</v>
      </c>
      <c r="G1102" s="49">
        <v>19.445</v>
      </c>
      <c r="I1102" s="49">
        <v>3282</v>
      </c>
      <c r="J1102" s="159">
        <v>2.0048869883934026</v>
      </c>
      <c r="K1102" s="49">
        <v>1</v>
      </c>
      <c r="L1102" s="49">
        <v>3</v>
      </c>
      <c r="M1102" s="83">
        <v>1</v>
      </c>
      <c r="N1102" s="49">
        <v>0</v>
      </c>
      <c r="O1102" s="49">
        <v>1</v>
      </c>
      <c r="P1102" s="49">
        <v>1</v>
      </c>
      <c r="Q1102" s="58">
        <v>0</v>
      </c>
      <c r="R1102" s="42">
        <v>3</v>
      </c>
      <c r="S1102" s="83">
        <v>1</v>
      </c>
      <c r="U1102" s="83">
        <v>3</v>
      </c>
      <c r="V1102" s="49">
        <v>2</v>
      </c>
      <c r="W1102" s="49">
        <v>3</v>
      </c>
      <c r="X1102" s="58">
        <v>3</v>
      </c>
      <c r="Y1102" s="83">
        <v>1</v>
      </c>
      <c r="Z1102" s="49">
        <v>21</v>
      </c>
      <c r="AA1102" s="49">
        <v>127</v>
      </c>
      <c r="AD1102" s="49">
        <v>9</v>
      </c>
      <c r="AE1102" s="49">
        <v>48</v>
      </c>
      <c r="AF1102" s="49">
        <v>22</v>
      </c>
      <c r="AG1102" s="49">
        <v>62</v>
      </c>
      <c r="AJ1102" s="49">
        <v>0</v>
      </c>
      <c r="AK1102" s="83">
        <v>0</v>
      </c>
      <c r="AL1102" s="49">
        <v>1</v>
      </c>
      <c r="AM1102" s="49">
        <v>0</v>
      </c>
      <c r="AN1102" s="49">
        <v>0</v>
      </c>
      <c r="AO1102" s="58">
        <v>0</v>
      </c>
      <c r="AP1102" s="174">
        <v>722</v>
      </c>
      <c r="AQ1102" s="175">
        <v>1470</v>
      </c>
      <c r="AR1102" s="175">
        <v>0</v>
      </c>
      <c r="AS1102" s="175">
        <v>0</v>
      </c>
      <c r="AT1102" s="175">
        <v>0</v>
      </c>
      <c r="AU1102" s="175">
        <v>0</v>
      </c>
      <c r="AV1102" s="175">
        <v>0</v>
      </c>
      <c r="AW1102" s="175">
        <v>0</v>
      </c>
      <c r="AX1102" s="83">
        <v>0</v>
      </c>
      <c r="AY1102" s="49">
        <v>0</v>
      </c>
      <c r="AZ1102" s="49">
        <v>0</v>
      </c>
      <c r="BA1102" s="49">
        <v>0</v>
      </c>
      <c r="BB1102" s="58">
        <v>0</v>
      </c>
      <c r="BC1102" s="42">
        <v>132</v>
      </c>
      <c r="BD1102" s="159">
        <v>79.37</v>
      </c>
      <c r="BE1102" s="49">
        <v>79.040000000000006</v>
      </c>
      <c r="BS1102" s="58"/>
      <c r="BT1102" s="83"/>
      <c r="CE1102" s="83"/>
      <c r="CK1102" s="58"/>
      <c r="CL1102" s="83"/>
      <c r="CO1102" s="58"/>
      <c r="CP1102" s="83"/>
      <c r="CR1102" s="58"/>
      <c r="CS1102" s="83"/>
      <c r="CY1102" s="83"/>
      <c r="DG1102" s="58"/>
      <c r="DH1102" s="83"/>
      <c r="DQ1102" s="83"/>
      <c r="EE1102" s="58"/>
      <c r="EF1102" s="83"/>
      <c r="EI1102" s="83">
        <v>79.06</v>
      </c>
      <c r="EK1102" s="58"/>
      <c r="EL1102" s="83"/>
      <c r="EO1102" s="58"/>
      <c r="EP1102" s="83">
        <v>77.64</v>
      </c>
      <c r="EQ1102" s="58"/>
      <c r="ER1102" s="83"/>
      <c r="ES1102" s="58"/>
      <c r="ET1102" s="83"/>
      <c r="EU1102" s="58"/>
    </row>
    <row r="1103" spans="1:151">
      <c r="A1103" s="83" t="s">
        <v>324</v>
      </c>
      <c r="B1103" s="173" t="s">
        <v>546</v>
      </c>
      <c r="C1103" s="173" t="s">
        <v>547</v>
      </c>
      <c r="D1103" s="83" t="s">
        <v>182</v>
      </c>
      <c r="F1103" s="49" t="s">
        <v>286</v>
      </c>
      <c r="G1103" s="49">
        <v>19.445</v>
      </c>
      <c r="I1103" s="49">
        <v>3693</v>
      </c>
      <c r="J1103" s="159">
        <v>1.7979552093476143</v>
      </c>
      <c r="K1103" s="49">
        <v>1</v>
      </c>
      <c r="L1103" s="49">
        <v>3</v>
      </c>
      <c r="M1103" s="83">
        <v>0</v>
      </c>
      <c r="N1103" s="49">
        <v>5</v>
      </c>
      <c r="O1103" s="49">
        <v>0</v>
      </c>
      <c r="P1103" s="49">
        <v>0</v>
      </c>
      <c r="Q1103" s="58">
        <v>0</v>
      </c>
      <c r="R1103" s="42">
        <v>5</v>
      </c>
      <c r="S1103" s="83" t="s">
        <v>283</v>
      </c>
      <c r="T1103" s="49">
        <v>4</v>
      </c>
      <c r="U1103" s="83">
        <v>1</v>
      </c>
      <c r="V1103" s="49">
        <v>4</v>
      </c>
      <c r="W1103" s="49">
        <v>2</v>
      </c>
      <c r="X1103" s="58"/>
      <c r="Y1103" s="83">
        <v>10</v>
      </c>
      <c r="AA1103" s="49">
        <v>8</v>
      </c>
      <c r="AD1103" s="49">
        <v>10</v>
      </c>
      <c r="AE1103" s="49">
        <v>335</v>
      </c>
      <c r="AF1103" s="49">
        <v>13</v>
      </c>
      <c r="AG1103" s="49">
        <v>370</v>
      </c>
      <c r="AH1103" s="49">
        <v>38</v>
      </c>
      <c r="AI1103" s="49">
        <v>920</v>
      </c>
      <c r="AJ1103" s="49">
        <v>0</v>
      </c>
      <c r="AK1103" s="83">
        <v>0</v>
      </c>
      <c r="AL1103" s="49">
        <v>1</v>
      </c>
      <c r="AM1103" s="49">
        <v>0</v>
      </c>
      <c r="AN1103" s="49">
        <v>0</v>
      </c>
      <c r="AO1103" s="58">
        <v>0</v>
      </c>
      <c r="AP1103" s="174">
        <v>630</v>
      </c>
      <c r="AQ1103" s="175">
        <v>940</v>
      </c>
      <c r="AR1103" s="175">
        <v>0</v>
      </c>
      <c r="AS1103" s="175">
        <v>0</v>
      </c>
      <c r="AT1103" s="175">
        <v>0</v>
      </c>
      <c r="AU1103" s="175">
        <v>0</v>
      </c>
      <c r="AV1103" s="175">
        <v>0</v>
      </c>
      <c r="AW1103" s="175">
        <v>0</v>
      </c>
      <c r="AX1103" s="83">
        <v>0</v>
      </c>
      <c r="AY1103" s="49">
        <v>0</v>
      </c>
      <c r="AZ1103" s="49">
        <v>0</v>
      </c>
      <c r="BA1103" s="49">
        <v>0</v>
      </c>
      <c r="BB1103" s="58">
        <v>0</v>
      </c>
      <c r="BC1103" s="42">
        <v>127</v>
      </c>
      <c r="BS1103" s="58"/>
      <c r="BT1103" s="83">
        <v>80.400000000000006</v>
      </c>
      <c r="BU1103" s="49">
        <v>77.459999999999994</v>
      </c>
      <c r="BV1103" s="49">
        <v>77.05</v>
      </c>
      <c r="CE1103" s="83"/>
      <c r="CK1103" s="58"/>
      <c r="CL1103" s="83"/>
      <c r="CO1103" s="58"/>
      <c r="CP1103" s="83"/>
      <c r="CR1103" s="58"/>
      <c r="CS1103" s="83"/>
      <c r="CY1103" s="83"/>
      <c r="DG1103" s="58"/>
      <c r="DH1103" s="83">
        <v>74.75</v>
      </c>
      <c r="DQ1103" s="83">
        <v>79.099999999999994</v>
      </c>
      <c r="DR1103" s="49">
        <v>80.16</v>
      </c>
      <c r="DS1103" s="49">
        <v>77.849999999999994</v>
      </c>
      <c r="DT1103" s="49">
        <v>78.790000000000006</v>
      </c>
      <c r="EE1103" s="58"/>
      <c r="EF1103" s="83"/>
      <c r="EI1103" s="83"/>
      <c r="EK1103" s="58"/>
      <c r="EL1103" s="83"/>
      <c r="EO1103" s="58"/>
      <c r="EP1103" s="83"/>
      <c r="EQ1103" s="58"/>
      <c r="ER1103" s="83"/>
      <c r="ES1103" s="58"/>
      <c r="ET1103" s="83"/>
      <c r="EU1103" s="58"/>
    </row>
    <row r="1104" spans="1:151">
      <c r="A1104" s="83" t="s">
        <v>324</v>
      </c>
      <c r="B1104" s="173" t="s">
        <v>546</v>
      </c>
      <c r="C1104" s="173" t="s">
        <v>547</v>
      </c>
      <c r="D1104" s="83" t="s">
        <v>157</v>
      </c>
      <c r="F1104" s="49" t="s">
        <v>286</v>
      </c>
      <c r="G1104" s="49">
        <v>19.445</v>
      </c>
      <c r="I1104" s="49">
        <v>6693</v>
      </c>
      <c r="J1104" s="159">
        <v>2.8456632653061225</v>
      </c>
      <c r="K1104" s="49">
        <v>4</v>
      </c>
      <c r="L1104" s="49">
        <v>5</v>
      </c>
      <c r="M1104" s="83">
        <v>0</v>
      </c>
      <c r="N1104" s="49">
        <v>3</v>
      </c>
      <c r="O1104" s="49">
        <v>1</v>
      </c>
      <c r="P1104" s="49">
        <v>1</v>
      </c>
      <c r="Q1104" s="58">
        <v>0</v>
      </c>
      <c r="R1104" s="42">
        <v>5</v>
      </c>
      <c r="S1104" s="83">
        <v>1</v>
      </c>
      <c r="U1104" s="83">
        <v>2</v>
      </c>
      <c r="V1104" s="49">
        <v>4</v>
      </c>
      <c r="W1104" s="49">
        <v>1</v>
      </c>
      <c r="X1104" s="58">
        <v>3</v>
      </c>
      <c r="Y1104" s="83">
        <v>10</v>
      </c>
      <c r="Z1104" s="49">
        <v>5</v>
      </c>
      <c r="AA1104" s="49">
        <v>26</v>
      </c>
      <c r="AD1104" s="49">
        <v>9</v>
      </c>
      <c r="AE1104" s="49">
        <v>118</v>
      </c>
      <c r="AF1104" s="49">
        <v>8</v>
      </c>
      <c r="AG1104" s="49">
        <v>443</v>
      </c>
      <c r="AH1104" s="49">
        <v>8</v>
      </c>
      <c r="AI1104" s="49">
        <v>410</v>
      </c>
      <c r="AJ1104" s="49">
        <v>0</v>
      </c>
      <c r="AK1104" s="83">
        <v>0</v>
      </c>
      <c r="AL1104" s="49">
        <v>1</v>
      </c>
      <c r="AM1104" s="49">
        <v>0</v>
      </c>
      <c r="AN1104" s="49">
        <v>0</v>
      </c>
      <c r="AO1104" s="58">
        <v>0</v>
      </c>
      <c r="AP1104" s="174">
        <v>1578</v>
      </c>
      <c r="AQ1104" s="175">
        <v>1601</v>
      </c>
      <c r="AR1104" s="175">
        <v>0</v>
      </c>
      <c r="AS1104" s="175">
        <v>0</v>
      </c>
      <c r="AT1104" s="175">
        <v>0</v>
      </c>
      <c r="AU1104" s="175">
        <v>0</v>
      </c>
      <c r="AV1104" s="175">
        <v>0</v>
      </c>
      <c r="AW1104" s="175">
        <v>0</v>
      </c>
      <c r="AX1104" s="83">
        <v>0</v>
      </c>
      <c r="AY1104" s="49">
        <v>0</v>
      </c>
      <c r="AZ1104" s="49">
        <v>0</v>
      </c>
      <c r="BA1104" s="49">
        <v>0</v>
      </c>
      <c r="BB1104" s="58">
        <v>0</v>
      </c>
      <c r="BC1104" s="42">
        <v>137</v>
      </c>
      <c r="BD1104" s="49">
        <v>79.03</v>
      </c>
      <c r="BE1104" s="159">
        <v>78.87</v>
      </c>
      <c r="BS1104" s="58"/>
      <c r="BT1104" s="83">
        <v>68.38</v>
      </c>
      <c r="BU1104" s="49">
        <v>72.53</v>
      </c>
      <c r="BV1104" s="49">
        <v>68.36</v>
      </c>
      <c r="BW1104" s="49">
        <v>69.739999999999995</v>
      </c>
      <c r="BX1104" s="49">
        <v>67.930000000000007</v>
      </c>
      <c r="BY1104" s="49">
        <v>67.91</v>
      </c>
      <c r="CE1104" s="83">
        <v>77.540000000000006</v>
      </c>
      <c r="CF1104" s="49">
        <v>79.489999999999995</v>
      </c>
      <c r="CK1104" s="58"/>
      <c r="CL1104" s="83"/>
      <c r="CO1104" s="58"/>
      <c r="CP1104" s="83"/>
      <c r="CR1104" s="58"/>
      <c r="CS1104" s="83"/>
      <c r="CY1104" s="83"/>
      <c r="DG1104" s="58"/>
      <c r="DH1104" s="83"/>
      <c r="DQ1104" s="83"/>
      <c r="EE1104" s="58"/>
      <c r="EF1104" s="83"/>
      <c r="EI1104" s="83"/>
      <c r="EK1104" s="58"/>
      <c r="EL1104" s="83"/>
      <c r="EO1104" s="58"/>
      <c r="EP1104" s="83"/>
      <c r="EQ1104" s="58"/>
      <c r="ER1104" s="83"/>
      <c r="ES1104" s="58"/>
      <c r="ET1104" s="83"/>
      <c r="EU1104" s="58"/>
    </row>
    <row r="1105" spans="1:151">
      <c r="A1105" s="83" t="s">
        <v>324</v>
      </c>
      <c r="B1105" s="173" t="s">
        <v>546</v>
      </c>
      <c r="C1105" s="173" t="s">
        <v>547</v>
      </c>
      <c r="D1105" s="83" t="s">
        <v>158</v>
      </c>
      <c r="F1105" s="49" t="s">
        <v>286</v>
      </c>
      <c r="G1105" s="49">
        <v>19.445</v>
      </c>
      <c r="I1105" s="49">
        <v>2628</v>
      </c>
      <c r="J1105" s="159">
        <v>1.1654101995565411</v>
      </c>
      <c r="K1105" s="49">
        <v>1</v>
      </c>
      <c r="L1105" s="49">
        <v>1</v>
      </c>
      <c r="M1105" s="83">
        <v>0</v>
      </c>
      <c r="N1105" s="49">
        <v>1</v>
      </c>
      <c r="O1105" s="49">
        <v>1</v>
      </c>
      <c r="P1105" s="49">
        <v>1</v>
      </c>
      <c r="Q1105" s="58">
        <v>0</v>
      </c>
      <c r="R1105" s="42">
        <v>3</v>
      </c>
      <c r="S1105" s="83" t="s">
        <v>283</v>
      </c>
      <c r="T1105" s="49">
        <v>9</v>
      </c>
      <c r="U1105" s="83">
        <v>2</v>
      </c>
      <c r="V1105" s="49">
        <v>3</v>
      </c>
      <c r="W1105" s="49">
        <v>1</v>
      </c>
      <c r="X1105" s="58">
        <v>3</v>
      </c>
      <c r="Y1105" s="83">
        <v>2</v>
      </c>
      <c r="Z1105" s="49">
        <v>11</v>
      </c>
      <c r="AA1105" s="49">
        <v>17</v>
      </c>
      <c r="AD1105" s="49">
        <v>8</v>
      </c>
      <c r="AE1105" s="49">
        <v>157</v>
      </c>
      <c r="AF1105" s="49">
        <v>33</v>
      </c>
      <c r="AG1105" s="49">
        <v>291</v>
      </c>
      <c r="AJ1105" s="49">
        <v>0</v>
      </c>
      <c r="AK1105" s="83">
        <v>0</v>
      </c>
      <c r="AL1105" s="49">
        <v>1</v>
      </c>
      <c r="AM1105" s="49">
        <v>0</v>
      </c>
      <c r="AN1105" s="49">
        <v>0</v>
      </c>
      <c r="AO1105" s="58">
        <v>0</v>
      </c>
      <c r="AP1105" s="174">
        <v>0</v>
      </c>
      <c r="AQ1105" s="175">
        <v>445</v>
      </c>
      <c r="AR1105" s="175">
        <v>0</v>
      </c>
      <c r="AS1105" s="175">
        <v>0</v>
      </c>
      <c r="AT1105" s="175">
        <v>0</v>
      </c>
      <c r="AU1105" s="175">
        <v>0</v>
      </c>
      <c r="AV1105" s="175">
        <v>0</v>
      </c>
      <c r="AW1105" s="175">
        <v>0</v>
      </c>
      <c r="AX1105" s="83">
        <v>0</v>
      </c>
      <c r="AY1105" s="49">
        <v>0</v>
      </c>
      <c r="AZ1105" s="49">
        <v>0</v>
      </c>
      <c r="BA1105" s="49">
        <v>0</v>
      </c>
      <c r="BB1105" s="58">
        <v>0</v>
      </c>
      <c r="BC1105" s="42">
        <v>114</v>
      </c>
      <c r="BS1105" s="58"/>
      <c r="BT1105" s="83">
        <v>79.260000000000005</v>
      </c>
      <c r="BU1105" s="49">
        <v>79.37</v>
      </c>
      <c r="CE1105" s="83"/>
      <c r="CF1105" s="49">
        <v>61</v>
      </c>
      <c r="CG1105" s="49">
        <v>80.680000000000007</v>
      </c>
      <c r="CK1105" s="58"/>
      <c r="CL1105" s="83"/>
      <c r="CO1105" s="58"/>
      <c r="CP1105" s="83"/>
      <c r="CR1105" s="58"/>
      <c r="CS1105" s="83"/>
      <c r="CY1105" s="83"/>
      <c r="DG1105" s="58"/>
      <c r="DH1105" s="83"/>
      <c r="DQ1105" s="83"/>
      <c r="EE1105" s="58"/>
      <c r="EF1105" s="83"/>
      <c r="EI1105" s="83"/>
      <c r="EK1105" s="58"/>
      <c r="EL1105" s="83"/>
      <c r="EO1105" s="58"/>
      <c r="EP1105" s="83">
        <v>53.81</v>
      </c>
      <c r="EQ1105" s="58"/>
      <c r="ER1105" s="83"/>
      <c r="ES1105" s="58"/>
      <c r="ET1105" s="83"/>
      <c r="EU1105" s="58"/>
    </row>
    <row r="1106" spans="1:151">
      <c r="A1106" s="83" t="s">
        <v>324</v>
      </c>
      <c r="B1106" s="173" t="s">
        <v>546</v>
      </c>
      <c r="C1106" s="173" t="s">
        <v>547</v>
      </c>
      <c r="D1106" s="83" t="s">
        <v>159</v>
      </c>
      <c r="F1106" s="49" t="s">
        <v>286</v>
      </c>
      <c r="G1106" s="49">
        <v>19.445</v>
      </c>
      <c r="I1106" s="49">
        <v>4786</v>
      </c>
      <c r="J1106" s="159">
        <v>2.0228233305156382</v>
      </c>
      <c r="K1106" s="49">
        <v>1</v>
      </c>
      <c r="L1106" s="49">
        <v>2</v>
      </c>
      <c r="M1106" s="83">
        <v>0</v>
      </c>
      <c r="N1106" s="49">
        <v>0</v>
      </c>
      <c r="O1106" s="49">
        <v>1</v>
      </c>
      <c r="P1106" s="49">
        <v>1</v>
      </c>
      <c r="Q1106" s="58">
        <v>0</v>
      </c>
      <c r="R1106" s="42">
        <v>2</v>
      </c>
      <c r="S1106" s="83">
        <v>1</v>
      </c>
      <c r="T1106" s="49">
        <v>7</v>
      </c>
      <c r="U1106" s="83">
        <v>1</v>
      </c>
      <c r="V1106" s="49">
        <v>2</v>
      </c>
      <c r="W1106" s="49">
        <v>1</v>
      </c>
      <c r="X1106" s="58">
        <v>2</v>
      </c>
      <c r="Y1106" s="83">
        <v>1</v>
      </c>
      <c r="Z1106" s="49">
        <v>6</v>
      </c>
      <c r="AA1106" s="49">
        <v>27</v>
      </c>
      <c r="AD1106" s="49">
        <v>11</v>
      </c>
      <c r="AE1106" s="49">
        <v>94</v>
      </c>
      <c r="AF1106" s="49">
        <v>12</v>
      </c>
      <c r="AG1106" s="49">
        <v>89</v>
      </c>
      <c r="AI1106" s="49">
        <v>128</v>
      </c>
      <c r="AJ1106" s="49">
        <v>0</v>
      </c>
      <c r="AK1106" s="83">
        <v>0</v>
      </c>
      <c r="AL1106" s="49">
        <v>1</v>
      </c>
      <c r="AM1106" s="49">
        <v>0</v>
      </c>
      <c r="AN1106" s="49">
        <v>0</v>
      </c>
      <c r="AO1106" s="58">
        <v>0</v>
      </c>
      <c r="AP1106" s="174">
        <v>729</v>
      </c>
      <c r="AQ1106" s="175">
        <v>2933</v>
      </c>
      <c r="AR1106" s="175">
        <v>0</v>
      </c>
      <c r="AS1106" s="175">
        <v>0</v>
      </c>
      <c r="AT1106" s="175">
        <v>0</v>
      </c>
      <c r="AU1106" s="175">
        <v>0</v>
      </c>
      <c r="AV1106" s="175">
        <v>0</v>
      </c>
      <c r="AW1106" s="175">
        <v>0</v>
      </c>
      <c r="AX1106" s="83">
        <v>0</v>
      </c>
      <c r="AY1106" s="49">
        <v>0</v>
      </c>
      <c r="AZ1106" s="49">
        <v>0</v>
      </c>
      <c r="BA1106" s="49">
        <v>0</v>
      </c>
      <c r="BB1106" s="58">
        <v>0</v>
      </c>
      <c r="BC1106" s="42">
        <v>125</v>
      </c>
      <c r="BD1106" s="49">
        <v>73.2</v>
      </c>
      <c r="BE1106" s="49">
        <v>76.09</v>
      </c>
      <c r="BS1106" s="58"/>
      <c r="BT1106" s="83">
        <v>80.55</v>
      </c>
      <c r="BU1106" s="49">
        <v>79</v>
      </c>
      <c r="BV1106" s="49">
        <v>75.650000000000006</v>
      </c>
      <c r="BW1106" s="49">
        <v>77.11</v>
      </c>
      <c r="CE1106" s="83">
        <v>80.55</v>
      </c>
      <c r="CK1106" s="58"/>
      <c r="CL1106" s="83"/>
      <c r="CO1106" s="58"/>
      <c r="CP1106" s="83"/>
      <c r="CR1106" s="58"/>
      <c r="CS1106" s="83"/>
      <c r="CY1106" s="83"/>
      <c r="DG1106" s="58"/>
      <c r="DH1106" s="83"/>
      <c r="DQ1106" s="83"/>
      <c r="EE1106" s="58"/>
      <c r="EF1106" s="83"/>
      <c r="EI1106" s="83"/>
      <c r="EK1106" s="58"/>
      <c r="EL1106" s="83"/>
      <c r="EO1106" s="58"/>
      <c r="EP1106" s="83">
        <v>79.87</v>
      </c>
      <c r="EQ1106" s="58"/>
      <c r="ER1106" s="83"/>
      <c r="ES1106" s="58"/>
      <c r="ET1106" s="83"/>
      <c r="EU1106" s="58"/>
    </row>
    <row r="1107" spans="1:151">
      <c r="A1107" s="83" t="s">
        <v>324</v>
      </c>
      <c r="B1107" s="173" t="s">
        <v>546</v>
      </c>
      <c r="C1107" s="173" t="s">
        <v>547</v>
      </c>
      <c r="D1107" s="83" t="s">
        <v>160</v>
      </c>
      <c r="F1107" s="49" t="s">
        <v>286</v>
      </c>
      <c r="G1107" s="49">
        <v>19.445</v>
      </c>
      <c r="I1107" s="49">
        <v>5083</v>
      </c>
      <c r="J1107" s="159">
        <v>1.7545736969278565</v>
      </c>
      <c r="K1107" s="49">
        <v>1</v>
      </c>
      <c r="L1107" s="49">
        <v>2</v>
      </c>
      <c r="M1107" s="83">
        <v>0</v>
      </c>
      <c r="N1107" s="49">
        <v>1</v>
      </c>
      <c r="O1107" s="49">
        <v>1</v>
      </c>
      <c r="P1107" s="49">
        <v>1</v>
      </c>
      <c r="Q1107" s="58">
        <v>0</v>
      </c>
      <c r="R1107" s="42">
        <v>3</v>
      </c>
      <c r="S1107" s="83" t="s">
        <v>283</v>
      </c>
      <c r="T1107" s="49">
        <v>5</v>
      </c>
      <c r="U1107" s="83">
        <v>1</v>
      </c>
      <c r="V1107" s="49">
        <v>3</v>
      </c>
      <c r="W1107" s="49">
        <v>1</v>
      </c>
      <c r="X1107" s="58">
        <v>1</v>
      </c>
      <c r="Y1107" s="83">
        <v>2</v>
      </c>
      <c r="Z1107" s="49">
        <v>6</v>
      </c>
      <c r="AA1107" s="49">
        <v>50</v>
      </c>
      <c r="AD1107" s="49">
        <v>14</v>
      </c>
      <c r="AE1107" s="49">
        <v>93</v>
      </c>
      <c r="AF1107" s="49">
        <v>10</v>
      </c>
      <c r="AG1107" s="49">
        <v>144</v>
      </c>
      <c r="AH1107" s="49">
        <v>306</v>
      </c>
      <c r="AI1107" s="49">
        <v>859</v>
      </c>
      <c r="AJ1107" s="49">
        <v>0</v>
      </c>
      <c r="AK1107" s="83">
        <v>0</v>
      </c>
      <c r="AL1107" s="49">
        <v>1</v>
      </c>
      <c r="AM1107" s="49">
        <v>0</v>
      </c>
      <c r="AN1107" s="49">
        <v>0</v>
      </c>
      <c r="AO1107" s="58">
        <v>0</v>
      </c>
      <c r="AP1107" s="174">
        <v>519</v>
      </c>
      <c r="AQ1107" s="175">
        <v>815</v>
      </c>
      <c r="AR1107" s="175">
        <v>0</v>
      </c>
      <c r="AS1107" s="175">
        <v>0</v>
      </c>
      <c r="AT1107" s="175">
        <v>0</v>
      </c>
      <c r="AU1107" s="175">
        <v>0</v>
      </c>
      <c r="AV1107" s="175">
        <v>0</v>
      </c>
      <c r="AW1107" s="175">
        <v>0</v>
      </c>
      <c r="AX1107" s="83">
        <v>0</v>
      </c>
      <c r="AY1107" s="49">
        <v>0</v>
      </c>
      <c r="AZ1107" s="49">
        <v>0</v>
      </c>
      <c r="BA1107" s="49">
        <v>0</v>
      </c>
      <c r="BB1107" s="58">
        <v>0</v>
      </c>
      <c r="BC1107" s="42">
        <v>160</v>
      </c>
      <c r="BS1107" s="58"/>
      <c r="BT1107" s="83"/>
      <c r="CE1107" s="83"/>
      <c r="CK1107" s="58"/>
      <c r="CL1107" s="83"/>
      <c r="CO1107" s="58"/>
      <c r="CP1107" s="83"/>
      <c r="CR1107" s="58"/>
      <c r="CS1107" s="83"/>
      <c r="CY1107" s="83"/>
      <c r="DG1107" s="58"/>
      <c r="DH1107" s="83"/>
      <c r="DQ1107" s="83"/>
      <c r="EE1107" s="58"/>
      <c r="EF1107" s="83"/>
      <c r="EI1107" s="83"/>
      <c r="EK1107" s="58"/>
      <c r="EL1107" s="83"/>
      <c r="EO1107" s="58"/>
      <c r="EP1107" s="83"/>
      <c r="EQ1107" s="58"/>
      <c r="ER1107" s="83"/>
      <c r="ES1107" s="58"/>
      <c r="ET1107" s="83"/>
      <c r="EU1107" s="58"/>
    </row>
    <row r="1108" spans="1:151" ht="17" thickBot="1">
      <c r="A1108" s="83" t="s">
        <v>324</v>
      </c>
      <c r="B1108" s="173" t="s">
        <v>546</v>
      </c>
      <c r="C1108" s="173" t="s">
        <v>547</v>
      </c>
      <c r="D1108" s="83" t="s">
        <v>161</v>
      </c>
      <c r="F1108" s="49" t="s">
        <v>286</v>
      </c>
      <c r="G1108" s="49">
        <v>19.445</v>
      </c>
      <c r="I1108" s="49">
        <v>5690</v>
      </c>
      <c r="J1108" s="159">
        <v>1.6794569067296341</v>
      </c>
      <c r="K1108" s="49">
        <v>1</v>
      </c>
      <c r="L1108" s="49">
        <v>1</v>
      </c>
      <c r="M1108" s="83">
        <v>0</v>
      </c>
      <c r="N1108" s="49">
        <v>0</v>
      </c>
      <c r="O1108" s="49">
        <v>1</v>
      </c>
      <c r="P1108" s="49">
        <v>1</v>
      </c>
      <c r="Q1108" s="58">
        <v>0</v>
      </c>
      <c r="R1108" s="42">
        <v>2</v>
      </c>
      <c r="S1108" s="83" t="s">
        <v>283</v>
      </c>
      <c r="T1108" s="49">
        <v>8</v>
      </c>
      <c r="U1108" s="83">
        <v>1</v>
      </c>
      <c r="V1108" s="49">
        <v>2</v>
      </c>
      <c r="W1108" s="49">
        <v>1</v>
      </c>
      <c r="X1108" s="58">
        <v>2</v>
      </c>
      <c r="Y1108" s="83">
        <v>1</v>
      </c>
      <c r="Z1108" s="49">
        <v>11</v>
      </c>
      <c r="AA1108" s="49">
        <v>33</v>
      </c>
      <c r="AD1108" s="49">
        <v>9</v>
      </c>
      <c r="AE1108" s="49">
        <v>281</v>
      </c>
      <c r="AF1108" s="49">
        <v>10</v>
      </c>
      <c r="AG1108" s="49">
        <v>57</v>
      </c>
      <c r="AJ1108" s="49">
        <v>0</v>
      </c>
      <c r="AK1108" s="83">
        <v>0</v>
      </c>
      <c r="AL1108" s="49">
        <v>1</v>
      </c>
      <c r="AM1108" s="49">
        <v>0</v>
      </c>
      <c r="AN1108" s="49">
        <v>0</v>
      </c>
      <c r="AO1108" s="58">
        <v>0</v>
      </c>
      <c r="AP1108" s="174">
        <v>389</v>
      </c>
      <c r="AQ1108" s="175">
        <v>2010</v>
      </c>
      <c r="AR1108" s="175">
        <v>0</v>
      </c>
      <c r="AS1108" s="175">
        <v>0</v>
      </c>
      <c r="AT1108" s="175">
        <v>0</v>
      </c>
      <c r="AU1108" s="175">
        <v>0</v>
      </c>
      <c r="AV1108" s="175">
        <v>0</v>
      </c>
      <c r="AW1108" s="175">
        <v>0</v>
      </c>
      <c r="AX1108" s="83">
        <v>0</v>
      </c>
      <c r="AY1108" s="49">
        <v>0</v>
      </c>
      <c r="AZ1108" s="49">
        <v>0</v>
      </c>
      <c r="BA1108" s="49">
        <v>0</v>
      </c>
      <c r="BB1108" s="58">
        <v>0</v>
      </c>
      <c r="BC1108" s="42">
        <v>127</v>
      </c>
      <c r="BD1108" s="49">
        <v>79.94</v>
      </c>
      <c r="BS1108" s="58"/>
      <c r="BT1108" s="83">
        <v>78.89</v>
      </c>
      <c r="BU1108" s="49">
        <v>77.61</v>
      </c>
      <c r="BV1108" s="49">
        <v>80.84</v>
      </c>
      <c r="CE1108" s="83">
        <v>76.25</v>
      </c>
      <c r="CF1108" s="49">
        <v>77.89</v>
      </c>
      <c r="CK1108" s="58"/>
      <c r="CL1108" s="83"/>
      <c r="CO1108" s="58"/>
      <c r="CP1108" s="83"/>
      <c r="CR1108" s="58"/>
      <c r="CS1108" s="83"/>
      <c r="CY1108" s="83"/>
      <c r="DG1108" s="58"/>
      <c r="DH1108" s="83"/>
      <c r="DQ1108" s="83"/>
      <c r="EE1108" s="58"/>
      <c r="EF1108" s="83"/>
      <c r="EI1108" s="83"/>
      <c r="EK1108" s="58"/>
      <c r="EL1108" s="83"/>
      <c r="EO1108" s="58"/>
      <c r="EP1108" s="83"/>
      <c r="EQ1108" s="58"/>
      <c r="ER1108" s="83"/>
      <c r="ES1108" s="58"/>
      <c r="ET1108" s="83"/>
      <c r="EU1108" s="58"/>
    </row>
    <row r="1109" spans="1:151">
      <c r="A1109" s="87" t="s">
        <v>324</v>
      </c>
      <c r="B1109" s="7" t="s">
        <v>548</v>
      </c>
      <c r="C1109" s="7" t="s">
        <v>549</v>
      </c>
      <c r="D1109" s="147" t="s">
        <v>273</v>
      </c>
      <c r="E1109" s="148"/>
      <c r="F1109" s="148" t="s">
        <v>287</v>
      </c>
      <c r="G1109" s="148">
        <v>18.29</v>
      </c>
      <c r="H1109" s="148"/>
      <c r="I1109" s="148">
        <v>377</v>
      </c>
      <c r="J1109" s="158">
        <v>3.4587155963302751</v>
      </c>
      <c r="K1109" s="148">
        <v>1</v>
      </c>
      <c r="L1109" s="148">
        <v>2</v>
      </c>
      <c r="M1109" s="147">
        <v>0</v>
      </c>
      <c r="N1109" s="148">
        <v>0</v>
      </c>
      <c r="O1109" s="148">
        <v>1</v>
      </c>
      <c r="P1109" s="148">
        <v>1</v>
      </c>
      <c r="Q1109" s="149">
        <v>0</v>
      </c>
      <c r="R1109" s="87">
        <v>2</v>
      </c>
      <c r="S1109" s="147" t="s">
        <v>283</v>
      </c>
      <c r="T1109" s="148">
        <v>4</v>
      </c>
      <c r="U1109" s="147">
        <v>1</v>
      </c>
      <c r="V1109" s="148">
        <v>3</v>
      </c>
      <c r="W1109" s="148">
        <v>1</v>
      </c>
      <c r="X1109" s="149">
        <v>2</v>
      </c>
      <c r="Y1109" s="147">
        <v>1</v>
      </c>
      <c r="Z1109" s="148"/>
      <c r="AA1109" s="148"/>
      <c r="AB1109" s="148"/>
      <c r="AC1109" s="148"/>
      <c r="AD1109" s="148">
        <v>5</v>
      </c>
      <c r="AE1109" s="148">
        <v>20</v>
      </c>
      <c r="AF1109" s="148"/>
      <c r="AG1109" s="148">
        <v>24</v>
      </c>
      <c r="AH1109" s="148"/>
      <c r="AI1109" s="148"/>
      <c r="AJ1109" s="148">
        <v>0</v>
      </c>
      <c r="AK1109" s="147">
        <v>0</v>
      </c>
      <c r="AL1109" s="148">
        <v>1</v>
      </c>
      <c r="AM1109" s="148">
        <v>1</v>
      </c>
      <c r="AN1109" s="148">
        <v>0</v>
      </c>
      <c r="AO1109" s="149">
        <v>0</v>
      </c>
      <c r="AP1109" s="169">
        <v>107</v>
      </c>
      <c r="AQ1109" s="170">
        <v>134</v>
      </c>
      <c r="AR1109" s="170">
        <v>37</v>
      </c>
      <c r="AS1109" s="170">
        <v>229</v>
      </c>
      <c r="AT1109" s="170">
        <v>0</v>
      </c>
      <c r="AU1109" s="170">
        <v>0</v>
      </c>
      <c r="AV1109" s="170">
        <v>0</v>
      </c>
      <c r="AW1109" s="170">
        <v>0</v>
      </c>
      <c r="AX1109" s="147">
        <v>0</v>
      </c>
      <c r="AY1109" s="148">
        <v>0</v>
      </c>
      <c r="AZ1109" s="148">
        <v>0</v>
      </c>
      <c r="BA1109" s="148">
        <v>0</v>
      </c>
      <c r="BB1109" s="149">
        <v>0</v>
      </c>
      <c r="BC1109" s="87">
        <v>89</v>
      </c>
      <c r="BD1109" s="148"/>
      <c r="BE1109" s="158"/>
      <c r="BF1109" s="148"/>
      <c r="BG1109" s="148"/>
      <c r="BH1109" s="148"/>
      <c r="BI1109" s="148"/>
      <c r="BJ1109" s="148"/>
      <c r="BK1109" s="148"/>
      <c r="BL1109" s="148"/>
      <c r="BM1109" s="148"/>
      <c r="BN1109" s="148"/>
      <c r="BO1109" s="148"/>
      <c r="BP1109" s="148"/>
      <c r="BQ1109" s="148"/>
      <c r="BR1109" s="148"/>
      <c r="BS1109" s="149"/>
      <c r="BT1109" s="147"/>
      <c r="BU1109" s="148"/>
      <c r="BV1109" s="148"/>
      <c r="BW1109" s="148"/>
      <c r="BX1109" s="148"/>
      <c r="BY1109" s="148"/>
      <c r="BZ1109" s="148"/>
      <c r="CA1109" s="148"/>
      <c r="CB1109" s="148"/>
      <c r="CC1109" s="148"/>
      <c r="CD1109" s="148"/>
      <c r="CE1109" s="147"/>
      <c r="CF1109" s="148"/>
      <c r="CG1109" s="148"/>
      <c r="CH1109" s="148"/>
      <c r="CI1109" s="148"/>
      <c r="CJ1109" s="148"/>
      <c r="CK1109" s="149"/>
      <c r="CL1109" s="147"/>
      <c r="CM1109" s="148"/>
      <c r="CN1109" s="148"/>
      <c r="CO1109" s="149"/>
      <c r="CP1109" s="147"/>
      <c r="CQ1109" s="148"/>
      <c r="CR1109" s="149"/>
      <c r="CS1109" s="147"/>
      <c r="CT1109" s="148"/>
      <c r="CU1109" s="148"/>
      <c r="CV1109" s="148"/>
      <c r="CW1109" s="148"/>
      <c r="CX1109" s="148"/>
      <c r="CY1109" s="147"/>
      <c r="CZ1109" s="148"/>
      <c r="DA1109" s="148"/>
      <c r="DB1109" s="148"/>
      <c r="DC1109" s="148"/>
      <c r="DD1109" s="148"/>
      <c r="DE1109" s="148"/>
      <c r="DF1109" s="148"/>
      <c r="DG1109" s="149"/>
      <c r="DH1109" s="147"/>
      <c r="DI1109" s="148"/>
      <c r="DJ1109" s="148"/>
      <c r="DK1109" s="148"/>
      <c r="DL1109" s="148"/>
      <c r="DM1109" s="148"/>
      <c r="DN1109" s="148"/>
      <c r="DO1109" s="148"/>
      <c r="DP1109" s="148"/>
      <c r="DQ1109" s="147"/>
      <c r="DR1109" s="148"/>
      <c r="DS1109" s="148"/>
      <c r="DT1109" s="148"/>
      <c r="DU1109" s="148"/>
      <c r="DV1109" s="148"/>
      <c r="DW1109" s="148"/>
      <c r="DX1109" s="148"/>
      <c r="DY1109" s="148"/>
      <c r="DZ1109" s="148"/>
      <c r="EA1109" s="148"/>
      <c r="EB1109" s="148"/>
      <c r="EC1109" s="148"/>
      <c r="ED1109" s="148"/>
      <c r="EE1109" s="149"/>
      <c r="EF1109" s="147"/>
      <c r="EG1109" s="148"/>
      <c r="EH1109" s="148"/>
      <c r="EI1109" s="147"/>
      <c r="EJ1109" s="148"/>
      <c r="EK1109" s="149"/>
      <c r="EL1109" s="147"/>
      <c r="EM1109" s="148"/>
      <c r="EN1109" s="148"/>
      <c r="EO1109" s="149"/>
      <c r="EP1109" s="147"/>
      <c r="EQ1109" s="149"/>
      <c r="ER1109" s="147"/>
      <c r="ES1109" s="149"/>
      <c r="ET1109" s="147"/>
      <c r="EU1109" s="149"/>
    </row>
    <row r="1110" spans="1:151">
      <c r="A1110" s="42" t="s">
        <v>324</v>
      </c>
      <c r="B1110" s="173" t="s">
        <v>548</v>
      </c>
      <c r="C1110" s="173" t="s">
        <v>549</v>
      </c>
      <c r="D1110" s="83" t="s">
        <v>64</v>
      </c>
      <c r="F1110" s="49" t="s">
        <v>286</v>
      </c>
      <c r="G1110" s="49">
        <v>18.29</v>
      </c>
      <c r="I1110" s="49">
        <v>1227</v>
      </c>
      <c r="J1110" s="159">
        <v>2.0587248322147653</v>
      </c>
      <c r="K1110" s="49">
        <v>1</v>
      </c>
      <c r="L1110" s="49">
        <v>3</v>
      </c>
      <c r="M1110" s="83">
        <v>1</v>
      </c>
      <c r="N1110" s="49">
        <v>0</v>
      </c>
      <c r="O1110" s="49">
        <v>1</v>
      </c>
      <c r="P1110" s="49">
        <v>1</v>
      </c>
      <c r="Q1110" s="58">
        <v>0</v>
      </c>
      <c r="R1110" s="42">
        <v>3</v>
      </c>
      <c r="S1110" s="83">
        <v>1</v>
      </c>
      <c r="U1110" s="83">
        <v>2</v>
      </c>
      <c r="V1110" s="49">
        <v>3</v>
      </c>
      <c r="W1110" s="49">
        <v>1</v>
      </c>
      <c r="X1110" s="58">
        <v>3</v>
      </c>
      <c r="Y1110" s="83">
        <v>1</v>
      </c>
      <c r="Z1110" s="49">
        <v>6</v>
      </c>
      <c r="AA1110" s="49">
        <v>7</v>
      </c>
      <c r="AD1110" s="49">
        <v>4</v>
      </c>
      <c r="AE1110" s="49">
        <v>100</v>
      </c>
      <c r="AF1110" s="49">
        <v>5</v>
      </c>
      <c r="AG1110" s="49">
        <v>21</v>
      </c>
      <c r="AJ1110" s="49">
        <v>0</v>
      </c>
      <c r="AK1110" s="83">
        <v>0</v>
      </c>
      <c r="AL1110" s="49">
        <v>1</v>
      </c>
      <c r="AM1110" s="49">
        <v>0</v>
      </c>
      <c r="AN1110" s="49">
        <v>0</v>
      </c>
      <c r="AO1110" s="58">
        <v>0</v>
      </c>
      <c r="AP1110" s="174">
        <v>399</v>
      </c>
      <c r="AQ1110" s="175">
        <v>520</v>
      </c>
      <c r="AR1110" s="175">
        <v>0</v>
      </c>
      <c r="AS1110" s="175">
        <v>0</v>
      </c>
      <c r="AT1110" s="175">
        <v>0</v>
      </c>
      <c r="AU1110" s="175">
        <v>0</v>
      </c>
      <c r="AV1110" s="175">
        <v>0</v>
      </c>
      <c r="AW1110" s="175">
        <v>0</v>
      </c>
      <c r="AX1110" s="83">
        <v>0</v>
      </c>
      <c r="AY1110" s="49">
        <v>0</v>
      </c>
      <c r="AZ1110" s="49">
        <v>0</v>
      </c>
      <c r="BA1110" s="49">
        <v>0</v>
      </c>
      <c r="BB1110" s="58">
        <v>0</v>
      </c>
      <c r="BC1110" s="42">
        <v>124</v>
      </c>
      <c r="BS1110" s="58"/>
      <c r="BT1110" s="83"/>
      <c r="CE1110" s="83"/>
      <c r="CK1110" s="58"/>
      <c r="CL1110" s="83"/>
      <c r="CO1110" s="58"/>
      <c r="CP1110" s="83"/>
      <c r="CR1110" s="58"/>
      <c r="CS1110" s="83"/>
      <c r="CY1110" s="83"/>
      <c r="DG1110" s="58"/>
      <c r="DH1110" s="83"/>
      <c r="DQ1110" s="83"/>
      <c r="EE1110" s="58"/>
      <c r="EF1110" s="83"/>
      <c r="EI1110" s="83"/>
      <c r="EK1110" s="58"/>
      <c r="EL1110" s="83"/>
      <c r="EO1110" s="58"/>
      <c r="EP1110" s="83"/>
      <c r="EQ1110" s="58"/>
      <c r="ER1110" s="83"/>
      <c r="ES1110" s="58"/>
      <c r="ET1110" s="83"/>
      <c r="EU1110" s="58"/>
    </row>
    <row r="1111" spans="1:151">
      <c r="A1111" s="42" t="s">
        <v>324</v>
      </c>
      <c r="B1111" s="173" t="s">
        <v>548</v>
      </c>
      <c r="C1111" s="173" t="s">
        <v>549</v>
      </c>
      <c r="D1111" s="83" t="s">
        <v>98</v>
      </c>
      <c r="F1111" s="49" t="s">
        <v>286</v>
      </c>
      <c r="G1111" s="49">
        <v>18.29</v>
      </c>
      <c r="I1111" s="49">
        <v>1511</v>
      </c>
      <c r="J1111" s="159">
        <v>1.0769779044903778</v>
      </c>
      <c r="K1111" s="49">
        <v>1</v>
      </c>
      <c r="L1111" s="49">
        <v>1</v>
      </c>
      <c r="M1111" s="83">
        <v>1</v>
      </c>
      <c r="N1111" s="49">
        <v>0</v>
      </c>
      <c r="O1111" s="49">
        <v>0</v>
      </c>
      <c r="P1111" s="49">
        <v>1</v>
      </c>
      <c r="Q1111" s="58">
        <v>0</v>
      </c>
      <c r="R1111" s="42">
        <v>2</v>
      </c>
      <c r="S1111" s="83">
        <v>1</v>
      </c>
      <c r="U1111" s="83">
        <v>1</v>
      </c>
      <c r="V1111" s="49">
        <v>3</v>
      </c>
      <c r="W1111" s="49">
        <v>1</v>
      </c>
      <c r="X1111" s="58">
        <v>1</v>
      </c>
      <c r="Y1111" s="83">
        <v>1</v>
      </c>
      <c r="Z1111" s="49">
        <v>4</v>
      </c>
      <c r="AA1111" s="49">
        <v>21</v>
      </c>
      <c r="AF1111" s="49">
        <v>17</v>
      </c>
      <c r="AG1111" s="49">
        <v>93</v>
      </c>
      <c r="AH1111" s="49">
        <v>17</v>
      </c>
      <c r="AI1111" s="49">
        <v>130</v>
      </c>
      <c r="AJ1111" s="49">
        <v>0</v>
      </c>
      <c r="AK1111" s="83">
        <v>0</v>
      </c>
      <c r="AL1111" s="49">
        <v>1</v>
      </c>
      <c r="AM1111" s="49">
        <v>0</v>
      </c>
      <c r="AN1111" s="49">
        <v>0</v>
      </c>
      <c r="AO1111" s="58"/>
      <c r="AP1111" s="174">
        <v>0</v>
      </c>
      <c r="AQ1111" s="175">
        <v>703</v>
      </c>
      <c r="AR1111" s="175">
        <v>0</v>
      </c>
      <c r="AS1111" s="175">
        <v>0</v>
      </c>
      <c r="AT1111" s="175">
        <v>0</v>
      </c>
      <c r="AU1111" s="175">
        <v>0</v>
      </c>
      <c r="AV1111" s="175">
        <v>0</v>
      </c>
      <c r="AW1111" s="175">
        <v>0</v>
      </c>
      <c r="AX1111" s="83">
        <v>0</v>
      </c>
      <c r="AY1111" s="49">
        <v>0</v>
      </c>
      <c r="AZ1111" s="49">
        <v>0</v>
      </c>
      <c r="BA1111" s="49">
        <v>0</v>
      </c>
      <c r="BB1111" s="58">
        <v>0</v>
      </c>
      <c r="BC1111" s="42">
        <v>130</v>
      </c>
      <c r="BD1111" s="49">
        <v>79.7</v>
      </c>
      <c r="BE1111" s="49"/>
      <c r="BS1111" s="58"/>
      <c r="BT1111" s="83">
        <v>74.17</v>
      </c>
      <c r="CE1111" s="83">
        <v>68.709999999999994</v>
      </c>
      <c r="CF1111" s="49">
        <v>69.86</v>
      </c>
      <c r="CK1111" s="58"/>
      <c r="CL1111" s="83"/>
      <c r="CO1111" s="58"/>
      <c r="CP1111" s="83"/>
      <c r="CR1111" s="58"/>
      <c r="CS1111" s="83"/>
      <c r="CY1111" s="83"/>
      <c r="DG1111" s="58"/>
      <c r="DH1111" s="83"/>
      <c r="DQ1111" s="83"/>
      <c r="EE1111" s="58"/>
      <c r="EF1111" s="83"/>
      <c r="EI1111" s="89">
        <v>80.52</v>
      </c>
      <c r="EK1111" s="58"/>
      <c r="EL1111" s="83">
        <v>71.900000000000006</v>
      </c>
      <c r="EO1111" s="58"/>
      <c r="EP1111" s="83"/>
      <c r="EQ1111" s="58"/>
      <c r="ER1111" s="83"/>
      <c r="ES1111" s="58"/>
      <c r="ET1111" s="83"/>
      <c r="EU1111" s="58"/>
    </row>
    <row r="1112" spans="1:151">
      <c r="A1112" s="42" t="s">
        <v>324</v>
      </c>
      <c r="B1112" s="173" t="s">
        <v>548</v>
      </c>
      <c r="C1112" s="173" t="s">
        <v>549</v>
      </c>
      <c r="D1112" s="83" t="s">
        <v>66</v>
      </c>
      <c r="E1112" s="49" t="s">
        <v>0</v>
      </c>
      <c r="F1112" s="49" t="s">
        <v>286</v>
      </c>
      <c r="G1112" s="49">
        <v>18.29</v>
      </c>
      <c r="I1112" s="49">
        <v>1082</v>
      </c>
      <c r="J1112" s="159">
        <v>2.9643835616438357</v>
      </c>
      <c r="K1112" s="49">
        <v>1</v>
      </c>
      <c r="L1112" s="49">
        <v>3</v>
      </c>
      <c r="M1112" s="83">
        <v>0</v>
      </c>
      <c r="N1112" s="49">
        <v>1</v>
      </c>
      <c r="O1112" s="49">
        <v>0</v>
      </c>
      <c r="P1112" s="49">
        <v>1</v>
      </c>
      <c r="Q1112" s="58">
        <v>0</v>
      </c>
      <c r="R1112" s="42">
        <v>2</v>
      </c>
      <c r="S1112" s="83" t="s">
        <v>283</v>
      </c>
      <c r="T1112" s="49">
        <v>8</v>
      </c>
      <c r="U1112" s="83">
        <v>1</v>
      </c>
      <c r="V1112" s="49">
        <v>3</v>
      </c>
      <c r="W1112" s="49">
        <v>1</v>
      </c>
      <c r="X1112" s="58">
        <v>2</v>
      </c>
      <c r="Y1112" s="83">
        <v>10</v>
      </c>
      <c r="AA1112" s="49">
        <v>7</v>
      </c>
      <c r="AD1112" s="49">
        <v>3</v>
      </c>
      <c r="AE1112" s="49">
        <v>66</v>
      </c>
      <c r="AF1112" s="49">
        <v>5</v>
      </c>
      <c r="AG1112" s="49">
        <v>102</v>
      </c>
      <c r="AH1112" s="49">
        <v>12</v>
      </c>
      <c r="AI1112" s="49">
        <v>168</v>
      </c>
      <c r="AJ1112" s="49">
        <v>0</v>
      </c>
      <c r="AK1112" s="83">
        <v>0</v>
      </c>
      <c r="AL1112" s="49">
        <v>0</v>
      </c>
      <c r="AM1112" s="49">
        <v>0</v>
      </c>
      <c r="AN1112" s="49">
        <v>0</v>
      </c>
      <c r="AO1112" s="58">
        <v>0</v>
      </c>
      <c r="AP1112" s="174">
        <v>0</v>
      </c>
      <c r="AQ1112" s="175">
        <v>0</v>
      </c>
      <c r="AR1112" s="175">
        <v>0</v>
      </c>
      <c r="AS1112" s="175">
        <v>0</v>
      </c>
      <c r="AT1112" s="175">
        <v>0</v>
      </c>
      <c r="AU1112" s="175">
        <v>0</v>
      </c>
      <c r="AV1112" s="175">
        <v>0</v>
      </c>
      <c r="AW1112" s="175">
        <v>0</v>
      </c>
      <c r="AX1112" s="83">
        <v>0</v>
      </c>
      <c r="AY1112" s="49">
        <v>0</v>
      </c>
      <c r="AZ1112" s="49">
        <v>0</v>
      </c>
      <c r="BA1112" s="49">
        <v>0</v>
      </c>
      <c r="BB1112" s="58">
        <v>0</v>
      </c>
      <c r="BC1112" s="42">
        <v>103</v>
      </c>
      <c r="BS1112" s="58"/>
      <c r="BT1112" s="83"/>
      <c r="CE1112" s="83"/>
      <c r="CK1112" s="58"/>
      <c r="CL1112" s="83"/>
      <c r="CO1112" s="58"/>
      <c r="CP1112" s="83"/>
      <c r="CR1112" s="58"/>
      <c r="CS1112" s="83"/>
      <c r="CY1112" s="83"/>
      <c r="DG1112" s="58"/>
      <c r="DH1112" s="83"/>
      <c r="DQ1112" s="83"/>
      <c r="EE1112" s="58"/>
      <c r="EF1112" s="83"/>
      <c r="EI1112" s="83"/>
      <c r="EK1112" s="58"/>
      <c r="EL1112" s="83"/>
      <c r="EO1112" s="58"/>
      <c r="EP1112" s="83"/>
      <c r="EQ1112" s="58"/>
      <c r="ER1112" s="83"/>
      <c r="ES1112" s="58"/>
      <c r="ET1112" s="83"/>
      <c r="EU1112" s="58"/>
    </row>
    <row r="1113" spans="1:151">
      <c r="A1113" s="42" t="s">
        <v>324</v>
      </c>
      <c r="B1113" s="173" t="s">
        <v>548</v>
      </c>
      <c r="C1113" s="173" t="s">
        <v>549</v>
      </c>
      <c r="D1113" s="83" t="s">
        <v>66</v>
      </c>
      <c r="E1113" s="49" t="s">
        <v>1</v>
      </c>
      <c r="F1113" s="49" t="s">
        <v>287</v>
      </c>
      <c r="G1113" s="49">
        <v>18.29</v>
      </c>
      <c r="I1113" s="49">
        <v>695</v>
      </c>
      <c r="J1113" s="159">
        <v>1.6430260047281324</v>
      </c>
      <c r="K1113" s="49">
        <v>1</v>
      </c>
      <c r="L1113" s="49">
        <v>2</v>
      </c>
      <c r="M1113" s="83">
        <v>0</v>
      </c>
      <c r="N1113" s="49">
        <v>2</v>
      </c>
      <c r="O1113" s="49">
        <v>0</v>
      </c>
      <c r="P1113" s="49">
        <v>1</v>
      </c>
      <c r="Q1113" s="58">
        <v>0</v>
      </c>
      <c r="R1113" s="42">
        <v>3</v>
      </c>
      <c r="S1113" s="83">
        <v>1</v>
      </c>
      <c r="T1113" s="49">
        <v>6</v>
      </c>
      <c r="U1113" s="83">
        <v>1</v>
      </c>
      <c r="V1113" s="49">
        <v>2</v>
      </c>
      <c r="W1113" s="49">
        <v>1</v>
      </c>
      <c r="X1113" s="58">
        <v>2</v>
      </c>
      <c r="Y1113" s="83">
        <v>1</v>
      </c>
      <c r="AD1113" s="49">
        <v>8</v>
      </c>
      <c r="AE1113" s="49">
        <v>60</v>
      </c>
      <c r="AH1113" s="49">
        <v>12</v>
      </c>
      <c r="AI1113" s="49">
        <v>90</v>
      </c>
      <c r="AJ1113" s="49">
        <v>0</v>
      </c>
      <c r="AK1113" s="83">
        <v>0</v>
      </c>
      <c r="AL1113" s="49">
        <v>1</v>
      </c>
      <c r="AM1113" s="49">
        <v>0</v>
      </c>
      <c r="AN1113" s="49">
        <v>0</v>
      </c>
      <c r="AO1113" s="58">
        <v>0</v>
      </c>
      <c r="AP1113" s="174">
        <v>0</v>
      </c>
      <c r="AQ1113" s="175">
        <v>246</v>
      </c>
      <c r="AR1113" s="175">
        <v>0</v>
      </c>
      <c r="AS1113" s="175">
        <v>0</v>
      </c>
      <c r="AT1113" s="175">
        <v>0</v>
      </c>
      <c r="AU1113" s="175">
        <v>0</v>
      </c>
      <c r="AV1113" s="175">
        <v>0</v>
      </c>
      <c r="AW1113" s="175">
        <v>0</v>
      </c>
      <c r="AX1113" s="83">
        <v>0</v>
      </c>
      <c r="AY1113" s="49">
        <v>0</v>
      </c>
      <c r="AZ1113" s="49">
        <v>0</v>
      </c>
      <c r="BA1113" s="49">
        <v>0</v>
      </c>
      <c r="BB1113" s="58">
        <v>0</v>
      </c>
      <c r="BC1113" s="42">
        <v>100</v>
      </c>
      <c r="BS1113" s="58"/>
      <c r="BT1113" s="83"/>
      <c r="CE1113" s="83"/>
      <c r="CK1113" s="58"/>
      <c r="CL1113" s="83"/>
      <c r="CO1113" s="58"/>
      <c r="CP1113" s="83"/>
      <c r="CR1113" s="58"/>
      <c r="CS1113" s="83"/>
      <c r="CY1113" s="83"/>
      <c r="DG1113" s="58"/>
      <c r="DH1113" s="83"/>
      <c r="DQ1113" s="83"/>
      <c r="EE1113" s="58"/>
      <c r="EF1113" s="83"/>
      <c r="EI1113" s="83"/>
      <c r="EK1113" s="58"/>
      <c r="EL1113" s="83"/>
      <c r="EO1113" s="58"/>
      <c r="EP1113" s="83"/>
      <c r="EQ1113" s="58"/>
      <c r="ER1113" s="83"/>
      <c r="ES1113" s="58"/>
      <c r="ET1113" s="83"/>
      <c r="EU1113" s="58"/>
    </row>
    <row r="1114" spans="1:151">
      <c r="A1114" s="42" t="s">
        <v>324</v>
      </c>
      <c r="B1114" s="173" t="s">
        <v>548</v>
      </c>
      <c r="C1114" s="173" t="s">
        <v>549</v>
      </c>
      <c r="D1114" s="83" t="s">
        <v>67</v>
      </c>
      <c r="F1114" s="49" t="s">
        <v>286</v>
      </c>
      <c r="G1114" s="49">
        <v>18.29</v>
      </c>
      <c r="I1114" s="49">
        <v>2317</v>
      </c>
      <c r="J1114" s="159">
        <v>3.348265895953757</v>
      </c>
      <c r="K1114" s="49">
        <v>1</v>
      </c>
      <c r="L1114" s="49">
        <v>2</v>
      </c>
      <c r="M1114" s="83">
        <v>0</v>
      </c>
      <c r="N1114" s="49">
        <v>0</v>
      </c>
      <c r="O1114" s="49">
        <v>0</v>
      </c>
      <c r="P1114" s="49">
        <v>1</v>
      </c>
      <c r="Q1114" s="58">
        <v>0</v>
      </c>
      <c r="R1114" s="42">
        <v>1</v>
      </c>
      <c r="S1114" s="83" t="s">
        <v>283</v>
      </c>
      <c r="T1114" s="49">
        <v>9</v>
      </c>
      <c r="U1114" s="83">
        <v>1</v>
      </c>
      <c r="V1114" s="49">
        <v>2</v>
      </c>
      <c r="W1114" s="49">
        <v>2</v>
      </c>
      <c r="X1114" s="58"/>
      <c r="Y1114" s="83">
        <v>0</v>
      </c>
      <c r="AJ1114" s="49">
        <v>0</v>
      </c>
      <c r="AK1114" s="83">
        <v>0</v>
      </c>
      <c r="AL1114" s="49">
        <v>0</v>
      </c>
      <c r="AM1114" s="49">
        <v>0</v>
      </c>
      <c r="AN1114" s="49">
        <v>0</v>
      </c>
      <c r="AO1114" s="58">
        <v>0</v>
      </c>
      <c r="AP1114" s="174">
        <v>0</v>
      </c>
      <c r="AQ1114" s="175">
        <v>0</v>
      </c>
      <c r="AR1114" s="175">
        <v>0</v>
      </c>
      <c r="AS1114" s="175">
        <v>0</v>
      </c>
      <c r="AT1114" s="175">
        <v>0</v>
      </c>
      <c r="AU1114" s="175">
        <v>0</v>
      </c>
      <c r="AV1114" s="175">
        <v>0</v>
      </c>
      <c r="AW1114" s="175">
        <v>0</v>
      </c>
      <c r="AX1114" s="83">
        <v>0</v>
      </c>
      <c r="AY1114" s="49">
        <v>0</v>
      </c>
      <c r="AZ1114" s="49">
        <v>0</v>
      </c>
      <c r="BA1114" s="49">
        <v>0</v>
      </c>
      <c r="BB1114" s="58">
        <v>0</v>
      </c>
      <c r="BC1114" s="42">
        <v>107</v>
      </c>
      <c r="BS1114" s="58"/>
      <c r="BT1114" s="83"/>
      <c r="CE1114" s="83"/>
      <c r="CK1114" s="58"/>
      <c r="CL1114" s="83"/>
      <c r="CO1114" s="58"/>
      <c r="CP1114" s="83"/>
      <c r="CR1114" s="58"/>
      <c r="CS1114" s="83"/>
      <c r="CY1114" s="83"/>
      <c r="DG1114" s="58"/>
      <c r="DH1114" s="83"/>
      <c r="DQ1114" s="83"/>
      <c r="EE1114" s="58"/>
      <c r="EF1114" s="83"/>
      <c r="EI1114" s="83"/>
      <c r="EK1114" s="58"/>
      <c r="EL1114" s="83"/>
      <c r="EO1114" s="58"/>
      <c r="EP1114" s="83"/>
      <c r="EQ1114" s="58"/>
      <c r="ER1114" s="83"/>
      <c r="ES1114" s="58"/>
      <c r="ET1114" s="83"/>
      <c r="EU1114" s="58"/>
    </row>
    <row r="1115" spans="1:151">
      <c r="A1115" s="42" t="s">
        <v>324</v>
      </c>
      <c r="B1115" s="173" t="s">
        <v>548</v>
      </c>
      <c r="C1115" s="173" t="s">
        <v>549</v>
      </c>
      <c r="D1115" s="83" t="s">
        <v>68</v>
      </c>
      <c r="F1115" s="49" t="s">
        <v>286</v>
      </c>
      <c r="G1115" s="49">
        <v>18.29</v>
      </c>
      <c r="I1115" s="49">
        <v>1241</v>
      </c>
      <c r="J1115" s="159">
        <v>1.8330871491875924</v>
      </c>
      <c r="K1115" s="49">
        <v>4</v>
      </c>
      <c r="L1115" s="49">
        <v>3</v>
      </c>
      <c r="M1115" s="83">
        <v>1</v>
      </c>
      <c r="N1115" s="49">
        <v>2</v>
      </c>
      <c r="O1115" s="49">
        <v>0</v>
      </c>
      <c r="P1115" s="49">
        <v>1</v>
      </c>
      <c r="Q1115" s="58">
        <v>0</v>
      </c>
      <c r="R1115" s="42">
        <v>4</v>
      </c>
      <c r="S1115" s="83">
        <v>1</v>
      </c>
      <c r="U1115" s="83">
        <v>2</v>
      </c>
      <c r="V1115" s="49">
        <v>4</v>
      </c>
      <c r="W1115" s="49">
        <v>1</v>
      </c>
      <c r="X1115" s="58">
        <v>3</v>
      </c>
      <c r="Y1115" s="83">
        <v>1</v>
      </c>
      <c r="AD1115" s="49">
        <v>3</v>
      </c>
      <c r="AE1115" s="49">
        <v>39</v>
      </c>
      <c r="AH1115" s="49">
        <v>12</v>
      </c>
      <c r="AI1115" s="49">
        <v>81</v>
      </c>
      <c r="AJ1115" s="49">
        <v>0</v>
      </c>
      <c r="AK1115" s="83">
        <v>0</v>
      </c>
      <c r="AL1115" s="49">
        <v>1</v>
      </c>
      <c r="AM1115" s="49">
        <v>0</v>
      </c>
      <c r="AN1115" s="49">
        <v>0</v>
      </c>
      <c r="AO1115" s="58">
        <v>0</v>
      </c>
      <c r="AP1115" s="174">
        <v>0</v>
      </c>
      <c r="AQ1115" s="175">
        <v>713</v>
      </c>
      <c r="AR1115" s="175">
        <v>0</v>
      </c>
      <c r="AS1115" s="175">
        <v>0</v>
      </c>
      <c r="AT1115" s="175">
        <v>0</v>
      </c>
      <c r="AU1115" s="175">
        <v>0</v>
      </c>
      <c r="AV1115" s="175">
        <v>0</v>
      </c>
      <c r="AW1115" s="175">
        <v>0</v>
      </c>
      <c r="AX1115" s="83">
        <v>0</v>
      </c>
      <c r="AY1115" s="49">
        <v>0</v>
      </c>
      <c r="AZ1115" s="49">
        <v>0</v>
      </c>
      <c r="BA1115" s="49">
        <v>0</v>
      </c>
      <c r="BB1115" s="58">
        <v>0</v>
      </c>
      <c r="BC1115" s="42">
        <v>119</v>
      </c>
      <c r="BS1115" s="58"/>
      <c r="BT1115" s="83"/>
      <c r="CE1115" s="83"/>
      <c r="CK1115" s="58"/>
      <c r="CL1115" s="83"/>
      <c r="CO1115" s="58"/>
      <c r="CP1115" s="83"/>
      <c r="CR1115" s="58"/>
      <c r="CS1115" s="83"/>
      <c r="CY1115" s="83"/>
      <c r="DG1115" s="58"/>
      <c r="DH1115" s="83"/>
      <c r="DQ1115" s="83"/>
      <c r="EE1115" s="58"/>
      <c r="EF1115" s="83"/>
      <c r="EI1115" s="83"/>
      <c r="EK1115" s="58"/>
      <c r="EL1115" s="83"/>
      <c r="EO1115" s="58"/>
      <c r="EP1115" s="83"/>
      <c r="EQ1115" s="58"/>
      <c r="ER1115" s="83"/>
      <c r="ES1115" s="58"/>
      <c r="ET1115" s="83"/>
      <c r="EU1115" s="58"/>
    </row>
    <row r="1116" spans="1:151">
      <c r="A1116" s="42" t="s">
        <v>324</v>
      </c>
      <c r="B1116" s="173" t="s">
        <v>548</v>
      </c>
      <c r="C1116" s="173" t="s">
        <v>549</v>
      </c>
      <c r="D1116" s="83" t="s">
        <v>69</v>
      </c>
      <c r="F1116" s="49" t="s">
        <v>286</v>
      </c>
      <c r="G1116" s="49">
        <v>18.29</v>
      </c>
      <c r="I1116" s="49">
        <v>3981</v>
      </c>
      <c r="J1116" s="159">
        <v>2.2018805309734515</v>
      </c>
      <c r="K1116" s="49">
        <v>1</v>
      </c>
      <c r="L1116" s="49">
        <v>3</v>
      </c>
      <c r="M1116" s="83">
        <v>0</v>
      </c>
      <c r="N1116" s="49">
        <v>1</v>
      </c>
      <c r="O1116" s="49">
        <v>1</v>
      </c>
      <c r="P1116" s="49">
        <v>1</v>
      </c>
      <c r="Q1116" s="58">
        <v>0</v>
      </c>
      <c r="R1116" s="42">
        <v>3</v>
      </c>
      <c r="S1116" s="83" t="s">
        <v>283</v>
      </c>
      <c r="T1116" s="49">
        <v>6</v>
      </c>
      <c r="U1116" s="83">
        <v>1</v>
      </c>
      <c r="V1116" s="49">
        <v>3</v>
      </c>
      <c r="W1116" s="49">
        <v>1</v>
      </c>
      <c r="X1116" s="58">
        <v>2</v>
      </c>
      <c r="Y1116" s="83">
        <v>1</v>
      </c>
      <c r="AD1116" s="49">
        <v>15</v>
      </c>
      <c r="AE1116" s="49">
        <v>87</v>
      </c>
      <c r="AG1116" s="49">
        <v>8</v>
      </c>
      <c r="AH1116" s="49">
        <v>14</v>
      </c>
      <c r="AI1116" s="49">
        <v>110</v>
      </c>
      <c r="AJ1116" s="49">
        <v>0</v>
      </c>
      <c r="AK1116" s="83">
        <v>0</v>
      </c>
      <c r="AL1116" s="49">
        <v>0</v>
      </c>
      <c r="AM1116" s="49">
        <v>0</v>
      </c>
      <c r="AN1116" s="49">
        <v>0</v>
      </c>
      <c r="AO1116" s="58">
        <v>0</v>
      </c>
      <c r="AP1116" s="174">
        <v>0</v>
      </c>
      <c r="AQ1116" s="175">
        <v>0</v>
      </c>
      <c r="AR1116" s="175">
        <v>0</v>
      </c>
      <c r="AS1116" s="175">
        <v>0</v>
      </c>
      <c r="AT1116" s="175">
        <v>0</v>
      </c>
      <c r="AU1116" s="175">
        <v>0</v>
      </c>
      <c r="AV1116" s="175">
        <v>0</v>
      </c>
      <c r="AW1116" s="175">
        <v>0</v>
      </c>
      <c r="AX1116" s="83">
        <v>0</v>
      </c>
      <c r="AY1116" s="49">
        <v>0</v>
      </c>
      <c r="AZ1116" s="49">
        <v>0</v>
      </c>
      <c r="BA1116" s="49">
        <v>0</v>
      </c>
      <c r="BB1116" s="58">
        <v>0</v>
      </c>
      <c r="BC1116" s="42">
        <v>132</v>
      </c>
      <c r="BD1116" s="49">
        <v>63.51</v>
      </c>
      <c r="BS1116" s="58"/>
      <c r="BT1116" s="83">
        <v>65.540000000000006</v>
      </c>
      <c r="CE1116" s="83">
        <v>70.75</v>
      </c>
      <c r="CK1116" s="58"/>
      <c r="CL1116" s="83"/>
      <c r="CO1116" s="58"/>
      <c r="CP1116" s="83"/>
      <c r="CR1116" s="58"/>
      <c r="CS1116" s="83"/>
      <c r="CY1116" s="83"/>
      <c r="DG1116" s="58"/>
      <c r="DH1116" s="83"/>
      <c r="DQ1116" s="83"/>
      <c r="EE1116" s="58"/>
      <c r="EF1116" s="83"/>
      <c r="EI1116" s="83"/>
      <c r="EK1116" s="58"/>
      <c r="EL1116" s="83"/>
      <c r="EO1116" s="58"/>
      <c r="EP1116" s="83"/>
      <c r="EQ1116" s="58"/>
      <c r="ER1116" s="83"/>
      <c r="ES1116" s="58"/>
      <c r="ET1116" s="83"/>
      <c r="EU1116" s="58"/>
    </row>
    <row r="1117" spans="1:151">
      <c r="A1117" s="42" t="s">
        <v>324</v>
      </c>
      <c r="B1117" s="173" t="s">
        <v>548</v>
      </c>
      <c r="C1117" s="173" t="s">
        <v>549</v>
      </c>
      <c r="D1117" s="83" t="s">
        <v>74</v>
      </c>
      <c r="F1117" s="49" t="s">
        <v>286</v>
      </c>
      <c r="G1117" s="49">
        <v>18.29</v>
      </c>
      <c r="I1117" s="49">
        <v>5080</v>
      </c>
      <c r="J1117" s="159">
        <v>2.0134760206103843</v>
      </c>
      <c r="K1117" s="49">
        <v>4</v>
      </c>
      <c r="L1117" s="49">
        <v>3</v>
      </c>
      <c r="M1117" s="83">
        <v>1</v>
      </c>
      <c r="N1117" s="49">
        <v>3</v>
      </c>
      <c r="O1117" s="49">
        <v>0</v>
      </c>
      <c r="P1117" s="49">
        <v>1</v>
      </c>
      <c r="Q1117" s="58">
        <v>0</v>
      </c>
      <c r="R1117" s="42">
        <v>5</v>
      </c>
      <c r="S1117" s="83" t="s">
        <v>283</v>
      </c>
      <c r="T1117" s="49">
        <v>24</v>
      </c>
      <c r="U1117" s="83">
        <v>2</v>
      </c>
      <c r="V1117" s="49">
        <v>4</v>
      </c>
      <c r="W1117" s="49">
        <v>3</v>
      </c>
      <c r="X1117" s="58">
        <v>2</v>
      </c>
      <c r="Y1117" s="83">
        <v>1</v>
      </c>
      <c r="Z1117" s="49">
        <v>6</v>
      </c>
      <c r="AA1117" s="49">
        <v>10</v>
      </c>
      <c r="AD1117" s="49">
        <v>12</v>
      </c>
      <c r="AE1117" s="49">
        <v>46</v>
      </c>
      <c r="AF1117" s="49">
        <v>6</v>
      </c>
      <c r="AG1117" s="49">
        <v>218</v>
      </c>
      <c r="AJ1117" s="49">
        <v>0</v>
      </c>
      <c r="AK1117" s="83">
        <v>0</v>
      </c>
      <c r="AL1117" s="49">
        <v>0</v>
      </c>
      <c r="AM1117" s="49">
        <v>0</v>
      </c>
      <c r="AN1117" s="49">
        <v>0</v>
      </c>
      <c r="AO1117" s="58">
        <v>0</v>
      </c>
      <c r="AP1117" s="174">
        <v>0</v>
      </c>
      <c r="AQ1117" s="175">
        <v>0</v>
      </c>
      <c r="AR1117" s="175">
        <v>0</v>
      </c>
      <c r="AS1117" s="175">
        <v>0</v>
      </c>
      <c r="AT1117" s="175">
        <v>0</v>
      </c>
      <c r="AU1117" s="175">
        <v>0</v>
      </c>
      <c r="AV1117" s="175">
        <v>0</v>
      </c>
      <c r="AW1117" s="175">
        <v>0</v>
      </c>
      <c r="AX1117" s="83">
        <v>0</v>
      </c>
      <c r="AY1117" s="49">
        <v>0</v>
      </c>
      <c r="AZ1117" s="49">
        <v>0</v>
      </c>
      <c r="BA1117" s="49">
        <v>0</v>
      </c>
      <c r="BB1117" s="58">
        <v>0</v>
      </c>
      <c r="BC1117" s="42">
        <v>135</v>
      </c>
      <c r="BS1117" s="58"/>
      <c r="BT1117" s="83"/>
      <c r="CE1117" s="83"/>
      <c r="CK1117" s="58"/>
      <c r="CL1117" s="83"/>
      <c r="CO1117" s="58"/>
      <c r="CP1117" s="83"/>
      <c r="CR1117" s="58"/>
      <c r="CS1117" s="83"/>
      <c r="CY1117" s="83"/>
      <c r="DG1117" s="58"/>
      <c r="DH1117" s="83"/>
      <c r="DQ1117" s="83"/>
      <c r="EE1117" s="58"/>
      <c r="EF1117" s="83"/>
      <c r="EI1117" s="83"/>
      <c r="EK1117" s="58"/>
      <c r="EL1117" s="83"/>
      <c r="EO1117" s="58"/>
      <c r="EP1117" s="83"/>
      <c r="EQ1117" s="58"/>
      <c r="ER1117" s="83"/>
      <c r="ES1117" s="58"/>
      <c r="ET1117" s="83"/>
      <c r="EU1117" s="58"/>
    </row>
    <row r="1118" spans="1:151">
      <c r="A1118" s="42" t="s">
        <v>324</v>
      </c>
      <c r="B1118" s="173" t="s">
        <v>548</v>
      </c>
      <c r="C1118" s="173" t="s">
        <v>549</v>
      </c>
      <c r="D1118" s="83" t="s">
        <v>75</v>
      </c>
      <c r="F1118" s="49" t="s">
        <v>286</v>
      </c>
      <c r="G1118" s="49">
        <v>18.29</v>
      </c>
      <c r="I1118" s="49">
        <v>4456</v>
      </c>
      <c r="J1118" s="159">
        <v>1.4481637959051024</v>
      </c>
      <c r="K1118" s="49">
        <v>4</v>
      </c>
      <c r="L1118" s="49">
        <v>3</v>
      </c>
      <c r="M1118" s="83">
        <v>0</v>
      </c>
      <c r="N1118" s="49">
        <v>4</v>
      </c>
      <c r="O1118" s="49">
        <v>0</v>
      </c>
      <c r="P1118" s="49">
        <v>1</v>
      </c>
      <c r="Q1118" s="58">
        <v>0</v>
      </c>
      <c r="R1118" s="42">
        <v>5</v>
      </c>
      <c r="S1118" s="83" t="s">
        <v>283</v>
      </c>
      <c r="T1118" s="49">
        <v>9</v>
      </c>
      <c r="U1118" s="83">
        <v>1</v>
      </c>
      <c r="V1118" s="49">
        <v>3</v>
      </c>
      <c r="W1118" s="49">
        <v>3</v>
      </c>
      <c r="X1118" s="58">
        <v>2</v>
      </c>
      <c r="Y1118" s="83">
        <v>7</v>
      </c>
      <c r="AC1118" s="49">
        <v>342</v>
      </c>
      <c r="AD1118" s="49">
        <v>16</v>
      </c>
      <c r="AE1118" s="49">
        <v>291</v>
      </c>
      <c r="AF1118" s="49">
        <v>11</v>
      </c>
      <c r="AG1118" s="49">
        <v>39</v>
      </c>
      <c r="AH1118" s="49">
        <v>445</v>
      </c>
      <c r="AI1118" s="49">
        <v>1306</v>
      </c>
      <c r="AJ1118" s="49">
        <v>0</v>
      </c>
      <c r="AK1118" s="83">
        <v>0</v>
      </c>
      <c r="AL1118" s="49">
        <v>0</v>
      </c>
      <c r="AM1118" s="49">
        <v>0</v>
      </c>
      <c r="AN1118" s="49">
        <v>0</v>
      </c>
      <c r="AO1118" s="58">
        <v>0</v>
      </c>
      <c r="AP1118" s="174">
        <v>0</v>
      </c>
      <c r="AQ1118" s="175">
        <v>0</v>
      </c>
      <c r="AR1118" s="175">
        <v>0</v>
      </c>
      <c r="AS1118" s="175">
        <v>0</v>
      </c>
      <c r="AT1118" s="175">
        <v>0</v>
      </c>
      <c r="AU1118" s="175">
        <v>0</v>
      </c>
      <c r="AV1118" s="175">
        <v>0</v>
      </c>
      <c r="AW1118" s="175">
        <v>0</v>
      </c>
      <c r="AX1118" s="83">
        <v>0</v>
      </c>
      <c r="AY1118" s="49">
        <v>0</v>
      </c>
      <c r="AZ1118" s="49">
        <v>0</v>
      </c>
      <c r="BA1118" s="49">
        <v>0</v>
      </c>
      <c r="BB1118" s="58">
        <v>0</v>
      </c>
      <c r="BC1118" s="42">
        <v>157</v>
      </c>
      <c r="BS1118" s="58"/>
      <c r="BT1118" s="83"/>
      <c r="CE1118" s="83"/>
      <c r="CK1118" s="58"/>
      <c r="CL1118" s="83"/>
      <c r="CO1118" s="58"/>
      <c r="CP1118" s="83"/>
      <c r="CR1118" s="58"/>
      <c r="CS1118" s="83"/>
      <c r="CY1118" s="83"/>
      <c r="DG1118" s="58"/>
      <c r="DH1118" s="83"/>
      <c r="DQ1118" s="83"/>
      <c r="EE1118" s="58"/>
      <c r="EF1118" s="83"/>
      <c r="EI1118" s="83"/>
      <c r="EK1118" s="58"/>
      <c r="EL1118" s="83"/>
      <c r="EO1118" s="58"/>
      <c r="EP1118" s="83"/>
      <c r="EQ1118" s="58"/>
      <c r="ER1118" s="83"/>
      <c r="ES1118" s="58"/>
      <c r="ET1118" s="83"/>
      <c r="EU1118" s="58"/>
    </row>
    <row r="1119" spans="1:151">
      <c r="A1119" s="42" t="s">
        <v>324</v>
      </c>
      <c r="B1119" s="173" t="s">
        <v>548</v>
      </c>
      <c r="C1119" s="173" t="s">
        <v>549</v>
      </c>
      <c r="D1119" s="83" t="s">
        <v>76</v>
      </c>
      <c r="F1119" s="49" t="s">
        <v>286</v>
      </c>
      <c r="G1119" s="49">
        <v>18.29</v>
      </c>
      <c r="I1119" s="49">
        <v>2034</v>
      </c>
      <c r="J1119" s="159">
        <v>1.8973880597014925</v>
      </c>
      <c r="K1119" s="49">
        <v>1</v>
      </c>
      <c r="L1119" s="49">
        <v>3</v>
      </c>
      <c r="M1119" s="83">
        <v>0</v>
      </c>
      <c r="N1119" s="49">
        <v>2</v>
      </c>
      <c r="O1119" s="49">
        <v>0</v>
      </c>
      <c r="P1119" s="49">
        <v>0</v>
      </c>
      <c r="Q1119" s="58">
        <v>0</v>
      </c>
      <c r="R1119" s="42">
        <v>2</v>
      </c>
      <c r="S1119" s="83" t="s">
        <v>283</v>
      </c>
      <c r="T1119" s="49">
        <v>18</v>
      </c>
      <c r="U1119" s="83">
        <v>1</v>
      </c>
      <c r="V1119" s="49">
        <v>3</v>
      </c>
      <c r="W1119" s="49">
        <v>2</v>
      </c>
      <c r="X1119" s="58"/>
      <c r="Y1119" s="83">
        <v>1</v>
      </c>
      <c r="Z1119" s="49">
        <v>4</v>
      </c>
      <c r="AA1119" s="49">
        <v>8</v>
      </c>
      <c r="AF1119" s="49">
        <v>3</v>
      </c>
      <c r="AG1119" s="49">
        <v>7</v>
      </c>
      <c r="AJ1119" s="49">
        <v>0</v>
      </c>
      <c r="AK1119" s="83">
        <v>0</v>
      </c>
      <c r="AL1119" s="49">
        <v>1</v>
      </c>
      <c r="AM1119" s="49">
        <v>1</v>
      </c>
      <c r="AN1119" s="49">
        <v>0</v>
      </c>
      <c r="AO1119" s="58">
        <v>0</v>
      </c>
      <c r="AP1119" s="174">
        <v>235</v>
      </c>
      <c r="AQ1119" s="175">
        <v>568</v>
      </c>
      <c r="AR1119" s="175">
        <v>36</v>
      </c>
      <c r="AS1119" s="175">
        <v>44</v>
      </c>
      <c r="AT1119" s="175">
        <v>0</v>
      </c>
      <c r="AU1119" s="175">
        <v>0</v>
      </c>
      <c r="AV1119" s="175">
        <v>0</v>
      </c>
      <c r="AW1119" s="175">
        <v>0</v>
      </c>
      <c r="AX1119" s="83">
        <v>0</v>
      </c>
      <c r="AY1119" s="49">
        <v>0</v>
      </c>
      <c r="AZ1119" s="49">
        <v>0</v>
      </c>
      <c r="BA1119" s="49">
        <v>0</v>
      </c>
      <c r="BB1119" s="58">
        <v>0</v>
      </c>
      <c r="BC1119" s="42">
        <v>122</v>
      </c>
      <c r="BS1119" s="58"/>
      <c r="BT1119" s="83"/>
      <c r="CE1119" s="83"/>
      <c r="CK1119" s="58"/>
      <c r="CL1119" s="83"/>
      <c r="CO1119" s="58"/>
      <c r="CP1119" s="83"/>
      <c r="CR1119" s="58"/>
      <c r="CS1119" s="83"/>
      <c r="CY1119" s="83"/>
      <c r="DG1119" s="58"/>
      <c r="DH1119" s="83"/>
      <c r="DQ1119" s="83"/>
      <c r="EE1119" s="58"/>
      <c r="EF1119" s="83"/>
      <c r="EI1119" s="83"/>
      <c r="EK1119" s="58"/>
      <c r="EL1119" s="83"/>
      <c r="EO1119" s="58"/>
      <c r="EP1119" s="83"/>
      <c r="EQ1119" s="58"/>
      <c r="ER1119" s="83"/>
      <c r="ES1119" s="58"/>
      <c r="ET1119" s="83"/>
      <c r="EU1119" s="58"/>
    </row>
    <row r="1120" spans="1:151">
      <c r="A1120" s="42" t="s">
        <v>324</v>
      </c>
      <c r="B1120" s="173" t="s">
        <v>548</v>
      </c>
      <c r="C1120" s="173" t="s">
        <v>549</v>
      </c>
      <c r="D1120" s="83" t="s">
        <v>73</v>
      </c>
      <c r="F1120" s="49" t="s">
        <v>287</v>
      </c>
      <c r="G1120" s="49">
        <v>18.29</v>
      </c>
      <c r="I1120" s="49">
        <v>605</v>
      </c>
      <c r="J1120" s="159">
        <v>7.4691358024691361</v>
      </c>
      <c r="K1120" s="49">
        <v>2</v>
      </c>
      <c r="L1120" s="49">
        <v>3</v>
      </c>
      <c r="M1120" s="83">
        <v>1</v>
      </c>
      <c r="N1120" s="49">
        <v>0</v>
      </c>
      <c r="O1120" s="49">
        <v>0</v>
      </c>
      <c r="P1120" s="49">
        <v>1</v>
      </c>
      <c r="Q1120" s="58">
        <v>0</v>
      </c>
      <c r="R1120" s="42">
        <v>2</v>
      </c>
      <c r="S1120" s="83" t="s">
        <v>283</v>
      </c>
      <c r="T1120" s="49">
        <v>1</v>
      </c>
      <c r="U1120" s="83">
        <v>0</v>
      </c>
      <c r="V1120" s="49">
        <v>0</v>
      </c>
      <c r="W1120" s="49">
        <v>0</v>
      </c>
      <c r="X1120" s="58"/>
      <c r="Y1120" s="83">
        <v>10</v>
      </c>
      <c r="AD1120" s="49">
        <v>3</v>
      </c>
      <c r="AE1120" s="49">
        <v>19</v>
      </c>
      <c r="AH1120" s="49">
        <v>33</v>
      </c>
      <c r="AI1120" s="49">
        <v>317</v>
      </c>
      <c r="AJ1120" s="49">
        <v>0</v>
      </c>
      <c r="AK1120" s="83">
        <v>0</v>
      </c>
      <c r="AL1120" s="49">
        <v>0</v>
      </c>
      <c r="AM1120" s="49">
        <v>0</v>
      </c>
      <c r="AN1120" s="49">
        <v>1</v>
      </c>
      <c r="AO1120" s="58">
        <v>0</v>
      </c>
      <c r="AP1120" s="174">
        <v>0</v>
      </c>
      <c r="AQ1120" s="175">
        <v>0</v>
      </c>
      <c r="AR1120" s="175">
        <v>0</v>
      </c>
      <c r="AS1120" s="175">
        <v>0</v>
      </c>
      <c r="AT1120" s="175">
        <v>0</v>
      </c>
      <c r="AU1120" s="175">
        <v>120</v>
      </c>
      <c r="AV1120" s="175">
        <v>0</v>
      </c>
      <c r="AW1120" s="175">
        <v>0</v>
      </c>
      <c r="AX1120" s="83">
        <v>0</v>
      </c>
      <c r="AY1120" s="49">
        <v>1</v>
      </c>
      <c r="AZ1120" s="49">
        <v>0</v>
      </c>
      <c r="BA1120" s="49">
        <v>0</v>
      </c>
      <c r="BB1120" s="58">
        <v>1</v>
      </c>
      <c r="BC1120" s="42">
        <v>108</v>
      </c>
      <c r="BE1120" s="49"/>
      <c r="BS1120" s="58"/>
      <c r="BT1120" s="83"/>
      <c r="CE1120" s="83"/>
      <c r="CK1120" s="58"/>
      <c r="CL1120" s="83"/>
      <c r="CO1120" s="58"/>
      <c r="CP1120" s="83"/>
      <c r="CR1120" s="58"/>
      <c r="CS1120" s="83"/>
      <c r="CY1120" s="83"/>
      <c r="DG1120" s="58"/>
      <c r="DH1120" s="83">
        <v>66.599999999999994</v>
      </c>
      <c r="DI1120" s="159">
        <v>66.11</v>
      </c>
      <c r="DJ1120" s="49">
        <v>67.5</v>
      </c>
      <c r="DK1120" s="49">
        <v>67.569999999999993</v>
      </c>
      <c r="DQ1120" s="83"/>
      <c r="EE1120" s="58"/>
      <c r="EF1120" s="83"/>
      <c r="EI1120" s="83"/>
      <c r="EK1120" s="58"/>
      <c r="EL1120" s="83"/>
      <c r="EO1120" s="58"/>
      <c r="EP1120" s="83"/>
      <c r="EQ1120" s="58"/>
      <c r="ER1120" s="83"/>
      <c r="ES1120" s="58"/>
      <c r="ET1120" s="83"/>
      <c r="EU1120" s="58"/>
    </row>
    <row r="1121" spans="1:151">
      <c r="A1121" s="42" t="s">
        <v>324</v>
      </c>
      <c r="B1121" s="173" t="s">
        <v>548</v>
      </c>
      <c r="C1121" s="173" t="s">
        <v>549</v>
      </c>
      <c r="D1121" s="83" t="s">
        <v>81</v>
      </c>
      <c r="F1121" s="49" t="s">
        <v>286</v>
      </c>
      <c r="G1121" s="49">
        <v>18.29</v>
      </c>
      <c r="I1121" s="49">
        <v>3124</v>
      </c>
      <c r="J1121" s="159">
        <v>2.1037037037037036</v>
      </c>
      <c r="K1121" s="49">
        <v>4</v>
      </c>
      <c r="L1121" s="49">
        <v>3</v>
      </c>
      <c r="M1121" s="83">
        <v>0</v>
      </c>
      <c r="N1121" s="49">
        <v>2</v>
      </c>
      <c r="O1121" s="49">
        <v>0</v>
      </c>
      <c r="P1121" s="49">
        <v>0</v>
      </c>
      <c r="Q1121" s="58">
        <v>0</v>
      </c>
      <c r="R1121" s="42">
        <v>2</v>
      </c>
      <c r="S1121" s="83" t="s">
        <v>283</v>
      </c>
      <c r="T1121" s="49">
        <v>30</v>
      </c>
      <c r="U1121" s="83">
        <v>1</v>
      </c>
      <c r="V1121" s="49">
        <v>3</v>
      </c>
      <c r="W1121" s="49">
        <v>2</v>
      </c>
      <c r="X1121" s="58"/>
      <c r="Y1121" s="83">
        <v>3</v>
      </c>
      <c r="Z1121" s="49">
        <v>6</v>
      </c>
      <c r="AA1121" s="49">
        <v>31</v>
      </c>
      <c r="AD1121" s="49">
        <v>7</v>
      </c>
      <c r="AE1121" s="49">
        <v>63</v>
      </c>
      <c r="AF1121" s="49">
        <v>13</v>
      </c>
      <c r="AG1121" s="49">
        <v>74</v>
      </c>
      <c r="AH1121" s="49">
        <v>116</v>
      </c>
      <c r="AI1121" s="49">
        <v>347</v>
      </c>
      <c r="AJ1121" s="49">
        <v>0</v>
      </c>
      <c r="AK1121" s="83">
        <v>0</v>
      </c>
      <c r="AL1121" s="49">
        <v>0</v>
      </c>
      <c r="AM1121" s="49">
        <v>1</v>
      </c>
      <c r="AN1121" s="49">
        <v>0</v>
      </c>
      <c r="AO1121" s="58">
        <v>0</v>
      </c>
      <c r="AP1121" s="174">
        <v>0</v>
      </c>
      <c r="AQ1121" s="175">
        <v>0</v>
      </c>
      <c r="AR1121" s="175">
        <v>36</v>
      </c>
      <c r="AS1121" s="175">
        <v>143</v>
      </c>
      <c r="AT1121" s="175">
        <v>0</v>
      </c>
      <c r="AU1121" s="175">
        <v>0</v>
      </c>
      <c r="AV1121" s="175">
        <v>0</v>
      </c>
      <c r="AW1121" s="175">
        <v>0</v>
      </c>
      <c r="AX1121" s="83">
        <v>0</v>
      </c>
      <c r="AY1121" s="49">
        <v>0</v>
      </c>
      <c r="AZ1121" s="49">
        <v>0</v>
      </c>
      <c r="BA1121" s="49">
        <v>1</v>
      </c>
      <c r="BB1121" s="58">
        <v>1</v>
      </c>
      <c r="BC1121" s="42">
        <v>144</v>
      </c>
      <c r="BD1121" s="49">
        <v>77.34</v>
      </c>
      <c r="BS1121" s="58"/>
      <c r="BT1121" s="83">
        <v>79.81</v>
      </c>
      <c r="CE1121" s="83">
        <v>66.55</v>
      </c>
      <c r="CK1121" s="58"/>
      <c r="CL1121" s="83"/>
      <c r="CO1121" s="58"/>
      <c r="CP1121" s="83"/>
      <c r="CR1121" s="58"/>
      <c r="CS1121" s="83"/>
      <c r="CY1121" s="83"/>
      <c r="DG1121" s="58"/>
      <c r="DH1121" s="83"/>
      <c r="DQ1121" s="83"/>
      <c r="EE1121" s="58"/>
      <c r="EF1121" s="83"/>
      <c r="EI1121" s="83"/>
      <c r="EK1121" s="58"/>
      <c r="EL1121" s="83"/>
      <c r="EO1121" s="58"/>
      <c r="EP1121" s="83"/>
      <c r="EQ1121" s="58"/>
      <c r="ER1121" s="83"/>
      <c r="ES1121" s="58"/>
      <c r="ET1121" s="83"/>
      <c r="EU1121" s="58"/>
    </row>
    <row r="1122" spans="1:151">
      <c r="A1122" s="42" t="s">
        <v>324</v>
      </c>
      <c r="B1122" s="173" t="s">
        <v>548</v>
      </c>
      <c r="C1122" s="173" t="s">
        <v>549</v>
      </c>
      <c r="D1122" s="83" t="s">
        <v>274</v>
      </c>
      <c r="F1122" s="49" t="s">
        <v>287</v>
      </c>
      <c r="G1122" s="49">
        <v>18.29</v>
      </c>
      <c r="I1122" s="49">
        <v>595</v>
      </c>
      <c r="J1122" s="159">
        <v>1.7761194029850746</v>
      </c>
      <c r="K1122" s="49">
        <v>1</v>
      </c>
      <c r="L1122" s="49">
        <v>2</v>
      </c>
      <c r="M1122" s="83">
        <v>1</v>
      </c>
      <c r="N1122" s="49">
        <v>0</v>
      </c>
      <c r="O1122" s="49">
        <v>1</v>
      </c>
      <c r="P1122" s="49">
        <v>1</v>
      </c>
      <c r="Q1122" s="58">
        <v>0</v>
      </c>
      <c r="R1122" s="42">
        <v>3</v>
      </c>
      <c r="S1122" s="83" t="s">
        <v>283</v>
      </c>
      <c r="T1122" s="49">
        <v>3</v>
      </c>
      <c r="U1122" s="83">
        <v>1</v>
      </c>
      <c r="V1122" s="49">
        <v>3</v>
      </c>
      <c r="W1122" s="49">
        <v>1</v>
      </c>
      <c r="X1122" s="58">
        <v>1</v>
      </c>
      <c r="Y1122" s="83">
        <v>1</v>
      </c>
      <c r="AD1122" s="49">
        <v>7</v>
      </c>
      <c r="AE1122" s="49">
        <v>16</v>
      </c>
      <c r="AH1122" s="49">
        <v>18</v>
      </c>
      <c r="AI1122" s="49">
        <v>28</v>
      </c>
      <c r="AJ1122" s="49">
        <v>0</v>
      </c>
      <c r="AK1122" s="83">
        <v>0</v>
      </c>
      <c r="AL1122" s="49">
        <v>0</v>
      </c>
      <c r="AM1122" s="49">
        <v>0</v>
      </c>
      <c r="AN1122" s="49">
        <v>0</v>
      </c>
      <c r="AO1122" s="58">
        <v>0</v>
      </c>
      <c r="AP1122" s="174">
        <v>0</v>
      </c>
      <c r="AQ1122" s="175">
        <v>0</v>
      </c>
      <c r="AR1122" s="175">
        <v>0</v>
      </c>
      <c r="AS1122" s="175">
        <v>0</v>
      </c>
      <c r="AT1122" s="175">
        <v>0</v>
      </c>
      <c r="AU1122" s="175">
        <v>0</v>
      </c>
      <c r="AV1122" s="175">
        <v>0</v>
      </c>
      <c r="AW1122" s="175">
        <v>0</v>
      </c>
      <c r="AX1122" s="83">
        <v>0</v>
      </c>
      <c r="AY1122" s="49">
        <v>0</v>
      </c>
      <c r="AZ1122" s="49">
        <v>0</v>
      </c>
      <c r="BA1122" s="49">
        <v>0</v>
      </c>
      <c r="BB1122" s="58">
        <v>0</v>
      </c>
      <c r="BC1122" s="42">
        <v>101</v>
      </c>
      <c r="BS1122" s="58"/>
      <c r="BT1122" s="83"/>
      <c r="CE1122" s="83"/>
      <c r="CK1122" s="58"/>
      <c r="CL1122" s="83"/>
      <c r="CO1122" s="58"/>
      <c r="CP1122" s="83"/>
      <c r="CR1122" s="58"/>
      <c r="CS1122" s="83"/>
      <c r="CY1122" s="83"/>
      <c r="DG1122" s="58"/>
      <c r="DH1122" s="83"/>
      <c r="DQ1122" s="83"/>
      <c r="EE1122" s="58"/>
      <c r="EF1122" s="83"/>
      <c r="EI1122" s="83"/>
      <c r="EK1122" s="58"/>
      <c r="EL1122" s="83"/>
      <c r="EO1122" s="58"/>
      <c r="EP1122" s="83"/>
      <c r="EQ1122" s="58"/>
      <c r="ER1122" s="83"/>
      <c r="ES1122" s="58"/>
      <c r="ET1122" s="83"/>
      <c r="EU1122" s="58"/>
    </row>
    <row r="1123" spans="1:151">
      <c r="A1123" s="42" t="s">
        <v>324</v>
      </c>
      <c r="B1123" s="173" t="s">
        <v>548</v>
      </c>
      <c r="C1123" s="173" t="s">
        <v>549</v>
      </c>
      <c r="D1123" s="83" t="s">
        <v>88</v>
      </c>
      <c r="F1123" s="49" t="s">
        <v>286</v>
      </c>
      <c r="G1123" s="49">
        <v>18.29</v>
      </c>
      <c r="I1123" s="49">
        <v>2711</v>
      </c>
      <c r="J1123" s="159">
        <v>2.6320388349514565</v>
      </c>
      <c r="K1123" s="49">
        <v>1</v>
      </c>
      <c r="L1123" s="49">
        <v>3</v>
      </c>
      <c r="M1123" s="83">
        <v>0</v>
      </c>
      <c r="N1123" s="49">
        <v>2</v>
      </c>
      <c r="O1123" s="49">
        <v>0</v>
      </c>
      <c r="P1123" s="49">
        <v>1</v>
      </c>
      <c r="Q1123" s="58">
        <v>0</v>
      </c>
      <c r="R1123" s="42">
        <v>3</v>
      </c>
      <c r="S1123" s="83" t="s">
        <v>283</v>
      </c>
      <c r="T1123" s="49">
        <v>9</v>
      </c>
      <c r="U1123" s="83">
        <v>1</v>
      </c>
      <c r="V1123" s="49">
        <v>3</v>
      </c>
      <c r="W1123" s="49">
        <v>1</v>
      </c>
      <c r="X1123" s="58">
        <v>2</v>
      </c>
      <c r="Y1123" s="83">
        <v>2</v>
      </c>
      <c r="AD1123" s="49">
        <v>11</v>
      </c>
      <c r="AE1123" s="49">
        <v>84</v>
      </c>
      <c r="AF1123" s="49">
        <v>4</v>
      </c>
      <c r="AG1123" s="49">
        <v>111</v>
      </c>
      <c r="AH1123" s="49">
        <v>17</v>
      </c>
      <c r="AI1123" s="49">
        <v>74</v>
      </c>
      <c r="AJ1123" s="49">
        <v>0</v>
      </c>
      <c r="AK1123" s="83">
        <v>0</v>
      </c>
      <c r="AL1123" s="49">
        <v>0</v>
      </c>
      <c r="AM1123" s="49">
        <v>0</v>
      </c>
      <c r="AN1123" s="49">
        <v>0</v>
      </c>
      <c r="AO1123" s="58">
        <v>0</v>
      </c>
      <c r="AP1123" s="174">
        <v>0</v>
      </c>
      <c r="AQ1123" s="175">
        <v>0</v>
      </c>
      <c r="AR1123" s="175">
        <v>0</v>
      </c>
      <c r="AS1123" s="175">
        <v>0</v>
      </c>
      <c r="AT1123" s="175">
        <v>0</v>
      </c>
      <c r="AU1123" s="175">
        <v>0</v>
      </c>
      <c r="AV1123" s="175">
        <v>0</v>
      </c>
      <c r="AW1123" s="175">
        <v>0</v>
      </c>
      <c r="AX1123" s="83">
        <v>0</v>
      </c>
      <c r="AY1123" s="49">
        <v>0</v>
      </c>
      <c r="AZ1123" s="49">
        <v>0</v>
      </c>
      <c r="BA1123" s="49">
        <v>0</v>
      </c>
      <c r="BB1123" s="58">
        <v>0</v>
      </c>
      <c r="BC1123" s="42">
        <v>125</v>
      </c>
      <c r="BS1123" s="58"/>
      <c r="BT1123" s="83"/>
      <c r="CE1123" s="83"/>
      <c r="CK1123" s="58"/>
      <c r="CL1123" s="83"/>
      <c r="CO1123" s="58"/>
      <c r="CP1123" s="83"/>
      <c r="CR1123" s="58"/>
      <c r="CS1123" s="83"/>
      <c r="CY1123" s="83"/>
      <c r="DG1123" s="58"/>
      <c r="DH1123" s="83"/>
      <c r="DQ1123" s="83"/>
      <c r="EE1123" s="58"/>
      <c r="EF1123" s="83"/>
      <c r="EI1123" s="83"/>
      <c r="EK1123" s="58"/>
      <c r="EL1123" s="83"/>
      <c r="EO1123" s="58"/>
      <c r="EP1123" s="83"/>
      <c r="EQ1123" s="58"/>
      <c r="ER1123" s="83"/>
      <c r="ES1123" s="58"/>
      <c r="ET1123" s="83"/>
      <c r="EU1123" s="58"/>
    </row>
    <row r="1124" spans="1:151">
      <c r="A1124" s="42" t="s">
        <v>324</v>
      </c>
      <c r="B1124" s="173" t="s">
        <v>548</v>
      </c>
      <c r="C1124" s="173" t="s">
        <v>549</v>
      </c>
      <c r="D1124" s="83" t="s">
        <v>111</v>
      </c>
      <c r="F1124" s="49" t="s">
        <v>286</v>
      </c>
      <c r="G1124" s="49">
        <v>18.29</v>
      </c>
      <c r="I1124" s="49">
        <v>1025</v>
      </c>
      <c r="J1124" s="159">
        <v>1.8807339449541285</v>
      </c>
      <c r="K1124" s="49">
        <v>1</v>
      </c>
      <c r="L1124" s="49">
        <v>3</v>
      </c>
      <c r="M1124" s="83">
        <v>0</v>
      </c>
      <c r="N1124" s="49">
        <v>2</v>
      </c>
      <c r="O1124" s="49">
        <v>0</v>
      </c>
      <c r="P1124" s="49">
        <v>1</v>
      </c>
      <c r="Q1124" s="58">
        <v>0</v>
      </c>
      <c r="R1124" s="42">
        <v>3</v>
      </c>
      <c r="S1124" s="83" t="s">
        <v>283</v>
      </c>
      <c r="T1124" s="49">
        <v>11</v>
      </c>
      <c r="U1124" s="83">
        <v>1</v>
      </c>
      <c r="V1124" s="49">
        <v>3</v>
      </c>
      <c r="W1124" s="49">
        <v>2</v>
      </c>
      <c r="X1124" s="58"/>
      <c r="Y1124" s="83">
        <v>1</v>
      </c>
      <c r="Z1124" s="49">
        <v>4</v>
      </c>
      <c r="AA1124" s="49">
        <v>10</v>
      </c>
      <c r="AD1124" s="49">
        <v>11</v>
      </c>
      <c r="AE1124" s="49">
        <v>39</v>
      </c>
      <c r="AG1124" s="49">
        <v>83</v>
      </c>
      <c r="AJ1124" s="49">
        <v>0</v>
      </c>
      <c r="AK1124" s="83">
        <v>0</v>
      </c>
      <c r="AL1124" s="49">
        <v>1</v>
      </c>
      <c r="AM1124" s="49">
        <v>0</v>
      </c>
      <c r="AN1124" s="49">
        <v>0</v>
      </c>
      <c r="AO1124" s="58">
        <v>0</v>
      </c>
      <c r="AP1124" s="174">
        <v>0</v>
      </c>
      <c r="AQ1124" s="175">
        <v>253</v>
      </c>
      <c r="AR1124" s="175">
        <v>0</v>
      </c>
      <c r="AS1124" s="175">
        <v>0</v>
      </c>
      <c r="AT1124" s="175">
        <v>0</v>
      </c>
      <c r="AU1124" s="175">
        <v>0</v>
      </c>
      <c r="AV1124" s="175">
        <v>0</v>
      </c>
      <c r="AW1124" s="175">
        <v>0</v>
      </c>
      <c r="AX1124" s="83">
        <v>0</v>
      </c>
      <c r="AY1124" s="49">
        <v>0</v>
      </c>
      <c r="AZ1124" s="49">
        <v>0</v>
      </c>
      <c r="BA1124" s="49">
        <v>0</v>
      </c>
      <c r="BB1124" s="58">
        <v>0</v>
      </c>
      <c r="BC1124" s="42">
        <v>99</v>
      </c>
      <c r="BS1124" s="58"/>
      <c r="BT1124" s="83"/>
      <c r="CE1124" s="83"/>
      <c r="CK1124" s="58"/>
      <c r="CL1124" s="83"/>
      <c r="CO1124" s="58"/>
      <c r="CP1124" s="83"/>
      <c r="CR1124" s="58"/>
      <c r="CS1124" s="83"/>
      <c r="CY1124" s="83"/>
      <c r="DG1124" s="58"/>
      <c r="DH1124" s="83"/>
      <c r="DQ1124" s="83"/>
      <c r="EE1124" s="58"/>
      <c r="EF1124" s="83"/>
      <c r="EI1124" s="83"/>
      <c r="EK1124" s="58"/>
      <c r="EL1124" s="83"/>
      <c r="EO1124" s="58"/>
      <c r="EP1124" s="83"/>
      <c r="EQ1124" s="58"/>
      <c r="ER1124" s="83"/>
      <c r="ES1124" s="58"/>
      <c r="ET1124" s="83"/>
      <c r="EU1124" s="58"/>
    </row>
    <row r="1125" spans="1:151">
      <c r="A1125" s="42" t="s">
        <v>324</v>
      </c>
      <c r="B1125" s="173" t="s">
        <v>548</v>
      </c>
      <c r="C1125" s="173" t="s">
        <v>549</v>
      </c>
      <c r="D1125" s="83" t="s">
        <v>92</v>
      </c>
      <c r="F1125" s="49" t="s">
        <v>287</v>
      </c>
      <c r="G1125" s="49">
        <v>18.29</v>
      </c>
      <c r="I1125" s="49">
        <v>774</v>
      </c>
      <c r="J1125" s="159">
        <v>1.1365638766519823</v>
      </c>
      <c r="K1125" s="49">
        <v>1</v>
      </c>
      <c r="L1125" s="49">
        <v>2</v>
      </c>
      <c r="M1125" s="83">
        <v>0</v>
      </c>
      <c r="N1125" s="49">
        <v>0</v>
      </c>
      <c r="O1125" s="49">
        <v>0</v>
      </c>
      <c r="P1125" s="49">
        <v>0</v>
      </c>
      <c r="Q1125" s="58">
        <v>0</v>
      </c>
      <c r="R1125" s="42">
        <v>0</v>
      </c>
      <c r="S1125" s="83" t="s">
        <v>283</v>
      </c>
      <c r="T1125" s="49">
        <v>23</v>
      </c>
      <c r="U1125" s="83">
        <v>1</v>
      </c>
      <c r="V1125" s="49">
        <v>2</v>
      </c>
      <c r="W1125" s="49">
        <v>2</v>
      </c>
      <c r="X1125" s="58"/>
      <c r="Y1125" s="83">
        <v>0</v>
      </c>
      <c r="AJ1125" s="49">
        <v>0</v>
      </c>
      <c r="AK1125" s="83">
        <v>0</v>
      </c>
      <c r="AL1125" s="49">
        <v>0</v>
      </c>
      <c r="AM1125" s="49">
        <v>0</v>
      </c>
      <c r="AN1125" s="49">
        <v>0</v>
      </c>
      <c r="AO1125" s="58">
        <v>0</v>
      </c>
      <c r="AP1125" s="174">
        <v>0</v>
      </c>
      <c r="AQ1125" s="175">
        <v>0</v>
      </c>
      <c r="AR1125" s="175">
        <v>0</v>
      </c>
      <c r="AS1125" s="175">
        <v>0</v>
      </c>
      <c r="AT1125" s="175">
        <v>0</v>
      </c>
      <c r="AU1125" s="175">
        <v>0</v>
      </c>
      <c r="AV1125" s="175">
        <v>0</v>
      </c>
      <c r="AW1125" s="175">
        <v>0</v>
      </c>
      <c r="AX1125" s="83">
        <v>0</v>
      </c>
      <c r="AY1125" s="49">
        <v>0</v>
      </c>
      <c r="AZ1125" s="49">
        <v>0</v>
      </c>
      <c r="BA1125" s="49">
        <v>0</v>
      </c>
      <c r="BB1125" s="58">
        <v>0</v>
      </c>
      <c r="BC1125" s="42">
        <v>124</v>
      </c>
      <c r="BS1125" s="58"/>
      <c r="BT1125" s="83"/>
      <c r="CE1125" s="83"/>
      <c r="CK1125" s="58"/>
      <c r="CL1125" s="83"/>
      <c r="CO1125" s="58"/>
      <c r="CP1125" s="83"/>
      <c r="CR1125" s="58"/>
      <c r="CS1125" s="83"/>
      <c r="CY1125" s="83"/>
      <c r="DG1125" s="58"/>
      <c r="DH1125" s="83"/>
      <c r="DQ1125" s="83"/>
      <c r="EE1125" s="58"/>
      <c r="EF1125" s="83"/>
      <c r="EI1125" s="83"/>
      <c r="EK1125" s="58"/>
      <c r="EL1125" s="83"/>
      <c r="EO1125" s="58"/>
      <c r="EP1125" s="83"/>
      <c r="EQ1125" s="58"/>
      <c r="ER1125" s="83"/>
      <c r="ES1125" s="58"/>
      <c r="ET1125" s="83"/>
      <c r="EU1125" s="58"/>
    </row>
    <row r="1126" spans="1:151" ht="17" thickBot="1">
      <c r="A1126" s="55" t="s">
        <v>324</v>
      </c>
      <c r="B1126" s="47" t="s">
        <v>548</v>
      </c>
      <c r="C1126" s="47" t="s">
        <v>549</v>
      </c>
      <c r="D1126" s="84" t="s">
        <v>93</v>
      </c>
      <c r="E1126" s="57"/>
      <c r="F1126" s="57" t="s">
        <v>287</v>
      </c>
      <c r="G1126" s="57">
        <v>18.29</v>
      </c>
      <c r="H1126" s="57"/>
      <c r="I1126" s="57">
        <v>415</v>
      </c>
      <c r="J1126" s="75">
        <v>2.0443349753694582</v>
      </c>
      <c r="K1126" s="57">
        <v>1</v>
      </c>
      <c r="L1126" s="57">
        <v>1</v>
      </c>
      <c r="M1126" s="84">
        <v>1</v>
      </c>
      <c r="N1126" s="57">
        <v>0</v>
      </c>
      <c r="O1126" s="57">
        <v>0</v>
      </c>
      <c r="P1126" s="57">
        <v>1</v>
      </c>
      <c r="Q1126" s="56">
        <v>0</v>
      </c>
      <c r="R1126" s="55">
        <v>2</v>
      </c>
      <c r="S1126" s="84" t="s">
        <v>283</v>
      </c>
      <c r="T1126" s="57">
        <v>5</v>
      </c>
      <c r="U1126" s="84">
        <v>2</v>
      </c>
      <c r="V1126" s="57">
        <v>3</v>
      </c>
      <c r="W1126" s="57">
        <v>1</v>
      </c>
      <c r="X1126" s="56">
        <v>2</v>
      </c>
      <c r="Y1126" s="84">
        <v>1</v>
      </c>
      <c r="Z1126" s="57"/>
      <c r="AA1126" s="57"/>
      <c r="AB1126" s="57"/>
      <c r="AC1126" s="57"/>
      <c r="AD1126" s="57"/>
      <c r="AE1126" s="57"/>
      <c r="AF1126" s="57"/>
      <c r="AG1126" s="57"/>
      <c r="AH1126" s="57"/>
      <c r="AI1126" s="57">
        <v>51</v>
      </c>
      <c r="AJ1126" s="57">
        <v>0</v>
      </c>
      <c r="AK1126" s="84">
        <v>0</v>
      </c>
      <c r="AL1126" s="57">
        <v>0</v>
      </c>
      <c r="AM1126" s="57">
        <v>0</v>
      </c>
      <c r="AN1126" s="57">
        <v>0</v>
      </c>
      <c r="AO1126" s="56">
        <v>0</v>
      </c>
      <c r="AP1126" s="178">
        <v>0</v>
      </c>
      <c r="AQ1126" s="179">
        <v>0</v>
      </c>
      <c r="AR1126" s="179">
        <v>0</v>
      </c>
      <c r="AS1126" s="179">
        <v>0</v>
      </c>
      <c r="AT1126" s="179">
        <v>0</v>
      </c>
      <c r="AU1126" s="179">
        <v>0</v>
      </c>
      <c r="AV1126" s="179">
        <v>0</v>
      </c>
      <c r="AW1126" s="179">
        <v>0</v>
      </c>
      <c r="AX1126" s="84">
        <v>0</v>
      </c>
      <c r="AY1126" s="57">
        <v>0</v>
      </c>
      <c r="AZ1126" s="57">
        <v>0</v>
      </c>
      <c r="BA1126" s="57">
        <v>0</v>
      </c>
      <c r="BB1126" s="56">
        <v>0</v>
      </c>
      <c r="BC1126" s="55">
        <v>120</v>
      </c>
      <c r="BD1126" s="75">
        <v>68.900000000000006</v>
      </c>
      <c r="BE1126" s="57"/>
      <c r="BF1126" s="57"/>
      <c r="BG1126" s="57"/>
      <c r="BH1126" s="57"/>
      <c r="BI1126" s="57"/>
      <c r="BJ1126" s="57"/>
      <c r="BK1126" s="57"/>
      <c r="BL1126" s="57"/>
      <c r="BM1126" s="57"/>
      <c r="BN1126" s="57"/>
      <c r="BO1126" s="57"/>
      <c r="BP1126" s="57"/>
      <c r="BQ1126" s="57"/>
      <c r="BR1126" s="57"/>
      <c r="BS1126" s="56"/>
      <c r="BT1126" s="84">
        <v>69.3</v>
      </c>
      <c r="BU1126" s="57">
        <v>73.819999999999993</v>
      </c>
      <c r="BV1126" s="57"/>
      <c r="BW1126" s="57"/>
      <c r="BX1126" s="57"/>
      <c r="BY1126" s="57"/>
      <c r="BZ1126" s="57"/>
      <c r="CA1126" s="57"/>
      <c r="CB1126" s="57"/>
      <c r="CC1126" s="57"/>
      <c r="CD1126" s="57"/>
      <c r="CE1126" s="84">
        <v>55.81</v>
      </c>
      <c r="CF1126" s="57"/>
      <c r="CG1126" s="57"/>
      <c r="CH1126" s="57"/>
      <c r="CI1126" s="57"/>
      <c r="CJ1126" s="57"/>
      <c r="CK1126" s="56"/>
      <c r="CL1126" s="84"/>
      <c r="CM1126" s="57"/>
      <c r="CN1126" s="57"/>
      <c r="CO1126" s="56"/>
      <c r="CP1126" s="84"/>
      <c r="CQ1126" s="57"/>
      <c r="CR1126" s="56"/>
      <c r="CS1126" s="84"/>
      <c r="CT1126" s="57"/>
      <c r="CU1126" s="57"/>
      <c r="CV1126" s="57"/>
      <c r="CW1126" s="57"/>
      <c r="CX1126" s="57"/>
      <c r="CY1126" s="84"/>
      <c r="CZ1126" s="57"/>
      <c r="DA1126" s="57"/>
      <c r="DB1126" s="57"/>
      <c r="DC1126" s="57"/>
      <c r="DD1126" s="57"/>
      <c r="DE1126" s="57"/>
      <c r="DF1126" s="57"/>
      <c r="DG1126" s="56"/>
      <c r="DH1126" s="84"/>
      <c r="DI1126" s="57"/>
      <c r="DJ1126" s="57"/>
      <c r="DK1126" s="57"/>
      <c r="DL1126" s="57"/>
      <c r="DM1126" s="57"/>
      <c r="DN1126" s="57"/>
      <c r="DO1126" s="57"/>
      <c r="DP1126" s="57"/>
      <c r="DQ1126" s="84">
        <v>71.98</v>
      </c>
      <c r="DR1126" s="57"/>
      <c r="DS1126" s="57"/>
      <c r="DT1126" s="57"/>
      <c r="DU1126" s="57"/>
      <c r="DV1126" s="57"/>
      <c r="DW1126" s="57"/>
      <c r="DX1126" s="57"/>
      <c r="DY1126" s="57"/>
      <c r="DZ1126" s="57"/>
      <c r="EA1126" s="57"/>
      <c r="EB1126" s="57"/>
      <c r="EC1126" s="57"/>
      <c r="ED1126" s="57"/>
      <c r="EE1126" s="56"/>
      <c r="EF1126" s="84"/>
      <c r="EG1126" s="57"/>
      <c r="EH1126" s="57"/>
      <c r="EI1126" s="84"/>
      <c r="EJ1126" s="57"/>
      <c r="EK1126" s="56"/>
      <c r="EL1126" s="84"/>
      <c r="EM1126" s="57"/>
      <c r="EN1126" s="57"/>
      <c r="EO1126" s="56"/>
      <c r="EP1126" s="84"/>
      <c r="EQ1126" s="56"/>
      <c r="ER1126" s="84"/>
      <c r="ES1126" s="56"/>
      <c r="ET1126" s="84"/>
      <c r="EU1126" s="56"/>
    </row>
    <row r="1127" spans="1:151">
      <c r="A1127" s="83" t="s">
        <v>324</v>
      </c>
      <c r="B1127" s="7" t="s">
        <v>550</v>
      </c>
      <c r="C1127" s="7" t="s">
        <v>551</v>
      </c>
      <c r="D1127" s="147" t="s">
        <v>64</v>
      </c>
      <c r="E1127" s="148"/>
      <c r="F1127" s="148" t="s">
        <v>286</v>
      </c>
      <c r="G1127" s="81">
        <v>20.242999999999999</v>
      </c>
      <c r="H1127" s="148"/>
      <c r="I1127" s="148">
        <v>1368</v>
      </c>
      <c r="J1127" s="158">
        <v>1.2021089630931459</v>
      </c>
      <c r="K1127" s="148">
        <v>1</v>
      </c>
      <c r="L1127" s="148">
        <v>2</v>
      </c>
      <c r="M1127" s="147">
        <v>0</v>
      </c>
      <c r="N1127" s="148">
        <v>0</v>
      </c>
      <c r="O1127" s="148">
        <v>1</v>
      </c>
      <c r="P1127" s="148">
        <v>1</v>
      </c>
      <c r="Q1127" s="149">
        <v>0</v>
      </c>
      <c r="R1127" s="87">
        <v>2</v>
      </c>
      <c r="S1127" s="147" t="s">
        <v>283</v>
      </c>
      <c r="T1127" s="148">
        <v>19</v>
      </c>
      <c r="U1127" s="147">
        <v>1</v>
      </c>
      <c r="V1127" s="148">
        <v>3</v>
      </c>
      <c r="W1127" s="148">
        <v>2</v>
      </c>
      <c r="X1127" s="149"/>
      <c r="Y1127" s="147">
        <v>1</v>
      </c>
      <c r="Z1127" s="148"/>
      <c r="AA1127" s="148"/>
      <c r="AB1127" s="148"/>
      <c r="AC1127" s="148"/>
      <c r="AD1127" s="148">
        <v>12</v>
      </c>
      <c r="AE1127" s="148">
        <v>15</v>
      </c>
      <c r="AF1127" s="148">
        <v>8</v>
      </c>
      <c r="AG1127" s="148">
        <v>13</v>
      </c>
      <c r="AH1127" s="148"/>
      <c r="AI1127" s="148">
        <v>25</v>
      </c>
      <c r="AJ1127" s="148">
        <v>0</v>
      </c>
      <c r="AK1127" s="147">
        <v>0</v>
      </c>
      <c r="AL1127" s="148">
        <v>0</v>
      </c>
      <c r="AM1127" s="148">
        <v>0</v>
      </c>
      <c r="AN1127" s="148">
        <v>0</v>
      </c>
      <c r="AO1127" s="149">
        <v>0</v>
      </c>
      <c r="AP1127" s="169">
        <v>0</v>
      </c>
      <c r="AQ1127" s="170">
        <v>0</v>
      </c>
      <c r="AR1127" s="170">
        <v>0</v>
      </c>
      <c r="AS1127" s="170">
        <v>0</v>
      </c>
      <c r="AT1127" s="170">
        <v>0</v>
      </c>
      <c r="AU1127" s="170">
        <v>0</v>
      </c>
      <c r="AV1127" s="170">
        <v>0</v>
      </c>
      <c r="AW1127" s="170">
        <v>0</v>
      </c>
      <c r="AX1127" s="147">
        <v>0</v>
      </c>
      <c r="AY1127" s="148">
        <v>0</v>
      </c>
      <c r="AZ1127" s="148">
        <v>0</v>
      </c>
      <c r="BA1127" s="148">
        <v>0</v>
      </c>
      <c r="BB1127" s="149">
        <v>0</v>
      </c>
      <c r="BC1127" s="87">
        <v>129</v>
      </c>
      <c r="BD1127" s="148"/>
      <c r="BE1127" s="158"/>
      <c r="BF1127" s="148"/>
      <c r="BG1127" s="148"/>
      <c r="BH1127" s="148"/>
      <c r="BI1127" s="148"/>
      <c r="BJ1127" s="148"/>
      <c r="BK1127" s="148"/>
      <c r="BL1127" s="148"/>
      <c r="BM1127" s="148"/>
      <c r="BN1127" s="148"/>
      <c r="BO1127" s="148"/>
      <c r="BP1127" s="148"/>
      <c r="BQ1127" s="148"/>
      <c r="BR1127" s="148"/>
      <c r="BS1127" s="149"/>
      <c r="BT1127" s="147"/>
      <c r="BU1127" s="148"/>
      <c r="BV1127" s="148"/>
      <c r="BW1127" s="148"/>
      <c r="BX1127" s="148"/>
      <c r="BY1127" s="148"/>
      <c r="BZ1127" s="148"/>
      <c r="CA1127" s="148"/>
      <c r="CB1127" s="148"/>
      <c r="CC1127" s="148"/>
      <c r="CD1127" s="148"/>
      <c r="CE1127" s="147"/>
      <c r="CF1127" s="148"/>
      <c r="CG1127" s="148"/>
      <c r="CH1127" s="148"/>
      <c r="CI1127" s="148"/>
      <c r="CJ1127" s="148"/>
      <c r="CK1127" s="149"/>
      <c r="CL1127" s="147"/>
      <c r="CM1127" s="148"/>
      <c r="CN1127" s="148"/>
      <c r="CO1127" s="149"/>
      <c r="CP1127" s="147"/>
      <c r="CQ1127" s="148"/>
      <c r="CR1127" s="149"/>
      <c r="CS1127" s="147"/>
      <c r="CT1127" s="148"/>
      <c r="CU1127" s="148"/>
      <c r="CV1127" s="148"/>
      <c r="CW1127" s="148"/>
      <c r="CX1127" s="148"/>
      <c r="CY1127" s="147"/>
      <c r="CZ1127" s="148"/>
      <c r="DA1127" s="148"/>
      <c r="DB1127" s="148"/>
      <c r="DC1127" s="148"/>
      <c r="DD1127" s="148"/>
      <c r="DE1127" s="148"/>
      <c r="DF1127" s="148"/>
      <c r="DG1127" s="149"/>
      <c r="DH1127" s="147"/>
      <c r="DI1127" s="148"/>
      <c r="DJ1127" s="148"/>
      <c r="DK1127" s="148"/>
      <c r="DL1127" s="148"/>
      <c r="DM1127" s="148"/>
      <c r="DN1127" s="148"/>
      <c r="DO1127" s="148"/>
      <c r="DP1127" s="148"/>
      <c r="DQ1127" s="147"/>
      <c r="DR1127" s="148"/>
      <c r="DS1127" s="148"/>
      <c r="DT1127" s="148"/>
      <c r="DU1127" s="148"/>
      <c r="DV1127" s="148"/>
      <c r="DW1127" s="148"/>
      <c r="DX1127" s="148"/>
      <c r="DY1127" s="148"/>
      <c r="DZ1127" s="148"/>
      <c r="EA1127" s="148"/>
      <c r="EB1127" s="148"/>
      <c r="EC1127" s="148"/>
      <c r="ED1127" s="148"/>
      <c r="EE1127" s="149"/>
      <c r="EF1127" s="147"/>
      <c r="EG1127" s="148"/>
      <c r="EH1127" s="148"/>
      <c r="EI1127" s="147"/>
      <c r="EJ1127" s="148"/>
      <c r="EK1127" s="149"/>
      <c r="EL1127" s="147"/>
      <c r="EM1127" s="148"/>
      <c r="EN1127" s="148"/>
      <c r="EO1127" s="149"/>
      <c r="EP1127" s="147"/>
      <c r="EQ1127" s="149"/>
      <c r="ER1127" s="147"/>
      <c r="ES1127" s="149"/>
      <c r="ET1127" s="147"/>
      <c r="EU1127" s="149"/>
    </row>
    <row r="1128" spans="1:151">
      <c r="A1128" s="83" t="s">
        <v>324</v>
      </c>
      <c r="B1128" s="173" t="s">
        <v>550</v>
      </c>
      <c r="C1128" s="173" t="s">
        <v>551</v>
      </c>
      <c r="D1128" s="83" t="s">
        <v>65</v>
      </c>
      <c r="F1128" s="49" t="s">
        <v>286</v>
      </c>
      <c r="G1128" s="71">
        <v>20.242999999999999</v>
      </c>
      <c r="I1128" s="49">
        <v>2678</v>
      </c>
      <c r="J1128" s="159">
        <v>1.1543103448275862</v>
      </c>
      <c r="K1128" s="49">
        <v>1</v>
      </c>
      <c r="L1128" s="49">
        <v>3</v>
      </c>
      <c r="M1128" s="83">
        <v>1</v>
      </c>
      <c r="N1128" s="49">
        <v>0</v>
      </c>
      <c r="O1128" s="49">
        <v>1</v>
      </c>
      <c r="P1128" s="49">
        <v>1</v>
      </c>
      <c r="Q1128" s="58">
        <v>0</v>
      </c>
      <c r="R1128" s="42">
        <v>3</v>
      </c>
      <c r="S1128" s="83" t="s">
        <v>283</v>
      </c>
      <c r="T1128" s="49">
        <v>16</v>
      </c>
      <c r="U1128" s="83">
        <v>2</v>
      </c>
      <c r="V1128" s="49">
        <v>3</v>
      </c>
      <c r="W1128" s="49">
        <v>1</v>
      </c>
      <c r="X1128" s="58">
        <v>3</v>
      </c>
      <c r="Y1128" s="83">
        <v>1</v>
      </c>
      <c r="Z1128" s="49">
        <v>5</v>
      </c>
      <c r="AA1128" s="49">
        <v>9</v>
      </c>
      <c r="AD1128" s="49">
        <v>7</v>
      </c>
      <c r="AE1128" s="49">
        <v>20</v>
      </c>
      <c r="AF1128" s="49">
        <v>17</v>
      </c>
      <c r="AG1128" s="49">
        <v>45</v>
      </c>
      <c r="AH1128" s="49">
        <v>16</v>
      </c>
      <c r="AI1128" s="49">
        <v>246</v>
      </c>
      <c r="AJ1128" s="49">
        <v>0</v>
      </c>
      <c r="AK1128" s="83">
        <v>0</v>
      </c>
      <c r="AL1128" s="49">
        <v>1</v>
      </c>
      <c r="AM1128" s="49">
        <v>0</v>
      </c>
      <c r="AN1128" s="49">
        <v>0</v>
      </c>
      <c r="AO1128" s="58">
        <v>0</v>
      </c>
      <c r="AP1128" s="174">
        <v>529</v>
      </c>
      <c r="AQ1128" s="175">
        <v>710</v>
      </c>
      <c r="AR1128" s="175">
        <v>0</v>
      </c>
      <c r="AS1128" s="175">
        <v>0</v>
      </c>
      <c r="AT1128" s="175">
        <v>0</v>
      </c>
      <c r="AU1128" s="175">
        <v>0</v>
      </c>
      <c r="AV1128" s="175">
        <v>0</v>
      </c>
      <c r="AW1128" s="175">
        <v>0</v>
      </c>
      <c r="AX1128" s="83">
        <v>0</v>
      </c>
      <c r="AY1128" s="49">
        <v>0</v>
      </c>
      <c r="AZ1128" s="49">
        <v>0</v>
      </c>
      <c r="BA1128" s="49">
        <v>0</v>
      </c>
      <c r="BB1128" s="58">
        <v>0</v>
      </c>
      <c r="BC1128" s="42">
        <v>137</v>
      </c>
      <c r="BS1128" s="58"/>
      <c r="BT1128" s="83"/>
      <c r="CE1128" s="83"/>
      <c r="CK1128" s="58"/>
      <c r="CL1128" s="83"/>
      <c r="CO1128" s="58"/>
      <c r="CP1128" s="83"/>
      <c r="CR1128" s="58"/>
      <c r="CS1128" s="83"/>
      <c r="CY1128" s="83"/>
      <c r="DG1128" s="58"/>
      <c r="DH1128" s="83"/>
      <c r="DQ1128" s="83"/>
      <c r="EE1128" s="58"/>
      <c r="EF1128" s="83"/>
      <c r="EI1128" s="83"/>
      <c r="EK1128" s="58"/>
      <c r="EL1128" s="83"/>
      <c r="EO1128" s="58"/>
      <c r="EP1128" s="83"/>
      <c r="EQ1128" s="58"/>
      <c r="ER1128" s="83"/>
      <c r="ES1128" s="58"/>
      <c r="ET1128" s="83"/>
      <c r="EU1128" s="58"/>
    </row>
    <row r="1129" spans="1:151" ht="17" thickBot="1">
      <c r="A1129" s="83" t="s">
        <v>324</v>
      </c>
      <c r="B1129" s="47" t="s">
        <v>550</v>
      </c>
      <c r="C1129" s="47" t="s">
        <v>551</v>
      </c>
      <c r="D1129" s="84" t="s">
        <v>66</v>
      </c>
      <c r="E1129" s="57"/>
      <c r="F1129" s="57" t="s">
        <v>286</v>
      </c>
      <c r="G1129" s="82">
        <v>20.242999999999999</v>
      </c>
      <c r="H1129" s="57"/>
      <c r="I1129" s="57">
        <v>1424</v>
      </c>
      <c r="J1129" s="75">
        <v>2.0910425844346547</v>
      </c>
      <c r="K1129" s="57">
        <v>1</v>
      </c>
      <c r="L1129" s="57">
        <v>3</v>
      </c>
      <c r="M1129" s="84">
        <v>0</v>
      </c>
      <c r="N1129" s="57">
        <v>2</v>
      </c>
      <c r="O1129" s="57">
        <v>0</v>
      </c>
      <c r="P1129" s="57">
        <v>0</v>
      </c>
      <c r="Q1129" s="56">
        <v>0</v>
      </c>
      <c r="R1129" s="55">
        <v>2</v>
      </c>
      <c r="S1129" s="84" t="s">
        <v>283</v>
      </c>
      <c r="T1129" s="57">
        <v>18</v>
      </c>
      <c r="U1129" s="84">
        <v>1</v>
      </c>
      <c r="V1129" s="57">
        <v>3</v>
      </c>
      <c r="W1129" s="57">
        <v>2</v>
      </c>
      <c r="X1129" s="56"/>
      <c r="Y1129" s="84">
        <v>0</v>
      </c>
      <c r="Z1129" s="57"/>
      <c r="AA1129" s="57"/>
      <c r="AB1129" s="57"/>
      <c r="AC1129" s="57"/>
      <c r="AD1129" s="57"/>
      <c r="AE1129" s="57"/>
      <c r="AF1129" s="57"/>
      <c r="AG1129" s="57"/>
      <c r="AH1129" s="57"/>
      <c r="AI1129" s="57"/>
      <c r="AJ1129" s="57">
        <v>0</v>
      </c>
      <c r="AK1129" s="84">
        <v>0</v>
      </c>
      <c r="AL1129" s="57">
        <v>0</v>
      </c>
      <c r="AM1129" s="57">
        <v>0</v>
      </c>
      <c r="AN1129" s="57">
        <v>0</v>
      </c>
      <c r="AO1129" s="56">
        <v>0</v>
      </c>
      <c r="AP1129" s="178">
        <v>0</v>
      </c>
      <c r="AQ1129" s="179">
        <v>0</v>
      </c>
      <c r="AR1129" s="179">
        <v>0</v>
      </c>
      <c r="AS1129" s="179">
        <v>0</v>
      </c>
      <c r="AT1129" s="179">
        <v>0</v>
      </c>
      <c r="AU1129" s="179">
        <v>0</v>
      </c>
      <c r="AV1129" s="179">
        <v>0</v>
      </c>
      <c r="AW1129" s="179">
        <v>0</v>
      </c>
      <c r="AX1129" s="84">
        <v>0</v>
      </c>
      <c r="AY1129" s="57">
        <v>0</v>
      </c>
      <c r="AZ1129" s="57">
        <v>0</v>
      </c>
      <c r="BA1129" s="57">
        <v>0</v>
      </c>
      <c r="BB1129" s="56">
        <v>0</v>
      </c>
      <c r="BC1129" s="55">
        <v>116</v>
      </c>
      <c r="BD1129" s="57"/>
      <c r="BE1129" s="75"/>
      <c r="BF1129" s="57"/>
      <c r="BG1129" s="57"/>
      <c r="BH1129" s="57"/>
      <c r="BI1129" s="57"/>
      <c r="BJ1129" s="57"/>
      <c r="BK1129" s="57"/>
      <c r="BL1129" s="57"/>
      <c r="BM1129" s="57"/>
      <c r="BN1129" s="57"/>
      <c r="BO1129" s="57"/>
      <c r="BP1129" s="57"/>
      <c r="BQ1129" s="57"/>
      <c r="BR1129" s="57"/>
      <c r="BS1129" s="56"/>
      <c r="BT1129" s="84"/>
      <c r="BU1129" s="57"/>
      <c r="BV1129" s="57"/>
      <c r="BW1129" s="57"/>
      <c r="BX1129" s="57"/>
      <c r="BY1129" s="57"/>
      <c r="BZ1129" s="57"/>
      <c r="CA1129" s="57"/>
      <c r="CB1129" s="57"/>
      <c r="CC1129" s="57"/>
      <c r="CD1129" s="57"/>
      <c r="CE1129" s="84"/>
      <c r="CF1129" s="57"/>
      <c r="CG1129" s="57"/>
      <c r="CH1129" s="57"/>
      <c r="CI1129" s="57"/>
      <c r="CJ1129" s="57"/>
      <c r="CK1129" s="56"/>
      <c r="CL1129" s="84"/>
      <c r="CM1129" s="57"/>
      <c r="CN1129" s="57"/>
      <c r="CO1129" s="56"/>
      <c r="CP1129" s="84"/>
      <c r="CQ1129" s="57"/>
      <c r="CR1129" s="56"/>
      <c r="CS1129" s="84"/>
      <c r="CT1129" s="57"/>
      <c r="CU1129" s="57"/>
      <c r="CV1129" s="57"/>
      <c r="CW1129" s="57"/>
      <c r="CX1129" s="57"/>
      <c r="CY1129" s="84"/>
      <c r="CZ1129" s="57"/>
      <c r="DA1129" s="57"/>
      <c r="DB1129" s="57"/>
      <c r="DC1129" s="57"/>
      <c r="DD1129" s="57"/>
      <c r="DE1129" s="57"/>
      <c r="DF1129" s="57"/>
      <c r="DG1129" s="56"/>
      <c r="DH1129" s="84"/>
      <c r="DI1129" s="57"/>
      <c r="DJ1129" s="57"/>
      <c r="DK1129" s="57"/>
      <c r="DL1129" s="57"/>
      <c r="DM1129" s="57"/>
      <c r="DN1129" s="57"/>
      <c r="DO1129" s="57"/>
      <c r="DP1129" s="57"/>
      <c r="DQ1129" s="84"/>
      <c r="DR1129" s="57"/>
      <c r="DS1129" s="57"/>
      <c r="DT1129" s="57"/>
      <c r="DU1129" s="57"/>
      <c r="DV1129" s="57"/>
      <c r="DW1129" s="57"/>
      <c r="DX1129" s="57"/>
      <c r="DY1129" s="57"/>
      <c r="DZ1129" s="57"/>
      <c r="EA1129" s="57"/>
      <c r="EB1129" s="57"/>
      <c r="EC1129" s="57"/>
      <c r="ED1129" s="57"/>
      <c r="EE1129" s="56"/>
      <c r="EF1129" s="84"/>
      <c r="EG1129" s="57"/>
      <c r="EH1129" s="57"/>
      <c r="EI1129" s="84"/>
      <c r="EJ1129" s="57"/>
      <c r="EK1129" s="56"/>
      <c r="EL1129" s="84"/>
      <c r="EM1129" s="57"/>
      <c r="EN1129" s="57"/>
      <c r="EO1129" s="56"/>
      <c r="EP1129" s="84"/>
      <c r="EQ1129" s="56"/>
      <c r="ER1129" s="84"/>
      <c r="ES1129" s="56"/>
      <c r="ET1129" s="84"/>
      <c r="EU1129" s="56"/>
    </row>
    <row r="1130" spans="1:151">
      <c r="A1130" s="87" t="s">
        <v>324</v>
      </c>
      <c r="B1130" s="173" t="s">
        <v>552</v>
      </c>
      <c r="C1130" s="173" t="s">
        <v>551</v>
      </c>
      <c r="D1130" s="83" t="s">
        <v>64</v>
      </c>
      <c r="F1130" s="49" t="s">
        <v>287</v>
      </c>
      <c r="G1130" s="71">
        <v>20.242999999999999</v>
      </c>
      <c r="I1130" s="49">
        <v>866</v>
      </c>
      <c r="J1130" s="159">
        <v>1.9287305122494431</v>
      </c>
      <c r="K1130" s="49">
        <v>4</v>
      </c>
      <c r="L1130" s="49">
        <v>4</v>
      </c>
      <c r="M1130" s="83">
        <v>0</v>
      </c>
      <c r="N1130" s="49">
        <v>1</v>
      </c>
      <c r="O1130" s="49">
        <v>0</v>
      </c>
      <c r="P1130" s="49">
        <v>1</v>
      </c>
      <c r="Q1130" s="58">
        <v>0</v>
      </c>
      <c r="R1130" s="42">
        <v>2</v>
      </c>
      <c r="S1130" s="83" t="s">
        <v>283</v>
      </c>
      <c r="T1130" s="49">
        <v>13</v>
      </c>
      <c r="U1130" s="83">
        <v>2</v>
      </c>
      <c r="V1130" s="49">
        <v>4</v>
      </c>
      <c r="W1130" s="49">
        <v>3</v>
      </c>
      <c r="X1130" s="58">
        <v>2</v>
      </c>
      <c r="Y1130" s="83">
        <v>1</v>
      </c>
      <c r="Z1130" s="49">
        <v>3</v>
      </c>
      <c r="AA1130" s="49">
        <v>5</v>
      </c>
      <c r="AH1130" s="49">
        <v>11</v>
      </c>
      <c r="AI1130" s="49">
        <v>35</v>
      </c>
      <c r="AJ1130" s="49">
        <v>0</v>
      </c>
      <c r="AK1130" s="83">
        <v>0</v>
      </c>
      <c r="AL1130" s="49">
        <v>0</v>
      </c>
      <c r="AM1130" s="49">
        <v>1</v>
      </c>
      <c r="AN1130" s="49">
        <v>0</v>
      </c>
      <c r="AO1130" s="58">
        <v>0</v>
      </c>
      <c r="AP1130" s="174">
        <v>0</v>
      </c>
      <c r="AQ1130" s="175">
        <v>0</v>
      </c>
      <c r="AR1130" s="175">
        <v>20</v>
      </c>
      <c r="AS1130" s="175">
        <v>109</v>
      </c>
      <c r="AT1130" s="175">
        <v>0</v>
      </c>
      <c r="AU1130" s="175">
        <v>0</v>
      </c>
      <c r="AV1130" s="175">
        <v>0</v>
      </c>
      <c r="AW1130" s="175">
        <v>0</v>
      </c>
      <c r="AX1130" s="83">
        <v>0</v>
      </c>
      <c r="AY1130" s="49">
        <v>0</v>
      </c>
      <c r="AZ1130" s="49">
        <v>0</v>
      </c>
      <c r="BA1130" s="49">
        <v>0</v>
      </c>
      <c r="BB1130" s="58">
        <v>0</v>
      </c>
      <c r="BC1130" s="42">
        <v>100</v>
      </c>
      <c r="BS1130" s="58"/>
      <c r="BT1130" s="83"/>
      <c r="CE1130" s="83"/>
      <c r="CK1130" s="58"/>
      <c r="CL1130" s="83"/>
      <c r="CO1130" s="58"/>
      <c r="CP1130" s="83"/>
      <c r="CR1130" s="58"/>
      <c r="CS1130" s="83"/>
      <c r="CY1130" s="83"/>
      <c r="DG1130" s="58"/>
      <c r="DH1130" s="83"/>
      <c r="DQ1130" s="83"/>
      <c r="EE1130" s="58"/>
      <c r="EF1130" s="83"/>
      <c r="EI1130" s="83"/>
      <c r="EK1130" s="58"/>
      <c r="EL1130" s="83"/>
      <c r="EO1130" s="58"/>
      <c r="EP1130" s="83"/>
      <c r="EQ1130" s="58"/>
      <c r="ER1130" s="83"/>
      <c r="ES1130" s="58"/>
      <c r="ET1130" s="83"/>
      <c r="EU1130" s="58"/>
    </row>
    <row r="1131" spans="1:151">
      <c r="A1131" s="42" t="s">
        <v>324</v>
      </c>
      <c r="B1131" s="173" t="s">
        <v>552</v>
      </c>
      <c r="C1131" s="173" t="s">
        <v>551</v>
      </c>
      <c r="D1131" s="83" t="s">
        <v>66</v>
      </c>
      <c r="F1131" s="49" t="s">
        <v>286</v>
      </c>
      <c r="G1131" s="71">
        <v>20.242999999999999</v>
      </c>
      <c r="I1131" s="49">
        <v>2136</v>
      </c>
      <c r="J1131" s="159">
        <v>1.6443418013856812</v>
      </c>
      <c r="K1131" s="49">
        <v>4</v>
      </c>
      <c r="L1131" s="49">
        <v>4</v>
      </c>
      <c r="M1131" s="83">
        <v>0</v>
      </c>
      <c r="N1131" s="49">
        <v>3</v>
      </c>
      <c r="O1131" s="49">
        <v>0</v>
      </c>
      <c r="P1131" s="49">
        <v>0</v>
      </c>
      <c r="Q1131" s="58">
        <v>0</v>
      </c>
      <c r="R1131" s="42">
        <v>3</v>
      </c>
      <c r="S1131" s="83" t="s">
        <v>283</v>
      </c>
      <c r="T1131" s="49">
        <v>14</v>
      </c>
      <c r="U1131" s="83">
        <v>1</v>
      </c>
      <c r="V1131" s="49">
        <v>4</v>
      </c>
      <c r="W1131" s="49">
        <v>2</v>
      </c>
      <c r="X1131" s="58"/>
      <c r="Y1131" s="83">
        <v>1</v>
      </c>
      <c r="AD1131" s="49">
        <v>9</v>
      </c>
      <c r="AE1131" s="49">
        <v>56</v>
      </c>
      <c r="AI1131" s="49">
        <v>52</v>
      </c>
      <c r="AJ1131" s="49">
        <v>0</v>
      </c>
      <c r="AK1131" s="83">
        <v>0</v>
      </c>
      <c r="AL1131" s="49">
        <v>0</v>
      </c>
      <c r="AM1131" s="49">
        <v>0</v>
      </c>
      <c r="AN1131" s="49">
        <v>0</v>
      </c>
      <c r="AO1131" s="58">
        <v>0</v>
      </c>
      <c r="AP1131" s="174">
        <v>0</v>
      </c>
      <c r="AQ1131" s="175">
        <v>0</v>
      </c>
      <c r="AR1131" s="175">
        <v>0</v>
      </c>
      <c r="AS1131" s="175">
        <v>0</v>
      </c>
      <c r="AT1131" s="175">
        <v>0</v>
      </c>
      <c r="AU1131" s="175">
        <v>0</v>
      </c>
      <c r="AV1131" s="175">
        <v>0</v>
      </c>
      <c r="AW1131" s="175">
        <v>0</v>
      </c>
      <c r="AX1131" s="83">
        <v>0</v>
      </c>
      <c r="AY1131" s="49">
        <v>0</v>
      </c>
      <c r="AZ1131" s="49">
        <v>0</v>
      </c>
      <c r="BA1131" s="49">
        <v>0</v>
      </c>
      <c r="BB1131" s="58">
        <v>0</v>
      </c>
      <c r="BC1131" s="42">
        <v>111</v>
      </c>
      <c r="BS1131" s="58"/>
      <c r="BT1131" s="83"/>
      <c r="CE1131" s="83"/>
      <c r="CK1131" s="58"/>
      <c r="CL1131" s="83">
        <v>56.8</v>
      </c>
      <c r="CO1131" s="58"/>
      <c r="CP1131" s="83"/>
      <c r="CR1131" s="58"/>
      <c r="CS1131" s="83"/>
      <c r="CY1131" s="83">
        <v>70.709999999999994</v>
      </c>
      <c r="CZ1131" s="49">
        <v>80.930000000000007</v>
      </c>
      <c r="DG1131" s="58"/>
      <c r="DH1131" s="83"/>
      <c r="DQ1131" s="83">
        <v>72.02</v>
      </c>
      <c r="EE1131" s="58"/>
      <c r="EF1131" s="83"/>
      <c r="EI1131" s="83"/>
      <c r="EK1131" s="58"/>
      <c r="EL1131" s="83"/>
      <c r="EO1131" s="58"/>
      <c r="EP1131" s="83"/>
      <c r="EQ1131" s="58"/>
      <c r="ER1131" s="83"/>
      <c r="ES1131" s="58"/>
      <c r="ET1131" s="83"/>
      <c r="EU1131" s="58"/>
    </row>
    <row r="1132" spans="1:151">
      <c r="A1132" s="42" t="s">
        <v>324</v>
      </c>
      <c r="B1132" s="173" t="s">
        <v>552</v>
      </c>
      <c r="C1132" s="173" t="s">
        <v>551</v>
      </c>
      <c r="D1132" s="83" t="s">
        <v>275</v>
      </c>
      <c r="F1132" s="49" t="s">
        <v>286</v>
      </c>
      <c r="G1132" s="71">
        <v>20.242999999999999</v>
      </c>
      <c r="I1132" s="49">
        <v>4991</v>
      </c>
      <c r="J1132" s="159">
        <v>1.0361220676769773</v>
      </c>
      <c r="K1132" s="49">
        <v>4</v>
      </c>
      <c r="L1132" s="49">
        <v>4</v>
      </c>
      <c r="M1132" s="83">
        <v>1</v>
      </c>
      <c r="N1132" s="49">
        <v>3</v>
      </c>
      <c r="O1132" s="49">
        <v>1</v>
      </c>
      <c r="P1132" s="49">
        <v>1</v>
      </c>
      <c r="Q1132" s="58">
        <v>0</v>
      </c>
      <c r="R1132" s="42">
        <v>6</v>
      </c>
      <c r="S1132" s="83">
        <v>1</v>
      </c>
      <c r="U1132" s="83">
        <v>3</v>
      </c>
      <c r="V1132" s="49">
        <v>4</v>
      </c>
      <c r="W1132" s="49">
        <v>3</v>
      </c>
      <c r="X1132" s="58">
        <v>3</v>
      </c>
      <c r="Y1132" s="83">
        <v>5</v>
      </c>
      <c r="Z1132" s="49">
        <v>8</v>
      </c>
      <c r="AA1132" s="49">
        <v>154</v>
      </c>
      <c r="AD1132" s="49">
        <v>13</v>
      </c>
      <c r="AE1132" s="49">
        <v>314</v>
      </c>
      <c r="AF1132" s="49">
        <v>19</v>
      </c>
      <c r="AG1132" s="49">
        <v>61</v>
      </c>
      <c r="AH1132" s="49">
        <v>129</v>
      </c>
      <c r="AI1132" s="49">
        <v>222</v>
      </c>
      <c r="AJ1132" s="49">
        <v>0</v>
      </c>
      <c r="AK1132" s="83">
        <v>0</v>
      </c>
      <c r="AL1132" s="49">
        <v>1</v>
      </c>
      <c r="AM1132" s="49">
        <v>0</v>
      </c>
      <c r="AN1132" s="49">
        <v>0</v>
      </c>
      <c r="AO1132" s="58">
        <v>0</v>
      </c>
      <c r="AP1132" s="174">
        <v>0</v>
      </c>
      <c r="AQ1132" s="175">
        <v>2658</v>
      </c>
      <c r="AR1132" s="175">
        <v>0</v>
      </c>
      <c r="AS1132" s="175">
        <v>0</v>
      </c>
      <c r="AT1132" s="175">
        <v>0</v>
      </c>
      <c r="AU1132" s="175">
        <v>0</v>
      </c>
      <c r="AV1132" s="175">
        <v>0</v>
      </c>
      <c r="AW1132" s="175">
        <v>0</v>
      </c>
      <c r="AX1132" s="83">
        <v>0</v>
      </c>
      <c r="AY1132" s="49">
        <v>0</v>
      </c>
      <c r="AZ1132" s="49">
        <v>0</v>
      </c>
      <c r="BA1132" s="49">
        <v>0</v>
      </c>
      <c r="BB1132" s="58">
        <v>0</v>
      </c>
      <c r="BC1132" s="42">
        <v>132</v>
      </c>
      <c r="BS1132" s="58"/>
      <c r="BT1132" s="83"/>
      <c r="CE1132" s="83"/>
      <c r="CK1132" s="58"/>
      <c r="CL1132" s="83"/>
      <c r="CO1132" s="58"/>
      <c r="CP1132" s="83"/>
      <c r="CR1132" s="58"/>
      <c r="CS1132" s="83"/>
      <c r="CY1132" s="83"/>
      <c r="DG1132" s="58"/>
      <c r="DH1132" s="83"/>
      <c r="DQ1132" s="83"/>
      <c r="EE1132" s="58"/>
      <c r="EF1132" s="83"/>
      <c r="EI1132" s="83"/>
      <c r="EK1132" s="58"/>
      <c r="EL1132" s="83"/>
      <c r="EO1132" s="58"/>
      <c r="EP1132" s="83"/>
      <c r="EQ1132" s="58"/>
      <c r="ER1132" s="83"/>
      <c r="ES1132" s="58"/>
      <c r="ET1132" s="83"/>
      <c r="EU1132" s="58"/>
    </row>
    <row r="1133" spans="1:151">
      <c r="A1133" s="42" t="s">
        <v>324</v>
      </c>
      <c r="B1133" s="173" t="s">
        <v>552</v>
      </c>
      <c r="C1133" s="173" t="s">
        <v>551</v>
      </c>
      <c r="D1133" s="83" t="s">
        <v>67</v>
      </c>
      <c r="F1133" s="49" t="s">
        <v>286</v>
      </c>
      <c r="G1133" s="71">
        <v>20.242999999999999</v>
      </c>
      <c r="I1133" s="49">
        <v>4896</v>
      </c>
      <c r="J1133" s="159">
        <v>6.0971357409713578</v>
      </c>
      <c r="K1133" s="49">
        <v>4</v>
      </c>
      <c r="L1133" s="49">
        <v>4</v>
      </c>
      <c r="M1133" s="83">
        <v>1</v>
      </c>
      <c r="N1133" s="49">
        <v>1</v>
      </c>
      <c r="O1133" s="49">
        <v>0</v>
      </c>
      <c r="P1133" s="49">
        <v>0</v>
      </c>
      <c r="Q1133" s="58">
        <v>0</v>
      </c>
      <c r="R1133" s="42">
        <v>2</v>
      </c>
      <c r="S1133" s="83" t="s">
        <v>283</v>
      </c>
      <c r="T1133" s="49">
        <v>10</v>
      </c>
      <c r="U1133" s="83">
        <v>1</v>
      </c>
      <c r="V1133" s="49">
        <v>4</v>
      </c>
      <c r="W1133" s="49">
        <v>2</v>
      </c>
      <c r="X1133" s="58"/>
      <c r="Y1133" s="83">
        <v>1</v>
      </c>
      <c r="AA1133" s="49">
        <v>6</v>
      </c>
      <c r="AD1133" s="49">
        <v>8</v>
      </c>
      <c r="AE1133" s="49">
        <v>43</v>
      </c>
      <c r="AF1133" s="49">
        <v>8</v>
      </c>
      <c r="AG1133" s="49">
        <v>176</v>
      </c>
      <c r="AJ1133" s="49">
        <v>0</v>
      </c>
      <c r="AK1133" s="83">
        <v>0</v>
      </c>
      <c r="AL1133" s="49">
        <v>0</v>
      </c>
      <c r="AM1133" s="49">
        <v>0</v>
      </c>
      <c r="AN1133" s="49">
        <v>0</v>
      </c>
      <c r="AO1133" s="58">
        <v>0</v>
      </c>
      <c r="AP1133" s="174">
        <v>0</v>
      </c>
      <c r="AQ1133" s="175">
        <v>0</v>
      </c>
      <c r="AR1133" s="175">
        <v>0</v>
      </c>
      <c r="AS1133" s="175">
        <v>0</v>
      </c>
      <c r="AT1133" s="175">
        <v>0</v>
      </c>
      <c r="AU1133" s="175">
        <v>0</v>
      </c>
      <c r="AV1133" s="175">
        <v>0</v>
      </c>
      <c r="AW1133" s="175">
        <v>0</v>
      </c>
      <c r="AX1133" s="83">
        <v>0</v>
      </c>
      <c r="AY1133" s="49">
        <v>0</v>
      </c>
      <c r="AZ1133" s="49">
        <v>0</v>
      </c>
      <c r="BA1133" s="49">
        <v>0</v>
      </c>
      <c r="BB1133" s="58">
        <v>0</v>
      </c>
      <c r="BC1133" s="42">
        <v>149</v>
      </c>
      <c r="BS1133" s="58"/>
      <c r="BT1133" s="83"/>
      <c r="CE1133" s="83"/>
      <c r="CK1133" s="58"/>
      <c r="CL1133" s="83"/>
      <c r="CO1133" s="58"/>
      <c r="CP1133" s="83"/>
      <c r="CR1133" s="58"/>
      <c r="CS1133" s="83"/>
      <c r="CY1133" s="83"/>
      <c r="DG1133" s="58"/>
      <c r="DH1133" s="83"/>
      <c r="DQ1133" s="83"/>
      <c r="EE1133" s="58"/>
      <c r="EF1133" s="83"/>
      <c r="EI1133" s="83"/>
      <c r="EK1133" s="58"/>
      <c r="EL1133" s="83"/>
      <c r="EO1133" s="58"/>
      <c r="EP1133" s="83"/>
      <c r="EQ1133" s="58"/>
      <c r="ER1133" s="83"/>
      <c r="ES1133" s="58"/>
      <c r="ET1133" s="83"/>
      <c r="EU1133" s="58"/>
    </row>
    <row r="1134" spans="1:151">
      <c r="A1134" s="42" t="s">
        <v>324</v>
      </c>
      <c r="B1134" s="173" t="s">
        <v>552</v>
      </c>
      <c r="C1134" s="173" t="s">
        <v>551</v>
      </c>
      <c r="D1134" s="83" t="s">
        <v>68</v>
      </c>
      <c r="F1134" s="49" t="s">
        <v>286</v>
      </c>
      <c r="G1134" s="71">
        <v>20.242999999999999</v>
      </c>
      <c r="I1134" s="49">
        <v>5942</v>
      </c>
      <c r="J1134" s="159">
        <v>1.3337822671156006</v>
      </c>
      <c r="K1134" s="49">
        <v>1</v>
      </c>
      <c r="L1134" s="49">
        <v>2</v>
      </c>
      <c r="M1134" s="83">
        <v>1</v>
      </c>
      <c r="N1134" s="49">
        <v>0</v>
      </c>
      <c r="O1134" s="49">
        <v>0</v>
      </c>
      <c r="P1134" s="49">
        <v>1</v>
      </c>
      <c r="Q1134" s="58">
        <v>0</v>
      </c>
      <c r="R1134" s="42">
        <v>2</v>
      </c>
      <c r="S1134" s="83" t="s">
        <v>283</v>
      </c>
      <c r="T1134" s="49">
        <v>9</v>
      </c>
      <c r="U1134" s="83">
        <v>1</v>
      </c>
      <c r="V1134" s="49">
        <v>2</v>
      </c>
      <c r="W1134" s="49">
        <v>1</v>
      </c>
      <c r="X1134" s="58">
        <v>2</v>
      </c>
      <c r="Y1134" s="83">
        <v>2</v>
      </c>
      <c r="Z1134" s="49">
        <v>7</v>
      </c>
      <c r="AA1134" s="49">
        <v>61</v>
      </c>
      <c r="AD1134" s="49">
        <v>15</v>
      </c>
      <c r="AE1134" s="49">
        <v>476</v>
      </c>
      <c r="AF1134" s="49">
        <v>16</v>
      </c>
      <c r="AG1134" s="49">
        <v>107</v>
      </c>
      <c r="AH1134" s="49">
        <v>39</v>
      </c>
      <c r="AI1134" s="49">
        <v>417</v>
      </c>
      <c r="AJ1134" s="49">
        <v>0</v>
      </c>
      <c r="AK1134" s="83">
        <v>0</v>
      </c>
      <c r="AL1134" s="49">
        <v>1</v>
      </c>
      <c r="AM1134" s="49">
        <v>0</v>
      </c>
      <c r="AN1134" s="49">
        <v>0</v>
      </c>
      <c r="AO1134" s="58">
        <v>0</v>
      </c>
      <c r="AP1134" s="174">
        <v>219</v>
      </c>
      <c r="AQ1134" s="175">
        <v>1236</v>
      </c>
      <c r="AR1134" s="175">
        <v>0</v>
      </c>
      <c r="AS1134" s="175">
        <v>0</v>
      </c>
      <c r="AT1134" s="175">
        <v>0</v>
      </c>
      <c r="AU1134" s="175">
        <v>0</v>
      </c>
      <c r="AV1134" s="175">
        <v>0</v>
      </c>
      <c r="AW1134" s="175">
        <v>0</v>
      </c>
      <c r="AX1134" s="83">
        <v>0</v>
      </c>
      <c r="AY1134" s="49">
        <v>0</v>
      </c>
      <c r="AZ1134" s="49">
        <v>0</v>
      </c>
      <c r="BA1134" s="49">
        <v>0</v>
      </c>
      <c r="BB1134" s="58">
        <v>0</v>
      </c>
      <c r="BC1134" s="42">
        <v>114</v>
      </c>
      <c r="BD1134" s="49">
        <v>77.44</v>
      </c>
      <c r="BS1134" s="58"/>
      <c r="BT1134" s="83">
        <v>81.760000000000005</v>
      </c>
      <c r="BU1134" s="49">
        <v>81.99</v>
      </c>
      <c r="BV1134" s="49">
        <v>79.989999999999995</v>
      </c>
      <c r="CE1134" s="83"/>
      <c r="CK1134" s="58"/>
      <c r="CL1134" s="83">
        <v>56.8</v>
      </c>
      <c r="CO1134" s="58"/>
      <c r="CP1134" s="83"/>
      <c r="CR1134" s="58"/>
      <c r="CS1134" s="83"/>
      <c r="CY1134" s="83"/>
      <c r="DG1134" s="58"/>
      <c r="DH1134" s="83"/>
      <c r="DQ1134" s="83"/>
      <c r="EE1134" s="58"/>
      <c r="EF1134" s="83"/>
      <c r="EI1134" s="83"/>
      <c r="EK1134" s="58"/>
      <c r="EL1134" s="83"/>
      <c r="EO1134" s="58"/>
      <c r="EP1134" s="83"/>
      <c r="EQ1134" s="58"/>
      <c r="ER1134" s="83"/>
      <c r="ES1134" s="58"/>
      <c r="ET1134" s="83"/>
      <c r="EU1134" s="58"/>
    </row>
    <row r="1135" spans="1:151">
      <c r="A1135" s="42" t="s">
        <v>324</v>
      </c>
      <c r="B1135" s="173" t="s">
        <v>552</v>
      </c>
      <c r="C1135" s="173" t="s">
        <v>551</v>
      </c>
      <c r="D1135" s="83" t="s">
        <v>69</v>
      </c>
      <c r="F1135" s="49" t="s">
        <v>286</v>
      </c>
      <c r="G1135" s="71">
        <v>20.242999999999999</v>
      </c>
      <c r="I1135" s="49">
        <v>4634</v>
      </c>
      <c r="J1135" s="159">
        <v>2.4714666666666667</v>
      </c>
      <c r="K1135" s="49">
        <v>1</v>
      </c>
      <c r="L1135" s="49">
        <v>2</v>
      </c>
      <c r="M1135" s="83">
        <v>0</v>
      </c>
      <c r="N1135" s="49">
        <v>3</v>
      </c>
      <c r="O1135" s="49">
        <v>1</v>
      </c>
      <c r="P1135" s="49">
        <v>1</v>
      </c>
      <c r="Q1135" s="58">
        <v>0</v>
      </c>
      <c r="R1135" s="42">
        <v>5</v>
      </c>
      <c r="S1135" s="83" t="s">
        <v>283</v>
      </c>
      <c r="T1135" s="49">
        <v>12</v>
      </c>
      <c r="U1135" s="83">
        <v>2</v>
      </c>
      <c r="V1135" s="49">
        <v>3</v>
      </c>
      <c r="W1135" s="49">
        <v>3</v>
      </c>
      <c r="X1135" s="58">
        <v>1</v>
      </c>
      <c r="Y1135" s="83">
        <v>1</v>
      </c>
      <c r="Z1135" s="49">
        <v>7</v>
      </c>
      <c r="AA1135" s="49">
        <v>35</v>
      </c>
      <c r="AD1135" s="49">
        <v>12</v>
      </c>
      <c r="AE1135" s="49">
        <v>103</v>
      </c>
      <c r="AF1135" s="49">
        <v>7</v>
      </c>
      <c r="AG1135" s="49">
        <v>269</v>
      </c>
      <c r="AH1135" s="49">
        <v>8</v>
      </c>
      <c r="AI1135" s="49">
        <v>474</v>
      </c>
      <c r="AJ1135" s="49">
        <v>0</v>
      </c>
      <c r="AK1135" s="83">
        <v>0</v>
      </c>
      <c r="AL1135" s="49">
        <v>1</v>
      </c>
      <c r="AM1135" s="49">
        <v>0</v>
      </c>
      <c r="AN1135" s="49">
        <v>0</v>
      </c>
      <c r="AO1135" s="58">
        <v>0</v>
      </c>
      <c r="AP1135" s="174">
        <v>1062</v>
      </c>
      <c r="AQ1135" s="175">
        <v>1917</v>
      </c>
      <c r="AR1135" s="175">
        <v>0</v>
      </c>
      <c r="AS1135" s="175">
        <v>0</v>
      </c>
      <c r="AT1135" s="175">
        <v>0</v>
      </c>
      <c r="AU1135" s="175">
        <v>0</v>
      </c>
      <c r="AV1135" s="175">
        <v>0</v>
      </c>
      <c r="AW1135" s="175">
        <v>0</v>
      </c>
      <c r="AX1135" s="83">
        <v>0</v>
      </c>
      <c r="AY1135" s="49">
        <v>0</v>
      </c>
      <c r="AZ1135" s="49">
        <v>0</v>
      </c>
      <c r="BA1135" s="49">
        <v>0</v>
      </c>
      <c r="BB1135" s="58">
        <v>0</v>
      </c>
      <c r="BC1135" s="42">
        <v>130</v>
      </c>
      <c r="BS1135" s="58"/>
      <c r="BT1135" s="83">
        <v>79.36</v>
      </c>
      <c r="CE1135" s="83">
        <v>79.790000000000006</v>
      </c>
      <c r="CK1135" s="58"/>
      <c r="CL1135" s="83">
        <v>71.33</v>
      </c>
      <c r="CO1135" s="58"/>
      <c r="CP1135" s="83"/>
      <c r="CR1135" s="58"/>
      <c r="CS1135" s="83"/>
      <c r="CY1135" s="83"/>
      <c r="DG1135" s="58"/>
      <c r="DH1135" s="83"/>
      <c r="DQ1135" s="83">
        <v>75.13</v>
      </c>
      <c r="EE1135" s="58"/>
      <c r="EF1135" s="83"/>
      <c r="EI1135" s="83"/>
      <c r="EK1135" s="58"/>
      <c r="EL1135" s="83"/>
      <c r="EO1135" s="58"/>
      <c r="EP1135" s="83"/>
      <c r="EQ1135" s="58"/>
      <c r="ER1135" s="83"/>
      <c r="ES1135" s="58"/>
      <c r="ET1135" s="83"/>
      <c r="EU1135" s="58"/>
    </row>
    <row r="1136" spans="1:151">
      <c r="A1136" s="42" t="s">
        <v>324</v>
      </c>
      <c r="B1136" s="173" t="s">
        <v>552</v>
      </c>
      <c r="C1136" s="173" t="s">
        <v>551</v>
      </c>
      <c r="D1136" s="83" t="s">
        <v>276</v>
      </c>
      <c r="F1136" s="49" t="s">
        <v>286</v>
      </c>
      <c r="G1136" s="71">
        <v>20.242999999999999</v>
      </c>
      <c r="I1136" s="49">
        <v>1105</v>
      </c>
      <c r="J1136" s="159">
        <v>1.3393939393939394</v>
      </c>
      <c r="K1136" s="49">
        <v>4</v>
      </c>
      <c r="L1136" s="49">
        <v>3</v>
      </c>
      <c r="M1136" s="83">
        <v>0</v>
      </c>
      <c r="N1136" s="49">
        <v>1</v>
      </c>
      <c r="O1136" s="49">
        <v>0</v>
      </c>
      <c r="P1136" s="49">
        <v>0</v>
      </c>
      <c r="Q1136" s="58">
        <v>0</v>
      </c>
      <c r="R1136" s="42">
        <v>1</v>
      </c>
      <c r="S1136" s="83" t="s">
        <v>283</v>
      </c>
      <c r="T1136" s="49">
        <v>10</v>
      </c>
      <c r="U1136" s="83">
        <v>1</v>
      </c>
      <c r="V1136" s="49">
        <v>4</v>
      </c>
      <c r="W1136" s="49">
        <v>2</v>
      </c>
      <c r="X1136" s="58"/>
      <c r="Y1136" s="83">
        <v>0</v>
      </c>
      <c r="AJ1136" s="49">
        <v>0</v>
      </c>
      <c r="AK1136" s="83">
        <v>0</v>
      </c>
      <c r="AL1136" s="49">
        <v>0</v>
      </c>
      <c r="AM1136" s="49">
        <v>0</v>
      </c>
      <c r="AN1136" s="49">
        <v>0</v>
      </c>
      <c r="AO1136" s="58">
        <v>0</v>
      </c>
      <c r="AP1136" s="174">
        <v>0</v>
      </c>
      <c r="AQ1136" s="175">
        <v>0</v>
      </c>
      <c r="AR1136" s="175">
        <v>0</v>
      </c>
      <c r="AS1136" s="175">
        <v>0</v>
      </c>
      <c r="AT1136" s="175">
        <v>0</v>
      </c>
      <c r="AU1136" s="175">
        <v>0</v>
      </c>
      <c r="AV1136" s="175">
        <v>0</v>
      </c>
      <c r="AW1136" s="175">
        <v>0</v>
      </c>
      <c r="AX1136" s="83">
        <v>0</v>
      </c>
      <c r="AY1136" s="49">
        <v>0</v>
      </c>
      <c r="AZ1136" s="49">
        <v>0</v>
      </c>
      <c r="BA1136" s="49">
        <v>0</v>
      </c>
      <c r="BB1136" s="58">
        <v>0</v>
      </c>
      <c r="BC1136" s="42">
        <v>116</v>
      </c>
      <c r="BD1136" s="49">
        <v>76.61</v>
      </c>
      <c r="BS1136" s="58"/>
      <c r="BT1136" s="83">
        <v>77.900000000000006</v>
      </c>
      <c r="CE1136" s="83"/>
      <c r="CK1136" s="58"/>
      <c r="CL1136" s="83">
        <v>54.03</v>
      </c>
      <c r="CO1136" s="58"/>
      <c r="CP1136" s="83"/>
      <c r="CR1136" s="58"/>
      <c r="CS1136" s="83"/>
      <c r="CY1136" s="83"/>
      <c r="DG1136" s="58"/>
      <c r="DH1136" s="83"/>
      <c r="DQ1136" s="83"/>
      <c r="EE1136" s="58"/>
      <c r="EF1136" s="83"/>
      <c r="EI1136" s="83"/>
      <c r="EK1136" s="58"/>
      <c r="EL1136" s="83"/>
      <c r="EO1136" s="58"/>
      <c r="EP1136" s="83"/>
      <c r="EQ1136" s="58"/>
      <c r="ER1136" s="83"/>
      <c r="ES1136" s="58"/>
      <c r="ET1136" s="83"/>
      <c r="EU1136" s="58"/>
    </row>
    <row r="1137" spans="1:151">
      <c r="A1137" s="42" t="s">
        <v>324</v>
      </c>
      <c r="B1137" s="173" t="s">
        <v>552</v>
      </c>
      <c r="C1137" s="173" t="s">
        <v>551</v>
      </c>
      <c r="D1137" s="83" t="s">
        <v>76</v>
      </c>
      <c r="F1137" s="49" t="s">
        <v>286</v>
      </c>
      <c r="G1137" s="71">
        <v>20.242999999999999</v>
      </c>
      <c r="I1137" s="49">
        <v>1753</v>
      </c>
      <c r="J1137" s="159">
        <v>2.7136222910216716</v>
      </c>
      <c r="K1137" s="49">
        <v>1</v>
      </c>
      <c r="L1137" s="49">
        <v>2</v>
      </c>
      <c r="M1137" s="83">
        <v>0</v>
      </c>
      <c r="N1137" s="49">
        <v>1</v>
      </c>
      <c r="O1137" s="49">
        <v>1</v>
      </c>
      <c r="P1137" s="49">
        <v>1</v>
      </c>
      <c r="Q1137" s="58">
        <v>0</v>
      </c>
      <c r="R1137" s="42">
        <v>3</v>
      </c>
      <c r="S1137" s="83">
        <v>1</v>
      </c>
      <c r="U1137" s="83">
        <v>1</v>
      </c>
      <c r="V1137" s="49">
        <v>2</v>
      </c>
      <c r="W1137" s="49">
        <v>2</v>
      </c>
      <c r="X1137" s="58"/>
      <c r="Y1137" s="83">
        <v>1</v>
      </c>
      <c r="Z1137" s="49">
        <v>11</v>
      </c>
      <c r="AA1137" s="49">
        <v>24</v>
      </c>
      <c r="AD1137" s="49">
        <v>6</v>
      </c>
      <c r="AE1137" s="49">
        <v>29</v>
      </c>
      <c r="AJ1137" s="49">
        <v>0</v>
      </c>
      <c r="AK1137" s="83">
        <v>0</v>
      </c>
      <c r="AL1137" s="49">
        <v>1</v>
      </c>
      <c r="AM1137" s="49">
        <v>0</v>
      </c>
      <c r="AN1137" s="49">
        <v>0</v>
      </c>
      <c r="AO1137" s="58">
        <v>0</v>
      </c>
      <c r="AP1137" s="174"/>
      <c r="AQ1137" s="175"/>
      <c r="AR1137" s="175">
        <v>0</v>
      </c>
      <c r="AS1137" s="175">
        <v>0</v>
      </c>
      <c r="AT1137" s="175">
        <v>0</v>
      </c>
      <c r="AU1137" s="175">
        <v>0</v>
      </c>
      <c r="AV1137" s="175">
        <v>0</v>
      </c>
      <c r="AW1137" s="175">
        <v>0</v>
      </c>
      <c r="AX1137" s="83">
        <v>0</v>
      </c>
      <c r="AY1137" s="49">
        <v>1</v>
      </c>
      <c r="AZ1137" s="49">
        <v>0</v>
      </c>
      <c r="BA1137" s="49">
        <v>0</v>
      </c>
      <c r="BB1137" s="58">
        <v>1</v>
      </c>
      <c r="BC1137" s="42">
        <v>130</v>
      </c>
      <c r="BS1137" s="58"/>
      <c r="BT1137" s="83"/>
      <c r="CE1137" s="83"/>
      <c r="CK1137" s="58"/>
      <c r="CL1137" s="83"/>
      <c r="CO1137" s="58"/>
      <c r="CP1137" s="83"/>
      <c r="CR1137" s="58"/>
      <c r="CS1137" s="83"/>
      <c r="CY1137" s="83"/>
      <c r="DG1137" s="58"/>
      <c r="DH1137" s="83"/>
      <c r="DQ1137" s="83"/>
      <c r="EE1137" s="58"/>
      <c r="EF1137" s="83"/>
      <c r="EI1137" s="83"/>
      <c r="EK1137" s="58"/>
      <c r="EL1137" s="83"/>
      <c r="EO1137" s="58"/>
      <c r="EP1137" s="83"/>
      <c r="EQ1137" s="58"/>
      <c r="ER1137" s="83"/>
      <c r="ES1137" s="58"/>
      <c r="ET1137" s="83"/>
      <c r="EU1137" s="58"/>
    </row>
    <row r="1138" spans="1:151">
      <c r="A1138" s="42" t="s">
        <v>324</v>
      </c>
      <c r="B1138" s="173" t="s">
        <v>552</v>
      </c>
      <c r="C1138" s="173" t="s">
        <v>551</v>
      </c>
      <c r="D1138" s="83" t="s">
        <v>81</v>
      </c>
      <c r="F1138" s="49" t="s">
        <v>286</v>
      </c>
      <c r="G1138" s="71">
        <v>20.242999999999999</v>
      </c>
      <c r="I1138" s="49">
        <v>1222</v>
      </c>
      <c r="J1138" s="159">
        <v>1.0217391304347827</v>
      </c>
      <c r="K1138" s="49">
        <v>1</v>
      </c>
      <c r="L1138" s="49">
        <v>3</v>
      </c>
      <c r="M1138" s="83">
        <v>0</v>
      </c>
      <c r="N1138" s="49">
        <v>0</v>
      </c>
      <c r="O1138" s="49">
        <v>1</v>
      </c>
      <c r="P1138" s="49">
        <v>1</v>
      </c>
      <c r="Q1138" s="58">
        <v>0</v>
      </c>
      <c r="R1138" s="42">
        <v>2</v>
      </c>
      <c r="S1138" s="83" t="s">
        <v>283</v>
      </c>
      <c r="T1138" s="49">
        <v>18</v>
      </c>
      <c r="U1138" s="83">
        <v>2</v>
      </c>
      <c r="V1138" s="49">
        <v>2</v>
      </c>
      <c r="W1138" s="49">
        <v>3</v>
      </c>
      <c r="X1138" s="58">
        <v>1</v>
      </c>
      <c r="Y1138" s="83">
        <v>0</v>
      </c>
      <c r="AJ1138" s="49">
        <v>0</v>
      </c>
      <c r="AK1138" s="83">
        <v>0</v>
      </c>
      <c r="AL1138" s="49">
        <v>0</v>
      </c>
      <c r="AM1138" s="49">
        <v>1</v>
      </c>
      <c r="AN1138" s="49">
        <v>0</v>
      </c>
      <c r="AO1138" s="58">
        <v>0</v>
      </c>
      <c r="AP1138" s="174">
        <v>0</v>
      </c>
      <c r="AQ1138" s="175">
        <v>0</v>
      </c>
      <c r="AR1138" s="175">
        <v>70</v>
      </c>
      <c r="AS1138" s="175">
        <v>114</v>
      </c>
      <c r="AT1138" s="175">
        <v>0</v>
      </c>
      <c r="AU1138" s="175">
        <v>0</v>
      </c>
      <c r="AV1138" s="175">
        <v>0</v>
      </c>
      <c r="AW1138" s="175">
        <v>0</v>
      </c>
      <c r="AX1138" s="83">
        <v>0</v>
      </c>
      <c r="AY1138" s="49">
        <v>0</v>
      </c>
      <c r="AZ1138" s="49">
        <v>0</v>
      </c>
      <c r="BA1138" s="49">
        <v>0</v>
      </c>
      <c r="BB1138" s="58">
        <v>0</v>
      </c>
      <c r="BC1138" s="42">
        <v>111</v>
      </c>
      <c r="BS1138" s="58"/>
      <c r="BT1138" s="83"/>
      <c r="CE1138" s="83"/>
      <c r="CK1138" s="58"/>
      <c r="CL1138" s="83"/>
      <c r="CO1138" s="58"/>
      <c r="CP1138" s="83"/>
      <c r="CR1138" s="58"/>
      <c r="CS1138" s="83"/>
      <c r="CY1138" s="83"/>
      <c r="DG1138" s="58"/>
      <c r="DH1138" s="83"/>
      <c r="DQ1138" s="83"/>
      <c r="EE1138" s="58"/>
      <c r="EF1138" s="83"/>
      <c r="EI1138" s="83"/>
      <c r="EK1138" s="58"/>
      <c r="EL1138" s="83"/>
      <c r="EO1138" s="58"/>
      <c r="EP1138" s="83"/>
      <c r="EQ1138" s="58"/>
      <c r="ER1138" s="83"/>
      <c r="ES1138" s="58"/>
      <c r="ET1138" s="83"/>
      <c r="EU1138" s="58"/>
    </row>
    <row r="1139" spans="1:151">
      <c r="A1139" s="42" t="s">
        <v>324</v>
      </c>
      <c r="B1139" s="173" t="s">
        <v>552</v>
      </c>
      <c r="C1139" s="173" t="s">
        <v>551</v>
      </c>
      <c r="D1139" s="83" t="s">
        <v>87</v>
      </c>
      <c r="F1139" s="49" t="s">
        <v>286</v>
      </c>
      <c r="G1139" s="71">
        <v>20.242999999999999</v>
      </c>
      <c r="I1139" s="49">
        <v>5418</v>
      </c>
      <c r="J1139" s="159">
        <v>1.2341685649202734</v>
      </c>
      <c r="K1139" s="49">
        <v>4</v>
      </c>
      <c r="L1139" s="49">
        <v>3</v>
      </c>
      <c r="M1139" s="83">
        <v>0</v>
      </c>
      <c r="N1139" s="49">
        <v>0</v>
      </c>
      <c r="O1139" s="49">
        <v>1</v>
      </c>
      <c r="P1139" s="49">
        <v>1</v>
      </c>
      <c r="Q1139" s="58">
        <v>0</v>
      </c>
      <c r="R1139" s="42">
        <v>2</v>
      </c>
      <c r="S1139" s="83" t="s">
        <v>283</v>
      </c>
      <c r="T1139" s="49">
        <v>13</v>
      </c>
      <c r="U1139" s="83">
        <v>1</v>
      </c>
      <c r="V1139" s="49">
        <v>3</v>
      </c>
      <c r="W1139" s="49">
        <v>2</v>
      </c>
      <c r="X1139" s="58"/>
      <c r="Y1139" s="83">
        <v>0</v>
      </c>
      <c r="AJ1139" s="49">
        <v>0</v>
      </c>
      <c r="AK1139" s="83">
        <v>0</v>
      </c>
      <c r="AL1139" s="49">
        <v>0</v>
      </c>
      <c r="AM1139" s="49">
        <v>0</v>
      </c>
      <c r="AN1139" s="49">
        <v>0</v>
      </c>
      <c r="AO1139" s="58">
        <v>0</v>
      </c>
      <c r="AP1139" s="174">
        <v>0</v>
      </c>
      <c r="AQ1139" s="175">
        <v>0</v>
      </c>
      <c r="AR1139" s="175">
        <v>0</v>
      </c>
      <c r="AS1139" s="175">
        <v>0</v>
      </c>
      <c r="AT1139" s="175">
        <v>0</v>
      </c>
      <c r="AU1139" s="175">
        <v>0</v>
      </c>
      <c r="AV1139" s="175">
        <v>0</v>
      </c>
      <c r="AW1139" s="175">
        <v>0</v>
      </c>
      <c r="AX1139" s="83">
        <v>0</v>
      </c>
      <c r="AY1139" s="49">
        <v>1</v>
      </c>
      <c r="AZ1139" s="49">
        <v>0</v>
      </c>
      <c r="BA1139" s="49">
        <v>0</v>
      </c>
      <c r="BB1139" s="58">
        <v>4</v>
      </c>
      <c r="BC1139" s="42">
        <v>155</v>
      </c>
      <c r="BS1139" s="58"/>
      <c r="BT1139" s="83"/>
      <c r="CE1139" s="83"/>
      <c r="CK1139" s="58"/>
      <c r="CL1139" s="83"/>
      <c r="CO1139" s="58"/>
      <c r="CP1139" s="83"/>
      <c r="CR1139" s="58"/>
      <c r="CS1139" s="83"/>
      <c r="CY1139" s="83"/>
      <c r="DG1139" s="58"/>
      <c r="DH1139" s="83"/>
      <c r="DQ1139" s="83"/>
      <c r="EE1139" s="58"/>
      <c r="EF1139" s="83"/>
      <c r="EI1139" s="83"/>
      <c r="EK1139" s="58"/>
      <c r="EL1139" s="83"/>
      <c r="EO1139" s="58"/>
      <c r="EP1139" s="83"/>
      <c r="EQ1139" s="58"/>
      <c r="ER1139" s="83"/>
      <c r="ES1139" s="58"/>
      <c r="ET1139" s="83"/>
      <c r="EU1139" s="58"/>
    </row>
    <row r="1140" spans="1:151" ht="17" thickBot="1">
      <c r="A1140" s="55" t="s">
        <v>324</v>
      </c>
      <c r="B1140" s="173" t="s">
        <v>552</v>
      </c>
      <c r="C1140" s="173" t="s">
        <v>551</v>
      </c>
      <c r="D1140" s="83" t="s">
        <v>88</v>
      </c>
      <c r="F1140" s="49" t="s">
        <v>286</v>
      </c>
      <c r="G1140" s="71">
        <v>20.242999999999999</v>
      </c>
      <c r="I1140" s="49">
        <v>3758</v>
      </c>
      <c r="J1140" s="159">
        <v>2.8362264150943397</v>
      </c>
      <c r="K1140" s="49">
        <v>1</v>
      </c>
      <c r="L1140" s="49">
        <v>3</v>
      </c>
      <c r="M1140" s="83">
        <v>0</v>
      </c>
      <c r="N1140" s="49">
        <v>1</v>
      </c>
      <c r="O1140" s="49">
        <v>0</v>
      </c>
      <c r="P1140" s="49">
        <v>1</v>
      </c>
      <c r="Q1140" s="58">
        <v>0</v>
      </c>
      <c r="R1140" s="42">
        <v>2</v>
      </c>
      <c r="S1140" s="83" t="s">
        <v>283</v>
      </c>
      <c r="T1140" s="49">
        <v>10</v>
      </c>
      <c r="U1140" s="83">
        <v>1</v>
      </c>
      <c r="V1140" s="49">
        <v>2</v>
      </c>
      <c r="W1140" s="49">
        <v>2</v>
      </c>
      <c r="X1140" s="58"/>
      <c r="Y1140" s="83">
        <v>5</v>
      </c>
      <c r="Z1140" s="49">
        <v>7</v>
      </c>
      <c r="AA1140" s="49">
        <v>11</v>
      </c>
      <c r="AF1140" s="49">
        <v>183</v>
      </c>
      <c r="AG1140" s="49">
        <v>261</v>
      </c>
      <c r="AH1140" s="49">
        <v>11</v>
      </c>
      <c r="AI1140" s="49">
        <v>1188</v>
      </c>
      <c r="AJ1140" s="49">
        <v>0</v>
      </c>
      <c r="AK1140" s="83">
        <v>0</v>
      </c>
      <c r="AL1140" s="49">
        <v>0</v>
      </c>
      <c r="AM1140" s="49">
        <v>0</v>
      </c>
      <c r="AN1140" s="49">
        <v>0</v>
      </c>
      <c r="AO1140" s="58">
        <v>0</v>
      </c>
      <c r="AP1140" s="174">
        <v>0</v>
      </c>
      <c r="AQ1140" s="175">
        <v>0</v>
      </c>
      <c r="AR1140" s="175">
        <v>0</v>
      </c>
      <c r="AS1140" s="175">
        <v>0</v>
      </c>
      <c r="AT1140" s="175">
        <v>0</v>
      </c>
      <c r="AU1140" s="175">
        <v>0</v>
      </c>
      <c r="AV1140" s="175">
        <v>0</v>
      </c>
      <c r="AW1140" s="175">
        <v>0</v>
      </c>
      <c r="AX1140" s="83">
        <v>0</v>
      </c>
      <c r="AY1140" s="49">
        <v>0</v>
      </c>
      <c r="AZ1140" s="49">
        <v>0</v>
      </c>
      <c r="BA1140" s="49">
        <v>0</v>
      </c>
      <c r="BB1140" s="58">
        <v>0</v>
      </c>
      <c r="BC1140" s="42">
        <v>11</v>
      </c>
      <c r="BS1140" s="58"/>
      <c r="BT1140" s="83"/>
      <c r="CE1140" s="83"/>
      <c r="CK1140" s="58"/>
      <c r="CL1140" s="83"/>
      <c r="CO1140" s="58"/>
      <c r="CP1140" s="83"/>
      <c r="CR1140" s="58"/>
      <c r="CS1140" s="83"/>
      <c r="CY1140" s="83"/>
      <c r="DG1140" s="58"/>
      <c r="DH1140" s="83"/>
      <c r="DQ1140" s="83"/>
      <c r="EE1140" s="58"/>
      <c r="EF1140" s="83"/>
      <c r="EI1140" s="83"/>
      <c r="EK1140" s="58"/>
      <c r="EL1140" s="83"/>
      <c r="EO1140" s="58"/>
      <c r="EP1140" s="83"/>
      <c r="EQ1140" s="58"/>
      <c r="ER1140" s="83"/>
      <c r="ES1140" s="58"/>
      <c r="ET1140" s="83"/>
      <c r="EU1140" s="58"/>
    </row>
    <row r="1141" spans="1:151">
      <c r="A1141" s="83" t="s">
        <v>324</v>
      </c>
      <c r="B1141" s="7" t="s">
        <v>553</v>
      </c>
      <c r="C1141" s="7" t="s">
        <v>554</v>
      </c>
      <c r="D1141" s="147" t="s">
        <v>132</v>
      </c>
      <c r="E1141" s="148"/>
      <c r="F1141" s="148" t="s">
        <v>287</v>
      </c>
      <c r="G1141" s="78">
        <v>20.454999999999998</v>
      </c>
      <c r="H1141" s="148"/>
      <c r="I1141" s="148">
        <v>773</v>
      </c>
      <c r="J1141" s="158">
        <v>1.584016393442623</v>
      </c>
      <c r="K1141" s="148">
        <v>2</v>
      </c>
      <c r="L1141" s="148">
        <v>3</v>
      </c>
      <c r="M1141" s="147">
        <v>1</v>
      </c>
      <c r="N1141" s="148"/>
      <c r="O1141" s="148">
        <v>1</v>
      </c>
      <c r="P1141" s="148">
        <v>0</v>
      </c>
      <c r="Q1141" s="149">
        <v>0</v>
      </c>
      <c r="R1141" s="87">
        <v>2</v>
      </c>
      <c r="S1141" s="147" t="s">
        <v>283</v>
      </c>
      <c r="T1141" s="148">
        <v>2</v>
      </c>
      <c r="U1141" s="147">
        <v>2</v>
      </c>
      <c r="V1141" s="148">
        <v>1</v>
      </c>
      <c r="W1141" s="148">
        <v>1</v>
      </c>
      <c r="X1141" s="149">
        <v>3</v>
      </c>
      <c r="Y1141" s="147">
        <v>6</v>
      </c>
      <c r="Z1141" s="148"/>
      <c r="AA1141" s="148"/>
      <c r="AB1141" s="148"/>
      <c r="AC1141" s="148"/>
      <c r="AD1141" s="148"/>
      <c r="AE1141" s="148">
        <v>64</v>
      </c>
      <c r="AF1141" s="148"/>
      <c r="AG1141" s="148"/>
      <c r="AH1141" s="148">
        <v>40</v>
      </c>
      <c r="AI1141" s="148">
        <v>320</v>
      </c>
      <c r="AJ1141" s="148">
        <v>0</v>
      </c>
      <c r="AK1141" s="147">
        <v>0</v>
      </c>
      <c r="AL1141" s="148">
        <v>0</v>
      </c>
      <c r="AM1141" s="148">
        <v>1</v>
      </c>
      <c r="AN1141" s="148">
        <v>0</v>
      </c>
      <c r="AO1141" s="149">
        <v>0</v>
      </c>
      <c r="AP1141" s="169">
        <v>0</v>
      </c>
      <c r="AQ1141" s="170">
        <v>0</v>
      </c>
      <c r="AR1141" s="170">
        <v>131</v>
      </c>
      <c r="AS1141" s="170">
        <v>385</v>
      </c>
      <c r="AT1141" s="170">
        <v>0</v>
      </c>
      <c r="AU1141" s="170">
        <v>0</v>
      </c>
      <c r="AV1141" s="170">
        <v>0</v>
      </c>
      <c r="AW1141" s="170">
        <v>0</v>
      </c>
      <c r="AX1141" s="147">
        <v>0</v>
      </c>
      <c r="AY1141" s="148">
        <v>1</v>
      </c>
      <c r="AZ1141" s="148">
        <v>0</v>
      </c>
      <c r="BA1141" s="148">
        <v>0</v>
      </c>
      <c r="BB1141" s="149">
        <v>1</v>
      </c>
      <c r="BC1141" s="87">
        <v>71</v>
      </c>
      <c r="BD1141" s="148">
        <v>80.03</v>
      </c>
      <c r="BE1141" s="148"/>
      <c r="BF1141" s="148"/>
      <c r="BG1141" s="148"/>
      <c r="BH1141" s="148"/>
      <c r="BI1141" s="148"/>
      <c r="BJ1141" s="148"/>
      <c r="BK1141" s="148"/>
      <c r="BL1141" s="148"/>
      <c r="BM1141" s="148"/>
      <c r="BN1141" s="148"/>
      <c r="BO1141" s="148"/>
      <c r="BP1141" s="148"/>
      <c r="BQ1141" s="148"/>
      <c r="BR1141" s="148"/>
      <c r="BS1141" s="149"/>
      <c r="BT1141" s="147">
        <v>66.47</v>
      </c>
      <c r="BU1141" s="158">
        <v>68.11</v>
      </c>
      <c r="BV1141" s="148">
        <v>67.83</v>
      </c>
      <c r="BW1141" s="148"/>
      <c r="BX1141" s="148"/>
      <c r="BY1141" s="148"/>
      <c r="BZ1141" s="148"/>
      <c r="CA1141" s="148"/>
      <c r="CB1141" s="148"/>
      <c r="CC1141" s="148"/>
      <c r="CD1141" s="148"/>
      <c r="CE1141" s="147">
        <v>64.760000000000005</v>
      </c>
      <c r="CF1141" s="148"/>
      <c r="CG1141" s="148"/>
      <c r="CH1141" s="148"/>
      <c r="CI1141" s="148"/>
      <c r="CJ1141" s="148"/>
      <c r="CK1141" s="149"/>
      <c r="CL1141" s="147"/>
      <c r="CM1141" s="148"/>
      <c r="CN1141" s="148"/>
      <c r="CO1141" s="149"/>
      <c r="CP1141" s="147"/>
      <c r="CQ1141" s="148"/>
      <c r="CR1141" s="149"/>
      <c r="CS1141" s="147"/>
      <c r="CT1141" s="148"/>
      <c r="CU1141" s="148"/>
      <c r="CV1141" s="148"/>
      <c r="CW1141" s="148"/>
      <c r="CX1141" s="148"/>
      <c r="CY1141" s="147"/>
      <c r="CZ1141" s="148"/>
      <c r="DA1141" s="148"/>
      <c r="DB1141" s="148"/>
      <c r="DC1141" s="148"/>
      <c r="DD1141" s="148"/>
      <c r="DE1141" s="148"/>
      <c r="DF1141" s="148"/>
      <c r="DG1141" s="149"/>
      <c r="DH1141" s="147"/>
      <c r="DI1141" s="148"/>
      <c r="DJ1141" s="148"/>
      <c r="DK1141" s="148"/>
      <c r="DL1141" s="148"/>
      <c r="DM1141" s="148"/>
      <c r="DN1141" s="148"/>
      <c r="DO1141" s="148"/>
      <c r="DP1141" s="148"/>
      <c r="DQ1141" s="147"/>
      <c r="DR1141" s="148"/>
      <c r="DS1141" s="148"/>
      <c r="DT1141" s="148"/>
      <c r="DU1141" s="148"/>
      <c r="DV1141" s="148"/>
      <c r="DW1141" s="148"/>
      <c r="DX1141" s="148"/>
      <c r="DY1141" s="148"/>
      <c r="DZ1141" s="148"/>
      <c r="EA1141" s="148"/>
      <c r="EB1141" s="148"/>
      <c r="EC1141" s="148"/>
      <c r="ED1141" s="148"/>
      <c r="EE1141" s="149"/>
      <c r="EF1141" s="147"/>
      <c r="EG1141" s="148"/>
      <c r="EH1141" s="148"/>
      <c r="EI1141" s="147"/>
      <c r="EJ1141" s="148"/>
      <c r="EK1141" s="149"/>
      <c r="EL1141" s="147"/>
      <c r="EM1141" s="148"/>
      <c r="EN1141" s="148"/>
      <c r="EO1141" s="149"/>
      <c r="EP1141" s="147"/>
      <c r="EQ1141" s="149"/>
      <c r="ER1141" s="147"/>
      <c r="ES1141" s="149"/>
      <c r="ET1141" s="147"/>
      <c r="EU1141" s="149"/>
    </row>
    <row r="1142" spans="1:151">
      <c r="A1142" s="83" t="s">
        <v>324</v>
      </c>
      <c r="B1142" s="173" t="s">
        <v>553</v>
      </c>
      <c r="C1142" s="173" t="s">
        <v>554</v>
      </c>
      <c r="D1142" s="83" t="s">
        <v>167</v>
      </c>
      <c r="F1142" s="49" t="s">
        <v>287</v>
      </c>
      <c r="G1142" s="70">
        <v>20.454999999999998</v>
      </c>
      <c r="I1142" s="49">
        <v>439</v>
      </c>
      <c r="J1142" s="159">
        <v>3.6583333333333332</v>
      </c>
      <c r="K1142" s="49">
        <v>2</v>
      </c>
      <c r="L1142" s="49">
        <v>3</v>
      </c>
      <c r="M1142" s="83">
        <v>1</v>
      </c>
      <c r="N1142" s="49">
        <v>0</v>
      </c>
      <c r="O1142" s="49">
        <v>0</v>
      </c>
      <c r="P1142" s="49">
        <v>1</v>
      </c>
      <c r="Q1142" s="58">
        <v>0</v>
      </c>
      <c r="R1142" s="42">
        <v>2</v>
      </c>
      <c r="S1142" s="83" t="s">
        <v>283</v>
      </c>
      <c r="T1142" s="49">
        <v>1</v>
      </c>
      <c r="U1142" s="83">
        <v>0</v>
      </c>
      <c r="V1142" s="49">
        <v>0</v>
      </c>
      <c r="W1142" s="49">
        <v>0</v>
      </c>
      <c r="X1142" s="58"/>
      <c r="Y1142" s="83">
        <v>15</v>
      </c>
      <c r="AD1142" s="49">
        <v>3</v>
      </c>
      <c r="AE1142" s="49">
        <v>35</v>
      </c>
      <c r="AH1142" s="49">
        <v>5</v>
      </c>
      <c r="AI1142" s="49">
        <v>280</v>
      </c>
      <c r="AJ1142" s="49">
        <v>0</v>
      </c>
      <c r="AK1142" s="83">
        <v>0</v>
      </c>
      <c r="AL1142" s="49">
        <v>0</v>
      </c>
      <c r="AM1142" s="49">
        <v>1</v>
      </c>
      <c r="AN1142" s="49">
        <v>0</v>
      </c>
      <c r="AO1142" s="58">
        <v>0</v>
      </c>
      <c r="AP1142" s="174">
        <v>0</v>
      </c>
      <c r="AQ1142" s="175">
        <v>0</v>
      </c>
      <c r="AR1142" s="175">
        <v>0</v>
      </c>
      <c r="AS1142" s="175">
        <v>242</v>
      </c>
      <c r="AT1142" s="175">
        <v>0</v>
      </c>
      <c r="AU1142" s="175">
        <v>0</v>
      </c>
      <c r="AV1142" s="175">
        <v>0</v>
      </c>
      <c r="AW1142" s="175">
        <v>0</v>
      </c>
      <c r="AX1142" s="83">
        <v>0</v>
      </c>
      <c r="AY1142" s="49">
        <v>0</v>
      </c>
      <c r="AZ1142" s="49">
        <v>0</v>
      </c>
      <c r="BA1142" s="49">
        <v>0</v>
      </c>
      <c r="BB1142" s="58">
        <v>0</v>
      </c>
      <c r="BC1142" s="42">
        <v>56</v>
      </c>
      <c r="BS1142" s="58"/>
      <c r="BT1142" s="83"/>
      <c r="CE1142" s="83"/>
      <c r="CK1142" s="58"/>
      <c r="CL1142" s="83"/>
      <c r="CO1142" s="58"/>
      <c r="CP1142" s="83"/>
      <c r="CR1142" s="58"/>
      <c r="CS1142" s="83"/>
      <c r="CY1142" s="83"/>
      <c r="DG1142" s="58"/>
      <c r="DH1142" s="83"/>
      <c r="DQ1142" s="83"/>
      <c r="EE1142" s="58"/>
      <c r="EF1142" s="83"/>
      <c r="EI1142" s="83"/>
      <c r="EK1142" s="58"/>
      <c r="EL1142" s="83"/>
      <c r="EO1142" s="58"/>
      <c r="EP1142" s="83"/>
      <c r="EQ1142" s="58"/>
      <c r="ER1142" s="83"/>
      <c r="ES1142" s="58"/>
      <c r="ET1142" s="83"/>
      <c r="EU1142" s="58"/>
    </row>
    <row r="1143" spans="1:151">
      <c r="A1143" s="83" t="s">
        <v>324</v>
      </c>
      <c r="B1143" s="173" t="s">
        <v>553</v>
      </c>
      <c r="C1143" s="173" t="s">
        <v>554</v>
      </c>
      <c r="D1143" s="83" t="s">
        <v>64</v>
      </c>
      <c r="E1143" s="49" t="s">
        <v>0</v>
      </c>
      <c r="F1143" s="49" t="s">
        <v>287</v>
      </c>
      <c r="G1143" s="70">
        <v>20.454999999999998</v>
      </c>
      <c r="I1143" s="49">
        <v>731</v>
      </c>
      <c r="J1143" s="159">
        <v>1.813895781637717</v>
      </c>
      <c r="K1143" s="49">
        <v>4</v>
      </c>
      <c r="L1143" s="49">
        <v>3</v>
      </c>
      <c r="M1143" s="83">
        <v>0</v>
      </c>
      <c r="N1143" s="49">
        <v>2</v>
      </c>
      <c r="O1143" s="49">
        <v>0</v>
      </c>
      <c r="P1143" s="49">
        <v>1</v>
      </c>
      <c r="Q1143" s="58">
        <v>0</v>
      </c>
      <c r="R1143" s="42">
        <v>3</v>
      </c>
      <c r="S1143" s="83" t="s">
        <v>283</v>
      </c>
      <c r="T1143" s="49">
        <v>3</v>
      </c>
      <c r="U1143" s="83">
        <v>1</v>
      </c>
      <c r="V1143" s="49">
        <v>3</v>
      </c>
      <c r="W1143" s="49">
        <v>1</v>
      </c>
      <c r="X1143" s="58">
        <v>2</v>
      </c>
      <c r="Y1143" s="83">
        <v>20</v>
      </c>
      <c r="AD1143" s="49">
        <v>3</v>
      </c>
      <c r="AE1143" s="49">
        <v>53</v>
      </c>
      <c r="AF1143" s="49">
        <v>18</v>
      </c>
      <c r="AG1143" s="49">
        <v>158</v>
      </c>
      <c r="AH1143" s="49">
        <v>9</v>
      </c>
      <c r="AI1143" s="49">
        <v>262</v>
      </c>
      <c r="AJ1143" s="49">
        <v>0</v>
      </c>
      <c r="AK1143" s="83">
        <v>0</v>
      </c>
      <c r="AL1143" s="49">
        <v>1</v>
      </c>
      <c r="AM1143" s="49">
        <v>0</v>
      </c>
      <c r="AN1143" s="49">
        <v>0</v>
      </c>
      <c r="AO1143" s="58">
        <v>0</v>
      </c>
      <c r="AP1143" s="174">
        <v>0</v>
      </c>
      <c r="AQ1143" s="175">
        <v>144</v>
      </c>
      <c r="AR1143" s="175">
        <v>0</v>
      </c>
      <c r="AS1143" s="175">
        <v>0</v>
      </c>
      <c r="AT1143" s="175">
        <v>0</v>
      </c>
      <c r="AU1143" s="175">
        <v>0</v>
      </c>
      <c r="AV1143" s="175">
        <v>0</v>
      </c>
      <c r="AW1143" s="175">
        <v>0</v>
      </c>
      <c r="AX1143" s="83">
        <v>0</v>
      </c>
      <c r="AY1143" s="49">
        <v>0</v>
      </c>
      <c r="AZ1143" s="49">
        <v>0</v>
      </c>
      <c r="BA1143" s="49">
        <v>0</v>
      </c>
      <c r="BB1143" s="58">
        <v>0</v>
      </c>
      <c r="BC1143" s="42">
        <v>104</v>
      </c>
      <c r="BS1143" s="58"/>
      <c r="BT1143" s="83">
        <v>77</v>
      </c>
      <c r="CE1143" s="83"/>
      <c r="CK1143" s="58"/>
      <c r="CL1143" s="83"/>
      <c r="CO1143" s="58"/>
      <c r="CP1143" s="83"/>
      <c r="CR1143" s="58"/>
      <c r="CS1143" s="83"/>
      <c r="CY1143" s="83"/>
      <c r="DG1143" s="58"/>
      <c r="DH1143" s="83"/>
      <c r="DQ1143" s="83">
        <v>67.540000000000006</v>
      </c>
      <c r="EE1143" s="58"/>
      <c r="EF1143" s="83"/>
      <c r="EI1143" s="83"/>
      <c r="EK1143" s="58"/>
      <c r="EL1143" s="83"/>
      <c r="EO1143" s="58"/>
      <c r="EP1143" s="83"/>
      <c r="EQ1143" s="58"/>
      <c r="ER1143" s="83"/>
      <c r="ES1143" s="58"/>
      <c r="ET1143" s="83"/>
      <c r="EU1143" s="58"/>
    </row>
    <row r="1144" spans="1:151">
      <c r="A1144" s="83" t="s">
        <v>324</v>
      </c>
      <c r="B1144" s="173" t="s">
        <v>553</v>
      </c>
      <c r="C1144" s="173" t="s">
        <v>554</v>
      </c>
      <c r="D1144" s="83" t="s">
        <v>64</v>
      </c>
      <c r="E1144" s="49" t="s">
        <v>1</v>
      </c>
      <c r="F1144" s="49" t="s">
        <v>286</v>
      </c>
      <c r="G1144" s="70">
        <v>20.454999999999998</v>
      </c>
      <c r="I1144" s="49">
        <v>4718</v>
      </c>
      <c r="J1144" s="159">
        <v>3.7895582329317268</v>
      </c>
      <c r="K1144" s="49">
        <v>4</v>
      </c>
      <c r="L1144" s="49">
        <v>3</v>
      </c>
      <c r="M1144" s="83">
        <v>0</v>
      </c>
      <c r="N1144" s="49">
        <v>3</v>
      </c>
      <c r="O1144" s="49">
        <v>0</v>
      </c>
      <c r="P1144" s="49">
        <v>1</v>
      </c>
      <c r="Q1144" s="58">
        <v>0</v>
      </c>
      <c r="R1144" s="42">
        <v>4</v>
      </c>
      <c r="S1144" s="83" t="s">
        <v>283</v>
      </c>
      <c r="T1144" s="49">
        <v>2</v>
      </c>
      <c r="U1144" s="83">
        <v>1</v>
      </c>
      <c r="V1144" s="49">
        <v>4</v>
      </c>
      <c r="W1144" s="49">
        <v>1</v>
      </c>
      <c r="X1144" s="58">
        <v>2</v>
      </c>
      <c r="Y1144" s="83">
        <v>20</v>
      </c>
      <c r="AE1144" s="49">
        <v>7</v>
      </c>
      <c r="AF1144" s="49">
        <v>11</v>
      </c>
      <c r="AG1144" s="49">
        <v>1247</v>
      </c>
      <c r="AH1144" s="49">
        <v>12</v>
      </c>
      <c r="AI1144" s="49">
        <v>615</v>
      </c>
      <c r="AJ1144" s="49">
        <v>1</v>
      </c>
      <c r="AK1144" s="83">
        <v>0</v>
      </c>
      <c r="AL1144" s="49">
        <v>0</v>
      </c>
      <c r="AM1144" s="49">
        <v>0</v>
      </c>
      <c r="AN1144" s="49">
        <v>0</v>
      </c>
      <c r="AO1144" s="58">
        <v>0</v>
      </c>
      <c r="AP1144" s="174">
        <v>0</v>
      </c>
      <c r="AQ1144" s="175">
        <v>0</v>
      </c>
      <c r="AR1144" s="175">
        <v>0</v>
      </c>
      <c r="AS1144" s="175">
        <v>0</v>
      </c>
      <c r="AT1144" s="175">
        <v>0</v>
      </c>
      <c r="AU1144" s="175">
        <v>0</v>
      </c>
      <c r="AV1144" s="175">
        <v>0</v>
      </c>
      <c r="AW1144" s="175">
        <v>0</v>
      </c>
      <c r="AX1144" s="83">
        <v>0</v>
      </c>
      <c r="AY1144" s="49">
        <v>0</v>
      </c>
      <c r="AZ1144" s="49">
        <v>0</v>
      </c>
      <c r="BA1144" s="49">
        <v>0</v>
      </c>
      <c r="BB1144" s="58">
        <v>0</v>
      </c>
      <c r="BC1144" s="42">
        <v>104</v>
      </c>
      <c r="BD1144" s="49">
        <v>64.180000000000007</v>
      </c>
      <c r="BE1144" s="159">
        <v>63.9</v>
      </c>
      <c r="BS1144" s="58"/>
      <c r="BT1144" s="83">
        <v>77.260000000000005</v>
      </c>
      <c r="BU1144" s="49">
        <v>68.17</v>
      </c>
      <c r="BV1144" s="49">
        <v>68.010000000000005</v>
      </c>
      <c r="CE1144" s="83"/>
      <c r="CK1144" s="58"/>
      <c r="CL1144" s="83"/>
      <c r="CO1144" s="58"/>
      <c r="CP1144" s="83"/>
      <c r="CR1144" s="58"/>
      <c r="CS1144" s="83"/>
      <c r="CY1144" s="83"/>
      <c r="DG1144" s="58"/>
      <c r="DH1144" s="83"/>
      <c r="DQ1144" s="83"/>
      <c r="EE1144" s="58"/>
      <c r="EF1144" s="83"/>
      <c r="EI1144" s="83"/>
      <c r="EK1144" s="58"/>
      <c r="EL1144" s="83"/>
      <c r="EO1144" s="58"/>
      <c r="EP1144" s="83"/>
      <c r="EQ1144" s="58"/>
      <c r="ER1144" s="83"/>
      <c r="ES1144" s="58"/>
      <c r="ET1144" s="83"/>
      <c r="EU1144" s="58"/>
    </row>
    <row r="1145" spans="1:151">
      <c r="A1145" s="83" t="s">
        <v>324</v>
      </c>
      <c r="B1145" s="173" t="s">
        <v>553</v>
      </c>
      <c r="C1145" s="173" t="s">
        <v>554</v>
      </c>
      <c r="D1145" s="83" t="s">
        <v>64</v>
      </c>
      <c r="E1145" s="49" t="s">
        <v>2</v>
      </c>
      <c r="F1145" s="49" t="s">
        <v>286</v>
      </c>
      <c r="G1145" s="70">
        <v>20.454999999999998</v>
      </c>
      <c r="I1145" s="49">
        <v>1656</v>
      </c>
      <c r="J1145" s="159">
        <v>2.5595054095826892</v>
      </c>
      <c r="K1145" s="49">
        <v>4</v>
      </c>
      <c r="L1145" s="49">
        <v>3</v>
      </c>
      <c r="M1145" s="83">
        <v>0</v>
      </c>
      <c r="N1145" s="49">
        <v>2</v>
      </c>
      <c r="O1145" s="49">
        <v>0</v>
      </c>
      <c r="P1145" s="49">
        <v>1</v>
      </c>
      <c r="Q1145" s="58">
        <v>0</v>
      </c>
      <c r="R1145" s="42">
        <v>3</v>
      </c>
      <c r="S1145" s="83" t="s">
        <v>283</v>
      </c>
      <c r="T1145" s="49">
        <v>2</v>
      </c>
      <c r="U1145" s="83">
        <v>1</v>
      </c>
      <c r="V1145" s="49">
        <v>3</v>
      </c>
      <c r="W1145" s="49">
        <v>1</v>
      </c>
      <c r="X1145" s="58">
        <v>2</v>
      </c>
      <c r="Y1145" s="83">
        <v>10</v>
      </c>
      <c r="AE1145" s="49">
        <v>8</v>
      </c>
      <c r="AF1145" s="49">
        <v>3</v>
      </c>
      <c r="AG1145" s="49">
        <v>254</v>
      </c>
      <c r="AH1145" s="49">
        <v>6</v>
      </c>
      <c r="AI1145" s="49">
        <v>257</v>
      </c>
      <c r="AJ1145" s="49">
        <v>1</v>
      </c>
      <c r="AK1145" s="83">
        <v>0</v>
      </c>
      <c r="AL1145" s="49">
        <v>0</v>
      </c>
      <c r="AM1145" s="49">
        <v>0</v>
      </c>
      <c r="AN1145" s="49">
        <v>0</v>
      </c>
      <c r="AO1145" s="58">
        <v>0</v>
      </c>
      <c r="AP1145" s="174">
        <v>0</v>
      </c>
      <c r="AQ1145" s="175">
        <v>0</v>
      </c>
      <c r="AR1145" s="175">
        <v>0</v>
      </c>
      <c r="AS1145" s="175">
        <v>0</v>
      </c>
      <c r="AT1145" s="175">
        <v>0</v>
      </c>
      <c r="AU1145" s="175">
        <v>0</v>
      </c>
      <c r="AV1145" s="175">
        <v>0</v>
      </c>
      <c r="AW1145" s="175">
        <v>0</v>
      </c>
      <c r="AX1145" s="83">
        <v>0</v>
      </c>
      <c r="AY1145" s="49">
        <v>0</v>
      </c>
      <c r="AZ1145" s="49">
        <v>0</v>
      </c>
      <c r="BA1145" s="49">
        <v>0</v>
      </c>
      <c r="BB1145" s="58">
        <v>0</v>
      </c>
      <c r="BC1145" s="42">
        <v>104</v>
      </c>
      <c r="BD1145" s="49">
        <v>65.900000000000006</v>
      </c>
      <c r="BE1145" s="49"/>
      <c r="BS1145" s="58"/>
      <c r="BT1145" s="83">
        <v>74</v>
      </c>
      <c r="CE1145" s="83"/>
      <c r="CK1145" s="58"/>
      <c r="CL1145" s="83"/>
      <c r="CO1145" s="58"/>
      <c r="CP1145" s="83"/>
      <c r="CR1145" s="58"/>
      <c r="CS1145" s="83"/>
      <c r="CY1145" s="83"/>
      <c r="DG1145" s="58"/>
      <c r="DH1145" s="83"/>
      <c r="DQ1145" s="83"/>
      <c r="EE1145" s="58"/>
      <c r="EF1145" s="83"/>
      <c r="EI1145" s="83"/>
      <c r="EK1145" s="58"/>
      <c r="EL1145" s="83"/>
      <c r="EO1145" s="58"/>
      <c r="EP1145" s="83"/>
      <c r="EQ1145" s="58"/>
      <c r="ER1145" s="83"/>
      <c r="ES1145" s="58"/>
      <c r="ET1145" s="83"/>
      <c r="EU1145" s="58"/>
    </row>
    <row r="1146" spans="1:151">
      <c r="A1146" s="83" t="s">
        <v>324</v>
      </c>
      <c r="B1146" s="173" t="s">
        <v>553</v>
      </c>
      <c r="C1146" s="173" t="s">
        <v>554</v>
      </c>
      <c r="D1146" s="83" t="s">
        <v>277</v>
      </c>
      <c r="F1146" s="49" t="s">
        <v>286</v>
      </c>
      <c r="G1146" s="70">
        <v>20.454999999999998</v>
      </c>
      <c r="I1146" s="49">
        <v>4539</v>
      </c>
      <c r="J1146" s="159">
        <v>1.272497897392767</v>
      </c>
      <c r="K1146" s="49">
        <v>4</v>
      </c>
      <c r="L1146" s="49">
        <v>4</v>
      </c>
      <c r="M1146" s="83">
        <v>0</v>
      </c>
      <c r="N1146" s="49">
        <v>1</v>
      </c>
      <c r="O1146" s="49">
        <v>0</v>
      </c>
      <c r="P1146" s="49">
        <v>1</v>
      </c>
      <c r="Q1146" s="58">
        <v>0</v>
      </c>
      <c r="R1146" s="42">
        <v>2</v>
      </c>
      <c r="S1146" s="83" t="s">
        <v>283</v>
      </c>
      <c r="T1146" s="49">
        <v>32</v>
      </c>
      <c r="U1146" s="83">
        <v>1</v>
      </c>
      <c r="V1146" s="49">
        <v>4</v>
      </c>
      <c r="W1146" s="49">
        <v>1</v>
      </c>
      <c r="X1146" s="58">
        <v>2</v>
      </c>
      <c r="Y1146" s="83">
        <v>2</v>
      </c>
      <c r="Z1146" s="49">
        <v>7</v>
      </c>
      <c r="AA1146" s="49">
        <v>37</v>
      </c>
      <c r="AD1146" s="49">
        <v>12</v>
      </c>
      <c r="AE1146" s="49">
        <v>165</v>
      </c>
      <c r="AF1146" s="49">
        <v>6</v>
      </c>
      <c r="AG1146" s="49">
        <v>97</v>
      </c>
      <c r="AH1146" s="49">
        <v>11</v>
      </c>
      <c r="AI1146" s="49">
        <v>1001</v>
      </c>
      <c r="AJ1146" s="49">
        <v>1</v>
      </c>
      <c r="AK1146" s="83">
        <v>0</v>
      </c>
      <c r="AL1146" s="49">
        <v>0</v>
      </c>
      <c r="AM1146" s="49">
        <v>1</v>
      </c>
      <c r="AN1146" s="49">
        <v>0</v>
      </c>
      <c r="AO1146" s="58">
        <v>0</v>
      </c>
      <c r="AP1146" s="174">
        <v>0</v>
      </c>
      <c r="AQ1146" s="175">
        <v>0</v>
      </c>
      <c r="AR1146" s="175">
        <v>67</v>
      </c>
      <c r="AS1146" s="175">
        <v>219</v>
      </c>
      <c r="AT1146" s="175">
        <v>0</v>
      </c>
      <c r="AU1146" s="175">
        <v>0</v>
      </c>
      <c r="AV1146" s="175">
        <v>0</v>
      </c>
      <c r="AW1146" s="175">
        <v>0</v>
      </c>
      <c r="AX1146" s="83">
        <v>0</v>
      </c>
      <c r="AY1146" s="49">
        <v>0</v>
      </c>
      <c r="AZ1146" s="49">
        <v>0</v>
      </c>
      <c r="BA1146" s="49">
        <v>0</v>
      </c>
      <c r="BB1146" s="58">
        <v>0</v>
      </c>
      <c r="BC1146" s="42">
        <v>132</v>
      </c>
      <c r="BD1146" s="49">
        <v>77.63</v>
      </c>
      <c r="BS1146" s="58"/>
      <c r="BT1146" s="83">
        <v>82.57</v>
      </c>
      <c r="CE1146" s="83"/>
      <c r="CK1146" s="58"/>
      <c r="CL1146" s="83">
        <v>65.48</v>
      </c>
      <c r="CO1146" s="58"/>
      <c r="CP1146" s="83"/>
      <c r="CR1146" s="58"/>
      <c r="CS1146" s="83"/>
      <c r="CY1146" s="83"/>
      <c r="DG1146" s="58"/>
      <c r="DH1146" s="83"/>
      <c r="DQ1146" s="83"/>
      <c r="EE1146" s="58"/>
      <c r="EF1146" s="83"/>
      <c r="EI1146" s="83"/>
      <c r="EK1146" s="58"/>
      <c r="EL1146" s="83"/>
      <c r="EO1146" s="58"/>
      <c r="EP1146" s="83"/>
      <c r="EQ1146" s="58"/>
      <c r="ER1146" s="83"/>
      <c r="ES1146" s="58"/>
      <c r="ET1146" s="83"/>
      <c r="EU1146" s="58"/>
    </row>
    <row r="1147" spans="1:151">
      <c r="A1147" s="83" t="s">
        <v>324</v>
      </c>
      <c r="B1147" s="173" t="s">
        <v>553</v>
      </c>
      <c r="C1147" s="173" t="s">
        <v>554</v>
      </c>
      <c r="D1147" s="83" t="s">
        <v>278</v>
      </c>
      <c r="F1147" s="49" t="s">
        <v>286</v>
      </c>
      <c r="G1147" s="70">
        <v>20.454999999999998</v>
      </c>
      <c r="I1147" s="49">
        <v>6408</v>
      </c>
      <c r="J1147" s="159">
        <v>2.4430041936713685</v>
      </c>
      <c r="K1147" s="49">
        <v>1</v>
      </c>
      <c r="L1147" s="49">
        <v>3</v>
      </c>
      <c r="M1147" s="83">
        <v>0</v>
      </c>
      <c r="N1147" s="49">
        <v>2</v>
      </c>
      <c r="O1147" s="49">
        <v>0</v>
      </c>
      <c r="P1147" s="49">
        <v>1</v>
      </c>
      <c r="Q1147" s="58">
        <v>0</v>
      </c>
      <c r="R1147" s="42">
        <v>3</v>
      </c>
      <c r="S1147" s="83" t="s">
        <v>283</v>
      </c>
      <c r="T1147" s="49">
        <v>7</v>
      </c>
      <c r="U1147" s="83">
        <v>2</v>
      </c>
      <c r="V1147" s="49">
        <v>3</v>
      </c>
      <c r="W1147" s="49">
        <v>3</v>
      </c>
      <c r="X1147" s="58">
        <v>2</v>
      </c>
      <c r="Y1147" s="83">
        <v>10</v>
      </c>
      <c r="Z1147" s="49">
        <v>8</v>
      </c>
      <c r="AA1147" s="49">
        <v>91</v>
      </c>
      <c r="AC1147" s="49">
        <v>122</v>
      </c>
      <c r="AD1147" s="49">
        <v>10</v>
      </c>
      <c r="AE1147" s="49">
        <v>265</v>
      </c>
      <c r="AF1147" s="49">
        <v>6</v>
      </c>
      <c r="AG1147" s="49">
        <v>63</v>
      </c>
      <c r="AH1147" s="49">
        <v>39</v>
      </c>
      <c r="AI1147" s="49">
        <v>1833</v>
      </c>
      <c r="AJ1147" s="49">
        <v>1</v>
      </c>
      <c r="AK1147" s="83">
        <v>0</v>
      </c>
      <c r="AL1147" s="49">
        <v>1</v>
      </c>
      <c r="AM1147" s="49">
        <v>0</v>
      </c>
      <c r="AN1147" s="49">
        <v>0</v>
      </c>
      <c r="AO1147" s="58">
        <v>0</v>
      </c>
      <c r="AP1147" s="174">
        <v>0</v>
      </c>
      <c r="AQ1147" s="175">
        <v>1293</v>
      </c>
      <c r="AR1147" s="175">
        <v>0</v>
      </c>
      <c r="AS1147" s="175">
        <v>0</v>
      </c>
      <c r="AT1147" s="175">
        <v>0</v>
      </c>
      <c r="AU1147" s="175">
        <v>0</v>
      </c>
      <c r="AV1147" s="175">
        <v>0</v>
      </c>
      <c r="AW1147" s="175">
        <v>0</v>
      </c>
      <c r="AX1147" s="83">
        <v>0</v>
      </c>
      <c r="AY1147" s="49">
        <v>0</v>
      </c>
      <c r="AZ1147" s="49">
        <v>0</v>
      </c>
      <c r="BA1147" s="49">
        <v>0</v>
      </c>
      <c r="BB1147" s="58">
        <v>0</v>
      </c>
      <c r="BC1147" s="42">
        <v>136</v>
      </c>
      <c r="BS1147" s="58"/>
      <c r="BT1147" s="83"/>
      <c r="CE1147" s="83"/>
      <c r="CK1147" s="58"/>
      <c r="CL1147" s="83"/>
      <c r="CO1147" s="58"/>
      <c r="CP1147" s="83"/>
      <c r="CR1147" s="58"/>
      <c r="CS1147" s="83"/>
      <c r="CY1147" s="83"/>
      <c r="DG1147" s="58"/>
      <c r="DH1147" s="83"/>
      <c r="DQ1147" s="83"/>
      <c r="EE1147" s="58"/>
      <c r="EF1147" s="83"/>
      <c r="EI1147" s="83"/>
      <c r="EK1147" s="58"/>
      <c r="EL1147" s="83"/>
      <c r="EO1147" s="58"/>
      <c r="EP1147" s="83"/>
      <c r="EQ1147" s="58"/>
      <c r="ER1147" s="83"/>
      <c r="ES1147" s="58"/>
      <c r="ET1147" s="83"/>
      <c r="EU1147" s="58"/>
    </row>
    <row r="1148" spans="1:151">
      <c r="A1148" s="83" t="s">
        <v>324</v>
      </c>
      <c r="B1148" s="173" t="s">
        <v>553</v>
      </c>
      <c r="C1148" s="173" t="s">
        <v>554</v>
      </c>
      <c r="D1148" s="83" t="s">
        <v>69</v>
      </c>
      <c r="F1148" s="49" t="s">
        <v>286</v>
      </c>
      <c r="G1148" s="70">
        <v>20.454999999999998</v>
      </c>
      <c r="I1148" s="49">
        <v>1524</v>
      </c>
      <c r="J1148" s="159">
        <v>1.343915343915344</v>
      </c>
      <c r="K1148" s="49">
        <v>1</v>
      </c>
      <c r="L1148" s="49">
        <v>3</v>
      </c>
      <c r="M1148" s="83">
        <v>0</v>
      </c>
      <c r="N1148" s="49">
        <v>0</v>
      </c>
      <c r="O1148" s="49">
        <v>0</v>
      </c>
      <c r="P1148" s="49">
        <v>1</v>
      </c>
      <c r="Q1148" s="58">
        <v>0</v>
      </c>
      <c r="R1148" s="42">
        <v>1</v>
      </c>
      <c r="S1148" s="83" t="s">
        <v>283</v>
      </c>
      <c r="T1148" s="49">
        <v>3</v>
      </c>
      <c r="U1148" s="83">
        <v>1</v>
      </c>
      <c r="V1148" s="49">
        <v>3</v>
      </c>
      <c r="W1148" s="49">
        <v>2</v>
      </c>
      <c r="X1148" s="58"/>
      <c r="Y1148" s="83">
        <v>3</v>
      </c>
      <c r="Z1148" s="49">
        <v>6</v>
      </c>
      <c r="AA1148" s="49">
        <v>108</v>
      </c>
      <c r="AD1148" s="49">
        <v>8</v>
      </c>
      <c r="AE1148" s="49">
        <v>173</v>
      </c>
      <c r="AF1148" s="49">
        <v>7</v>
      </c>
      <c r="AG1148" s="49">
        <v>45</v>
      </c>
      <c r="AJ1148" s="49">
        <v>0</v>
      </c>
      <c r="AK1148" s="83">
        <v>0</v>
      </c>
      <c r="AL1148" s="49">
        <v>0</v>
      </c>
      <c r="AM1148" s="49">
        <v>0</v>
      </c>
      <c r="AN1148" s="49">
        <v>0</v>
      </c>
      <c r="AO1148" s="58">
        <v>0</v>
      </c>
      <c r="AP1148" s="174">
        <v>0</v>
      </c>
      <c r="AQ1148" s="175">
        <v>0</v>
      </c>
      <c r="AR1148" s="175">
        <v>0</v>
      </c>
      <c r="AS1148" s="175">
        <v>0</v>
      </c>
      <c r="AT1148" s="175">
        <v>0</v>
      </c>
      <c r="AU1148" s="175">
        <v>0</v>
      </c>
      <c r="AV1148" s="175">
        <v>0</v>
      </c>
      <c r="AW1148" s="175">
        <v>0</v>
      </c>
      <c r="AX1148" s="83">
        <v>0</v>
      </c>
      <c r="AY1148" s="49">
        <v>0</v>
      </c>
      <c r="AZ1148" s="49">
        <v>0</v>
      </c>
      <c r="BA1148" s="49">
        <v>0</v>
      </c>
      <c r="BB1148" s="58">
        <v>0</v>
      </c>
      <c r="BC1148" s="42">
        <v>82</v>
      </c>
      <c r="BD1148" s="49">
        <v>79.97</v>
      </c>
      <c r="BS1148" s="58"/>
      <c r="BT1148" s="83">
        <v>78.69</v>
      </c>
      <c r="BU1148" s="49">
        <v>79.36</v>
      </c>
      <c r="CE1148" s="83"/>
      <c r="CK1148" s="58"/>
      <c r="CL1148" s="83">
        <v>72.290000000000006</v>
      </c>
      <c r="CO1148" s="58"/>
      <c r="CP1148" s="83"/>
      <c r="CR1148" s="58"/>
      <c r="CS1148" s="83"/>
      <c r="CY1148" s="83"/>
      <c r="DG1148" s="58"/>
      <c r="DH1148" s="83"/>
      <c r="DQ1148" s="83"/>
      <c r="EE1148" s="58"/>
      <c r="EF1148" s="83"/>
      <c r="EI1148" s="83"/>
      <c r="EK1148" s="58"/>
      <c r="EL1148" s="83"/>
      <c r="EO1148" s="58"/>
      <c r="EP1148" s="83"/>
      <c r="EQ1148" s="58"/>
      <c r="ER1148" s="83"/>
      <c r="ES1148" s="58"/>
      <c r="ET1148" s="83"/>
      <c r="EU1148" s="58"/>
    </row>
    <row r="1149" spans="1:151">
      <c r="A1149" s="83" t="s">
        <v>324</v>
      </c>
      <c r="B1149" s="173" t="s">
        <v>553</v>
      </c>
      <c r="C1149" s="173" t="s">
        <v>554</v>
      </c>
      <c r="D1149" s="83" t="s">
        <v>75</v>
      </c>
      <c r="F1149" s="49" t="s">
        <v>286</v>
      </c>
      <c r="G1149" s="70">
        <v>20.454999999999998</v>
      </c>
      <c r="I1149" s="49">
        <v>5337</v>
      </c>
      <c r="J1149" s="159">
        <v>2.450413223140496</v>
      </c>
      <c r="K1149" s="49">
        <v>4</v>
      </c>
      <c r="L1149" s="49">
        <v>3</v>
      </c>
      <c r="M1149" s="83">
        <v>0</v>
      </c>
      <c r="N1149" s="49">
        <v>4</v>
      </c>
      <c r="O1149" s="49">
        <v>1</v>
      </c>
      <c r="P1149" s="49">
        <v>1</v>
      </c>
      <c r="Q1149" s="58">
        <v>0</v>
      </c>
      <c r="R1149" s="42">
        <v>6</v>
      </c>
      <c r="S1149" s="83" t="s">
        <v>283</v>
      </c>
      <c r="T1149" s="49">
        <v>6</v>
      </c>
      <c r="U1149" s="83">
        <v>1</v>
      </c>
      <c r="V1149" s="49">
        <v>4</v>
      </c>
      <c r="W1149" s="49">
        <v>1</v>
      </c>
      <c r="X1149" s="58">
        <v>1</v>
      </c>
      <c r="Y1149" s="83">
        <v>15</v>
      </c>
      <c r="Z1149" s="49">
        <v>7</v>
      </c>
      <c r="AA1149" s="49">
        <v>16</v>
      </c>
      <c r="AD1149" s="49">
        <v>8</v>
      </c>
      <c r="AE1149" s="49">
        <v>112</v>
      </c>
      <c r="AF1149" s="49">
        <v>4</v>
      </c>
      <c r="AG1149" s="49">
        <v>159</v>
      </c>
      <c r="AH1149" s="49">
        <v>15</v>
      </c>
      <c r="AI1149" s="49">
        <v>1180</v>
      </c>
      <c r="AJ1149" s="49">
        <v>1</v>
      </c>
      <c r="AK1149" s="83">
        <v>0</v>
      </c>
      <c r="AL1149" s="49">
        <v>0</v>
      </c>
      <c r="AM1149" s="49">
        <v>0</v>
      </c>
      <c r="AN1149" s="49">
        <v>0</v>
      </c>
      <c r="AO1149" s="58">
        <v>0</v>
      </c>
      <c r="AP1149" s="174">
        <v>0</v>
      </c>
      <c r="AQ1149" s="175">
        <v>0</v>
      </c>
      <c r="AR1149" s="175">
        <v>0</v>
      </c>
      <c r="AS1149" s="175">
        <v>0</v>
      </c>
      <c r="AT1149" s="175">
        <v>0</v>
      </c>
      <c r="AU1149" s="175">
        <v>0</v>
      </c>
      <c r="AV1149" s="175">
        <v>0</v>
      </c>
      <c r="AW1149" s="175">
        <v>0</v>
      </c>
      <c r="AX1149" s="83">
        <v>0</v>
      </c>
      <c r="AY1149" s="49">
        <v>0</v>
      </c>
      <c r="AZ1149" s="49">
        <v>0</v>
      </c>
      <c r="BA1149" s="49">
        <v>0</v>
      </c>
      <c r="BB1149" s="58">
        <v>0</v>
      </c>
      <c r="BC1149" s="42">
        <v>64</v>
      </c>
      <c r="BE1149" s="49"/>
      <c r="BS1149" s="58"/>
      <c r="BT1149" s="83"/>
      <c r="CE1149" s="83"/>
      <c r="CK1149" s="58"/>
      <c r="CL1149" s="83"/>
      <c r="CO1149" s="58"/>
      <c r="CP1149" s="83"/>
      <c r="CR1149" s="58"/>
      <c r="CS1149" s="83"/>
      <c r="CY1149" s="83">
        <v>75.59</v>
      </c>
      <c r="CZ1149" s="49">
        <v>76.91</v>
      </c>
      <c r="DA1149" s="49">
        <v>77.900000000000006</v>
      </c>
      <c r="DB1149" s="159">
        <v>76.28</v>
      </c>
      <c r="DC1149" s="49">
        <v>79.25</v>
      </c>
      <c r="DG1149" s="58"/>
      <c r="DH1149" s="83"/>
      <c r="DQ1149" s="83">
        <v>76.56</v>
      </c>
      <c r="DR1149" s="49">
        <v>78.099999999999994</v>
      </c>
      <c r="EE1149" s="58"/>
      <c r="EF1149" s="83"/>
      <c r="EI1149" s="83"/>
      <c r="EK1149" s="58"/>
      <c r="EL1149" s="83"/>
      <c r="EO1149" s="58"/>
      <c r="EP1149" s="83"/>
      <c r="EQ1149" s="58"/>
      <c r="ER1149" s="83"/>
      <c r="ES1149" s="58"/>
      <c r="ET1149" s="83"/>
      <c r="EU1149" s="58"/>
    </row>
    <row r="1150" spans="1:151">
      <c r="A1150" s="83" t="s">
        <v>324</v>
      </c>
      <c r="B1150" s="173" t="s">
        <v>553</v>
      </c>
      <c r="C1150" s="173" t="s">
        <v>554</v>
      </c>
      <c r="D1150" s="83" t="s">
        <v>279</v>
      </c>
      <c r="F1150" s="49" t="s">
        <v>287</v>
      </c>
      <c r="G1150" s="70">
        <v>20.454999999999998</v>
      </c>
      <c r="I1150" s="49">
        <v>550</v>
      </c>
      <c r="J1150" s="159">
        <v>3.6666666666666665</v>
      </c>
      <c r="K1150" s="49">
        <v>2</v>
      </c>
      <c r="L1150" s="49">
        <v>3</v>
      </c>
      <c r="M1150" s="83">
        <v>1</v>
      </c>
      <c r="N1150" s="49">
        <v>0</v>
      </c>
      <c r="O1150" s="49">
        <v>0</v>
      </c>
      <c r="P1150" s="49">
        <v>1</v>
      </c>
      <c r="Q1150" s="58">
        <v>0</v>
      </c>
      <c r="R1150" s="42">
        <v>2</v>
      </c>
      <c r="S1150" s="83" t="s">
        <v>283</v>
      </c>
      <c r="T1150" s="49">
        <v>2</v>
      </c>
      <c r="U1150" s="83">
        <v>0</v>
      </c>
      <c r="V1150" s="49">
        <v>0</v>
      </c>
      <c r="W1150" s="49">
        <v>0</v>
      </c>
      <c r="X1150" s="58"/>
      <c r="Y1150" s="83">
        <v>2</v>
      </c>
      <c r="AD1150" s="49">
        <v>4</v>
      </c>
      <c r="AE1150" s="49">
        <v>9</v>
      </c>
      <c r="AH1150" s="49">
        <v>29</v>
      </c>
      <c r="AI1150" s="49">
        <v>44</v>
      </c>
      <c r="AJ1150" s="49">
        <v>0</v>
      </c>
      <c r="AK1150" s="83">
        <v>0</v>
      </c>
      <c r="AL1150" s="49">
        <v>0</v>
      </c>
      <c r="AM1150" s="49">
        <v>0</v>
      </c>
      <c r="AN1150" s="49">
        <v>0</v>
      </c>
      <c r="AO1150" s="58">
        <v>0</v>
      </c>
      <c r="AP1150" s="174">
        <v>0</v>
      </c>
      <c r="AQ1150" s="175">
        <v>0</v>
      </c>
      <c r="AR1150" s="175">
        <v>0</v>
      </c>
      <c r="AS1150" s="175">
        <v>0</v>
      </c>
      <c r="AT1150" s="175">
        <v>0</v>
      </c>
      <c r="AU1150" s="175">
        <v>0</v>
      </c>
      <c r="AV1150" s="175">
        <v>0</v>
      </c>
      <c r="AW1150" s="175">
        <v>0</v>
      </c>
      <c r="AX1150" s="83">
        <v>0</v>
      </c>
      <c r="AY1150" s="49">
        <v>0</v>
      </c>
      <c r="AZ1150" s="49">
        <v>0</v>
      </c>
      <c r="BA1150" s="49">
        <v>0</v>
      </c>
      <c r="BB1150" s="58">
        <v>0</v>
      </c>
      <c r="BC1150" s="42">
        <v>56</v>
      </c>
      <c r="BS1150" s="58"/>
      <c r="BT1150" s="83"/>
      <c r="CE1150" s="83"/>
      <c r="CK1150" s="58"/>
      <c r="CL1150" s="83"/>
      <c r="CO1150" s="58"/>
      <c r="CP1150" s="83"/>
      <c r="CR1150" s="58"/>
      <c r="CS1150" s="83"/>
      <c r="CY1150" s="83"/>
      <c r="DG1150" s="58"/>
      <c r="DH1150" s="83"/>
      <c r="DQ1150" s="83"/>
      <c r="EE1150" s="58"/>
      <c r="EF1150" s="83"/>
      <c r="EI1150" s="83"/>
      <c r="EK1150" s="58"/>
      <c r="EL1150" s="83"/>
      <c r="EO1150" s="58"/>
      <c r="EP1150" s="83"/>
      <c r="EQ1150" s="58"/>
      <c r="ER1150" s="83"/>
      <c r="ES1150" s="58"/>
      <c r="ET1150" s="83"/>
      <c r="EU1150" s="58"/>
    </row>
    <row r="1151" spans="1:151">
      <c r="A1151" s="83" t="s">
        <v>324</v>
      </c>
      <c r="B1151" s="173" t="s">
        <v>553</v>
      </c>
      <c r="C1151" s="173" t="s">
        <v>554</v>
      </c>
      <c r="D1151" s="83" t="s">
        <v>280</v>
      </c>
      <c r="F1151" s="49" t="s">
        <v>287</v>
      </c>
      <c r="G1151" s="70">
        <v>20.454999999999998</v>
      </c>
      <c r="I1151" s="49">
        <v>366</v>
      </c>
      <c r="J1151" s="159">
        <v>2.4078947368421053</v>
      </c>
      <c r="K1151" s="49">
        <v>2</v>
      </c>
      <c r="L1151" s="49">
        <v>3</v>
      </c>
      <c r="M1151" s="83">
        <v>0</v>
      </c>
      <c r="N1151" s="49">
        <v>3</v>
      </c>
      <c r="O1151" s="49">
        <v>0</v>
      </c>
      <c r="P1151" s="49">
        <v>2</v>
      </c>
      <c r="Q1151" s="58">
        <v>0</v>
      </c>
      <c r="R1151" s="42">
        <v>5</v>
      </c>
      <c r="S1151" s="83" t="s">
        <v>283</v>
      </c>
      <c r="T1151" s="49">
        <v>2</v>
      </c>
      <c r="U1151" s="83">
        <v>0</v>
      </c>
      <c r="V1151" s="49">
        <v>0</v>
      </c>
      <c r="W1151" s="49">
        <v>0</v>
      </c>
      <c r="X1151" s="58"/>
      <c r="Y1151" s="83">
        <v>3</v>
      </c>
      <c r="AD1151" s="49">
        <v>3</v>
      </c>
      <c r="AE1151" s="49">
        <v>18</v>
      </c>
      <c r="AH1151" s="49">
        <v>2</v>
      </c>
      <c r="AI1151" s="49">
        <v>29</v>
      </c>
      <c r="AJ1151" s="49">
        <v>0</v>
      </c>
      <c r="AK1151" s="83">
        <v>0</v>
      </c>
      <c r="AL1151" s="49">
        <v>0</v>
      </c>
      <c r="AM1151" s="49">
        <v>0</v>
      </c>
      <c r="AN1151" s="49">
        <v>0</v>
      </c>
      <c r="AO1151" s="58">
        <v>0</v>
      </c>
      <c r="AP1151" s="174">
        <v>0</v>
      </c>
      <c r="AQ1151" s="175">
        <v>0</v>
      </c>
      <c r="AR1151" s="175">
        <v>0</v>
      </c>
      <c r="AS1151" s="175">
        <v>0</v>
      </c>
      <c r="AT1151" s="175">
        <v>0</v>
      </c>
      <c r="AU1151" s="175">
        <v>0</v>
      </c>
      <c r="AV1151" s="175">
        <v>0</v>
      </c>
      <c r="AW1151" s="175">
        <v>0</v>
      </c>
      <c r="AX1151" s="83">
        <v>0</v>
      </c>
      <c r="AY1151" s="49">
        <v>0</v>
      </c>
      <c r="AZ1151" s="49">
        <v>0</v>
      </c>
      <c r="BA1151" s="49">
        <v>0</v>
      </c>
      <c r="BB1151" s="58">
        <v>0</v>
      </c>
      <c r="BC1151" s="42">
        <v>55</v>
      </c>
      <c r="BS1151" s="58"/>
      <c r="BT1151" s="83"/>
      <c r="CE1151" s="83"/>
      <c r="CK1151" s="58"/>
      <c r="CL1151" s="83"/>
      <c r="CO1151" s="58"/>
      <c r="CP1151" s="83"/>
      <c r="CR1151" s="58"/>
      <c r="CS1151" s="83"/>
      <c r="CY1151" s="83"/>
      <c r="DG1151" s="58"/>
      <c r="DH1151" s="83"/>
      <c r="DQ1151" s="83"/>
      <c r="EE1151" s="58"/>
      <c r="EF1151" s="83"/>
      <c r="EI1151" s="83"/>
      <c r="EK1151" s="58"/>
      <c r="EL1151" s="83"/>
      <c r="EO1151" s="58"/>
      <c r="EP1151" s="83"/>
      <c r="EQ1151" s="58"/>
      <c r="ER1151" s="83"/>
      <c r="ES1151" s="58"/>
      <c r="ET1151" s="83"/>
      <c r="EU1151" s="58"/>
    </row>
    <row r="1152" spans="1:151" ht="17" thickBot="1">
      <c r="A1152" s="83" t="s">
        <v>324</v>
      </c>
      <c r="B1152" s="47" t="s">
        <v>553</v>
      </c>
      <c r="C1152" s="47" t="s">
        <v>554</v>
      </c>
      <c r="D1152" s="84" t="s">
        <v>88</v>
      </c>
      <c r="E1152" s="57"/>
      <c r="F1152" s="57" t="s">
        <v>287</v>
      </c>
      <c r="G1152" s="79">
        <v>20.454999999999998</v>
      </c>
      <c r="H1152" s="57"/>
      <c r="I1152" s="57">
        <v>849</v>
      </c>
      <c r="J1152" s="75">
        <v>3.5822784810126582</v>
      </c>
      <c r="K1152" s="57">
        <v>2</v>
      </c>
      <c r="L1152" s="57">
        <v>3</v>
      </c>
      <c r="M1152" s="84">
        <v>0</v>
      </c>
      <c r="N1152" s="57">
        <v>1</v>
      </c>
      <c r="O1152" s="57">
        <v>0</v>
      </c>
      <c r="P1152" s="57">
        <v>0</v>
      </c>
      <c r="Q1152" s="56">
        <v>0</v>
      </c>
      <c r="R1152" s="55">
        <v>1</v>
      </c>
      <c r="S1152" s="84" t="s">
        <v>283</v>
      </c>
      <c r="T1152" s="57">
        <v>3</v>
      </c>
      <c r="U1152" s="84">
        <v>0</v>
      </c>
      <c r="V1152" s="57">
        <v>0</v>
      </c>
      <c r="W1152" s="57">
        <v>0</v>
      </c>
      <c r="X1152" s="56"/>
      <c r="Y1152" s="84">
        <v>1</v>
      </c>
      <c r="Z1152" s="57"/>
      <c r="AA1152" s="57"/>
      <c r="AB1152" s="57"/>
      <c r="AC1152" s="57"/>
      <c r="AD1152" s="57">
        <v>2</v>
      </c>
      <c r="AE1152" s="57">
        <v>27</v>
      </c>
      <c r="AF1152" s="57"/>
      <c r="AG1152" s="57"/>
      <c r="AH1152" s="57">
        <v>4</v>
      </c>
      <c r="AI1152" s="57">
        <v>49</v>
      </c>
      <c r="AJ1152" s="57">
        <v>1</v>
      </c>
      <c r="AK1152" s="84">
        <v>0</v>
      </c>
      <c r="AL1152" s="57">
        <v>1</v>
      </c>
      <c r="AM1152" s="57">
        <v>0</v>
      </c>
      <c r="AN1152" s="57">
        <v>0</v>
      </c>
      <c r="AO1152" s="56">
        <v>0</v>
      </c>
      <c r="AP1152" s="178">
        <v>118</v>
      </c>
      <c r="AQ1152" s="179">
        <v>216</v>
      </c>
      <c r="AR1152" s="179">
        <v>0</v>
      </c>
      <c r="AS1152" s="179">
        <v>0</v>
      </c>
      <c r="AT1152" s="179">
        <v>0</v>
      </c>
      <c r="AU1152" s="179">
        <v>0</v>
      </c>
      <c r="AV1152" s="179">
        <v>0</v>
      </c>
      <c r="AW1152" s="179">
        <v>0</v>
      </c>
      <c r="AX1152" s="84">
        <v>0</v>
      </c>
      <c r="AY1152" s="57">
        <v>1</v>
      </c>
      <c r="AZ1152" s="57"/>
      <c r="BA1152" s="57">
        <v>0</v>
      </c>
      <c r="BB1152" s="56">
        <v>1</v>
      </c>
      <c r="BC1152" s="55">
        <v>66</v>
      </c>
      <c r="BD1152" s="57"/>
      <c r="BE1152" s="57"/>
      <c r="BF1152" s="57"/>
      <c r="BG1152" s="57"/>
      <c r="BH1152" s="57"/>
      <c r="BI1152" s="57"/>
      <c r="BJ1152" s="57"/>
      <c r="BK1152" s="57"/>
      <c r="BL1152" s="57"/>
      <c r="BM1152" s="57"/>
      <c r="BN1152" s="57"/>
      <c r="BO1152" s="57"/>
      <c r="BP1152" s="57"/>
      <c r="BQ1152" s="57"/>
      <c r="BR1152" s="57"/>
      <c r="BS1152" s="56"/>
      <c r="BT1152" s="84"/>
      <c r="BU1152" s="57"/>
      <c r="BV1152" s="57"/>
      <c r="BW1152" s="57"/>
      <c r="BX1152" s="57"/>
      <c r="BY1152" s="57"/>
      <c r="BZ1152" s="57"/>
      <c r="CA1152" s="57"/>
      <c r="CB1152" s="57"/>
      <c r="CC1152" s="57"/>
      <c r="CD1152" s="57"/>
      <c r="CE1152" s="84">
        <v>79.8</v>
      </c>
      <c r="CF1152" s="57"/>
      <c r="CG1152" s="57"/>
      <c r="CH1152" s="57"/>
      <c r="CI1152" s="57"/>
      <c r="CJ1152" s="57"/>
      <c r="CK1152" s="56"/>
      <c r="CL1152" s="84"/>
      <c r="CM1152" s="57"/>
      <c r="CN1152" s="57"/>
      <c r="CO1152" s="56"/>
      <c r="CP1152" s="84"/>
      <c r="CQ1152" s="57"/>
      <c r="CR1152" s="56"/>
      <c r="CS1152" s="84"/>
      <c r="CT1152" s="57"/>
      <c r="CU1152" s="57"/>
      <c r="CV1152" s="57"/>
      <c r="CW1152" s="57"/>
      <c r="CX1152" s="57"/>
      <c r="CY1152" s="84"/>
      <c r="CZ1152" s="57"/>
      <c r="DA1152" s="57"/>
      <c r="DB1152" s="57"/>
      <c r="DC1152" s="57"/>
      <c r="DD1152" s="57"/>
      <c r="DE1152" s="57"/>
      <c r="DF1152" s="57"/>
      <c r="DG1152" s="56"/>
      <c r="DH1152" s="84">
        <v>66.930000000000007</v>
      </c>
      <c r="DI1152" s="75">
        <v>65.5</v>
      </c>
      <c r="DJ1152" s="57"/>
      <c r="DK1152" s="57"/>
      <c r="DL1152" s="57"/>
      <c r="DM1152" s="57"/>
      <c r="DN1152" s="57"/>
      <c r="DO1152" s="57"/>
      <c r="DP1152" s="57"/>
      <c r="DQ1152" s="84">
        <v>60.14</v>
      </c>
      <c r="DR1152" s="57"/>
      <c r="DS1152" s="57"/>
      <c r="DT1152" s="57"/>
      <c r="DU1152" s="57"/>
      <c r="DV1152" s="57"/>
      <c r="DW1152" s="57"/>
      <c r="DX1152" s="57"/>
      <c r="DY1152" s="57"/>
      <c r="DZ1152" s="57"/>
      <c r="EA1152" s="57"/>
      <c r="EB1152" s="57"/>
      <c r="EC1152" s="57"/>
      <c r="ED1152" s="57"/>
      <c r="EE1152" s="56"/>
      <c r="EF1152" s="84"/>
      <c r="EG1152" s="57"/>
      <c r="EH1152" s="57"/>
      <c r="EI1152" s="84"/>
      <c r="EJ1152" s="57"/>
      <c r="EK1152" s="56"/>
      <c r="EL1152" s="84"/>
      <c r="EM1152" s="57"/>
      <c r="EN1152" s="57"/>
      <c r="EO1152" s="56"/>
      <c r="EP1152" s="84"/>
      <c r="EQ1152" s="56"/>
      <c r="ER1152" s="84"/>
      <c r="ES1152" s="56"/>
      <c r="ET1152" s="84"/>
      <c r="EU1152" s="56"/>
    </row>
    <row r="1153" spans="1:151">
      <c r="A1153" s="87" t="s">
        <v>324</v>
      </c>
      <c r="B1153" s="173" t="s">
        <v>555</v>
      </c>
      <c r="C1153" s="173" t="s">
        <v>556</v>
      </c>
      <c r="D1153" s="83" t="s">
        <v>65</v>
      </c>
      <c r="E1153" s="49" t="s">
        <v>0</v>
      </c>
      <c r="F1153" s="49" t="s">
        <v>286</v>
      </c>
      <c r="G1153" s="49">
        <v>17.837</v>
      </c>
      <c r="I1153" s="49">
        <v>1172</v>
      </c>
      <c r="J1153" s="159">
        <v>3.5301204819277108</v>
      </c>
      <c r="K1153" s="49">
        <v>1</v>
      </c>
      <c r="L1153" s="49">
        <v>1</v>
      </c>
      <c r="M1153" s="83">
        <v>0</v>
      </c>
      <c r="N1153" s="49">
        <v>1</v>
      </c>
      <c r="O1153" s="49">
        <v>0</v>
      </c>
      <c r="P1153" s="49">
        <v>0</v>
      </c>
      <c r="Q1153" s="58">
        <v>0</v>
      </c>
      <c r="R1153" s="42">
        <v>1</v>
      </c>
      <c r="S1153" s="83" t="s">
        <v>284</v>
      </c>
      <c r="U1153" s="83">
        <v>1</v>
      </c>
      <c r="V1153" s="49">
        <v>2</v>
      </c>
      <c r="W1153" s="49">
        <v>2</v>
      </c>
      <c r="X1153" s="58"/>
      <c r="Y1153" s="83">
        <v>1</v>
      </c>
      <c r="AD1153" s="49">
        <v>21</v>
      </c>
      <c r="AE1153" s="49">
        <v>101</v>
      </c>
      <c r="AJ1153" s="49">
        <v>1</v>
      </c>
      <c r="AK1153" s="83">
        <v>0</v>
      </c>
      <c r="AL1153" s="49">
        <v>0</v>
      </c>
      <c r="AM1153" s="49">
        <v>0</v>
      </c>
      <c r="AN1153" s="49">
        <v>0</v>
      </c>
      <c r="AO1153" s="58">
        <v>0</v>
      </c>
      <c r="AP1153" s="174">
        <v>0</v>
      </c>
      <c r="AQ1153" s="175">
        <v>0</v>
      </c>
      <c r="AR1153" s="175">
        <v>0</v>
      </c>
      <c r="AS1153" s="175">
        <v>0</v>
      </c>
      <c r="AT1153" s="175">
        <v>0</v>
      </c>
      <c r="AU1153" s="175">
        <v>0</v>
      </c>
      <c r="AV1153" s="175">
        <v>0</v>
      </c>
      <c r="AW1153" s="175">
        <v>0</v>
      </c>
      <c r="AX1153" s="83">
        <v>0</v>
      </c>
      <c r="AY1153" s="49">
        <v>0</v>
      </c>
      <c r="AZ1153" s="49">
        <v>0</v>
      </c>
      <c r="BA1153" s="49">
        <v>0</v>
      </c>
      <c r="BB1153" s="58">
        <v>0</v>
      </c>
      <c r="BC1153" s="42">
        <v>102</v>
      </c>
      <c r="BS1153" s="58"/>
      <c r="BT1153" s="83"/>
      <c r="CE1153" s="83"/>
      <c r="CK1153" s="58"/>
      <c r="CL1153" s="83"/>
      <c r="CO1153" s="58"/>
      <c r="CP1153" s="83"/>
      <c r="CR1153" s="58"/>
      <c r="CS1153" s="83"/>
      <c r="CY1153" s="83"/>
      <c r="DG1153" s="58"/>
      <c r="DH1153" s="83"/>
      <c r="DQ1153" s="83"/>
      <c r="EE1153" s="58"/>
      <c r="EF1153" s="83"/>
      <c r="EI1153" s="83"/>
      <c r="EK1153" s="58"/>
      <c r="EL1153" s="83"/>
      <c r="EO1153" s="58"/>
      <c r="EP1153" s="83"/>
      <c r="EQ1153" s="58"/>
      <c r="ER1153" s="83"/>
      <c r="ES1153" s="58"/>
      <c r="ET1153" s="83"/>
      <c r="EU1153" s="58"/>
    </row>
    <row r="1154" spans="1:151">
      <c r="A1154" s="42" t="s">
        <v>324</v>
      </c>
      <c r="B1154" s="173" t="s">
        <v>555</v>
      </c>
      <c r="C1154" s="173" t="s">
        <v>556</v>
      </c>
      <c r="D1154" s="83" t="s">
        <v>65</v>
      </c>
      <c r="E1154" s="49" t="s">
        <v>1</v>
      </c>
      <c r="F1154" s="49" t="s">
        <v>286</v>
      </c>
      <c r="G1154" s="49">
        <v>17.837</v>
      </c>
      <c r="I1154" s="49">
        <v>1206</v>
      </c>
      <c r="J1154" s="159">
        <v>1.8932496075353218</v>
      </c>
      <c r="K1154" s="49">
        <v>1</v>
      </c>
      <c r="L1154" s="49">
        <v>1</v>
      </c>
      <c r="M1154" s="83">
        <v>0</v>
      </c>
      <c r="N1154" s="49">
        <v>2</v>
      </c>
      <c r="O1154" s="49">
        <v>0</v>
      </c>
      <c r="P1154" s="49">
        <v>0</v>
      </c>
      <c r="Q1154" s="58">
        <v>0</v>
      </c>
      <c r="R1154" s="42">
        <v>2</v>
      </c>
      <c r="S1154" s="83" t="s">
        <v>284</v>
      </c>
      <c r="U1154" s="83">
        <v>0</v>
      </c>
      <c r="V1154" s="49">
        <v>0</v>
      </c>
      <c r="W1154" s="49">
        <v>0</v>
      </c>
      <c r="X1154" s="58"/>
      <c r="Y1154" s="83">
        <v>6</v>
      </c>
      <c r="AD1154" s="49">
        <v>3</v>
      </c>
      <c r="AE1154" s="49">
        <v>183</v>
      </c>
      <c r="AF1154" s="49">
        <v>2</v>
      </c>
      <c r="AG1154" s="49">
        <v>86</v>
      </c>
      <c r="AI1154" s="49">
        <v>496</v>
      </c>
      <c r="AJ1154" s="49">
        <v>1</v>
      </c>
      <c r="AK1154" s="83">
        <v>0</v>
      </c>
      <c r="AL1154" s="49">
        <v>0</v>
      </c>
      <c r="AM1154" s="49">
        <v>0</v>
      </c>
      <c r="AN1154" s="49">
        <v>0</v>
      </c>
      <c r="AO1154" s="58">
        <v>0</v>
      </c>
      <c r="AP1154" s="174">
        <v>0</v>
      </c>
      <c r="AQ1154" s="175">
        <v>0</v>
      </c>
      <c r="AR1154" s="175">
        <v>0</v>
      </c>
      <c r="AS1154" s="175">
        <v>0</v>
      </c>
      <c r="AT1154" s="175">
        <v>0</v>
      </c>
      <c r="AU1154" s="175">
        <v>0</v>
      </c>
      <c r="AV1154" s="175">
        <v>0</v>
      </c>
      <c r="AW1154" s="175">
        <v>0</v>
      </c>
      <c r="AX1154" s="83">
        <v>0</v>
      </c>
      <c r="AY1154" s="49">
        <v>0</v>
      </c>
      <c r="AZ1154" s="49">
        <v>0</v>
      </c>
      <c r="BA1154" s="49">
        <v>0</v>
      </c>
      <c r="BB1154" s="58">
        <v>0</v>
      </c>
      <c r="BC1154" s="42">
        <v>102</v>
      </c>
      <c r="BS1154" s="58"/>
      <c r="BT1154" s="83"/>
      <c r="CE1154" s="83"/>
      <c r="CK1154" s="58"/>
      <c r="CL1154" s="83"/>
      <c r="CO1154" s="58"/>
      <c r="CP1154" s="83"/>
      <c r="CR1154" s="58"/>
      <c r="CS1154" s="83"/>
      <c r="CY1154" s="83"/>
      <c r="DG1154" s="58"/>
      <c r="DH1154" s="83"/>
      <c r="DQ1154" s="83"/>
      <c r="EE1154" s="58"/>
      <c r="EF1154" s="83"/>
      <c r="EI1154" s="83"/>
      <c r="EK1154" s="58"/>
      <c r="EL1154" s="83"/>
      <c r="EO1154" s="58"/>
      <c r="EP1154" s="83"/>
      <c r="EQ1154" s="58"/>
      <c r="ER1154" s="83"/>
      <c r="ES1154" s="58"/>
      <c r="ET1154" s="83"/>
      <c r="EU1154" s="58"/>
    </row>
    <row r="1155" spans="1:151">
      <c r="A1155" s="42" t="s">
        <v>324</v>
      </c>
      <c r="B1155" s="173" t="s">
        <v>555</v>
      </c>
      <c r="C1155" s="173" t="s">
        <v>556</v>
      </c>
      <c r="D1155" s="83" t="s">
        <v>67</v>
      </c>
      <c r="F1155" s="49" t="s">
        <v>286</v>
      </c>
      <c r="G1155" s="49">
        <v>17.837</v>
      </c>
      <c r="I1155" s="49">
        <v>3536</v>
      </c>
      <c r="J1155" s="159">
        <v>2.4504504504504503</v>
      </c>
      <c r="K1155" s="49">
        <v>4</v>
      </c>
      <c r="L1155" s="49">
        <v>4</v>
      </c>
      <c r="M1155" s="83">
        <v>0</v>
      </c>
      <c r="N1155" s="49">
        <v>2</v>
      </c>
      <c r="O1155" s="49">
        <v>0</v>
      </c>
      <c r="P1155" s="49">
        <v>0</v>
      </c>
      <c r="Q1155" s="58">
        <v>0</v>
      </c>
      <c r="R1155" s="42">
        <v>2</v>
      </c>
      <c r="S1155" s="83" t="s">
        <v>283</v>
      </c>
      <c r="T1155" s="49">
        <v>22</v>
      </c>
      <c r="U1155" s="83">
        <v>1</v>
      </c>
      <c r="V1155" s="49">
        <v>4</v>
      </c>
      <c r="W1155" s="49">
        <v>2</v>
      </c>
      <c r="X1155" s="58"/>
      <c r="Y1155" s="83">
        <v>10</v>
      </c>
      <c r="Z1155" s="49">
        <v>10</v>
      </c>
      <c r="AA1155" s="49">
        <v>152</v>
      </c>
      <c r="AD1155" s="49">
        <v>6</v>
      </c>
      <c r="AE1155" s="49">
        <v>246</v>
      </c>
      <c r="AF1155" s="49">
        <v>6</v>
      </c>
      <c r="AG1155" s="49">
        <v>221</v>
      </c>
      <c r="AH1155" s="49">
        <v>41</v>
      </c>
      <c r="AI1155" s="49">
        <v>409</v>
      </c>
      <c r="AJ1155" s="49">
        <v>1</v>
      </c>
      <c r="AK1155" s="83">
        <v>0</v>
      </c>
      <c r="AL1155" s="49">
        <v>0</v>
      </c>
      <c r="AM1155" s="49">
        <v>0</v>
      </c>
      <c r="AN1155" s="49">
        <v>0</v>
      </c>
      <c r="AO1155" s="58">
        <v>0</v>
      </c>
      <c r="AP1155" s="174">
        <v>0</v>
      </c>
      <c r="AQ1155" s="175">
        <v>0</v>
      </c>
      <c r="AR1155" s="175">
        <v>0</v>
      </c>
      <c r="AS1155" s="175">
        <v>0</v>
      </c>
      <c r="AT1155" s="175">
        <v>0</v>
      </c>
      <c r="AU1155" s="175">
        <v>0</v>
      </c>
      <c r="AV1155" s="175">
        <v>0</v>
      </c>
      <c r="AW1155" s="175">
        <v>0</v>
      </c>
      <c r="AX1155" s="83">
        <v>0</v>
      </c>
      <c r="AY1155" s="49">
        <v>0</v>
      </c>
      <c r="AZ1155" s="49">
        <v>0</v>
      </c>
      <c r="BA1155" s="49">
        <v>0</v>
      </c>
      <c r="BB1155" s="58">
        <v>0</v>
      </c>
      <c r="BC1155" s="42">
        <v>100</v>
      </c>
      <c r="BD1155" s="49">
        <v>78.27</v>
      </c>
      <c r="BE1155" s="159">
        <v>79.03</v>
      </c>
      <c r="BF1155" s="49">
        <v>78.75</v>
      </c>
      <c r="BG1155" s="49">
        <v>80.06</v>
      </c>
      <c r="BS1155" s="58"/>
      <c r="BT1155" s="83"/>
      <c r="CE1155" s="83">
        <v>67.989999999999995</v>
      </c>
      <c r="CF1155" s="49">
        <v>68.680000000000007</v>
      </c>
      <c r="CK1155" s="58"/>
      <c r="CL1155" s="83"/>
      <c r="CO1155" s="58"/>
      <c r="CP1155" s="83"/>
      <c r="CR1155" s="58"/>
      <c r="CS1155" s="83"/>
      <c r="CY1155" s="83"/>
      <c r="DG1155" s="58"/>
      <c r="DH1155" s="83"/>
      <c r="DQ1155" s="83"/>
      <c r="EE1155" s="58"/>
      <c r="EF1155" s="83"/>
      <c r="EI1155" s="83"/>
      <c r="EK1155" s="58"/>
      <c r="EL1155" s="83"/>
      <c r="EO1155" s="58"/>
      <c r="EP1155" s="83"/>
      <c r="EQ1155" s="58"/>
      <c r="ER1155" s="83"/>
      <c r="ES1155" s="58"/>
      <c r="ET1155" s="83"/>
      <c r="EU1155" s="58"/>
    </row>
    <row r="1156" spans="1:151">
      <c r="A1156" s="42" t="s">
        <v>324</v>
      </c>
      <c r="B1156" s="173" t="s">
        <v>555</v>
      </c>
      <c r="C1156" s="173" t="s">
        <v>556</v>
      </c>
      <c r="D1156" s="83" t="s">
        <v>69</v>
      </c>
      <c r="F1156" s="49" t="s">
        <v>286</v>
      </c>
      <c r="G1156" s="49">
        <v>17.837</v>
      </c>
      <c r="I1156" s="49">
        <v>1118</v>
      </c>
      <c r="J1156" s="159">
        <v>1.6465390279823269</v>
      </c>
      <c r="K1156" s="49">
        <v>1</v>
      </c>
      <c r="L1156" s="49">
        <v>2</v>
      </c>
      <c r="M1156" s="83">
        <v>0</v>
      </c>
      <c r="N1156" s="49">
        <v>1</v>
      </c>
      <c r="O1156" s="49">
        <v>0</v>
      </c>
      <c r="P1156" s="49">
        <v>0</v>
      </c>
      <c r="Q1156" s="58">
        <v>0</v>
      </c>
      <c r="R1156" s="42">
        <v>1</v>
      </c>
      <c r="S1156" s="83" t="s">
        <v>284</v>
      </c>
      <c r="U1156" s="83">
        <v>1</v>
      </c>
      <c r="V1156" s="49">
        <v>2</v>
      </c>
      <c r="W1156" s="49">
        <v>2</v>
      </c>
      <c r="X1156" s="58"/>
      <c r="Y1156" s="83">
        <v>1</v>
      </c>
      <c r="AA1156" s="49">
        <v>73</v>
      </c>
      <c r="AE1156" s="49">
        <v>102</v>
      </c>
      <c r="AH1156" s="49">
        <v>79</v>
      </c>
      <c r="AI1156" s="49">
        <v>92</v>
      </c>
      <c r="AJ1156" s="49">
        <v>1</v>
      </c>
      <c r="AK1156" s="83">
        <v>0</v>
      </c>
      <c r="AL1156" s="49">
        <v>0</v>
      </c>
      <c r="AM1156" s="49">
        <v>0</v>
      </c>
      <c r="AN1156" s="49">
        <v>0</v>
      </c>
      <c r="AO1156" s="58">
        <v>0</v>
      </c>
      <c r="AP1156" s="174">
        <v>0</v>
      </c>
      <c r="AQ1156" s="175">
        <v>0</v>
      </c>
      <c r="AR1156" s="175">
        <v>0</v>
      </c>
      <c r="AS1156" s="175">
        <v>0</v>
      </c>
      <c r="AT1156" s="175">
        <v>0</v>
      </c>
      <c r="AU1156" s="175">
        <v>0</v>
      </c>
      <c r="AV1156" s="175">
        <v>0</v>
      </c>
      <c r="AW1156" s="175">
        <v>0</v>
      </c>
      <c r="AX1156" s="83">
        <v>0</v>
      </c>
      <c r="AY1156" s="49">
        <v>0</v>
      </c>
      <c r="AZ1156" s="49">
        <v>0</v>
      </c>
      <c r="BA1156" s="49">
        <v>0</v>
      </c>
      <c r="BB1156" s="58">
        <v>0</v>
      </c>
      <c r="BC1156" s="42">
        <v>72</v>
      </c>
      <c r="BS1156" s="58"/>
      <c r="BT1156" s="83"/>
      <c r="CE1156" s="83"/>
      <c r="CK1156" s="58"/>
      <c r="CL1156" s="83"/>
      <c r="CO1156" s="58"/>
      <c r="CP1156" s="83"/>
      <c r="CR1156" s="58"/>
      <c r="CS1156" s="83"/>
      <c r="CY1156" s="83"/>
      <c r="DG1156" s="58"/>
      <c r="DH1156" s="83"/>
      <c r="DQ1156" s="83"/>
      <c r="EE1156" s="58"/>
      <c r="EF1156" s="83"/>
      <c r="EI1156" s="83"/>
      <c r="EK1156" s="58"/>
      <c r="EL1156" s="83"/>
      <c r="EO1156" s="58"/>
      <c r="EP1156" s="83"/>
      <c r="EQ1156" s="58"/>
      <c r="ER1156" s="83"/>
      <c r="ES1156" s="58"/>
      <c r="ET1156" s="83"/>
      <c r="EU1156" s="58"/>
    </row>
    <row r="1157" spans="1:151">
      <c r="A1157" s="42" t="s">
        <v>324</v>
      </c>
      <c r="B1157" s="173" t="s">
        <v>555</v>
      </c>
      <c r="C1157" s="173" t="s">
        <v>556</v>
      </c>
      <c r="D1157" s="83" t="s">
        <v>74</v>
      </c>
      <c r="E1157" s="49" t="s">
        <v>0</v>
      </c>
      <c r="F1157" s="49" t="s">
        <v>287</v>
      </c>
      <c r="G1157" s="49">
        <v>17.837</v>
      </c>
      <c r="I1157" s="49">
        <v>637</v>
      </c>
      <c r="J1157" s="159">
        <v>1.7843137254901962</v>
      </c>
      <c r="K1157" s="49">
        <v>4</v>
      </c>
      <c r="L1157" s="49">
        <v>3</v>
      </c>
      <c r="M1157" s="83">
        <v>0</v>
      </c>
      <c r="N1157" s="49">
        <v>0</v>
      </c>
      <c r="O1157" s="49">
        <v>0</v>
      </c>
      <c r="P1157" s="49">
        <v>0</v>
      </c>
      <c r="Q1157" s="58">
        <v>0</v>
      </c>
      <c r="R1157" s="42">
        <v>0</v>
      </c>
      <c r="S1157" s="83" t="s">
        <v>283</v>
      </c>
      <c r="T1157" s="49">
        <v>42</v>
      </c>
      <c r="U1157" s="83">
        <v>1</v>
      </c>
      <c r="V1157" s="49">
        <v>4</v>
      </c>
      <c r="W1157" s="49">
        <v>2</v>
      </c>
      <c r="X1157" s="58"/>
      <c r="Y1157" s="83">
        <v>1</v>
      </c>
      <c r="AH1157" s="49">
        <v>7</v>
      </c>
      <c r="AI1157" s="49">
        <v>46</v>
      </c>
      <c r="AJ1157" s="49">
        <v>0</v>
      </c>
      <c r="AK1157" s="83">
        <v>0</v>
      </c>
      <c r="AL1157" s="49">
        <v>0</v>
      </c>
      <c r="AM1157" s="49">
        <v>0</v>
      </c>
      <c r="AN1157" s="49">
        <v>0</v>
      </c>
      <c r="AO1157" s="58">
        <v>0</v>
      </c>
      <c r="AP1157" s="174">
        <v>0</v>
      </c>
      <c r="AQ1157" s="175">
        <v>0</v>
      </c>
      <c r="AR1157" s="175">
        <v>0</v>
      </c>
      <c r="AS1157" s="175">
        <v>0</v>
      </c>
      <c r="AT1157" s="175">
        <v>0</v>
      </c>
      <c r="AU1157" s="175">
        <v>0</v>
      </c>
      <c r="AV1157" s="175">
        <v>0</v>
      </c>
      <c r="AW1157" s="175">
        <v>0</v>
      </c>
      <c r="AX1157" s="83">
        <v>0</v>
      </c>
      <c r="AY1157" s="49">
        <v>0</v>
      </c>
      <c r="AZ1157" s="49">
        <v>0</v>
      </c>
      <c r="BA1157" s="49">
        <v>0</v>
      </c>
      <c r="BB1157" s="58">
        <v>0</v>
      </c>
      <c r="BC1157" s="42">
        <v>122</v>
      </c>
      <c r="BS1157" s="58"/>
      <c r="BT1157" s="83"/>
      <c r="CE1157" s="83"/>
      <c r="CK1157" s="58"/>
      <c r="CL1157" s="83"/>
      <c r="CO1157" s="58"/>
      <c r="CP1157" s="83"/>
      <c r="CR1157" s="58"/>
      <c r="CS1157" s="83"/>
      <c r="CY1157" s="83"/>
      <c r="DG1157" s="58"/>
      <c r="DH1157" s="83"/>
      <c r="DQ1157" s="83"/>
      <c r="EE1157" s="58"/>
      <c r="EF1157" s="83"/>
      <c r="EI1157" s="83"/>
      <c r="EK1157" s="58"/>
      <c r="EL1157" s="83"/>
      <c r="EO1157" s="58"/>
      <c r="EP1157" s="83"/>
      <c r="EQ1157" s="58"/>
      <c r="ER1157" s="83"/>
      <c r="ES1157" s="58"/>
      <c r="ET1157" s="83"/>
      <c r="EU1157" s="58"/>
    </row>
    <row r="1158" spans="1:151">
      <c r="A1158" s="42" t="s">
        <v>324</v>
      </c>
      <c r="B1158" s="173" t="s">
        <v>555</v>
      </c>
      <c r="C1158" s="173" t="s">
        <v>556</v>
      </c>
      <c r="D1158" s="83" t="s">
        <v>74</v>
      </c>
      <c r="E1158" s="49" t="s">
        <v>1</v>
      </c>
      <c r="F1158" s="49" t="s">
        <v>287</v>
      </c>
      <c r="G1158" s="49">
        <v>17.837</v>
      </c>
      <c r="I1158" s="49">
        <v>657</v>
      </c>
      <c r="J1158" s="159">
        <v>1.5605700712589075</v>
      </c>
      <c r="K1158" s="49">
        <v>4</v>
      </c>
      <c r="L1158" s="49">
        <v>3</v>
      </c>
      <c r="M1158" s="83">
        <v>0</v>
      </c>
      <c r="N1158" s="49">
        <v>1</v>
      </c>
      <c r="O1158" s="49">
        <v>0</v>
      </c>
      <c r="P1158" s="49">
        <v>0</v>
      </c>
      <c r="Q1158" s="58">
        <v>0</v>
      </c>
      <c r="R1158" s="42">
        <v>1</v>
      </c>
      <c r="S1158" s="83" t="s">
        <v>284</v>
      </c>
      <c r="U1158" s="83">
        <v>1</v>
      </c>
      <c r="V1158" s="49">
        <v>3</v>
      </c>
      <c r="W1158" s="49">
        <v>2</v>
      </c>
      <c r="X1158" s="58"/>
      <c r="Y1158" s="83">
        <v>1</v>
      </c>
      <c r="AE1158" s="49">
        <v>30</v>
      </c>
      <c r="AJ1158" s="49">
        <v>0</v>
      </c>
      <c r="AK1158" s="83">
        <v>0</v>
      </c>
      <c r="AL1158" s="49">
        <v>0</v>
      </c>
      <c r="AM1158" s="49">
        <v>0</v>
      </c>
      <c r="AN1158" s="49">
        <v>0</v>
      </c>
      <c r="AO1158" s="58">
        <v>0</v>
      </c>
      <c r="AP1158" s="174">
        <v>0</v>
      </c>
      <c r="AQ1158" s="175">
        <v>0</v>
      </c>
      <c r="AR1158" s="175">
        <v>0</v>
      </c>
      <c r="AS1158" s="175">
        <v>0</v>
      </c>
      <c r="AT1158" s="175">
        <v>0</v>
      </c>
      <c r="AU1158" s="175">
        <v>0</v>
      </c>
      <c r="AV1158" s="175">
        <v>0</v>
      </c>
      <c r="AW1158" s="175">
        <v>0</v>
      </c>
      <c r="AX1158" s="83">
        <v>0</v>
      </c>
      <c r="AY1158" s="49">
        <v>0</v>
      </c>
      <c r="AZ1158" s="49">
        <v>0</v>
      </c>
      <c r="BA1158" s="49">
        <v>0</v>
      </c>
      <c r="BB1158" s="58">
        <v>0</v>
      </c>
      <c r="BC1158" s="42">
        <v>122</v>
      </c>
      <c r="BS1158" s="58"/>
      <c r="BT1158" s="83"/>
      <c r="CE1158" s="83"/>
      <c r="CK1158" s="58"/>
      <c r="CL1158" s="83"/>
      <c r="CO1158" s="58"/>
      <c r="CP1158" s="83"/>
      <c r="CR1158" s="58"/>
      <c r="CS1158" s="83"/>
      <c r="CY1158" s="83"/>
      <c r="DG1158" s="58"/>
      <c r="DH1158" s="83"/>
      <c r="DQ1158" s="83"/>
      <c r="EE1158" s="58"/>
      <c r="EF1158" s="83"/>
      <c r="EI1158" s="83"/>
      <c r="EK1158" s="58"/>
      <c r="EL1158" s="83"/>
      <c r="EO1158" s="58"/>
      <c r="EP1158" s="83"/>
      <c r="EQ1158" s="58"/>
      <c r="ER1158" s="83"/>
      <c r="ES1158" s="58"/>
      <c r="ET1158" s="83"/>
      <c r="EU1158" s="58"/>
    </row>
    <row r="1159" spans="1:151">
      <c r="A1159" s="42" t="s">
        <v>324</v>
      </c>
      <c r="B1159" s="173" t="s">
        <v>555</v>
      </c>
      <c r="C1159" s="173" t="s">
        <v>556</v>
      </c>
      <c r="D1159" s="83" t="s">
        <v>74</v>
      </c>
      <c r="E1159" s="49" t="s">
        <v>2</v>
      </c>
      <c r="F1159" s="49" t="s">
        <v>286</v>
      </c>
      <c r="G1159" s="49">
        <v>17.837</v>
      </c>
      <c r="I1159" s="49">
        <v>2803</v>
      </c>
      <c r="J1159" s="159">
        <v>2.6848659003831417</v>
      </c>
      <c r="K1159" s="49">
        <v>1</v>
      </c>
      <c r="L1159" s="49">
        <v>3</v>
      </c>
      <c r="M1159" s="83">
        <v>0</v>
      </c>
      <c r="N1159" s="49">
        <v>2</v>
      </c>
      <c r="O1159" s="49">
        <v>0</v>
      </c>
      <c r="P1159" s="49">
        <v>0</v>
      </c>
      <c r="Q1159" s="58">
        <v>0</v>
      </c>
      <c r="R1159" s="42">
        <v>2</v>
      </c>
      <c r="S1159" s="83" t="s">
        <v>283</v>
      </c>
      <c r="T1159" s="49">
        <v>13</v>
      </c>
      <c r="U1159" s="83">
        <v>1</v>
      </c>
      <c r="V1159" s="49">
        <v>3</v>
      </c>
      <c r="W1159" s="49">
        <v>2</v>
      </c>
      <c r="X1159" s="58"/>
      <c r="Y1159" s="83">
        <v>10</v>
      </c>
      <c r="AD1159" s="49">
        <v>9</v>
      </c>
      <c r="AE1159" s="49">
        <v>369</v>
      </c>
      <c r="AF1159" s="49">
        <v>11</v>
      </c>
      <c r="AG1159" s="49">
        <v>95</v>
      </c>
      <c r="AH1159" s="49">
        <v>70</v>
      </c>
      <c r="AI1159" s="49">
        <v>1033</v>
      </c>
      <c r="AJ1159" s="49">
        <v>1</v>
      </c>
      <c r="AK1159" s="83">
        <v>0</v>
      </c>
      <c r="AL1159" s="49">
        <v>0</v>
      </c>
      <c r="AM1159" s="49">
        <v>0</v>
      </c>
      <c r="AN1159" s="49">
        <v>0</v>
      </c>
      <c r="AO1159" s="58">
        <v>0</v>
      </c>
      <c r="AP1159" s="174">
        <v>0</v>
      </c>
      <c r="AQ1159" s="175">
        <v>0</v>
      </c>
      <c r="AR1159" s="175">
        <v>0</v>
      </c>
      <c r="AS1159" s="175">
        <v>0</v>
      </c>
      <c r="AT1159" s="175">
        <v>0</v>
      </c>
      <c r="AU1159" s="175">
        <v>0</v>
      </c>
      <c r="AV1159" s="175">
        <v>0</v>
      </c>
      <c r="AW1159" s="175">
        <v>0</v>
      </c>
      <c r="AX1159" s="83">
        <v>0</v>
      </c>
      <c r="AY1159" s="49">
        <v>0</v>
      </c>
      <c r="AZ1159" s="49">
        <v>0</v>
      </c>
      <c r="BA1159" s="49">
        <v>0</v>
      </c>
      <c r="BB1159" s="58">
        <v>0</v>
      </c>
      <c r="BC1159" s="42">
        <v>122</v>
      </c>
      <c r="BS1159" s="58"/>
      <c r="BT1159" s="83"/>
      <c r="CE1159" s="83"/>
      <c r="CK1159" s="58"/>
      <c r="CL1159" s="83"/>
      <c r="CO1159" s="58"/>
      <c r="CP1159" s="83"/>
      <c r="CR1159" s="58"/>
      <c r="CS1159" s="83"/>
      <c r="CY1159" s="83"/>
      <c r="DG1159" s="58"/>
      <c r="DH1159" s="83"/>
      <c r="DQ1159" s="83"/>
      <c r="EE1159" s="58"/>
      <c r="EF1159" s="83"/>
      <c r="EI1159" s="83"/>
      <c r="EK1159" s="58"/>
      <c r="EL1159" s="83"/>
      <c r="EO1159" s="58"/>
      <c r="EP1159" s="83"/>
      <c r="EQ1159" s="58"/>
      <c r="ER1159" s="83"/>
      <c r="ES1159" s="58"/>
      <c r="ET1159" s="83"/>
      <c r="EU1159" s="58"/>
    </row>
    <row r="1160" spans="1:151">
      <c r="A1160" s="42" t="s">
        <v>324</v>
      </c>
      <c r="B1160" s="173" t="s">
        <v>555</v>
      </c>
      <c r="C1160" s="173" t="s">
        <v>556</v>
      </c>
      <c r="D1160" s="83" t="s">
        <v>74</v>
      </c>
      <c r="E1160" s="49" t="s">
        <v>3</v>
      </c>
      <c r="F1160" s="49" t="s">
        <v>286</v>
      </c>
      <c r="G1160" s="49">
        <v>17.837</v>
      </c>
      <c r="I1160" s="49">
        <v>4317</v>
      </c>
      <c r="J1160" s="159">
        <v>1.4452628054904586</v>
      </c>
      <c r="K1160" s="49">
        <v>4</v>
      </c>
      <c r="L1160" s="49">
        <v>4</v>
      </c>
      <c r="M1160" s="83">
        <v>0</v>
      </c>
      <c r="N1160" s="49">
        <v>4</v>
      </c>
      <c r="O1160" s="49">
        <v>0</v>
      </c>
      <c r="P1160" s="49">
        <v>0</v>
      </c>
      <c r="Q1160" s="58">
        <v>0</v>
      </c>
      <c r="R1160" s="42">
        <v>4</v>
      </c>
      <c r="S1160" s="83" t="s">
        <v>283</v>
      </c>
      <c r="T1160" s="49">
        <v>17</v>
      </c>
      <c r="U1160" s="83">
        <v>1</v>
      </c>
      <c r="V1160" s="49">
        <v>4</v>
      </c>
      <c r="W1160" s="49">
        <v>2</v>
      </c>
      <c r="X1160" s="58"/>
      <c r="Y1160" s="83">
        <v>20</v>
      </c>
      <c r="Z1160" s="49">
        <v>6</v>
      </c>
      <c r="AA1160" s="49">
        <v>52</v>
      </c>
      <c r="AD1160" s="49">
        <v>9</v>
      </c>
      <c r="AE1160" s="49">
        <v>295</v>
      </c>
      <c r="AF1160" s="49">
        <v>3</v>
      </c>
      <c r="AG1160" s="49">
        <v>162</v>
      </c>
      <c r="AH1160" s="49">
        <v>46</v>
      </c>
      <c r="AI1160" s="49">
        <v>1195</v>
      </c>
      <c r="AJ1160" s="49">
        <v>1</v>
      </c>
      <c r="AK1160" s="83">
        <v>0</v>
      </c>
      <c r="AL1160" s="49">
        <v>0</v>
      </c>
      <c r="AM1160" s="49">
        <v>0</v>
      </c>
      <c r="AN1160" s="49">
        <v>0</v>
      </c>
      <c r="AO1160" s="58">
        <v>0</v>
      </c>
      <c r="AP1160" s="174">
        <v>0</v>
      </c>
      <c r="AQ1160" s="175">
        <v>0</v>
      </c>
      <c r="AR1160" s="175">
        <v>0</v>
      </c>
      <c r="AS1160" s="175">
        <v>0</v>
      </c>
      <c r="AT1160" s="175">
        <v>0</v>
      </c>
      <c r="AU1160" s="175">
        <v>0</v>
      </c>
      <c r="AV1160" s="175">
        <v>0</v>
      </c>
      <c r="AW1160" s="175">
        <v>0</v>
      </c>
      <c r="AX1160" s="83">
        <v>0</v>
      </c>
      <c r="AY1160" s="49">
        <v>0</v>
      </c>
      <c r="AZ1160" s="49">
        <v>0</v>
      </c>
      <c r="BA1160" s="49">
        <v>0</v>
      </c>
      <c r="BB1160" s="58">
        <v>0</v>
      </c>
      <c r="BC1160" s="42">
        <v>122</v>
      </c>
      <c r="BS1160" s="58"/>
      <c r="BT1160" s="83"/>
      <c r="CE1160" s="83"/>
      <c r="CK1160" s="58"/>
      <c r="CL1160" s="83"/>
      <c r="CO1160" s="58"/>
      <c r="CP1160" s="83"/>
      <c r="CR1160" s="58"/>
      <c r="CS1160" s="83"/>
      <c r="CY1160" s="83"/>
      <c r="DG1160" s="58"/>
      <c r="DH1160" s="83"/>
      <c r="DQ1160" s="83"/>
      <c r="EE1160" s="58"/>
      <c r="EF1160" s="83"/>
      <c r="EI1160" s="83"/>
      <c r="EK1160" s="58"/>
      <c r="EL1160" s="83"/>
      <c r="EO1160" s="58"/>
      <c r="EP1160" s="83"/>
      <c r="EQ1160" s="58"/>
      <c r="ER1160" s="83"/>
      <c r="ES1160" s="58"/>
      <c r="ET1160" s="83"/>
      <c r="EU1160" s="58"/>
    </row>
    <row r="1161" spans="1:151">
      <c r="A1161" s="42" t="s">
        <v>324</v>
      </c>
      <c r="B1161" s="173" t="s">
        <v>555</v>
      </c>
      <c r="C1161" s="173" t="s">
        <v>556</v>
      </c>
      <c r="D1161" s="83" t="s">
        <v>75</v>
      </c>
      <c r="F1161" s="49" t="s">
        <v>286</v>
      </c>
      <c r="G1161" s="49">
        <v>17.837</v>
      </c>
      <c r="I1161" s="49">
        <v>1714</v>
      </c>
      <c r="J1161" s="159">
        <v>1.0041007615700059</v>
      </c>
      <c r="K1161" s="49">
        <v>2</v>
      </c>
      <c r="L1161" s="49">
        <v>3</v>
      </c>
      <c r="M1161" s="83">
        <v>0</v>
      </c>
      <c r="N1161" s="49">
        <v>3</v>
      </c>
      <c r="O1161" s="49">
        <v>0</v>
      </c>
      <c r="P1161" s="49">
        <v>1</v>
      </c>
      <c r="Q1161" s="58">
        <v>0</v>
      </c>
      <c r="R1161" s="42">
        <v>4</v>
      </c>
      <c r="S1161" s="83" t="s">
        <v>284</v>
      </c>
      <c r="U1161" s="83">
        <v>0</v>
      </c>
      <c r="V1161" s="49">
        <v>0</v>
      </c>
      <c r="W1161" s="49">
        <v>0</v>
      </c>
      <c r="X1161" s="58"/>
      <c r="Y1161" s="83">
        <v>20</v>
      </c>
      <c r="AA1161" s="49">
        <v>9</v>
      </c>
      <c r="AE1161" s="49">
        <v>5</v>
      </c>
      <c r="AF1161" s="49">
        <v>5</v>
      </c>
      <c r="AG1161" s="49">
        <v>306</v>
      </c>
      <c r="AH1161" s="49">
        <v>5</v>
      </c>
      <c r="AI1161" s="49">
        <v>256</v>
      </c>
      <c r="AJ1161" s="49">
        <v>1</v>
      </c>
      <c r="AK1161" s="83">
        <v>0</v>
      </c>
      <c r="AL1161" s="49">
        <v>0</v>
      </c>
      <c r="AM1161" s="49">
        <v>0</v>
      </c>
      <c r="AN1161" s="49">
        <v>0</v>
      </c>
      <c r="AO1161" s="58">
        <v>0</v>
      </c>
      <c r="AP1161" s="174">
        <v>0</v>
      </c>
      <c r="AQ1161" s="175">
        <v>0</v>
      </c>
      <c r="AR1161" s="175">
        <v>0</v>
      </c>
      <c r="AS1161" s="175">
        <v>0</v>
      </c>
      <c r="AT1161" s="175">
        <v>0</v>
      </c>
      <c r="AU1161" s="175">
        <v>0</v>
      </c>
      <c r="AV1161" s="175">
        <v>0</v>
      </c>
      <c r="AW1161" s="175">
        <v>0</v>
      </c>
      <c r="AX1161" s="83">
        <v>0</v>
      </c>
      <c r="AY1161" s="49">
        <v>0</v>
      </c>
      <c r="AZ1161" s="49">
        <v>0</v>
      </c>
      <c r="BA1161" s="49">
        <v>0</v>
      </c>
      <c r="BB1161" s="58">
        <v>0</v>
      </c>
      <c r="BC1161" s="42">
        <v>109</v>
      </c>
      <c r="BE1161" s="49"/>
      <c r="BS1161" s="58"/>
      <c r="BT1161" s="83">
        <v>71.67</v>
      </c>
      <c r="BU1161" s="49">
        <v>75.180000000000007</v>
      </c>
      <c r="BV1161" s="49">
        <v>75.91</v>
      </c>
      <c r="BW1161" s="49">
        <v>73.180000000000007</v>
      </c>
      <c r="CE1161" s="83"/>
      <c r="CK1161" s="58"/>
      <c r="CL1161" s="83"/>
      <c r="CO1161" s="58"/>
      <c r="CP1161" s="83"/>
      <c r="CR1161" s="58"/>
      <c r="CS1161" s="83"/>
      <c r="CY1161" s="83"/>
      <c r="DG1161" s="58"/>
      <c r="DH1161" s="83">
        <v>62.63</v>
      </c>
      <c r="DI1161" s="49">
        <v>62.33</v>
      </c>
      <c r="DJ1161" s="49">
        <v>62.03</v>
      </c>
      <c r="DK1161" s="49">
        <v>61.73</v>
      </c>
      <c r="DL1161" s="49">
        <v>61.43</v>
      </c>
      <c r="DQ1161" s="83">
        <v>67.23</v>
      </c>
      <c r="EE1161" s="58"/>
      <c r="EF1161" s="83"/>
      <c r="EI1161" s="83"/>
      <c r="EK1161" s="58"/>
      <c r="EL1161" s="83"/>
      <c r="EO1161" s="58"/>
      <c r="EP1161" s="83"/>
      <c r="EQ1161" s="58"/>
      <c r="ER1161" s="83"/>
      <c r="ES1161" s="58"/>
      <c r="ET1161" s="83"/>
      <c r="EU1161" s="58"/>
    </row>
    <row r="1162" spans="1:151">
      <c r="A1162" s="42" t="s">
        <v>324</v>
      </c>
      <c r="B1162" s="173" t="s">
        <v>555</v>
      </c>
      <c r="C1162" s="173" t="s">
        <v>556</v>
      </c>
      <c r="D1162" s="83" t="s">
        <v>73</v>
      </c>
      <c r="F1162" s="49" t="s">
        <v>286</v>
      </c>
      <c r="G1162" s="49">
        <v>17.837</v>
      </c>
      <c r="I1162" s="49">
        <v>1042</v>
      </c>
      <c r="J1162" s="159">
        <v>1.2753977968176256</v>
      </c>
      <c r="K1162" s="49">
        <v>1</v>
      </c>
      <c r="L1162" s="49">
        <v>2</v>
      </c>
      <c r="M1162" s="83">
        <v>0</v>
      </c>
      <c r="N1162" s="49">
        <v>1</v>
      </c>
      <c r="O1162" s="49">
        <v>0</v>
      </c>
      <c r="P1162" s="49">
        <v>1</v>
      </c>
      <c r="Q1162" s="58">
        <v>0</v>
      </c>
      <c r="R1162" s="42">
        <v>2</v>
      </c>
      <c r="S1162" s="83" t="s">
        <v>283</v>
      </c>
      <c r="T1162" s="49">
        <v>6</v>
      </c>
      <c r="U1162" s="83">
        <v>1</v>
      </c>
      <c r="V1162" s="49">
        <v>4</v>
      </c>
      <c r="W1162" s="49">
        <v>1</v>
      </c>
      <c r="X1162" s="58">
        <v>2</v>
      </c>
      <c r="Y1162" s="83">
        <v>1</v>
      </c>
      <c r="AF1162" s="49">
        <v>7</v>
      </c>
      <c r="AG1162" s="49">
        <v>27</v>
      </c>
      <c r="AJ1162" s="49">
        <v>0</v>
      </c>
      <c r="AK1162" s="83">
        <v>0</v>
      </c>
      <c r="AL1162" s="49">
        <v>1</v>
      </c>
      <c r="AM1162" s="49">
        <v>0</v>
      </c>
      <c r="AN1162" s="49">
        <v>0</v>
      </c>
      <c r="AO1162" s="58">
        <v>0</v>
      </c>
      <c r="AP1162" s="174">
        <v>0</v>
      </c>
      <c r="AQ1162" s="175">
        <v>367</v>
      </c>
      <c r="AR1162" s="175">
        <v>0</v>
      </c>
      <c r="AS1162" s="175">
        <v>0</v>
      </c>
      <c r="AT1162" s="175">
        <v>0</v>
      </c>
      <c r="AU1162" s="175">
        <v>0</v>
      </c>
      <c r="AV1162" s="175">
        <v>0</v>
      </c>
      <c r="AW1162" s="175">
        <v>0</v>
      </c>
      <c r="AX1162" s="83">
        <v>0</v>
      </c>
      <c r="AY1162" s="49">
        <v>0</v>
      </c>
      <c r="AZ1162" s="49">
        <v>0</v>
      </c>
      <c r="BA1162" s="49">
        <v>0</v>
      </c>
      <c r="BB1162" s="58">
        <v>0</v>
      </c>
      <c r="BC1162" s="42">
        <v>96</v>
      </c>
      <c r="BD1162" s="49">
        <v>62.77</v>
      </c>
      <c r="BE1162" s="159">
        <v>62.41</v>
      </c>
      <c r="BS1162" s="58"/>
      <c r="BT1162" s="83">
        <v>74.58</v>
      </c>
      <c r="CE1162" s="83"/>
      <c r="CK1162" s="58"/>
      <c r="CL1162" s="83"/>
      <c r="CO1162" s="58"/>
      <c r="CP1162" s="83"/>
      <c r="CR1162" s="58"/>
      <c r="CS1162" s="83"/>
      <c r="CY1162" s="83"/>
      <c r="DG1162" s="58"/>
      <c r="DH1162" s="83"/>
      <c r="DQ1162" s="83"/>
      <c r="EE1162" s="58"/>
      <c r="EF1162" s="83"/>
      <c r="EI1162" s="83"/>
      <c r="EK1162" s="58"/>
      <c r="EL1162" s="83"/>
      <c r="EO1162" s="58"/>
      <c r="EP1162" s="83"/>
      <c r="EQ1162" s="58"/>
      <c r="ER1162" s="83"/>
      <c r="ES1162" s="58"/>
      <c r="ET1162" s="83"/>
      <c r="EU1162" s="58"/>
    </row>
    <row r="1163" spans="1:151">
      <c r="A1163" s="42" t="s">
        <v>324</v>
      </c>
      <c r="B1163" s="173" t="s">
        <v>555</v>
      </c>
      <c r="C1163" s="173" t="s">
        <v>556</v>
      </c>
      <c r="D1163" s="83" t="s">
        <v>81</v>
      </c>
      <c r="F1163" s="49" t="s">
        <v>287</v>
      </c>
      <c r="G1163" s="49">
        <v>17.837</v>
      </c>
      <c r="I1163" s="49">
        <v>922</v>
      </c>
      <c r="J1163" s="159">
        <v>1.5290215588723051</v>
      </c>
      <c r="K1163" s="49">
        <v>4</v>
      </c>
      <c r="L1163" s="49">
        <v>3</v>
      </c>
      <c r="M1163" s="83">
        <v>0</v>
      </c>
      <c r="N1163" s="49">
        <v>0</v>
      </c>
      <c r="O1163" s="49">
        <v>0</v>
      </c>
      <c r="P1163" s="49">
        <v>1</v>
      </c>
      <c r="Q1163" s="58">
        <v>0</v>
      </c>
      <c r="R1163" s="42">
        <v>1</v>
      </c>
      <c r="S1163" s="83" t="s">
        <v>283</v>
      </c>
      <c r="T1163" s="49">
        <v>3</v>
      </c>
      <c r="U1163" s="83">
        <v>1</v>
      </c>
      <c r="V1163" s="49">
        <v>4</v>
      </c>
      <c r="W1163" s="49">
        <v>1</v>
      </c>
      <c r="X1163" s="58">
        <v>1</v>
      </c>
      <c r="Y1163" s="83">
        <v>1</v>
      </c>
      <c r="AF1163" s="49">
        <v>4</v>
      </c>
      <c r="AG1163" s="49">
        <v>14</v>
      </c>
      <c r="AH1163" s="49">
        <v>10</v>
      </c>
      <c r="AI1163" s="49">
        <v>17</v>
      </c>
      <c r="AJ1163" s="49">
        <v>0</v>
      </c>
      <c r="AK1163" s="83">
        <v>0</v>
      </c>
      <c r="AL1163" s="49">
        <v>0</v>
      </c>
      <c r="AM1163" s="49">
        <v>1</v>
      </c>
      <c r="AN1163" s="49">
        <v>0</v>
      </c>
      <c r="AO1163" s="58">
        <v>0</v>
      </c>
      <c r="AP1163" s="174">
        <v>0</v>
      </c>
      <c r="AQ1163" s="175">
        <v>0</v>
      </c>
      <c r="AR1163" s="175">
        <v>26</v>
      </c>
      <c r="AS1163" s="175">
        <v>42</v>
      </c>
      <c r="AT1163" s="175">
        <v>0</v>
      </c>
      <c r="AU1163" s="175">
        <v>0</v>
      </c>
      <c r="AV1163" s="175">
        <v>0</v>
      </c>
      <c r="AW1163" s="175">
        <v>0</v>
      </c>
      <c r="AX1163" s="83">
        <v>0</v>
      </c>
      <c r="AY1163" s="49">
        <v>1</v>
      </c>
      <c r="AZ1163" s="49">
        <v>0</v>
      </c>
      <c r="BA1163" s="49">
        <v>0</v>
      </c>
      <c r="BB1163" s="58">
        <v>1</v>
      </c>
      <c r="BC1163" s="42">
        <v>61</v>
      </c>
      <c r="BD1163" s="49">
        <v>79.61</v>
      </c>
      <c r="BE1163" s="159">
        <v>79.14</v>
      </c>
      <c r="BS1163" s="58"/>
      <c r="BT1163" s="83"/>
      <c r="CE1163" s="83">
        <v>71.37</v>
      </c>
      <c r="CF1163" s="49">
        <v>73.150000000000006</v>
      </c>
      <c r="CK1163" s="58"/>
      <c r="CL1163" s="83"/>
      <c r="CO1163" s="58"/>
      <c r="CP1163" s="83"/>
      <c r="CR1163" s="58"/>
      <c r="CS1163" s="83"/>
      <c r="CY1163" s="83"/>
      <c r="DG1163" s="58"/>
      <c r="DH1163" s="83"/>
      <c r="DQ1163" s="83"/>
      <c r="EE1163" s="58"/>
      <c r="EF1163" s="83"/>
      <c r="EI1163" s="83"/>
      <c r="EK1163" s="58"/>
      <c r="EL1163" s="83"/>
      <c r="EO1163" s="58"/>
      <c r="EP1163" s="83"/>
      <c r="EQ1163" s="58"/>
      <c r="ER1163" s="83"/>
      <c r="ES1163" s="58"/>
      <c r="ET1163" s="83"/>
      <c r="EU1163" s="58"/>
    </row>
    <row r="1164" spans="1:151">
      <c r="A1164" s="42" t="s">
        <v>324</v>
      </c>
      <c r="B1164" s="173" t="s">
        <v>555</v>
      </c>
      <c r="C1164" s="173" t="s">
        <v>556</v>
      </c>
      <c r="D1164" s="83" t="s">
        <v>87</v>
      </c>
      <c r="F1164" s="49" t="s">
        <v>286</v>
      </c>
      <c r="G1164" s="49">
        <v>17.837</v>
      </c>
      <c r="I1164" s="49">
        <v>1102</v>
      </c>
      <c r="J1164" s="159">
        <v>1.3672456575682381</v>
      </c>
      <c r="K1164" s="49">
        <v>1</v>
      </c>
      <c r="L1164" s="49">
        <v>1</v>
      </c>
      <c r="M1164" s="83">
        <v>0</v>
      </c>
      <c r="N1164" s="49">
        <v>0</v>
      </c>
      <c r="O1164" s="49">
        <v>1</v>
      </c>
      <c r="P1164" s="49">
        <v>0</v>
      </c>
      <c r="Q1164" s="58">
        <v>0</v>
      </c>
      <c r="R1164" s="42">
        <v>1</v>
      </c>
      <c r="S1164" s="83" t="s">
        <v>283</v>
      </c>
      <c r="T1164" s="49">
        <v>4</v>
      </c>
      <c r="U1164" s="83">
        <v>1</v>
      </c>
      <c r="V1164" s="49">
        <v>2</v>
      </c>
      <c r="W1164" s="49">
        <v>1</v>
      </c>
      <c r="X1164" s="58">
        <v>1</v>
      </c>
      <c r="Y1164" s="83">
        <v>1</v>
      </c>
      <c r="AA1164" s="49">
        <v>13</v>
      </c>
      <c r="AE1164" s="49">
        <v>18</v>
      </c>
      <c r="AJ1164" s="49">
        <v>0</v>
      </c>
      <c r="AK1164" s="83">
        <v>0</v>
      </c>
      <c r="AL1164" s="49">
        <v>0</v>
      </c>
      <c r="AM1164" s="49">
        <v>0</v>
      </c>
      <c r="AN1164" s="49">
        <v>0</v>
      </c>
      <c r="AO1164" s="58">
        <v>0</v>
      </c>
      <c r="AP1164" s="174">
        <v>0</v>
      </c>
      <c r="AQ1164" s="175">
        <v>0</v>
      </c>
      <c r="AR1164" s="175">
        <v>0</v>
      </c>
      <c r="AS1164" s="175">
        <v>0</v>
      </c>
      <c r="AT1164" s="175">
        <v>0</v>
      </c>
      <c r="AU1164" s="175">
        <v>0</v>
      </c>
      <c r="AV1164" s="175">
        <v>0</v>
      </c>
      <c r="AW1164" s="175">
        <v>0</v>
      </c>
      <c r="AX1164" s="83">
        <v>0</v>
      </c>
      <c r="AY1164" s="49">
        <v>0</v>
      </c>
      <c r="AZ1164" s="49">
        <v>0</v>
      </c>
      <c r="BA1164" s="49">
        <v>0</v>
      </c>
      <c r="BB1164" s="58">
        <v>0</v>
      </c>
      <c r="BC1164" s="42">
        <v>98</v>
      </c>
      <c r="BD1164" s="49">
        <v>77.56</v>
      </c>
      <c r="BE1164" s="49">
        <v>78.86</v>
      </c>
      <c r="BS1164" s="58"/>
      <c r="BT1164" s="83"/>
      <c r="CE1164" s="83"/>
      <c r="CK1164" s="58"/>
      <c r="CL1164" s="83">
        <v>66.66</v>
      </c>
      <c r="CO1164" s="58"/>
      <c r="CP1164" s="83"/>
      <c r="CR1164" s="58"/>
      <c r="CS1164" s="83"/>
      <c r="CY1164" s="83"/>
      <c r="DG1164" s="58"/>
      <c r="DH1164" s="83"/>
      <c r="DQ1164" s="83"/>
      <c r="EE1164" s="58"/>
      <c r="EF1164" s="83"/>
      <c r="EI1164" s="83"/>
      <c r="EK1164" s="58"/>
      <c r="EL1164" s="83"/>
      <c r="EO1164" s="58"/>
      <c r="EP1164" s="83"/>
      <c r="EQ1164" s="58"/>
      <c r="ER1164" s="83"/>
      <c r="ES1164" s="58"/>
      <c r="ET1164" s="83"/>
      <c r="EU1164" s="58"/>
    </row>
    <row r="1165" spans="1:151">
      <c r="A1165" s="42" t="s">
        <v>324</v>
      </c>
      <c r="B1165" s="173" t="s">
        <v>555</v>
      </c>
      <c r="C1165" s="173" t="s">
        <v>556</v>
      </c>
      <c r="D1165" s="83" t="s">
        <v>88</v>
      </c>
      <c r="E1165" s="49" t="s">
        <v>0</v>
      </c>
      <c r="F1165" s="49" t="s">
        <v>286</v>
      </c>
      <c r="G1165" s="49">
        <v>17.837</v>
      </c>
      <c r="I1165" s="49">
        <v>1841</v>
      </c>
      <c r="J1165" s="159">
        <v>5.7352024922118376</v>
      </c>
      <c r="K1165" s="49">
        <v>1</v>
      </c>
      <c r="L1165" s="49">
        <v>1</v>
      </c>
      <c r="M1165" s="83">
        <v>0</v>
      </c>
      <c r="N1165" s="49">
        <v>0</v>
      </c>
      <c r="O1165" s="49">
        <v>0</v>
      </c>
      <c r="P1165" s="49">
        <v>1</v>
      </c>
      <c r="Q1165" s="58">
        <v>0</v>
      </c>
      <c r="R1165" s="42">
        <v>1</v>
      </c>
      <c r="S1165" s="83" t="s">
        <v>284</v>
      </c>
      <c r="U1165" s="83">
        <v>0</v>
      </c>
      <c r="V1165" s="49">
        <v>0</v>
      </c>
      <c r="W1165" s="49">
        <v>0</v>
      </c>
      <c r="X1165" s="58"/>
      <c r="Y1165" s="83">
        <v>1</v>
      </c>
      <c r="AD1165" s="49">
        <v>3</v>
      </c>
      <c r="AE1165" s="49">
        <v>100</v>
      </c>
      <c r="AH1165" s="49">
        <v>9</v>
      </c>
      <c r="AI1165" s="49">
        <v>15</v>
      </c>
      <c r="AJ1165" s="49">
        <v>0</v>
      </c>
      <c r="AK1165" s="83">
        <v>0</v>
      </c>
      <c r="AL1165" s="49">
        <v>1</v>
      </c>
      <c r="AM1165" s="49">
        <v>0</v>
      </c>
      <c r="AN1165" s="49">
        <v>0</v>
      </c>
      <c r="AO1165" s="58">
        <v>0</v>
      </c>
      <c r="AP1165" s="174">
        <v>0</v>
      </c>
      <c r="AQ1165" s="175">
        <v>89</v>
      </c>
      <c r="AR1165" s="175">
        <v>0</v>
      </c>
      <c r="AS1165" s="175">
        <v>0</v>
      </c>
      <c r="AT1165" s="175">
        <v>0</v>
      </c>
      <c r="AU1165" s="175">
        <v>0</v>
      </c>
      <c r="AV1165" s="175">
        <v>0</v>
      </c>
      <c r="AW1165" s="175">
        <v>0</v>
      </c>
      <c r="AX1165" s="83">
        <v>0</v>
      </c>
      <c r="AY1165" s="49">
        <v>0</v>
      </c>
      <c r="AZ1165" s="49">
        <v>0</v>
      </c>
      <c r="BA1165" s="49">
        <v>0</v>
      </c>
      <c r="BB1165" s="58">
        <v>0</v>
      </c>
      <c r="BC1165" s="42">
        <v>110</v>
      </c>
      <c r="BS1165" s="58"/>
      <c r="BT1165" s="83"/>
      <c r="CE1165" s="83"/>
      <c r="CK1165" s="58"/>
      <c r="CL1165" s="83"/>
      <c r="CO1165" s="58"/>
      <c r="CP1165" s="83"/>
      <c r="CR1165" s="58"/>
      <c r="CS1165" s="83"/>
      <c r="CY1165" s="83"/>
      <c r="DG1165" s="58"/>
      <c r="DH1165" s="83"/>
      <c r="DQ1165" s="83"/>
      <c r="EE1165" s="58"/>
      <c r="EF1165" s="83"/>
      <c r="EI1165" s="83"/>
      <c r="EK1165" s="58"/>
      <c r="EL1165" s="83"/>
      <c r="EO1165" s="58"/>
      <c r="EP1165" s="83"/>
      <c r="EQ1165" s="58"/>
      <c r="ER1165" s="83"/>
      <c r="ES1165" s="58"/>
      <c r="ET1165" s="83"/>
      <c r="EU1165" s="58"/>
    </row>
    <row r="1166" spans="1:151">
      <c r="A1166" s="42" t="s">
        <v>324</v>
      </c>
      <c r="B1166" s="173" t="s">
        <v>555</v>
      </c>
      <c r="C1166" s="173" t="s">
        <v>556</v>
      </c>
      <c r="D1166" s="83" t="s">
        <v>88</v>
      </c>
      <c r="E1166" s="49" t="s">
        <v>1</v>
      </c>
      <c r="F1166" s="49" t="s">
        <v>287</v>
      </c>
      <c r="G1166" s="49">
        <v>17.837</v>
      </c>
      <c r="I1166" s="49">
        <v>491</v>
      </c>
      <c r="J1166" s="159">
        <v>1.4441176470588235</v>
      </c>
      <c r="K1166" s="49">
        <v>4</v>
      </c>
      <c r="L1166" s="49">
        <v>3</v>
      </c>
      <c r="M1166" s="83">
        <v>0</v>
      </c>
      <c r="N1166" s="49">
        <v>1</v>
      </c>
      <c r="O1166" s="49">
        <v>1</v>
      </c>
      <c r="P1166" s="49">
        <v>0</v>
      </c>
      <c r="Q1166" s="58">
        <v>0</v>
      </c>
      <c r="R1166" s="42">
        <v>2</v>
      </c>
      <c r="S1166" s="83" t="s">
        <v>283</v>
      </c>
      <c r="T1166" s="49">
        <v>3</v>
      </c>
      <c r="U1166" s="83">
        <v>1</v>
      </c>
      <c r="V1166" s="49">
        <v>4</v>
      </c>
      <c r="W1166" s="49">
        <v>1</v>
      </c>
      <c r="X1166" s="58">
        <v>1</v>
      </c>
      <c r="Y1166" s="83">
        <v>1</v>
      </c>
      <c r="AE1166" s="49">
        <v>23</v>
      </c>
      <c r="AG1166" s="49">
        <v>15</v>
      </c>
      <c r="AJ1166" s="49">
        <v>0</v>
      </c>
      <c r="AK1166" s="83">
        <v>0</v>
      </c>
      <c r="AL1166" s="49">
        <v>0</v>
      </c>
      <c r="AM1166" s="49">
        <v>0</v>
      </c>
      <c r="AN1166" s="49">
        <v>0</v>
      </c>
      <c r="AO1166" s="58">
        <v>0</v>
      </c>
      <c r="AP1166" s="174">
        <v>0</v>
      </c>
      <c r="AQ1166" s="175">
        <v>0</v>
      </c>
      <c r="AR1166" s="175">
        <v>0</v>
      </c>
      <c r="AS1166" s="175">
        <v>0</v>
      </c>
      <c r="AT1166" s="175">
        <v>0</v>
      </c>
      <c r="AU1166" s="175">
        <v>0</v>
      </c>
      <c r="AV1166" s="175">
        <v>0</v>
      </c>
      <c r="AW1166" s="175">
        <v>0</v>
      </c>
      <c r="AX1166" s="83">
        <v>0</v>
      </c>
      <c r="AY1166" s="49">
        <v>0</v>
      </c>
      <c r="AZ1166" s="49">
        <v>0</v>
      </c>
      <c r="BA1166" s="49">
        <v>0</v>
      </c>
      <c r="BB1166" s="58">
        <v>0</v>
      </c>
      <c r="BC1166" s="42">
        <v>110</v>
      </c>
      <c r="BS1166" s="58"/>
      <c r="BT1166" s="83"/>
      <c r="CE1166" s="83"/>
      <c r="CK1166" s="58"/>
      <c r="CL1166" s="83"/>
      <c r="CO1166" s="58"/>
      <c r="CP1166" s="83"/>
      <c r="CR1166" s="58"/>
      <c r="CS1166" s="83"/>
      <c r="CY1166" s="83"/>
      <c r="DG1166" s="58"/>
      <c r="DH1166" s="83"/>
      <c r="DQ1166" s="83"/>
      <c r="EE1166" s="58"/>
      <c r="EF1166" s="83"/>
      <c r="EI1166" s="83"/>
      <c r="EK1166" s="58"/>
      <c r="EL1166" s="83"/>
      <c r="EO1166" s="58"/>
      <c r="EP1166" s="83"/>
      <c r="EQ1166" s="58"/>
      <c r="ER1166" s="83"/>
      <c r="ES1166" s="58"/>
      <c r="ET1166" s="83"/>
      <c r="EU1166" s="58"/>
    </row>
    <row r="1167" spans="1:151">
      <c r="A1167" s="42" t="s">
        <v>324</v>
      </c>
      <c r="B1167" s="173" t="s">
        <v>555</v>
      </c>
      <c r="C1167" s="173" t="s">
        <v>556</v>
      </c>
      <c r="D1167" s="83" t="s">
        <v>92</v>
      </c>
      <c r="F1167" s="49" t="s">
        <v>286</v>
      </c>
      <c r="G1167" s="49">
        <v>17.837</v>
      </c>
      <c r="I1167" s="49">
        <v>2155</v>
      </c>
      <c r="J1167" s="159">
        <v>1.4954892435808467</v>
      </c>
      <c r="K1167" s="49">
        <v>1</v>
      </c>
      <c r="L1167" s="49">
        <v>2</v>
      </c>
      <c r="M1167" s="83">
        <v>0</v>
      </c>
      <c r="N1167" s="49">
        <v>1</v>
      </c>
      <c r="O1167" s="49">
        <v>1</v>
      </c>
      <c r="P1167" s="49">
        <v>0</v>
      </c>
      <c r="Q1167" s="58">
        <v>0</v>
      </c>
      <c r="R1167" s="42">
        <v>2</v>
      </c>
      <c r="S1167" s="83" t="s">
        <v>284</v>
      </c>
      <c r="U1167" s="83">
        <v>1</v>
      </c>
      <c r="V1167" s="49">
        <v>2</v>
      </c>
      <c r="W1167" s="49">
        <v>1</v>
      </c>
      <c r="X1167" s="58">
        <v>1</v>
      </c>
      <c r="Y1167" s="83">
        <v>1</v>
      </c>
      <c r="Z1167" s="49">
        <v>13</v>
      </c>
      <c r="AA1167" s="49">
        <v>80</v>
      </c>
      <c r="AC1167" s="49">
        <v>27</v>
      </c>
      <c r="AD1167" s="49">
        <v>5</v>
      </c>
      <c r="AE1167" s="49">
        <v>26</v>
      </c>
      <c r="AG1167" s="49">
        <v>10</v>
      </c>
      <c r="AI1167" s="49">
        <v>52</v>
      </c>
      <c r="AJ1167" s="49">
        <v>0</v>
      </c>
      <c r="AK1167" s="83">
        <v>0</v>
      </c>
      <c r="AL1167" s="49">
        <v>1</v>
      </c>
      <c r="AM1167" s="49">
        <v>0</v>
      </c>
      <c r="AN1167" s="49">
        <v>0</v>
      </c>
      <c r="AO1167" s="58">
        <v>0</v>
      </c>
      <c r="AP1167" s="174">
        <v>220</v>
      </c>
      <c r="AQ1167" s="175">
        <v>642</v>
      </c>
      <c r="AR1167" s="175">
        <v>0</v>
      </c>
      <c r="AS1167" s="175">
        <v>0</v>
      </c>
      <c r="AT1167" s="175">
        <v>0</v>
      </c>
      <c r="AU1167" s="175">
        <v>0</v>
      </c>
      <c r="AV1167" s="175">
        <v>0</v>
      </c>
      <c r="AW1167" s="175">
        <v>0</v>
      </c>
      <c r="AX1167" s="83">
        <v>0</v>
      </c>
      <c r="AY1167" s="49">
        <v>0</v>
      </c>
      <c r="AZ1167" s="49">
        <v>0</v>
      </c>
      <c r="BA1167" s="49">
        <v>0</v>
      </c>
      <c r="BB1167" s="58">
        <v>0</v>
      </c>
      <c r="BC1167" s="42">
        <v>119</v>
      </c>
      <c r="BS1167" s="58"/>
      <c r="BT1167" s="83"/>
      <c r="CE1167" s="83"/>
      <c r="CK1167" s="58"/>
      <c r="CL1167" s="83"/>
      <c r="CO1167" s="58"/>
      <c r="CP1167" s="83"/>
      <c r="CR1167" s="58"/>
      <c r="CS1167" s="83"/>
      <c r="CY1167" s="83"/>
      <c r="DG1167" s="58"/>
      <c r="DH1167" s="83"/>
      <c r="DQ1167" s="83"/>
      <c r="EE1167" s="58"/>
      <c r="EF1167" s="83"/>
      <c r="EI1167" s="83"/>
      <c r="EK1167" s="58"/>
      <c r="EL1167" s="83"/>
      <c r="EO1167" s="58"/>
      <c r="EP1167" s="83"/>
      <c r="EQ1167" s="58"/>
      <c r="ER1167" s="83"/>
      <c r="ES1167" s="58"/>
      <c r="ET1167" s="83"/>
      <c r="EU1167" s="58"/>
    </row>
    <row r="1168" spans="1:151">
      <c r="A1168" s="42" t="s">
        <v>324</v>
      </c>
      <c r="B1168" s="173" t="s">
        <v>555</v>
      </c>
      <c r="C1168" s="173" t="s">
        <v>556</v>
      </c>
      <c r="D1168" s="83" t="s">
        <v>93</v>
      </c>
      <c r="F1168" s="49" t="s">
        <v>286</v>
      </c>
      <c r="G1168" s="49">
        <v>17.837</v>
      </c>
      <c r="I1168" s="49">
        <v>6628</v>
      </c>
      <c r="J1168" s="159">
        <v>1.0117539306976033</v>
      </c>
      <c r="K1168" s="49">
        <v>4</v>
      </c>
      <c r="L1168" s="49">
        <v>4</v>
      </c>
      <c r="M1168" s="83">
        <v>0</v>
      </c>
      <c r="N1168" s="49">
        <v>1</v>
      </c>
      <c r="O1168" s="49">
        <v>1</v>
      </c>
      <c r="P1168" s="49">
        <v>1</v>
      </c>
      <c r="Q1168" s="58">
        <v>0</v>
      </c>
      <c r="R1168" s="42">
        <v>3</v>
      </c>
      <c r="S1168" s="83" t="s">
        <v>283</v>
      </c>
      <c r="T1168" s="49">
        <v>10</v>
      </c>
      <c r="U1168" s="83">
        <v>2</v>
      </c>
      <c r="V1168" s="49">
        <v>4</v>
      </c>
      <c r="W1168" s="49">
        <v>3</v>
      </c>
      <c r="X1168" s="58">
        <v>1</v>
      </c>
      <c r="Y1168" s="83">
        <v>6</v>
      </c>
      <c r="Z1168" s="49">
        <v>12</v>
      </c>
      <c r="AA1168" s="49">
        <v>163</v>
      </c>
      <c r="AD1168" s="49">
        <v>11</v>
      </c>
      <c r="AE1168" s="49">
        <v>810</v>
      </c>
      <c r="AF1168" s="49">
        <v>15</v>
      </c>
      <c r="AG1168" s="49">
        <v>416</v>
      </c>
      <c r="AH1168" s="49">
        <v>114</v>
      </c>
      <c r="AI1168" s="49">
        <v>2680</v>
      </c>
      <c r="AJ1168" s="49">
        <v>1</v>
      </c>
      <c r="AK1168" s="83">
        <v>0</v>
      </c>
      <c r="AL1168" s="49">
        <v>1</v>
      </c>
      <c r="AM1168" s="49">
        <v>0</v>
      </c>
      <c r="AN1168" s="49">
        <v>0</v>
      </c>
      <c r="AO1168" s="58">
        <v>0</v>
      </c>
      <c r="AP1168" s="174">
        <v>0</v>
      </c>
      <c r="AQ1168" s="175">
        <v>1530</v>
      </c>
      <c r="AR1168" s="175">
        <v>0</v>
      </c>
      <c r="AS1168" s="175">
        <v>0</v>
      </c>
      <c r="AT1168" s="175">
        <v>0</v>
      </c>
      <c r="AU1168" s="175">
        <v>0</v>
      </c>
      <c r="AV1168" s="175">
        <v>0</v>
      </c>
      <c r="AW1168" s="175">
        <v>0</v>
      </c>
      <c r="AX1168" s="83">
        <v>0</v>
      </c>
      <c r="AY1168" s="49">
        <v>0</v>
      </c>
      <c r="AZ1168" s="49">
        <v>0</v>
      </c>
      <c r="BA1168" s="49">
        <v>0</v>
      </c>
      <c r="BB1168" s="58">
        <v>0</v>
      </c>
      <c r="BC1168" s="42">
        <v>122</v>
      </c>
      <c r="BD1168" s="49">
        <v>79.45</v>
      </c>
      <c r="BE1168" s="159">
        <v>78.38</v>
      </c>
      <c r="BF1168" s="49">
        <v>77.92</v>
      </c>
      <c r="BG1168" s="49">
        <v>79.05</v>
      </c>
      <c r="BH1168" s="49">
        <v>80.150000000000006</v>
      </c>
      <c r="BI1168" s="49">
        <v>81.739999999999995</v>
      </c>
      <c r="BJ1168" s="49">
        <v>79.81</v>
      </c>
      <c r="BS1168" s="58"/>
      <c r="BT1168" s="83"/>
      <c r="CE1168" s="83">
        <v>80.13</v>
      </c>
      <c r="CF1168" s="49">
        <v>80.989999999999995</v>
      </c>
      <c r="CG1168" s="49">
        <v>79.599999999999994</v>
      </c>
      <c r="CK1168" s="58"/>
      <c r="CL1168" s="83"/>
      <c r="CO1168" s="58"/>
      <c r="CP1168" s="83"/>
      <c r="CR1168" s="58"/>
      <c r="CS1168" s="83"/>
      <c r="CY1168" s="83"/>
      <c r="DG1168" s="58"/>
      <c r="DH1168" s="83"/>
      <c r="DQ1168" s="83"/>
      <c r="EE1168" s="58"/>
      <c r="EF1168" s="83"/>
      <c r="EI1168" s="83"/>
      <c r="EK1168" s="58"/>
      <c r="EL1168" s="83"/>
      <c r="EO1168" s="58"/>
      <c r="EP1168" s="83"/>
      <c r="EQ1168" s="58"/>
      <c r="ER1168" s="83"/>
      <c r="ES1168" s="58"/>
      <c r="ET1168" s="83"/>
      <c r="EU1168" s="58"/>
    </row>
    <row r="1169" spans="1:151">
      <c r="A1169" s="42" t="s">
        <v>324</v>
      </c>
      <c r="B1169" s="173" t="s">
        <v>555</v>
      </c>
      <c r="C1169" s="173" t="s">
        <v>556</v>
      </c>
      <c r="D1169" s="83" t="s">
        <v>112</v>
      </c>
      <c r="F1169" s="49" t="s">
        <v>286</v>
      </c>
      <c r="G1169" s="49">
        <v>17.837</v>
      </c>
      <c r="I1169" s="49">
        <v>4525</v>
      </c>
      <c r="J1169" s="159">
        <v>1.6784124629080119</v>
      </c>
      <c r="K1169" s="49">
        <v>1</v>
      </c>
      <c r="L1169" s="49">
        <v>3</v>
      </c>
      <c r="M1169" s="83">
        <v>0</v>
      </c>
      <c r="N1169" s="49">
        <v>0</v>
      </c>
      <c r="O1169" s="49">
        <v>1</v>
      </c>
      <c r="P1169" s="49">
        <v>1</v>
      </c>
      <c r="Q1169" s="58">
        <v>0</v>
      </c>
      <c r="R1169" s="42">
        <v>2</v>
      </c>
      <c r="S1169" s="83" t="s">
        <v>283</v>
      </c>
      <c r="T1169" s="49">
        <v>17</v>
      </c>
      <c r="U1169" s="83">
        <v>2</v>
      </c>
      <c r="V1169" s="49">
        <v>3</v>
      </c>
      <c r="W1169" s="49">
        <v>3</v>
      </c>
      <c r="X1169" s="58">
        <v>1</v>
      </c>
      <c r="Y1169" s="83">
        <v>4</v>
      </c>
      <c r="Z1169" s="49">
        <v>3</v>
      </c>
      <c r="AA1169" s="49">
        <v>9</v>
      </c>
      <c r="AD1169" s="49">
        <v>3</v>
      </c>
      <c r="AE1169" s="49">
        <v>811</v>
      </c>
      <c r="AF1169" s="49">
        <v>37</v>
      </c>
      <c r="AG1169" s="49">
        <v>126</v>
      </c>
      <c r="AH1169" s="49">
        <v>16</v>
      </c>
      <c r="AI1169" s="49">
        <v>985</v>
      </c>
      <c r="AJ1169" s="49">
        <v>1</v>
      </c>
      <c r="AK1169" s="83">
        <v>0</v>
      </c>
      <c r="AL1169" s="49">
        <v>0</v>
      </c>
      <c r="AM1169" s="49">
        <v>0</v>
      </c>
      <c r="AN1169" s="49">
        <v>0</v>
      </c>
      <c r="AO1169" s="58">
        <v>0</v>
      </c>
      <c r="AP1169" s="174">
        <v>0</v>
      </c>
      <c r="AQ1169" s="175">
        <v>0</v>
      </c>
      <c r="AR1169" s="175">
        <v>0</v>
      </c>
      <c r="AS1169" s="175">
        <v>0</v>
      </c>
      <c r="AT1169" s="175">
        <v>0</v>
      </c>
      <c r="AU1169" s="175">
        <v>0</v>
      </c>
      <c r="AV1169" s="175">
        <v>0</v>
      </c>
      <c r="AW1169" s="175">
        <v>0</v>
      </c>
      <c r="AX1169" s="83">
        <v>0</v>
      </c>
      <c r="AY1169" s="49">
        <v>0</v>
      </c>
      <c r="AZ1169" s="49">
        <v>0</v>
      </c>
      <c r="BA1169" s="49">
        <v>0</v>
      </c>
      <c r="BB1169" s="58">
        <v>0</v>
      </c>
      <c r="BC1169" s="42">
        <v>112</v>
      </c>
      <c r="BS1169" s="58"/>
      <c r="BT1169" s="83"/>
      <c r="CE1169" s="83"/>
      <c r="CK1169" s="58"/>
      <c r="CL1169" s="83"/>
      <c r="CO1169" s="58"/>
      <c r="CP1169" s="83"/>
      <c r="CR1169" s="58"/>
      <c r="CS1169" s="83"/>
      <c r="CY1169" s="83"/>
      <c r="DG1169" s="58"/>
      <c r="DH1169" s="83"/>
      <c r="DQ1169" s="83"/>
      <c r="EE1169" s="58"/>
      <c r="EF1169" s="83"/>
      <c r="EI1169" s="83"/>
      <c r="EK1169" s="58"/>
      <c r="EL1169" s="83"/>
      <c r="EO1169" s="58"/>
      <c r="EP1169" s="83"/>
      <c r="EQ1169" s="58"/>
      <c r="ER1169" s="83"/>
      <c r="ES1169" s="58"/>
      <c r="ET1169" s="83"/>
      <c r="EU1169" s="58"/>
    </row>
    <row r="1170" spans="1:151">
      <c r="A1170" s="42" t="s">
        <v>324</v>
      </c>
      <c r="B1170" s="173" t="s">
        <v>555</v>
      </c>
      <c r="C1170" s="173" t="s">
        <v>556</v>
      </c>
      <c r="D1170" s="83" t="s">
        <v>94</v>
      </c>
      <c r="F1170" s="49" t="s">
        <v>286</v>
      </c>
      <c r="G1170" s="49">
        <v>17.837</v>
      </c>
      <c r="I1170" s="49">
        <v>4031</v>
      </c>
      <c r="J1170" s="159">
        <v>1.3255508056560341</v>
      </c>
      <c r="K1170" s="49">
        <v>1</v>
      </c>
      <c r="L1170" s="49">
        <v>2</v>
      </c>
      <c r="M1170" s="83">
        <v>0</v>
      </c>
      <c r="N1170" s="49">
        <v>0</v>
      </c>
      <c r="O1170" s="49">
        <v>1</v>
      </c>
      <c r="P1170" s="49">
        <v>1</v>
      </c>
      <c r="Q1170" s="58">
        <v>0</v>
      </c>
      <c r="R1170" s="42">
        <v>2</v>
      </c>
      <c r="S1170" s="83" t="s">
        <v>283</v>
      </c>
      <c r="T1170" s="49">
        <v>21</v>
      </c>
      <c r="U1170" s="83">
        <v>1</v>
      </c>
      <c r="V1170" s="49">
        <v>1</v>
      </c>
      <c r="W1170" s="49">
        <v>2</v>
      </c>
      <c r="X1170" s="58"/>
      <c r="Y1170" s="83">
        <v>1</v>
      </c>
      <c r="Z1170" s="49">
        <v>6</v>
      </c>
      <c r="AA1170" s="49">
        <v>27</v>
      </c>
      <c r="AD1170" s="49">
        <v>9</v>
      </c>
      <c r="AE1170" s="49">
        <v>217</v>
      </c>
      <c r="AF1170" s="49">
        <v>9</v>
      </c>
      <c r="AG1170" s="49">
        <v>15</v>
      </c>
      <c r="AI1170" s="49">
        <v>298</v>
      </c>
      <c r="AJ1170" s="49">
        <v>1</v>
      </c>
      <c r="AK1170" s="83">
        <v>0</v>
      </c>
      <c r="AL1170" s="49">
        <v>1</v>
      </c>
      <c r="AM1170" s="49">
        <v>0</v>
      </c>
      <c r="AN1170" s="49">
        <v>0</v>
      </c>
      <c r="AO1170" s="58">
        <v>0</v>
      </c>
      <c r="AP1170" s="174">
        <v>122</v>
      </c>
      <c r="AQ1170" s="175">
        <v>223</v>
      </c>
      <c r="AR1170" s="175">
        <v>0</v>
      </c>
      <c r="AS1170" s="175">
        <v>0</v>
      </c>
      <c r="AT1170" s="175">
        <v>0</v>
      </c>
      <c r="AU1170" s="175">
        <v>0</v>
      </c>
      <c r="AV1170" s="175">
        <v>0</v>
      </c>
      <c r="AW1170" s="175">
        <v>0</v>
      </c>
      <c r="AX1170" s="83">
        <v>0</v>
      </c>
      <c r="AY1170" s="49">
        <v>0</v>
      </c>
      <c r="AZ1170" s="49">
        <v>0</v>
      </c>
      <c r="BA1170" s="49">
        <v>0</v>
      </c>
      <c r="BB1170" s="58">
        <v>0</v>
      </c>
      <c r="BC1170" s="42">
        <v>118</v>
      </c>
      <c r="BS1170" s="58"/>
      <c r="BT1170" s="83"/>
      <c r="CE1170" s="83"/>
      <c r="CK1170" s="58"/>
      <c r="CL1170" s="83"/>
      <c r="CO1170" s="58"/>
      <c r="CP1170" s="83"/>
      <c r="CR1170" s="58"/>
      <c r="CS1170" s="83"/>
      <c r="CY1170" s="83"/>
      <c r="DG1170" s="58"/>
      <c r="DH1170" s="83"/>
      <c r="DQ1170" s="83"/>
      <c r="EE1170" s="58"/>
      <c r="EF1170" s="83"/>
      <c r="EI1170" s="83"/>
      <c r="EK1170" s="58"/>
      <c r="EL1170" s="83"/>
      <c r="EO1170" s="58"/>
      <c r="EP1170" s="83"/>
      <c r="EQ1170" s="58"/>
      <c r="ER1170" s="83"/>
      <c r="ES1170" s="58"/>
      <c r="ET1170" s="83"/>
      <c r="EU1170" s="58"/>
    </row>
    <row r="1171" spans="1:151">
      <c r="A1171" s="42" t="s">
        <v>324</v>
      </c>
      <c r="B1171" s="173" t="s">
        <v>555</v>
      </c>
      <c r="C1171" s="173" t="s">
        <v>556</v>
      </c>
      <c r="D1171" s="83" t="s">
        <v>95</v>
      </c>
      <c r="F1171" s="49" t="s">
        <v>286</v>
      </c>
      <c r="G1171" s="49">
        <v>17.837</v>
      </c>
      <c r="I1171" s="49">
        <v>3925</v>
      </c>
      <c r="J1171" s="159">
        <v>1.2181874612042209</v>
      </c>
      <c r="K1171" s="49">
        <v>1</v>
      </c>
      <c r="L1171" s="49">
        <v>2</v>
      </c>
      <c r="M1171" s="83">
        <v>0</v>
      </c>
      <c r="N1171" s="49">
        <v>0</v>
      </c>
      <c r="O1171" s="49">
        <v>1</v>
      </c>
      <c r="P1171" s="49">
        <v>0</v>
      </c>
      <c r="Q1171" s="58">
        <v>0</v>
      </c>
      <c r="R1171" s="42">
        <v>1</v>
      </c>
      <c r="S1171" s="83" t="s">
        <v>284</v>
      </c>
      <c r="U1171" s="83">
        <v>1</v>
      </c>
      <c r="V1171" s="49">
        <v>1</v>
      </c>
      <c r="W1171" s="49">
        <v>2</v>
      </c>
      <c r="X1171" s="58"/>
      <c r="Y1171" s="83">
        <v>1</v>
      </c>
      <c r="Z1171" s="49">
        <v>10</v>
      </c>
      <c r="AA1171" s="49">
        <v>36</v>
      </c>
      <c r="AD1171" s="49">
        <v>66</v>
      </c>
      <c r="AE1171" s="49">
        <v>236</v>
      </c>
      <c r="AJ1171" s="49">
        <v>1</v>
      </c>
      <c r="AK1171" s="83">
        <v>0</v>
      </c>
      <c r="AL1171" s="49">
        <v>1</v>
      </c>
      <c r="AM1171" s="49">
        <v>0</v>
      </c>
      <c r="AN1171" s="49">
        <v>0</v>
      </c>
      <c r="AO1171" s="58">
        <v>0</v>
      </c>
      <c r="AP1171" s="174">
        <v>580</v>
      </c>
      <c r="AQ1171" s="175">
        <v>659</v>
      </c>
      <c r="AR1171" s="175">
        <v>0</v>
      </c>
      <c r="AS1171" s="175">
        <v>0</v>
      </c>
      <c r="AT1171" s="175">
        <v>0</v>
      </c>
      <c r="AU1171" s="175">
        <v>0</v>
      </c>
      <c r="AV1171" s="175">
        <v>0</v>
      </c>
      <c r="AW1171" s="175">
        <v>0</v>
      </c>
      <c r="AX1171" s="83">
        <v>0</v>
      </c>
      <c r="AY1171" s="49">
        <v>0</v>
      </c>
      <c r="AZ1171" s="49">
        <v>0</v>
      </c>
      <c r="BA1171" s="49">
        <v>0</v>
      </c>
      <c r="BB1171" s="58">
        <v>0</v>
      </c>
      <c r="BC1171" s="42">
        <v>125</v>
      </c>
      <c r="BS1171" s="58"/>
      <c r="BT1171" s="83"/>
      <c r="CE1171" s="83"/>
      <c r="CK1171" s="58"/>
      <c r="CL1171" s="83"/>
      <c r="CO1171" s="58"/>
      <c r="CP1171" s="83"/>
      <c r="CR1171" s="58"/>
      <c r="CS1171" s="83"/>
      <c r="CY1171" s="83"/>
      <c r="DG1171" s="58"/>
      <c r="DH1171" s="83"/>
      <c r="DQ1171" s="83"/>
      <c r="EE1171" s="58"/>
      <c r="EF1171" s="83"/>
      <c r="EI1171" s="83"/>
      <c r="EK1171" s="58"/>
      <c r="EL1171" s="83"/>
      <c r="EO1171" s="58"/>
      <c r="EP1171" s="83"/>
      <c r="EQ1171" s="58"/>
      <c r="ER1171" s="83"/>
      <c r="ES1171" s="58"/>
      <c r="ET1171" s="83"/>
      <c r="EU1171" s="58"/>
    </row>
    <row r="1172" spans="1:151">
      <c r="A1172" s="42" t="s">
        <v>324</v>
      </c>
      <c r="B1172" s="173" t="s">
        <v>555</v>
      </c>
      <c r="C1172" s="173" t="s">
        <v>556</v>
      </c>
      <c r="D1172" s="83" t="s">
        <v>96</v>
      </c>
      <c r="F1172" s="49" t="s">
        <v>286</v>
      </c>
      <c r="G1172" s="49">
        <v>17.837</v>
      </c>
      <c r="I1172" s="49">
        <v>1205</v>
      </c>
      <c r="J1172" s="159">
        <v>1.0720640569395017</v>
      </c>
      <c r="K1172" s="49">
        <v>1</v>
      </c>
      <c r="L1172" s="49">
        <v>3</v>
      </c>
      <c r="M1172" s="83">
        <v>0</v>
      </c>
      <c r="N1172" s="49">
        <v>1</v>
      </c>
      <c r="O1172" s="49">
        <v>0</v>
      </c>
      <c r="P1172" s="49">
        <v>0</v>
      </c>
      <c r="Q1172" s="58">
        <v>0</v>
      </c>
      <c r="R1172" s="42">
        <v>1</v>
      </c>
      <c r="S1172" s="83" t="s">
        <v>283</v>
      </c>
      <c r="T1172" s="49">
        <v>11</v>
      </c>
      <c r="U1172" s="83">
        <v>1</v>
      </c>
      <c r="V1172" s="49">
        <v>2</v>
      </c>
      <c r="W1172" s="49">
        <v>2</v>
      </c>
      <c r="X1172" s="58"/>
      <c r="Y1172" s="83">
        <v>1</v>
      </c>
      <c r="Z1172" s="49">
        <v>10</v>
      </c>
      <c r="AA1172" s="49">
        <v>13</v>
      </c>
      <c r="AD1172" s="49">
        <v>19</v>
      </c>
      <c r="AE1172" s="49">
        <v>119</v>
      </c>
      <c r="AJ1172" s="49">
        <v>1</v>
      </c>
      <c r="AK1172" s="83">
        <v>0</v>
      </c>
      <c r="AL1172" s="49">
        <v>0</v>
      </c>
      <c r="AM1172" s="49">
        <v>0</v>
      </c>
      <c r="AN1172" s="49">
        <v>0</v>
      </c>
      <c r="AO1172" s="58">
        <v>0</v>
      </c>
      <c r="AP1172" s="174">
        <v>0</v>
      </c>
      <c r="AQ1172" s="175">
        <v>0</v>
      </c>
      <c r="AR1172" s="175">
        <v>0</v>
      </c>
      <c r="AS1172" s="175">
        <v>0</v>
      </c>
      <c r="AT1172" s="175">
        <v>0</v>
      </c>
      <c r="AU1172" s="175">
        <v>0</v>
      </c>
      <c r="AV1172" s="175">
        <v>0</v>
      </c>
      <c r="AW1172" s="175">
        <v>0</v>
      </c>
      <c r="AX1172" s="83">
        <v>0</v>
      </c>
      <c r="AY1172" s="49">
        <v>0</v>
      </c>
      <c r="AZ1172" s="49">
        <v>0</v>
      </c>
      <c r="BA1172" s="49">
        <v>0</v>
      </c>
      <c r="BB1172" s="58">
        <v>0</v>
      </c>
      <c r="BC1172" s="42">
        <v>100</v>
      </c>
      <c r="BS1172" s="58"/>
      <c r="BT1172" s="83"/>
      <c r="CE1172" s="83"/>
      <c r="CK1172" s="58"/>
      <c r="CL1172" s="83"/>
      <c r="CO1172" s="58"/>
      <c r="CP1172" s="83"/>
      <c r="CR1172" s="58"/>
      <c r="CS1172" s="83"/>
      <c r="CY1172" s="83"/>
      <c r="DG1172" s="58"/>
      <c r="DH1172" s="83"/>
      <c r="DQ1172" s="83"/>
      <c r="EE1172" s="58"/>
      <c r="EF1172" s="83"/>
      <c r="EI1172" s="83"/>
      <c r="EK1172" s="58"/>
      <c r="EL1172" s="83"/>
      <c r="EO1172" s="58"/>
      <c r="EP1172" s="83"/>
      <c r="EQ1172" s="58"/>
      <c r="ER1172" s="83"/>
      <c r="ES1172" s="58"/>
      <c r="ET1172" s="83"/>
      <c r="EU1172" s="58"/>
    </row>
    <row r="1173" spans="1:151">
      <c r="A1173" s="42" t="s">
        <v>324</v>
      </c>
      <c r="B1173" s="173" t="s">
        <v>555</v>
      </c>
      <c r="C1173" s="173" t="s">
        <v>556</v>
      </c>
      <c r="D1173" s="83" t="s">
        <v>97</v>
      </c>
      <c r="F1173" s="49" t="s">
        <v>286</v>
      </c>
      <c r="G1173" s="49">
        <v>17.837</v>
      </c>
      <c r="I1173" s="49">
        <v>2091</v>
      </c>
      <c r="J1173" s="159">
        <v>1.8991825613079019</v>
      </c>
      <c r="K1173" s="49">
        <v>1</v>
      </c>
      <c r="L1173" s="49">
        <v>1</v>
      </c>
      <c r="M1173" s="83">
        <v>0</v>
      </c>
      <c r="N1173" s="49">
        <v>0</v>
      </c>
      <c r="O1173" s="49">
        <v>0</v>
      </c>
      <c r="P1173" s="49">
        <v>0</v>
      </c>
      <c r="Q1173" s="58">
        <v>0</v>
      </c>
      <c r="R1173" s="42">
        <v>0</v>
      </c>
      <c r="S1173" s="83" t="s">
        <v>284</v>
      </c>
      <c r="U1173" s="83">
        <v>0</v>
      </c>
      <c r="V1173" s="49">
        <v>0</v>
      </c>
      <c r="W1173" s="49">
        <v>0</v>
      </c>
      <c r="X1173" s="58"/>
      <c r="Y1173" s="83">
        <v>1</v>
      </c>
      <c r="Z1173" s="49">
        <v>5</v>
      </c>
      <c r="AA1173" s="49">
        <v>24</v>
      </c>
      <c r="AD1173" s="49">
        <v>7</v>
      </c>
      <c r="AE1173" s="49">
        <v>28</v>
      </c>
      <c r="AJ1173" s="49">
        <v>0</v>
      </c>
      <c r="AK1173" s="83">
        <v>0</v>
      </c>
      <c r="AL1173" s="49">
        <v>1</v>
      </c>
      <c r="AM1173" s="49">
        <v>1</v>
      </c>
      <c r="AN1173" s="49">
        <v>0</v>
      </c>
      <c r="AO1173" s="58">
        <v>0</v>
      </c>
      <c r="AP1173" s="174">
        <v>0</v>
      </c>
      <c r="AQ1173" s="175">
        <v>1092</v>
      </c>
      <c r="AR1173" s="175">
        <v>0</v>
      </c>
      <c r="AS1173" s="175">
        <v>55</v>
      </c>
      <c r="AT1173" s="175">
        <v>0</v>
      </c>
      <c r="AU1173" s="175">
        <v>0</v>
      </c>
      <c r="AV1173" s="175">
        <v>0</v>
      </c>
      <c r="AW1173" s="175">
        <v>0</v>
      </c>
      <c r="AX1173" s="83">
        <v>0</v>
      </c>
      <c r="AY1173" s="49">
        <v>0</v>
      </c>
      <c r="AZ1173" s="49">
        <v>0</v>
      </c>
      <c r="BA1173" s="49">
        <v>0</v>
      </c>
      <c r="BB1173" s="58">
        <v>0</v>
      </c>
      <c r="BC1173" s="42">
        <v>109</v>
      </c>
      <c r="BD1173" s="49">
        <v>78.510000000000005</v>
      </c>
      <c r="BS1173" s="58"/>
      <c r="BT1173" s="83">
        <v>77.849999999999994</v>
      </c>
      <c r="CE1173" s="83">
        <v>76.97</v>
      </c>
      <c r="CF1173" s="49">
        <v>77.22</v>
      </c>
      <c r="CK1173" s="58"/>
      <c r="CL1173" s="83">
        <v>68.930000000000007</v>
      </c>
      <c r="CO1173" s="58"/>
      <c r="CP1173" s="83"/>
      <c r="CR1173" s="58"/>
      <c r="CS1173" s="83"/>
      <c r="CY1173" s="83"/>
      <c r="DG1173" s="58"/>
      <c r="DH1173" s="83"/>
      <c r="DQ1173" s="83"/>
      <c r="EE1173" s="58"/>
      <c r="EF1173" s="83"/>
      <c r="EI1173" s="83"/>
      <c r="EK1173" s="58"/>
      <c r="EL1173" s="83"/>
      <c r="EO1173" s="58"/>
      <c r="EP1173" s="83"/>
      <c r="EQ1173" s="58"/>
      <c r="ER1173" s="83"/>
      <c r="ES1173" s="58"/>
      <c r="ET1173" s="83"/>
      <c r="EU1173" s="58"/>
    </row>
    <row r="1174" spans="1:151">
      <c r="A1174" s="42" t="s">
        <v>324</v>
      </c>
      <c r="B1174" s="173" t="s">
        <v>555</v>
      </c>
      <c r="C1174" s="173" t="s">
        <v>556</v>
      </c>
      <c r="D1174" s="83" t="s">
        <v>98</v>
      </c>
      <c r="F1174" s="49" t="s">
        <v>286</v>
      </c>
      <c r="G1174" s="49">
        <v>17.837</v>
      </c>
      <c r="I1174" s="49">
        <v>4210</v>
      </c>
      <c r="J1174" s="159">
        <v>1.1158229525576464</v>
      </c>
      <c r="K1174" s="49">
        <v>4</v>
      </c>
      <c r="L1174" s="49">
        <v>3</v>
      </c>
      <c r="M1174" s="83">
        <v>0</v>
      </c>
      <c r="N1174" s="49">
        <v>0</v>
      </c>
      <c r="O1174" s="49">
        <v>0</v>
      </c>
      <c r="P1174" s="49">
        <v>1</v>
      </c>
      <c r="Q1174" s="58">
        <v>0</v>
      </c>
      <c r="R1174" s="42">
        <v>1</v>
      </c>
      <c r="S1174" s="83" t="s">
        <v>283</v>
      </c>
      <c r="T1174" s="49">
        <v>18</v>
      </c>
      <c r="U1174" s="83">
        <v>2</v>
      </c>
      <c r="V1174" s="49">
        <v>4</v>
      </c>
      <c r="W1174" s="49">
        <v>3</v>
      </c>
      <c r="X1174" s="58"/>
      <c r="Y1174" s="83">
        <v>1</v>
      </c>
      <c r="Z1174" s="49">
        <v>3</v>
      </c>
      <c r="AA1174" s="49">
        <v>133</v>
      </c>
      <c r="AD1174" s="49">
        <v>14</v>
      </c>
      <c r="AE1174" s="49">
        <v>152</v>
      </c>
      <c r="AH1174" s="49">
        <v>20</v>
      </c>
      <c r="AI1174" s="49">
        <v>264</v>
      </c>
      <c r="AJ1174" s="49">
        <v>1</v>
      </c>
      <c r="AK1174" s="83">
        <v>0</v>
      </c>
      <c r="AL1174" s="49">
        <v>1</v>
      </c>
      <c r="AM1174" s="49">
        <v>0</v>
      </c>
      <c r="AN1174" s="49">
        <v>0</v>
      </c>
      <c r="AO1174" s="58">
        <v>0</v>
      </c>
      <c r="AP1174" s="174">
        <v>0</v>
      </c>
      <c r="AQ1174" s="175">
        <v>383</v>
      </c>
      <c r="AR1174" s="175">
        <v>0</v>
      </c>
      <c r="AS1174" s="175">
        <v>0</v>
      </c>
      <c r="AT1174" s="175">
        <v>0</v>
      </c>
      <c r="AU1174" s="175">
        <v>0</v>
      </c>
      <c r="AV1174" s="175">
        <v>0</v>
      </c>
      <c r="AW1174" s="175">
        <v>0</v>
      </c>
      <c r="AX1174" s="83">
        <v>0</v>
      </c>
      <c r="AY1174" s="49">
        <v>0</v>
      </c>
      <c r="AZ1174" s="49">
        <v>0</v>
      </c>
      <c r="BA1174" s="49">
        <v>0</v>
      </c>
      <c r="BB1174" s="58">
        <v>0</v>
      </c>
      <c r="BC1174" s="42">
        <v>140</v>
      </c>
      <c r="BD1174" s="49">
        <v>79.81</v>
      </c>
      <c r="BS1174" s="58"/>
      <c r="BT1174" s="83">
        <v>77.84</v>
      </c>
      <c r="BU1174" s="49">
        <v>77.930000000000007</v>
      </c>
      <c r="BV1174" s="49">
        <v>79.53</v>
      </c>
      <c r="BW1174" s="49">
        <v>78.44</v>
      </c>
      <c r="CE1174" s="83">
        <v>78.55</v>
      </c>
      <c r="CK1174" s="58"/>
      <c r="CL1174" s="83">
        <v>72.2</v>
      </c>
      <c r="CM1174" s="49">
        <v>72.400000000000006</v>
      </c>
      <c r="CO1174" s="58"/>
      <c r="CP1174" s="83"/>
      <c r="CR1174" s="58"/>
      <c r="CS1174" s="83"/>
      <c r="CY1174" s="83"/>
      <c r="DG1174" s="58"/>
      <c r="DH1174" s="83"/>
      <c r="DQ1174" s="83"/>
      <c r="EE1174" s="58"/>
      <c r="EF1174" s="83"/>
      <c r="EI1174" s="83"/>
      <c r="EK1174" s="58"/>
      <c r="EL1174" s="83"/>
      <c r="EO1174" s="58"/>
      <c r="EP1174" s="83"/>
      <c r="EQ1174" s="58"/>
      <c r="ER1174" s="83"/>
      <c r="ES1174" s="58"/>
      <c r="ET1174" s="83"/>
      <c r="EU1174" s="58"/>
    </row>
    <row r="1175" spans="1:151">
      <c r="A1175" s="42" t="s">
        <v>324</v>
      </c>
      <c r="B1175" s="173" t="s">
        <v>555</v>
      </c>
      <c r="C1175" s="173" t="s">
        <v>556</v>
      </c>
      <c r="D1175" s="83" t="s">
        <v>100</v>
      </c>
      <c r="F1175" s="49" t="s">
        <v>286</v>
      </c>
      <c r="G1175" s="49">
        <v>17.837</v>
      </c>
      <c r="I1175" s="49">
        <v>2770</v>
      </c>
      <c r="J1175" s="159">
        <v>1.0703245749613601</v>
      </c>
      <c r="K1175" s="49">
        <v>4</v>
      </c>
      <c r="L1175" s="49">
        <v>3</v>
      </c>
      <c r="M1175" s="83">
        <v>0</v>
      </c>
      <c r="N1175" s="49">
        <v>3</v>
      </c>
      <c r="O1175" s="49">
        <v>0</v>
      </c>
      <c r="P1175" s="49">
        <v>0</v>
      </c>
      <c r="Q1175" s="58">
        <v>0</v>
      </c>
      <c r="R1175" s="42">
        <v>3</v>
      </c>
      <c r="S1175" s="83" t="s">
        <v>283</v>
      </c>
      <c r="T1175" s="49">
        <v>20</v>
      </c>
      <c r="U1175" s="83">
        <v>1</v>
      </c>
      <c r="V1175" s="49">
        <v>4</v>
      </c>
      <c r="W1175" s="49">
        <v>2</v>
      </c>
      <c r="X1175" s="58"/>
      <c r="Y1175" s="83">
        <v>7</v>
      </c>
      <c r="Z1175" s="49">
        <v>6</v>
      </c>
      <c r="AA1175" s="49">
        <v>35</v>
      </c>
      <c r="AD1175" s="49">
        <v>5</v>
      </c>
      <c r="AE1175" s="49">
        <v>295</v>
      </c>
      <c r="AF1175" s="49">
        <v>6</v>
      </c>
      <c r="AG1175" s="49">
        <v>337</v>
      </c>
      <c r="AH1175" s="49">
        <v>13</v>
      </c>
      <c r="AI1175" s="49">
        <v>870</v>
      </c>
      <c r="AJ1175" s="49">
        <v>1</v>
      </c>
      <c r="AK1175" s="83">
        <v>0</v>
      </c>
      <c r="AL1175" s="49">
        <v>0</v>
      </c>
      <c r="AM1175" s="49">
        <v>0</v>
      </c>
      <c r="AN1175" s="49">
        <v>0</v>
      </c>
      <c r="AO1175" s="58">
        <v>0</v>
      </c>
      <c r="AP1175" s="174">
        <v>0</v>
      </c>
      <c r="AQ1175" s="175">
        <v>0</v>
      </c>
      <c r="AR1175" s="175">
        <v>0</v>
      </c>
      <c r="AS1175" s="175">
        <v>0</v>
      </c>
      <c r="AT1175" s="175">
        <v>0</v>
      </c>
      <c r="AU1175" s="175">
        <v>0</v>
      </c>
      <c r="AV1175" s="175">
        <v>0</v>
      </c>
      <c r="AW1175" s="175">
        <v>0</v>
      </c>
      <c r="AX1175" s="83">
        <v>0</v>
      </c>
      <c r="AY1175" s="49">
        <v>0</v>
      </c>
      <c r="AZ1175" s="49">
        <v>0</v>
      </c>
      <c r="BA1175" s="49">
        <v>0</v>
      </c>
      <c r="BB1175" s="58">
        <v>0</v>
      </c>
      <c r="BC1175" s="42">
        <v>123</v>
      </c>
      <c r="BS1175" s="58"/>
      <c r="BT1175" s="83"/>
      <c r="CE1175" s="83"/>
      <c r="CK1175" s="58"/>
      <c r="CL1175" s="83"/>
      <c r="CO1175" s="58"/>
      <c r="CP1175" s="83"/>
      <c r="CR1175" s="58"/>
      <c r="CS1175" s="83"/>
      <c r="CY1175" s="83"/>
      <c r="DG1175" s="58"/>
      <c r="DH1175" s="83"/>
      <c r="DQ1175" s="83"/>
      <c r="EE1175" s="58"/>
      <c r="EF1175" s="83"/>
      <c r="EI1175" s="83"/>
      <c r="EK1175" s="58"/>
      <c r="EL1175" s="83"/>
      <c r="EO1175" s="58"/>
      <c r="EP1175" s="83"/>
      <c r="EQ1175" s="58"/>
      <c r="ER1175" s="83"/>
      <c r="ES1175" s="58"/>
      <c r="ET1175" s="83"/>
      <c r="EU1175" s="58"/>
    </row>
    <row r="1176" spans="1:151">
      <c r="A1176" s="42" t="s">
        <v>324</v>
      </c>
      <c r="B1176" s="173" t="s">
        <v>555</v>
      </c>
      <c r="C1176" s="173" t="s">
        <v>556</v>
      </c>
      <c r="D1176" s="83" t="s">
        <v>114</v>
      </c>
      <c r="F1176" s="49" t="s">
        <v>286</v>
      </c>
      <c r="G1176" s="49">
        <v>17.837</v>
      </c>
      <c r="I1176" s="49">
        <v>2473</v>
      </c>
      <c r="J1176" s="159">
        <v>1.1703738760056792</v>
      </c>
      <c r="K1176" s="49">
        <v>1</v>
      </c>
      <c r="L1176" s="49">
        <v>3</v>
      </c>
      <c r="M1176" s="83">
        <v>0</v>
      </c>
      <c r="N1176" s="49">
        <v>0</v>
      </c>
      <c r="O1176" s="49">
        <v>1</v>
      </c>
      <c r="P1176" s="49">
        <v>1</v>
      </c>
      <c r="Q1176" s="58">
        <v>0</v>
      </c>
      <c r="R1176" s="42">
        <v>2</v>
      </c>
      <c r="S1176" s="83" t="s">
        <v>283</v>
      </c>
      <c r="T1176" s="49">
        <v>18</v>
      </c>
      <c r="U1176" s="83">
        <v>2</v>
      </c>
      <c r="V1176" s="49">
        <v>3</v>
      </c>
      <c r="W1176" s="49">
        <v>3</v>
      </c>
      <c r="X1176" s="58">
        <v>1</v>
      </c>
      <c r="Y1176" s="83">
        <v>1</v>
      </c>
      <c r="Z1176" s="49">
        <v>15</v>
      </c>
      <c r="AA1176" s="49">
        <v>16</v>
      </c>
      <c r="AD1176" s="49">
        <v>15</v>
      </c>
      <c r="AE1176" s="49">
        <v>24</v>
      </c>
      <c r="AI1176" s="49">
        <v>81</v>
      </c>
      <c r="AJ1176" s="49">
        <v>0</v>
      </c>
      <c r="AK1176" s="83">
        <v>0</v>
      </c>
      <c r="AL1176" s="49">
        <v>0</v>
      </c>
      <c r="AM1176" s="49">
        <v>0</v>
      </c>
      <c r="AN1176" s="49">
        <v>0</v>
      </c>
      <c r="AO1176" s="58">
        <v>0</v>
      </c>
      <c r="AP1176" s="174">
        <v>0</v>
      </c>
      <c r="AQ1176" s="175">
        <v>0</v>
      </c>
      <c r="AR1176" s="175">
        <v>0</v>
      </c>
      <c r="AS1176" s="175">
        <v>0</v>
      </c>
      <c r="AT1176" s="175">
        <v>0</v>
      </c>
      <c r="AU1176" s="175">
        <v>0</v>
      </c>
      <c r="AV1176" s="175">
        <v>0</v>
      </c>
      <c r="AW1176" s="175">
        <v>0</v>
      </c>
      <c r="AX1176" s="83">
        <v>0</v>
      </c>
      <c r="AY1176" s="49">
        <v>0</v>
      </c>
      <c r="AZ1176" s="49">
        <v>0</v>
      </c>
      <c r="BA1176" s="49">
        <v>0</v>
      </c>
      <c r="BB1176" s="58">
        <v>0</v>
      </c>
      <c r="BC1176" s="42">
        <v>141</v>
      </c>
      <c r="BS1176" s="58"/>
      <c r="BT1176" s="83"/>
      <c r="CE1176" s="83"/>
      <c r="CK1176" s="58"/>
      <c r="CL1176" s="83"/>
      <c r="CO1176" s="58"/>
      <c r="CP1176" s="83"/>
      <c r="CR1176" s="58"/>
      <c r="CS1176" s="83"/>
      <c r="CY1176" s="83"/>
      <c r="DG1176" s="58"/>
      <c r="DH1176" s="83"/>
      <c r="DQ1176" s="83"/>
      <c r="EE1176" s="58"/>
      <c r="EF1176" s="83"/>
      <c r="EI1176" s="83"/>
      <c r="EK1176" s="58"/>
      <c r="EL1176" s="83"/>
      <c r="EO1176" s="58"/>
      <c r="EP1176" s="83"/>
      <c r="EQ1176" s="58"/>
      <c r="ER1176" s="83"/>
      <c r="ES1176" s="58"/>
      <c r="ET1176" s="83"/>
      <c r="EU1176" s="58"/>
    </row>
    <row r="1177" spans="1:151">
      <c r="A1177" s="42" t="s">
        <v>324</v>
      </c>
      <c r="B1177" s="173" t="s">
        <v>555</v>
      </c>
      <c r="C1177" s="173" t="s">
        <v>556</v>
      </c>
      <c r="D1177" s="83" t="s">
        <v>187</v>
      </c>
      <c r="F1177" s="49" t="s">
        <v>286</v>
      </c>
      <c r="G1177" s="49">
        <v>17.837</v>
      </c>
      <c r="I1177" s="49">
        <v>4111</v>
      </c>
      <c r="J1177" s="159">
        <v>1.7122032486463974</v>
      </c>
      <c r="K1177" s="49">
        <v>1</v>
      </c>
      <c r="L1177" s="49">
        <v>2</v>
      </c>
      <c r="M1177" s="83">
        <v>0</v>
      </c>
      <c r="N1177" s="49">
        <v>1</v>
      </c>
      <c r="O1177" s="49">
        <v>0</v>
      </c>
      <c r="P1177" s="49">
        <v>0</v>
      </c>
      <c r="Q1177" s="58">
        <v>0</v>
      </c>
      <c r="R1177" s="42">
        <v>1</v>
      </c>
      <c r="S1177" s="83" t="s">
        <v>283</v>
      </c>
      <c r="T1177" s="49">
        <v>18</v>
      </c>
      <c r="U1177" s="83">
        <v>1</v>
      </c>
      <c r="V1177" s="49">
        <v>1</v>
      </c>
      <c r="W1177" s="49">
        <v>2</v>
      </c>
      <c r="X1177" s="58"/>
      <c r="Y1177" s="83">
        <v>5</v>
      </c>
      <c r="Z1177" s="49">
        <v>7</v>
      </c>
      <c r="AA1177" s="49">
        <v>88</v>
      </c>
      <c r="AD1177" s="49">
        <v>9</v>
      </c>
      <c r="AE1177" s="49">
        <v>312</v>
      </c>
      <c r="AF1177" s="49">
        <v>3</v>
      </c>
      <c r="AG1177" s="49">
        <v>202</v>
      </c>
      <c r="AH1177" s="49">
        <v>139</v>
      </c>
      <c r="AI1177" s="49">
        <v>486</v>
      </c>
      <c r="AJ1177" s="49">
        <v>1</v>
      </c>
      <c r="AK1177" s="83">
        <v>0</v>
      </c>
      <c r="AL1177" s="49">
        <v>0</v>
      </c>
      <c r="AM1177" s="49">
        <v>0</v>
      </c>
      <c r="AN1177" s="49">
        <v>0</v>
      </c>
      <c r="AO1177" s="58">
        <v>0</v>
      </c>
      <c r="AP1177" s="174">
        <v>0</v>
      </c>
      <c r="AQ1177" s="175">
        <v>0</v>
      </c>
      <c r="AR1177" s="175">
        <v>0</v>
      </c>
      <c r="AS1177" s="175">
        <v>0</v>
      </c>
      <c r="AT1177" s="175">
        <v>0</v>
      </c>
      <c r="AU1177" s="175">
        <v>0</v>
      </c>
      <c r="AV1177" s="175">
        <v>0</v>
      </c>
      <c r="AW1177" s="175">
        <v>0</v>
      </c>
      <c r="AX1177" s="83">
        <v>0</v>
      </c>
      <c r="AY1177" s="49">
        <v>0</v>
      </c>
      <c r="AZ1177" s="49">
        <v>0</v>
      </c>
      <c r="BA1177" s="49">
        <v>0</v>
      </c>
      <c r="BB1177" s="58">
        <v>0</v>
      </c>
      <c r="BC1177" s="42">
        <v>125</v>
      </c>
      <c r="BD1177" s="49">
        <v>75.56</v>
      </c>
      <c r="BS1177" s="58"/>
      <c r="BT1177" s="83">
        <v>79.44</v>
      </c>
      <c r="BU1177" s="49">
        <v>79.14</v>
      </c>
      <c r="CE1177" s="83">
        <v>76.760000000000005</v>
      </c>
      <c r="CK1177" s="58"/>
      <c r="CL1177" s="83"/>
      <c r="CO1177" s="58"/>
      <c r="CP1177" s="83"/>
      <c r="CR1177" s="58"/>
      <c r="CS1177" s="83">
        <v>74.819999999999993</v>
      </c>
      <c r="CT1177" s="49">
        <v>76.010000000000005</v>
      </c>
      <c r="CY1177" s="83"/>
      <c r="DG1177" s="58"/>
      <c r="DH1177" s="83"/>
      <c r="DQ1177" s="83">
        <v>73.53</v>
      </c>
      <c r="EE1177" s="58"/>
      <c r="EF1177" s="83"/>
      <c r="EI1177" s="83"/>
      <c r="EK1177" s="58"/>
      <c r="EL1177" s="83"/>
      <c r="EO1177" s="58"/>
      <c r="EP1177" s="83"/>
      <c r="EQ1177" s="58"/>
      <c r="ER1177" s="83"/>
      <c r="ES1177" s="58"/>
      <c r="ET1177" s="83"/>
      <c r="EU1177" s="58"/>
    </row>
    <row r="1178" spans="1:151">
      <c r="A1178" s="42" t="s">
        <v>324</v>
      </c>
      <c r="B1178" s="173" t="s">
        <v>555</v>
      </c>
      <c r="C1178" s="173" t="s">
        <v>556</v>
      </c>
      <c r="D1178" s="83" t="s">
        <v>119</v>
      </c>
      <c r="F1178" s="49" t="s">
        <v>287</v>
      </c>
      <c r="G1178" s="49">
        <v>17.837</v>
      </c>
      <c r="I1178" s="49">
        <v>789</v>
      </c>
      <c r="J1178" s="159">
        <v>1.1434782608695653</v>
      </c>
      <c r="K1178" s="49">
        <v>1</v>
      </c>
      <c r="L1178" s="49">
        <v>2</v>
      </c>
      <c r="M1178" s="83">
        <v>0</v>
      </c>
      <c r="N1178" s="49">
        <v>0</v>
      </c>
      <c r="O1178" s="49">
        <v>0</v>
      </c>
      <c r="P1178" s="49">
        <v>1</v>
      </c>
      <c r="Q1178" s="58">
        <v>0</v>
      </c>
      <c r="R1178" s="42">
        <v>1</v>
      </c>
      <c r="S1178" s="83">
        <v>1</v>
      </c>
      <c r="U1178" s="83">
        <v>1</v>
      </c>
      <c r="V1178" s="49">
        <v>2</v>
      </c>
      <c r="W1178" s="49">
        <v>1</v>
      </c>
      <c r="X1178" s="58">
        <v>1</v>
      </c>
      <c r="Y1178" s="83">
        <v>1</v>
      </c>
      <c r="AD1178" s="49">
        <v>6</v>
      </c>
      <c r="AE1178" s="49">
        <v>8</v>
      </c>
      <c r="AF1178" s="49">
        <v>3</v>
      </c>
      <c r="AG1178" s="49">
        <v>25</v>
      </c>
      <c r="AH1178" s="49">
        <v>8</v>
      </c>
      <c r="AI1178" s="49">
        <v>18</v>
      </c>
      <c r="AJ1178" s="49">
        <v>1</v>
      </c>
      <c r="AK1178" s="83">
        <v>0</v>
      </c>
      <c r="AL1178" s="49">
        <v>1</v>
      </c>
      <c r="AM1178" s="49">
        <v>0</v>
      </c>
      <c r="AN1178" s="49">
        <v>0</v>
      </c>
      <c r="AO1178" s="58">
        <v>0</v>
      </c>
      <c r="AP1178" s="174">
        <v>0</v>
      </c>
      <c r="AQ1178" s="175">
        <v>396</v>
      </c>
      <c r="AR1178" s="175">
        <v>0</v>
      </c>
      <c r="AS1178" s="175">
        <v>0</v>
      </c>
      <c r="AT1178" s="175">
        <v>0</v>
      </c>
      <c r="AU1178" s="175">
        <v>0</v>
      </c>
      <c r="AV1178" s="175">
        <v>0</v>
      </c>
      <c r="AW1178" s="175">
        <v>0</v>
      </c>
      <c r="AX1178" s="83">
        <v>0</v>
      </c>
      <c r="AY1178" s="49">
        <v>0</v>
      </c>
      <c r="AZ1178" s="49">
        <v>0</v>
      </c>
      <c r="BA1178" s="49">
        <v>0</v>
      </c>
      <c r="BB1178" s="58">
        <v>0</v>
      </c>
      <c r="BC1178" s="42">
        <v>94</v>
      </c>
      <c r="BS1178" s="58"/>
      <c r="BT1178" s="83"/>
      <c r="CE1178" s="83"/>
      <c r="CK1178" s="58"/>
      <c r="CL1178" s="83"/>
      <c r="CO1178" s="58"/>
      <c r="CP1178" s="83"/>
      <c r="CR1178" s="58"/>
      <c r="CS1178" s="83"/>
      <c r="CY1178" s="83"/>
      <c r="DG1178" s="58"/>
      <c r="DH1178" s="83"/>
      <c r="DQ1178" s="83"/>
      <c r="EE1178" s="58"/>
      <c r="EF1178" s="83"/>
      <c r="EI1178" s="83"/>
      <c r="EK1178" s="58"/>
      <c r="EL1178" s="83"/>
      <c r="EO1178" s="58"/>
      <c r="EP1178" s="83"/>
      <c r="EQ1178" s="58"/>
      <c r="ER1178" s="83"/>
      <c r="ES1178" s="58"/>
      <c r="ET1178" s="83"/>
      <c r="EU1178" s="58"/>
    </row>
    <row r="1179" spans="1:151">
      <c r="A1179" s="42" t="s">
        <v>324</v>
      </c>
      <c r="B1179" s="173" t="s">
        <v>555</v>
      </c>
      <c r="C1179" s="173" t="s">
        <v>556</v>
      </c>
      <c r="D1179" s="83" t="s">
        <v>120</v>
      </c>
      <c r="F1179" s="49" t="s">
        <v>286</v>
      </c>
      <c r="G1179" s="49">
        <v>17.837</v>
      </c>
      <c r="I1179" s="49">
        <v>3820</v>
      </c>
      <c r="J1179" s="159">
        <v>2.3123486682808716</v>
      </c>
      <c r="K1179" s="49">
        <v>4</v>
      </c>
      <c r="L1179" s="49">
        <v>5</v>
      </c>
      <c r="M1179" s="83">
        <v>0</v>
      </c>
      <c r="N1179" s="49">
        <v>3</v>
      </c>
      <c r="O1179" s="49">
        <v>0</v>
      </c>
      <c r="P1179" s="49">
        <v>1</v>
      </c>
      <c r="Q1179" s="58">
        <v>0</v>
      </c>
      <c r="R1179" s="42">
        <v>4</v>
      </c>
      <c r="S1179" s="83" t="s">
        <v>283</v>
      </c>
      <c r="T1179" s="49">
        <v>11</v>
      </c>
      <c r="U1179" s="83">
        <v>2</v>
      </c>
      <c r="V1179" s="49">
        <v>5</v>
      </c>
      <c r="W1179" s="49">
        <v>1</v>
      </c>
      <c r="X1179" s="58">
        <v>2</v>
      </c>
      <c r="Y1179" s="83">
        <v>7</v>
      </c>
      <c r="AD1179" s="49">
        <v>14</v>
      </c>
      <c r="AE1179" s="49">
        <v>250</v>
      </c>
      <c r="AF1179" s="49">
        <v>8</v>
      </c>
      <c r="AG1179" s="49">
        <v>262</v>
      </c>
      <c r="AH1179" s="49">
        <v>17</v>
      </c>
      <c r="AI1179" s="49">
        <v>723</v>
      </c>
      <c r="AJ1179" s="49">
        <v>0</v>
      </c>
      <c r="AK1179" s="83">
        <v>0</v>
      </c>
      <c r="AL1179" s="49">
        <v>0</v>
      </c>
      <c r="AM1179" s="49">
        <v>0</v>
      </c>
      <c r="AN1179" s="49">
        <v>0</v>
      </c>
      <c r="AO1179" s="58">
        <v>0</v>
      </c>
      <c r="AP1179" s="174">
        <v>0</v>
      </c>
      <c r="AQ1179" s="175">
        <v>0</v>
      </c>
      <c r="AR1179" s="175">
        <v>0</v>
      </c>
      <c r="AS1179" s="175">
        <v>0</v>
      </c>
      <c r="AT1179" s="175">
        <v>0</v>
      </c>
      <c r="AU1179" s="175">
        <v>0</v>
      </c>
      <c r="AV1179" s="175">
        <v>0</v>
      </c>
      <c r="AW1179" s="175">
        <v>0</v>
      </c>
      <c r="AX1179" s="83">
        <v>0</v>
      </c>
      <c r="AY1179" s="49">
        <v>0</v>
      </c>
      <c r="AZ1179" s="49">
        <v>0</v>
      </c>
      <c r="BA1179" s="49">
        <v>0</v>
      </c>
      <c r="BB1179" s="58">
        <v>0</v>
      </c>
      <c r="BC1179" s="42">
        <v>118</v>
      </c>
      <c r="BS1179" s="58"/>
      <c r="BT1179" s="83">
        <v>71.959999999999994</v>
      </c>
      <c r="BU1179" s="49">
        <v>71.67</v>
      </c>
      <c r="CE1179" s="83"/>
      <c r="CK1179" s="58"/>
      <c r="CL1179" s="83"/>
      <c r="CO1179" s="58"/>
      <c r="CP1179" s="83">
        <v>58.48</v>
      </c>
      <c r="CR1179" s="58"/>
      <c r="CS1179" s="83">
        <v>76.08</v>
      </c>
      <c r="CT1179" s="49">
        <v>78.040000000000006</v>
      </c>
      <c r="CU1179" s="49">
        <v>77.67</v>
      </c>
      <c r="CY1179" s="83"/>
      <c r="DG1179" s="58"/>
      <c r="DH1179" s="83">
        <v>64</v>
      </c>
      <c r="DQ1179" s="83"/>
      <c r="EE1179" s="58"/>
      <c r="EF1179" s="83"/>
      <c r="EI1179" s="83"/>
      <c r="EK1179" s="58"/>
      <c r="EL1179" s="83"/>
      <c r="EO1179" s="58"/>
      <c r="EP1179" s="83"/>
      <c r="EQ1179" s="58"/>
      <c r="ER1179" s="83"/>
      <c r="ES1179" s="58"/>
      <c r="ET1179" s="83"/>
      <c r="EU1179" s="58"/>
    </row>
    <row r="1180" spans="1:151">
      <c r="A1180" s="42" t="s">
        <v>324</v>
      </c>
      <c r="B1180" s="173" t="s">
        <v>555</v>
      </c>
      <c r="C1180" s="173" t="s">
        <v>556</v>
      </c>
      <c r="D1180" s="83" t="s">
        <v>102</v>
      </c>
      <c r="F1180" s="49" t="s">
        <v>286</v>
      </c>
      <c r="G1180" s="49">
        <v>17.837</v>
      </c>
      <c r="I1180" s="49">
        <v>3931</v>
      </c>
      <c r="J1180" s="159">
        <v>3.7473784556720688</v>
      </c>
      <c r="K1180" s="49">
        <v>1</v>
      </c>
      <c r="L1180" s="49">
        <v>2</v>
      </c>
      <c r="M1180" s="83">
        <v>0</v>
      </c>
      <c r="N1180" s="49">
        <v>2</v>
      </c>
      <c r="O1180" s="49">
        <v>0</v>
      </c>
      <c r="P1180" s="49">
        <v>1</v>
      </c>
      <c r="Q1180" s="58">
        <v>0</v>
      </c>
      <c r="R1180" s="42">
        <v>3</v>
      </c>
      <c r="S1180" s="83" t="s">
        <v>283</v>
      </c>
      <c r="T1180" s="49">
        <v>16</v>
      </c>
      <c r="U1180" s="83">
        <v>1</v>
      </c>
      <c r="V1180" s="49">
        <v>1</v>
      </c>
      <c r="W1180" s="49">
        <v>1</v>
      </c>
      <c r="X1180" s="58">
        <v>2</v>
      </c>
      <c r="Y1180" s="83">
        <v>2</v>
      </c>
      <c r="Z1180" s="49">
        <v>4</v>
      </c>
      <c r="AA1180" s="49">
        <v>89</v>
      </c>
      <c r="AD1180" s="49">
        <v>8</v>
      </c>
      <c r="AE1180" s="49">
        <v>76</v>
      </c>
      <c r="AF1180" s="49">
        <v>9</v>
      </c>
      <c r="AG1180" s="49">
        <v>93</v>
      </c>
      <c r="AH1180" s="49">
        <v>99</v>
      </c>
      <c r="AI1180" s="49">
        <v>257</v>
      </c>
      <c r="AJ1180" s="49">
        <v>0</v>
      </c>
      <c r="AK1180" s="83">
        <v>0</v>
      </c>
      <c r="AL1180" s="49">
        <v>1</v>
      </c>
      <c r="AM1180" s="49">
        <v>0</v>
      </c>
      <c r="AN1180" s="49">
        <v>0</v>
      </c>
      <c r="AO1180" s="58">
        <v>0</v>
      </c>
      <c r="AP1180" s="174">
        <v>0</v>
      </c>
      <c r="AQ1180" s="175">
        <v>911</v>
      </c>
      <c r="AR1180" s="175">
        <v>0</v>
      </c>
      <c r="AS1180" s="175">
        <v>0</v>
      </c>
      <c r="AT1180" s="175">
        <v>0</v>
      </c>
      <c r="AU1180" s="175">
        <v>0</v>
      </c>
      <c r="AV1180" s="175">
        <v>0</v>
      </c>
      <c r="AW1180" s="175">
        <v>0</v>
      </c>
      <c r="AX1180" s="83">
        <v>0</v>
      </c>
      <c r="AY1180" s="49">
        <v>0</v>
      </c>
      <c r="AZ1180" s="49">
        <v>0</v>
      </c>
      <c r="BA1180" s="49">
        <v>0</v>
      </c>
      <c r="BB1180" s="58">
        <v>0</v>
      </c>
      <c r="BC1180" s="42">
        <v>127</v>
      </c>
      <c r="BD1180" s="49">
        <v>77.63</v>
      </c>
      <c r="BE1180" s="159">
        <v>76.59</v>
      </c>
      <c r="BF1180" s="49">
        <v>78.47</v>
      </c>
      <c r="BS1180" s="58"/>
      <c r="BT1180" s="83"/>
      <c r="CE1180" s="83">
        <v>79.25</v>
      </c>
      <c r="CK1180" s="58"/>
      <c r="CL1180" s="83"/>
      <c r="CO1180" s="58"/>
      <c r="CP1180" s="83"/>
      <c r="CR1180" s="58"/>
      <c r="CS1180" s="83"/>
      <c r="CY1180" s="83"/>
      <c r="DG1180" s="58"/>
      <c r="DH1180" s="83"/>
      <c r="DQ1180" s="83"/>
      <c r="EE1180" s="58"/>
      <c r="EF1180" s="83"/>
      <c r="EI1180" s="83">
        <v>62.73</v>
      </c>
      <c r="EK1180" s="58"/>
      <c r="EL1180" s="83"/>
      <c r="EO1180" s="58"/>
      <c r="EP1180" s="83">
        <v>72.12</v>
      </c>
      <c r="EQ1180" s="58"/>
      <c r="ER1180" s="83"/>
      <c r="ES1180" s="58"/>
      <c r="ET1180" s="83"/>
      <c r="EU1180" s="58"/>
    </row>
    <row r="1181" spans="1:151">
      <c r="A1181" s="42" t="s">
        <v>324</v>
      </c>
      <c r="B1181" s="173" t="s">
        <v>555</v>
      </c>
      <c r="C1181" s="173" t="s">
        <v>556</v>
      </c>
      <c r="D1181" s="83" t="s">
        <v>103</v>
      </c>
      <c r="F1181" s="49" t="s">
        <v>286</v>
      </c>
      <c r="G1181" s="49">
        <v>17.837</v>
      </c>
      <c r="I1181" s="49">
        <v>5478</v>
      </c>
      <c r="J1181" s="159">
        <v>1.4713940370668817</v>
      </c>
      <c r="K1181" s="49">
        <v>4</v>
      </c>
      <c r="L1181" s="49">
        <v>3</v>
      </c>
      <c r="M1181" s="83">
        <v>0</v>
      </c>
      <c r="N1181" s="49">
        <v>0</v>
      </c>
      <c r="O1181" s="49">
        <v>0</v>
      </c>
      <c r="P1181" s="49">
        <v>0</v>
      </c>
      <c r="Q1181" s="58">
        <v>0</v>
      </c>
      <c r="R1181" s="42">
        <v>0</v>
      </c>
      <c r="S1181" s="83" t="s">
        <v>284</v>
      </c>
      <c r="U1181" s="83">
        <v>1</v>
      </c>
      <c r="V1181" s="49">
        <v>3</v>
      </c>
      <c r="W1181" s="49">
        <v>2</v>
      </c>
      <c r="X1181" s="58"/>
      <c r="Y1181" s="83">
        <v>2</v>
      </c>
      <c r="Z1181" s="49">
        <v>7</v>
      </c>
      <c r="AA1181" s="49">
        <v>35</v>
      </c>
      <c r="AD1181" s="49">
        <v>11</v>
      </c>
      <c r="AE1181" s="49">
        <v>83</v>
      </c>
      <c r="AG1181" s="49">
        <v>82</v>
      </c>
      <c r="AI1181" s="49">
        <v>63</v>
      </c>
      <c r="AJ1181" s="49">
        <v>0</v>
      </c>
      <c r="AK1181" s="83">
        <v>0</v>
      </c>
      <c r="AL1181" s="49">
        <v>1</v>
      </c>
      <c r="AM1181" s="49">
        <v>0</v>
      </c>
      <c r="AN1181" s="49">
        <v>0</v>
      </c>
      <c r="AO1181" s="58">
        <v>0</v>
      </c>
      <c r="AP1181" s="174">
        <v>0</v>
      </c>
      <c r="AQ1181" s="175">
        <v>597</v>
      </c>
      <c r="AR1181" s="175">
        <v>0</v>
      </c>
      <c r="AS1181" s="175">
        <v>0</v>
      </c>
      <c r="AT1181" s="175">
        <v>0</v>
      </c>
      <c r="AU1181" s="175">
        <v>0</v>
      </c>
      <c r="AV1181" s="175">
        <v>0</v>
      </c>
      <c r="AW1181" s="175">
        <v>0</v>
      </c>
      <c r="AX1181" s="83">
        <v>0</v>
      </c>
      <c r="AY1181" s="49">
        <v>0</v>
      </c>
      <c r="AZ1181" s="49">
        <v>0</v>
      </c>
      <c r="BA1181" s="49">
        <v>0</v>
      </c>
      <c r="BB1181" s="58">
        <v>0</v>
      </c>
      <c r="BC1181" s="42">
        <v>125</v>
      </c>
      <c r="BS1181" s="58"/>
      <c r="BT1181" s="83"/>
      <c r="CE1181" s="83"/>
      <c r="CK1181" s="58"/>
      <c r="CL1181" s="83"/>
      <c r="CO1181" s="58"/>
      <c r="CP1181" s="83"/>
      <c r="CR1181" s="58"/>
      <c r="CS1181" s="83"/>
      <c r="CY1181" s="83"/>
      <c r="DG1181" s="58"/>
      <c r="DH1181" s="83"/>
      <c r="DQ1181" s="83"/>
      <c r="EE1181" s="58"/>
      <c r="EF1181" s="83"/>
      <c r="EI1181" s="83"/>
      <c r="EK1181" s="58"/>
      <c r="EL1181" s="83"/>
      <c r="EO1181" s="58"/>
      <c r="EP1181" s="83"/>
      <c r="EQ1181" s="58"/>
      <c r="ER1181" s="83"/>
      <c r="ES1181" s="58"/>
      <c r="ET1181" s="83"/>
      <c r="EU1181" s="58"/>
    </row>
    <row r="1182" spans="1:151" ht="17" thickBot="1">
      <c r="A1182" s="55" t="s">
        <v>324</v>
      </c>
      <c r="B1182" s="173" t="s">
        <v>555</v>
      </c>
      <c r="C1182" s="173" t="s">
        <v>556</v>
      </c>
      <c r="D1182" s="83" t="s">
        <v>147</v>
      </c>
      <c r="F1182" s="49" t="s">
        <v>286</v>
      </c>
      <c r="G1182" s="49">
        <v>17.837</v>
      </c>
      <c r="I1182" s="49">
        <v>6701</v>
      </c>
      <c r="J1182" s="159">
        <v>5.068835098335855</v>
      </c>
      <c r="K1182" s="49">
        <v>4</v>
      </c>
      <c r="L1182" s="49">
        <v>5</v>
      </c>
      <c r="M1182" s="83">
        <v>0</v>
      </c>
      <c r="N1182" s="49">
        <v>0</v>
      </c>
      <c r="O1182" s="49">
        <v>0</v>
      </c>
      <c r="P1182" s="49">
        <v>0</v>
      </c>
      <c r="Q1182" s="58">
        <v>0</v>
      </c>
      <c r="R1182" s="42">
        <v>0</v>
      </c>
      <c r="S1182" s="83" t="s">
        <v>283</v>
      </c>
      <c r="T1182" s="49">
        <v>14</v>
      </c>
      <c r="U1182" s="83">
        <v>1</v>
      </c>
      <c r="V1182" s="49">
        <v>5</v>
      </c>
      <c r="W1182" s="49">
        <v>2</v>
      </c>
      <c r="X1182" s="58"/>
      <c r="Y1182" s="83">
        <v>1</v>
      </c>
      <c r="Z1182" s="49">
        <v>4</v>
      </c>
      <c r="AA1182" s="49">
        <v>31</v>
      </c>
      <c r="AD1182" s="49">
        <v>10</v>
      </c>
      <c r="AE1182" s="49">
        <v>57</v>
      </c>
      <c r="AF1182" s="49">
        <v>6</v>
      </c>
      <c r="AG1182" s="49">
        <v>148</v>
      </c>
      <c r="AJ1182" s="49">
        <v>0</v>
      </c>
      <c r="AK1182" s="83">
        <v>0</v>
      </c>
      <c r="AL1182" s="49">
        <v>0</v>
      </c>
      <c r="AM1182" s="49">
        <v>0</v>
      </c>
      <c r="AN1182" s="49">
        <v>0</v>
      </c>
      <c r="AO1182" s="58">
        <v>0</v>
      </c>
      <c r="AP1182" s="174">
        <v>0</v>
      </c>
      <c r="AQ1182" s="175">
        <v>0</v>
      </c>
      <c r="AR1182" s="175">
        <v>0</v>
      </c>
      <c r="AS1182" s="175">
        <v>0</v>
      </c>
      <c r="AT1182" s="175">
        <v>0</v>
      </c>
      <c r="AU1182" s="175">
        <v>0</v>
      </c>
      <c r="AV1182" s="175">
        <v>0</v>
      </c>
      <c r="AW1182" s="175">
        <v>0</v>
      </c>
      <c r="AX1182" s="83">
        <v>0</v>
      </c>
      <c r="AY1182" s="49">
        <v>0</v>
      </c>
      <c r="AZ1182" s="49">
        <v>0</v>
      </c>
      <c r="BA1182" s="49">
        <v>0</v>
      </c>
      <c r="BB1182" s="58">
        <v>0</v>
      </c>
      <c r="BC1182" s="42">
        <v>117</v>
      </c>
      <c r="BD1182" s="49">
        <v>78.34</v>
      </c>
      <c r="BE1182" s="159">
        <v>78.75</v>
      </c>
      <c r="BF1182" s="49">
        <v>78.11</v>
      </c>
      <c r="BS1182" s="58"/>
      <c r="BT1182" s="83"/>
      <c r="CE1182" s="83">
        <v>66.73</v>
      </c>
      <c r="CK1182" s="58"/>
      <c r="CL1182" s="83"/>
      <c r="CO1182" s="58"/>
      <c r="CP1182" s="83"/>
      <c r="CR1182" s="58"/>
      <c r="CS1182" s="83"/>
      <c r="CY1182" s="83"/>
      <c r="DG1182" s="58"/>
      <c r="DH1182" s="83"/>
      <c r="DQ1182" s="83"/>
      <c r="EE1182" s="58"/>
      <c r="EF1182" s="83"/>
      <c r="EI1182" s="83"/>
      <c r="EK1182" s="58"/>
      <c r="EL1182" s="83"/>
      <c r="EO1182" s="58"/>
      <c r="EP1182" s="83"/>
      <c r="EQ1182" s="58"/>
      <c r="ER1182" s="83"/>
      <c r="ES1182" s="58"/>
      <c r="ET1182" s="83"/>
      <c r="EU1182" s="58"/>
    </row>
    <row r="1183" spans="1:151">
      <c r="A1183" s="83" t="s">
        <v>324</v>
      </c>
      <c r="B1183" s="7" t="s">
        <v>557</v>
      </c>
      <c r="C1183" s="7" t="s">
        <v>556</v>
      </c>
      <c r="D1183" s="147" t="s">
        <v>64</v>
      </c>
      <c r="E1183" s="148"/>
      <c r="F1183" s="148" t="s">
        <v>286</v>
      </c>
      <c r="G1183" s="148">
        <v>17.837</v>
      </c>
      <c r="H1183" s="148"/>
      <c r="I1183" s="148">
        <v>2070</v>
      </c>
      <c r="J1183" s="158">
        <v>1.3754152823920265</v>
      </c>
      <c r="K1183" s="148">
        <v>1</v>
      </c>
      <c r="L1183" s="148">
        <v>3</v>
      </c>
      <c r="M1183" s="147">
        <v>0</v>
      </c>
      <c r="N1183" s="148">
        <v>0</v>
      </c>
      <c r="O1183" s="148">
        <v>1</v>
      </c>
      <c r="P1183" s="148">
        <v>1</v>
      </c>
      <c r="Q1183" s="149">
        <v>0</v>
      </c>
      <c r="R1183" s="87">
        <v>2</v>
      </c>
      <c r="S1183" s="147" t="s">
        <v>283</v>
      </c>
      <c r="T1183" s="148">
        <v>4</v>
      </c>
      <c r="U1183" s="147">
        <v>2</v>
      </c>
      <c r="V1183" s="148">
        <v>3</v>
      </c>
      <c r="W1183" s="148">
        <v>1</v>
      </c>
      <c r="X1183" s="149">
        <v>1</v>
      </c>
      <c r="Y1183" s="147">
        <v>2</v>
      </c>
      <c r="Z1183" s="148">
        <v>4</v>
      </c>
      <c r="AA1183" s="148">
        <v>7</v>
      </c>
      <c r="AB1183" s="148"/>
      <c r="AC1183" s="148"/>
      <c r="AD1183" s="148">
        <v>5</v>
      </c>
      <c r="AE1183" s="148">
        <v>27</v>
      </c>
      <c r="AF1183" s="148">
        <v>5</v>
      </c>
      <c r="AG1183" s="148">
        <v>317</v>
      </c>
      <c r="AH1183" s="148"/>
      <c r="AI1183" s="148">
        <v>312</v>
      </c>
      <c r="AJ1183" s="148">
        <v>0</v>
      </c>
      <c r="AK1183" s="147">
        <v>0</v>
      </c>
      <c r="AL1183" s="148">
        <v>1</v>
      </c>
      <c r="AM1183" s="148">
        <v>0</v>
      </c>
      <c r="AN1183" s="148">
        <v>0</v>
      </c>
      <c r="AO1183" s="149">
        <v>0</v>
      </c>
      <c r="AP1183" s="169">
        <v>0</v>
      </c>
      <c r="AQ1183" s="170">
        <v>362</v>
      </c>
      <c r="AR1183" s="170">
        <v>0</v>
      </c>
      <c r="AS1183" s="170">
        <v>0</v>
      </c>
      <c r="AT1183" s="170">
        <v>0</v>
      </c>
      <c r="AU1183" s="170">
        <v>0</v>
      </c>
      <c r="AV1183" s="170">
        <v>0</v>
      </c>
      <c r="AW1183" s="170">
        <v>0</v>
      </c>
      <c r="AX1183" s="147">
        <v>0</v>
      </c>
      <c r="AY1183" s="148">
        <v>0</v>
      </c>
      <c r="AZ1183" s="148">
        <v>0</v>
      </c>
      <c r="BA1183" s="148">
        <v>0</v>
      </c>
      <c r="BB1183" s="149">
        <v>0</v>
      </c>
      <c r="BC1183" s="87">
        <v>121</v>
      </c>
      <c r="BD1183" s="148"/>
      <c r="BE1183" s="158"/>
      <c r="BF1183" s="148"/>
      <c r="BG1183" s="148"/>
      <c r="BH1183" s="148"/>
      <c r="BI1183" s="148"/>
      <c r="BJ1183" s="148"/>
      <c r="BK1183" s="148"/>
      <c r="BL1183" s="148"/>
      <c r="BM1183" s="148"/>
      <c r="BN1183" s="148"/>
      <c r="BO1183" s="148"/>
      <c r="BP1183" s="148"/>
      <c r="BQ1183" s="148"/>
      <c r="BR1183" s="148"/>
      <c r="BS1183" s="149"/>
      <c r="BT1183" s="147"/>
      <c r="BU1183" s="148"/>
      <c r="BV1183" s="148"/>
      <c r="BW1183" s="148"/>
      <c r="BX1183" s="148"/>
      <c r="BY1183" s="148"/>
      <c r="BZ1183" s="148"/>
      <c r="CA1183" s="148"/>
      <c r="CB1183" s="148"/>
      <c r="CC1183" s="148"/>
      <c r="CD1183" s="148"/>
      <c r="CE1183" s="147"/>
      <c r="CF1183" s="148"/>
      <c r="CG1183" s="148"/>
      <c r="CH1183" s="148"/>
      <c r="CI1183" s="148"/>
      <c r="CJ1183" s="148"/>
      <c r="CK1183" s="149"/>
      <c r="CL1183" s="147"/>
      <c r="CM1183" s="148"/>
      <c r="CN1183" s="148"/>
      <c r="CO1183" s="149"/>
      <c r="CP1183" s="147"/>
      <c r="CQ1183" s="148"/>
      <c r="CR1183" s="149"/>
      <c r="CS1183" s="147"/>
      <c r="CT1183" s="148"/>
      <c r="CU1183" s="148"/>
      <c r="CV1183" s="148"/>
      <c r="CW1183" s="148"/>
      <c r="CX1183" s="148"/>
      <c r="CY1183" s="147"/>
      <c r="CZ1183" s="148"/>
      <c r="DA1183" s="148"/>
      <c r="DB1183" s="148"/>
      <c r="DC1183" s="148"/>
      <c r="DD1183" s="148"/>
      <c r="DE1183" s="148"/>
      <c r="DF1183" s="148"/>
      <c r="DG1183" s="149"/>
      <c r="DH1183" s="147"/>
      <c r="DI1183" s="148"/>
      <c r="DJ1183" s="148"/>
      <c r="DK1183" s="148"/>
      <c r="DL1183" s="148"/>
      <c r="DM1183" s="148"/>
      <c r="DN1183" s="148"/>
      <c r="DO1183" s="148"/>
      <c r="DP1183" s="148"/>
      <c r="DQ1183" s="147"/>
      <c r="DR1183" s="148"/>
      <c r="DS1183" s="148"/>
      <c r="DT1183" s="148"/>
      <c r="DU1183" s="148"/>
      <c r="DV1183" s="148"/>
      <c r="DW1183" s="148"/>
      <c r="DX1183" s="148"/>
      <c r="DY1183" s="148"/>
      <c r="DZ1183" s="148"/>
      <c r="EA1183" s="148"/>
      <c r="EB1183" s="148"/>
      <c r="EC1183" s="148"/>
      <c r="ED1183" s="148"/>
      <c r="EE1183" s="149"/>
      <c r="EF1183" s="147"/>
      <c r="EG1183" s="148"/>
      <c r="EH1183" s="148"/>
      <c r="EI1183" s="147"/>
      <c r="EJ1183" s="148"/>
      <c r="EK1183" s="149"/>
      <c r="EL1183" s="147"/>
      <c r="EM1183" s="148"/>
      <c r="EN1183" s="148"/>
      <c r="EO1183" s="149"/>
      <c r="EP1183" s="147"/>
      <c r="EQ1183" s="149"/>
      <c r="ER1183" s="147"/>
      <c r="ES1183" s="149"/>
      <c r="ET1183" s="147"/>
      <c r="EU1183" s="149"/>
    </row>
    <row r="1184" spans="1:151">
      <c r="A1184" s="83" t="s">
        <v>324</v>
      </c>
      <c r="B1184" s="173" t="s">
        <v>557</v>
      </c>
      <c r="C1184" s="173" t="s">
        <v>556</v>
      </c>
      <c r="D1184" s="83" t="s">
        <v>65</v>
      </c>
      <c r="F1184" s="49" t="s">
        <v>286</v>
      </c>
      <c r="G1184" s="49">
        <v>17.837</v>
      </c>
      <c r="I1184" s="49">
        <v>2157</v>
      </c>
      <c r="J1184" s="159">
        <v>2.5832335329341318</v>
      </c>
      <c r="K1184" s="49">
        <v>4</v>
      </c>
      <c r="L1184" s="49">
        <v>4</v>
      </c>
      <c r="M1184" s="83">
        <v>0</v>
      </c>
      <c r="N1184" s="49">
        <v>0</v>
      </c>
      <c r="O1184" s="49">
        <v>1</v>
      </c>
      <c r="P1184" s="49">
        <v>0</v>
      </c>
      <c r="Q1184" s="58">
        <v>0</v>
      </c>
      <c r="R1184" s="42">
        <v>1</v>
      </c>
      <c r="S1184" s="83">
        <v>1</v>
      </c>
      <c r="U1184" s="83">
        <v>1</v>
      </c>
      <c r="V1184" s="49">
        <v>4</v>
      </c>
      <c r="W1184" s="49">
        <v>1</v>
      </c>
      <c r="X1184" s="58">
        <v>1</v>
      </c>
      <c r="Y1184" s="83">
        <v>3</v>
      </c>
      <c r="Z1184" s="49">
        <v>2</v>
      </c>
      <c r="AA1184" s="49">
        <v>49</v>
      </c>
      <c r="AD1184" s="49">
        <v>6</v>
      </c>
      <c r="AE1184" s="49">
        <v>82</v>
      </c>
      <c r="AH1184" s="49">
        <v>39</v>
      </c>
      <c r="AI1184" s="49">
        <v>151</v>
      </c>
      <c r="AJ1184" s="49">
        <v>0</v>
      </c>
      <c r="AK1184" s="83">
        <v>0</v>
      </c>
      <c r="AL1184" s="49">
        <v>1</v>
      </c>
      <c r="AM1184" s="49">
        <v>0</v>
      </c>
      <c r="AN1184" s="49">
        <v>0</v>
      </c>
      <c r="AO1184" s="58">
        <v>0</v>
      </c>
      <c r="AP1184" s="174">
        <v>0</v>
      </c>
      <c r="AQ1184" s="175">
        <v>932</v>
      </c>
      <c r="AR1184" s="175">
        <v>0</v>
      </c>
      <c r="AS1184" s="175">
        <v>0</v>
      </c>
      <c r="AT1184" s="175">
        <v>0</v>
      </c>
      <c r="AU1184" s="175">
        <v>0</v>
      </c>
      <c r="AV1184" s="175">
        <v>0</v>
      </c>
      <c r="AW1184" s="175">
        <v>0</v>
      </c>
      <c r="AX1184" s="83">
        <v>0</v>
      </c>
      <c r="AY1184" s="49">
        <v>0</v>
      </c>
      <c r="AZ1184" s="49">
        <v>0</v>
      </c>
      <c r="BA1184" s="49">
        <v>0</v>
      </c>
      <c r="BB1184" s="58">
        <v>0</v>
      </c>
      <c r="BC1184" s="42">
        <v>101</v>
      </c>
      <c r="BD1184" s="49">
        <v>77.62</v>
      </c>
      <c r="BE1184" s="159">
        <v>77.67</v>
      </c>
      <c r="BF1184" s="49">
        <v>77.36</v>
      </c>
      <c r="BS1184" s="58"/>
      <c r="BT1184" s="83">
        <v>79.14</v>
      </c>
      <c r="CE1184" s="83">
        <v>71.55</v>
      </c>
      <c r="CK1184" s="58"/>
      <c r="CL1184" s="83"/>
      <c r="CO1184" s="58"/>
      <c r="CP1184" s="83"/>
      <c r="CR1184" s="58"/>
      <c r="CS1184" s="83"/>
      <c r="CY1184" s="83"/>
      <c r="DG1184" s="58"/>
      <c r="DH1184" s="83"/>
      <c r="DQ1184" s="83"/>
      <c r="EE1184" s="58"/>
      <c r="EF1184" s="83"/>
      <c r="EI1184" s="83"/>
      <c r="EK1184" s="58"/>
      <c r="EL1184" s="83"/>
      <c r="EO1184" s="58"/>
      <c r="EP1184" s="83"/>
      <c r="EQ1184" s="58"/>
      <c r="ER1184" s="83"/>
      <c r="ES1184" s="58"/>
      <c r="ET1184" s="83"/>
      <c r="EU1184" s="58"/>
    </row>
    <row r="1185" spans="1:151">
      <c r="A1185" s="83" t="s">
        <v>324</v>
      </c>
      <c r="B1185" s="173" t="s">
        <v>557</v>
      </c>
      <c r="C1185" s="173" t="s">
        <v>556</v>
      </c>
      <c r="D1185" s="83" t="s">
        <v>66</v>
      </c>
      <c r="F1185" s="49" t="s">
        <v>286</v>
      </c>
      <c r="G1185" s="49">
        <v>17.837</v>
      </c>
      <c r="I1185" s="49">
        <v>4799</v>
      </c>
      <c r="J1185" s="159">
        <v>1.9211369095276221</v>
      </c>
      <c r="K1185" s="49">
        <v>4</v>
      </c>
      <c r="L1185" s="49">
        <v>3</v>
      </c>
      <c r="M1185" s="83">
        <v>0</v>
      </c>
      <c r="N1185" s="49">
        <v>1</v>
      </c>
      <c r="O1185" s="49">
        <v>1</v>
      </c>
      <c r="P1185" s="49">
        <v>1</v>
      </c>
      <c r="Q1185" s="58">
        <v>0</v>
      </c>
      <c r="R1185" s="42">
        <v>3</v>
      </c>
      <c r="S1185" s="83" t="s">
        <v>283</v>
      </c>
      <c r="T1185" s="49">
        <v>16</v>
      </c>
      <c r="U1185" s="83">
        <v>1</v>
      </c>
      <c r="V1185" s="49">
        <v>3</v>
      </c>
      <c r="W1185" s="49">
        <v>1</v>
      </c>
      <c r="X1185" s="58">
        <v>1</v>
      </c>
      <c r="Y1185" s="83">
        <v>1</v>
      </c>
      <c r="AD1185" s="49">
        <v>31</v>
      </c>
      <c r="AE1185" s="49">
        <v>256</v>
      </c>
      <c r="AH1185" s="49">
        <v>30</v>
      </c>
      <c r="AI1185" s="49">
        <v>542</v>
      </c>
      <c r="AJ1185" s="49">
        <v>0</v>
      </c>
      <c r="AK1185" s="83">
        <v>0</v>
      </c>
      <c r="AL1185" s="49">
        <v>0</v>
      </c>
      <c r="AM1185" s="49">
        <v>0</v>
      </c>
      <c r="AN1185" s="49">
        <v>0</v>
      </c>
      <c r="AO1185" s="58">
        <v>0</v>
      </c>
      <c r="AP1185" s="174">
        <v>0</v>
      </c>
      <c r="AQ1185" s="175">
        <v>0</v>
      </c>
      <c r="AR1185" s="175">
        <v>0</v>
      </c>
      <c r="AS1185" s="175">
        <v>0</v>
      </c>
      <c r="AT1185" s="175">
        <v>0</v>
      </c>
      <c r="AU1185" s="175">
        <v>0</v>
      </c>
      <c r="AV1185" s="175">
        <v>0</v>
      </c>
      <c r="AW1185" s="175">
        <v>0</v>
      </c>
      <c r="AX1185" s="83">
        <v>0</v>
      </c>
      <c r="AY1185" s="49">
        <v>0</v>
      </c>
      <c r="AZ1185" s="49">
        <v>0</v>
      </c>
      <c r="BA1185" s="49">
        <v>0</v>
      </c>
      <c r="BB1185" s="58">
        <v>0</v>
      </c>
      <c r="BC1185" s="42">
        <v>150</v>
      </c>
      <c r="BS1185" s="58"/>
      <c r="BT1185" s="83"/>
      <c r="CE1185" s="83"/>
      <c r="CK1185" s="58"/>
      <c r="CL1185" s="83"/>
      <c r="CO1185" s="58"/>
      <c r="CP1185" s="83"/>
      <c r="CR1185" s="58"/>
      <c r="CS1185" s="83"/>
      <c r="CY1185" s="83"/>
      <c r="DG1185" s="58"/>
      <c r="DH1185" s="83"/>
      <c r="DQ1185" s="83"/>
      <c r="EE1185" s="58"/>
      <c r="EF1185" s="83"/>
      <c r="EI1185" s="83"/>
      <c r="EK1185" s="58"/>
      <c r="EL1185" s="83"/>
      <c r="EO1185" s="58"/>
      <c r="EP1185" s="83"/>
      <c r="EQ1185" s="58"/>
      <c r="ER1185" s="83"/>
      <c r="ES1185" s="58"/>
      <c r="ET1185" s="83"/>
      <c r="EU1185" s="58"/>
    </row>
    <row r="1186" spans="1:151">
      <c r="A1186" s="83" t="s">
        <v>324</v>
      </c>
      <c r="B1186" s="173" t="s">
        <v>557</v>
      </c>
      <c r="C1186" s="173" t="s">
        <v>556</v>
      </c>
      <c r="D1186" s="83" t="s">
        <v>67</v>
      </c>
      <c r="F1186" s="49" t="s">
        <v>286</v>
      </c>
      <c r="G1186" s="49">
        <v>17.837</v>
      </c>
      <c r="I1186" s="49">
        <v>1212</v>
      </c>
      <c r="J1186" s="159">
        <v>1.4060324825986079</v>
      </c>
      <c r="K1186" s="49">
        <v>4</v>
      </c>
      <c r="L1186" s="49">
        <v>3</v>
      </c>
      <c r="M1186" s="83">
        <v>0</v>
      </c>
      <c r="N1186" s="49">
        <v>0</v>
      </c>
      <c r="O1186" s="49">
        <v>1</v>
      </c>
      <c r="P1186" s="49">
        <v>1</v>
      </c>
      <c r="Q1186" s="58">
        <v>0</v>
      </c>
      <c r="R1186" s="42">
        <v>2</v>
      </c>
      <c r="S1186" s="83" t="s">
        <v>283</v>
      </c>
      <c r="T1186" s="49">
        <v>7</v>
      </c>
      <c r="U1186" s="83">
        <v>1</v>
      </c>
      <c r="V1186" s="49">
        <v>3</v>
      </c>
      <c r="W1186" s="49">
        <v>1</v>
      </c>
      <c r="X1186" s="58">
        <v>1</v>
      </c>
      <c r="Y1186" s="83">
        <v>1</v>
      </c>
      <c r="AF1186" s="49">
        <v>8</v>
      </c>
      <c r="AG1186" s="49">
        <v>53</v>
      </c>
      <c r="AI1186" s="49">
        <v>34</v>
      </c>
      <c r="AJ1186" s="49">
        <v>0</v>
      </c>
      <c r="AK1186" s="83">
        <v>0</v>
      </c>
      <c r="AL1186" s="49">
        <v>0</v>
      </c>
      <c r="AM1186" s="49">
        <v>0</v>
      </c>
      <c r="AN1186" s="49">
        <v>0</v>
      </c>
      <c r="AO1186" s="58">
        <v>0</v>
      </c>
      <c r="AP1186" s="174">
        <v>0</v>
      </c>
      <c r="AQ1186" s="175">
        <v>0</v>
      </c>
      <c r="AR1186" s="175">
        <v>0</v>
      </c>
      <c r="AS1186" s="175">
        <v>0</v>
      </c>
      <c r="AT1186" s="175">
        <v>0</v>
      </c>
      <c r="AU1186" s="175">
        <v>0</v>
      </c>
      <c r="AV1186" s="175">
        <v>0</v>
      </c>
      <c r="AW1186" s="175">
        <v>0</v>
      </c>
      <c r="AX1186" s="83">
        <v>0</v>
      </c>
      <c r="AY1186" s="49">
        <v>0</v>
      </c>
      <c r="AZ1186" s="49">
        <v>0</v>
      </c>
      <c r="BA1186" s="49">
        <v>0</v>
      </c>
      <c r="BB1186" s="58">
        <v>0</v>
      </c>
      <c r="BC1186" s="42">
        <v>83</v>
      </c>
      <c r="BS1186" s="58"/>
      <c r="BT1186" s="83"/>
      <c r="CE1186" s="83"/>
      <c r="CK1186" s="58"/>
      <c r="CL1186" s="83"/>
      <c r="CO1186" s="58"/>
      <c r="CP1186" s="83"/>
      <c r="CR1186" s="58"/>
      <c r="CS1186" s="83"/>
      <c r="CY1186" s="83"/>
      <c r="DG1186" s="58"/>
      <c r="DH1186" s="83"/>
      <c r="DQ1186" s="83"/>
      <c r="EE1186" s="58"/>
      <c r="EF1186" s="83"/>
      <c r="EI1186" s="83"/>
      <c r="EK1186" s="58"/>
      <c r="EL1186" s="83"/>
      <c r="EO1186" s="58"/>
      <c r="EP1186" s="83"/>
      <c r="EQ1186" s="58"/>
      <c r="ER1186" s="83"/>
      <c r="ES1186" s="58"/>
      <c r="ET1186" s="83"/>
      <c r="EU1186" s="58"/>
    </row>
    <row r="1187" spans="1:151">
      <c r="A1187" s="83" t="s">
        <v>324</v>
      </c>
      <c r="B1187" s="173" t="s">
        <v>557</v>
      </c>
      <c r="C1187" s="173" t="s">
        <v>556</v>
      </c>
      <c r="D1187" s="83" t="s">
        <v>68</v>
      </c>
      <c r="F1187" s="49" t="s">
        <v>286</v>
      </c>
      <c r="G1187" s="49">
        <v>17.837</v>
      </c>
      <c r="I1187" s="49">
        <v>7676</v>
      </c>
      <c r="J1187" s="159">
        <v>1.239864319172993</v>
      </c>
      <c r="K1187" s="49">
        <v>1</v>
      </c>
      <c r="L1187" s="49">
        <v>3</v>
      </c>
      <c r="M1187" s="83">
        <v>1</v>
      </c>
      <c r="N1187" s="49">
        <v>0</v>
      </c>
      <c r="O1187" s="49">
        <v>0</v>
      </c>
      <c r="P1187" s="49">
        <v>0</v>
      </c>
      <c r="Q1187" s="58">
        <v>0</v>
      </c>
      <c r="R1187" s="42">
        <v>1</v>
      </c>
      <c r="S1187" s="83" t="s">
        <v>283</v>
      </c>
      <c r="T1187" s="49">
        <v>22</v>
      </c>
      <c r="U1187" s="83">
        <v>1</v>
      </c>
      <c r="V1187" s="49">
        <v>2</v>
      </c>
      <c r="W1187" s="49">
        <v>2</v>
      </c>
      <c r="X1187" s="58"/>
      <c r="Y1187" s="83">
        <v>1</v>
      </c>
      <c r="Z1187" s="49">
        <v>12</v>
      </c>
      <c r="AA1187" s="49">
        <v>41</v>
      </c>
      <c r="AD1187" s="49">
        <v>6</v>
      </c>
      <c r="AE1187" s="49">
        <v>52</v>
      </c>
      <c r="AF1187" s="49">
        <v>6</v>
      </c>
      <c r="AG1187" s="49">
        <v>49</v>
      </c>
      <c r="AJ1187" s="49">
        <v>0</v>
      </c>
      <c r="AK1187" s="83">
        <v>0</v>
      </c>
      <c r="AL1187" s="49">
        <v>1</v>
      </c>
      <c r="AM1187" s="49">
        <v>0</v>
      </c>
      <c r="AN1187" s="49">
        <v>0</v>
      </c>
      <c r="AO1187" s="58">
        <v>0</v>
      </c>
      <c r="AP1187" s="174">
        <v>0</v>
      </c>
      <c r="AQ1187" s="175">
        <v>484</v>
      </c>
      <c r="AR1187" s="175">
        <v>1432</v>
      </c>
      <c r="AS1187" s="175">
        <v>0</v>
      </c>
      <c r="AT1187" s="175">
        <v>0</v>
      </c>
      <c r="AU1187" s="175">
        <v>0</v>
      </c>
      <c r="AV1187" s="175">
        <v>0</v>
      </c>
      <c r="AW1187" s="175">
        <v>0</v>
      </c>
      <c r="AX1187" s="83">
        <v>0</v>
      </c>
      <c r="AY1187" s="49">
        <v>0</v>
      </c>
      <c r="AZ1187" s="49">
        <v>0</v>
      </c>
      <c r="BA1187" s="49">
        <v>0</v>
      </c>
      <c r="BB1187" s="58">
        <v>0</v>
      </c>
      <c r="BC1187" s="42">
        <v>123</v>
      </c>
      <c r="BD1187" s="49">
        <v>78.05</v>
      </c>
      <c r="BS1187" s="58"/>
      <c r="BT1187" s="83"/>
      <c r="CE1187" s="83">
        <v>69.92</v>
      </c>
      <c r="CF1187" s="49">
        <v>78.709999999999994</v>
      </c>
      <c r="CG1187" s="49">
        <v>79.62</v>
      </c>
      <c r="CK1187" s="58"/>
      <c r="CL1187" s="83"/>
      <c r="CO1187" s="58"/>
      <c r="CP1187" s="83"/>
      <c r="CR1187" s="58"/>
      <c r="CS1187" s="83"/>
      <c r="CY1187" s="83"/>
      <c r="DG1187" s="58"/>
      <c r="DH1187" s="83"/>
      <c r="DQ1187" s="83"/>
      <c r="EE1187" s="58"/>
      <c r="EF1187" s="83"/>
      <c r="EI1187" s="83"/>
      <c r="EK1187" s="58"/>
      <c r="EL1187" s="83"/>
      <c r="EO1187" s="58"/>
      <c r="EP1187" s="83"/>
      <c r="EQ1187" s="58"/>
      <c r="ER1187" s="83"/>
      <c r="ES1187" s="58"/>
      <c r="ET1187" s="83"/>
      <c r="EU1187" s="58"/>
    </row>
    <row r="1188" spans="1:151">
      <c r="A1188" s="83" t="s">
        <v>324</v>
      </c>
      <c r="B1188" s="173" t="s">
        <v>557</v>
      </c>
      <c r="C1188" s="173" t="s">
        <v>556</v>
      </c>
      <c r="D1188" s="83" t="s">
        <v>69</v>
      </c>
      <c r="F1188" s="49" t="s">
        <v>286</v>
      </c>
      <c r="G1188" s="49">
        <v>17.837</v>
      </c>
      <c r="I1188" s="49">
        <v>10536</v>
      </c>
      <c r="J1188" s="159">
        <v>1.4715083798882682</v>
      </c>
      <c r="K1188" s="49">
        <v>1</v>
      </c>
      <c r="L1188" s="49">
        <v>2</v>
      </c>
      <c r="M1188" s="83">
        <v>0</v>
      </c>
      <c r="N1188" s="49">
        <v>0</v>
      </c>
      <c r="O1188" s="49">
        <v>1</v>
      </c>
      <c r="P1188" s="49">
        <v>1</v>
      </c>
      <c r="Q1188" s="58">
        <v>0</v>
      </c>
      <c r="R1188" s="42">
        <v>2</v>
      </c>
      <c r="S1188" s="83" t="s">
        <v>283</v>
      </c>
      <c r="T1188" s="49">
        <v>6</v>
      </c>
      <c r="U1188" s="83">
        <v>1</v>
      </c>
      <c r="V1188" s="49">
        <v>2</v>
      </c>
      <c r="W1188" s="49">
        <v>2</v>
      </c>
      <c r="X1188" s="58"/>
      <c r="Y1188" s="83">
        <v>2</v>
      </c>
      <c r="Z1188" s="49">
        <v>10</v>
      </c>
      <c r="AA1188" s="49">
        <v>129</v>
      </c>
      <c r="AD1188" s="49">
        <v>9</v>
      </c>
      <c r="AE1188" s="49">
        <v>440</v>
      </c>
      <c r="AH1188" s="49">
        <v>70</v>
      </c>
      <c r="AI1188" s="49">
        <v>747</v>
      </c>
      <c r="AJ1188" s="49">
        <v>1</v>
      </c>
      <c r="AK1188" s="83">
        <v>0</v>
      </c>
      <c r="AL1188" s="49">
        <v>0</v>
      </c>
      <c r="AM1188" s="49">
        <v>0</v>
      </c>
      <c r="AN1188" s="49">
        <v>0</v>
      </c>
      <c r="AO1188" s="58">
        <v>0</v>
      </c>
      <c r="AP1188" s="174">
        <v>0</v>
      </c>
      <c r="AQ1188" s="175">
        <v>0</v>
      </c>
      <c r="AR1188" s="175">
        <v>0</v>
      </c>
      <c r="AS1188" s="175">
        <v>0</v>
      </c>
      <c r="AT1188" s="175">
        <v>0</v>
      </c>
      <c r="AU1188" s="175">
        <v>0</v>
      </c>
      <c r="AV1188" s="175">
        <v>0</v>
      </c>
      <c r="AW1188" s="175">
        <v>0</v>
      </c>
      <c r="AX1188" s="83">
        <v>0</v>
      </c>
      <c r="AY1188" s="49">
        <v>0</v>
      </c>
      <c r="AZ1188" s="49">
        <v>0</v>
      </c>
      <c r="BA1188" s="49">
        <v>0</v>
      </c>
      <c r="BB1188" s="58">
        <v>0</v>
      </c>
      <c r="BC1188" s="42">
        <v>137</v>
      </c>
      <c r="BD1188" s="49">
        <v>78.180000000000007</v>
      </c>
      <c r="BS1188" s="58"/>
      <c r="BT1188" s="83">
        <v>79.489999999999995</v>
      </c>
      <c r="BU1188" s="49">
        <v>79.290000000000006</v>
      </c>
      <c r="CE1188" s="83">
        <v>78.400000000000006</v>
      </c>
      <c r="CF1188" s="49">
        <v>79.64</v>
      </c>
      <c r="CG1188" s="49">
        <v>70.89</v>
      </c>
      <c r="CK1188" s="58"/>
      <c r="CL1188" s="83"/>
      <c r="CO1188" s="58"/>
      <c r="CP1188" s="83"/>
      <c r="CR1188" s="58"/>
      <c r="CS1188" s="83"/>
      <c r="CY1188" s="83"/>
      <c r="DG1188" s="58"/>
      <c r="DH1188" s="83"/>
      <c r="DQ1188" s="83"/>
      <c r="EE1188" s="58"/>
      <c r="EF1188" s="83"/>
      <c r="EI1188" s="83"/>
      <c r="EK1188" s="58"/>
      <c r="EL1188" s="83"/>
      <c r="EO1188" s="58"/>
      <c r="EP1188" s="83"/>
      <c r="EQ1188" s="58"/>
      <c r="ER1188" s="83"/>
      <c r="ES1188" s="58"/>
      <c r="ET1188" s="83"/>
      <c r="EU1188" s="58"/>
    </row>
    <row r="1189" spans="1:151">
      <c r="A1189" s="83" t="s">
        <v>324</v>
      </c>
      <c r="B1189" s="173" t="s">
        <v>557</v>
      </c>
      <c r="C1189" s="173" t="s">
        <v>556</v>
      </c>
      <c r="D1189" s="83" t="s">
        <v>74</v>
      </c>
      <c r="F1189" s="49" t="s">
        <v>286</v>
      </c>
      <c r="G1189" s="49">
        <v>17.837</v>
      </c>
      <c r="I1189" s="49">
        <v>10271</v>
      </c>
      <c r="J1189" s="159">
        <v>1.6126550478882085</v>
      </c>
      <c r="K1189" s="49">
        <v>1</v>
      </c>
      <c r="L1189" s="49">
        <v>3</v>
      </c>
      <c r="M1189" s="83">
        <v>0</v>
      </c>
      <c r="N1189" s="49">
        <v>3</v>
      </c>
      <c r="O1189" s="49">
        <v>1</v>
      </c>
      <c r="P1189" s="49">
        <v>0</v>
      </c>
      <c r="Q1189" s="58">
        <v>0</v>
      </c>
      <c r="R1189" s="42">
        <v>4</v>
      </c>
      <c r="S1189" s="83" t="s">
        <v>284</v>
      </c>
      <c r="U1189" s="83">
        <v>1</v>
      </c>
      <c r="V1189" s="49">
        <v>3</v>
      </c>
      <c r="W1189" s="49">
        <v>1</v>
      </c>
      <c r="X1189" s="58">
        <v>1</v>
      </c>
      <c r="Y1189" s="83">
        <v>10</v>
      </c>
      <c r="Z1189" s="49">
        <v>4</v>
      </c>
      <c r="AA1189" s="49">
        <v>85</v>
      </c>
      <c r="AD1189" s="49">
        <v>13</v>
      </c>
      <c r="AE1189" s="49">
        <v>327</v>
      </c>
      <c r="AF1189" s="49">
        <v>9</v>
      </c>
      <c r="AG1189" s="49">
        <v>329</v>
      </c>
      <c r="AH1189" s="49">
        <v>28</v>
      </c>
      <c r="AI1189" s="49">
        <v>3447</v>
      </c>
      <c r="AJ1189" s="49">
        <v>1</v>
      </c>
      <c r="AK1189" s="83">
        <v>0</v>
      </c>
      <c r="AL1189" s="49">
        <v>0</v>
      </c>
      <c r="AM1189" s="49">
        <v>1</v>
      </c>
      <c r="AN1189" s="49">
        <v>0</v>
      </c>
      <c r="AO1189" s="58">
        <v>0</v>
      </c>
      <c r="AP1189" s="174">
        <v>0</v>
      </c>
      <c r="AQ1189" s="175">
        <v>0</v>
      </c>
      <c r="AR1189" s="175">
        <v>0</v>
      </c>
      <c r="AS1189" s="175">
        <v>893</v>
      </c>
      <c r="AT1189" s="175">
        <v>0</v>
      </c>
      <c r="AU1189" s="175">
        <v>0</v>
      </c>
      <c r="AV1189" s="175">
        <v>0</v>
      </c>
      <c r="AW1189" s="175">
        <v>0</v>
      </c>
      <c r="AX1189" s="83">
        <v>0</v>
      </c>
      <c r="AY1189" s="49">
        <v>0</v>
      </c>
      <c r="AZ1189" s="49">
        <v>0</v>
      </c>
      <c r="BA1189" s="49">
        <v>0</v>
      </c>
      <c r="BB1189" s="58">
        <v>0</v>
      </c>
      <c r="BC1189" s="42">
        <v>110</v>
      </c>
      <c r="BD1189" s="49">
        <v>78.010000000000005</v>
      </c>
      <c r="BE1189" s="159">
        <v>79.2</v>
      </c>
      <c r="BF1189" s="49">
        <v>76.150000000000006</v>
      </c>
      <c r="BG1189" s="49">
        <v>75.95</v>
      </c>
      <c r="BH1189" s="49">
        <v>75.430000000000007</v>
      </c>
      <c r="BI1189" s="49">
        <v>78.87</v>
      </c>
      <c r="BJ1189" s="49">
        <v>78.650000000000006</v>
      </c>
      <c r="BK1189" s="49">
        <v>78.3</v>
      </c>
      <c r="BL1189" s="49">
        <v>76.959999999999994</v>
      </c>
      <c r="BM1189" s="49">
        <v>76.33</v>
      </c>
      <c r="BN1189" s="49">
        <v>76.760000000000005</v>
      </c>
      <c r="BO1189" s="49">
        <v>77.040000000000006</v>
      </c>
      <c r="BP1189" s="49">
        <v>78.290000000000006</v>
      </c>
      <c r="BQ1189" s="49">
        <v>79.23</v>
      </c>
      <c r="BR1189" s="49">
        <v>78.430000000000007</v>
      </c>
      <c r="BS1189" s="58">
        <v>77.209999999999994</v>
      </c>
      <c r="BT1189" s="83">
        <v>70.52</v>
      </c>
      <c r="CE1189" s="83">
        <v>70.62</v>
      </c>
      <c r="CF1189" s="49">
        <v>68.400000000000006</v>
      </c>
      <c r="CG1189" s="49">
        <v>68.819999999999993</v>
      </c>
      <c r="CK1189" s="58"/>
      <c r="CL1189" s="83"/>
      <c r="CO1189" s="58"/>
      <c r="CP1189" s="83"/>
      <c r="CR1189" s="58"/>
      <c r="CS1189" s="83">
        <v>68.73</v>
      </c>
      <c r="CT1189" s="49">
        <v>67.69</v>
      </c>
      <c r="CU1189" s="49">
        <v>67.75</v>
      </c>
      <c r="CV1189" s="49">
        <v>68.84</v>
      </c>
      <c r="CW1189" s="49">
        <v>67.77</v>
      </c>
      <c r="CX1189" s="49">
        <v>68.010000000000005</v>
      </c>
      <c r="CY1189" s="83"/>
      <c r="DG1189" s="58"/>
      <c r="DH1189" s="83"/>
      <c r="DQ1189" s="83">
        <v>68.430000000000007</v>
      </c>
      <c r="DR1189" s="49">
        <v>70.69</v>
      </c>
      <c r="DS1189" s="49">
        <v>73.19</v>
      </c>
      <c r="EE1189" s="58"/>
      <c r="EF1189" s="83"/>
      <c r="EI1189" s="83"/>
      <c r="EK1189" s="58"/>
      <c r="EL1189" s="83"/>
      <c r="EO1189" s="58"/>
      <c r="EP1189" s="83"/>
      <c r="EQ1189" s="58"/>
      <c r="ER1189" s="83"/>
      <c r="ES1189" s="58"/>
      <c r="ET1189" s="83"/>
      <c r="EU1189" s="58"/>
    </row>
    <row r="1190" spans="1:151">
      <c r="A1190" s="83" t="s">
        <v>324</v>
      </c>
      <c r="B1190" s="173" t="s">
        <v>557</v>
      </c>
      <c r="C1190" s="173" t="s">
        <v>556</v>
      </c>
      <c r="D1190" s="83" t="s">
        <v>281</v>
      </c>
      <c r="E1190" s="49" t="s">
        <v>0</v>
      </c>
      <c r="F1190" s="49" t="s">
        <v>286</v>
      </c>
      <c r="G1190" s="49">
        <v>17.837</v>
      </c>
      <c r="I1190" s="49">
        <v>2723</v>
      </c>
      <c r="J1190" s="159">
        <v>1.3480198019801981</v>
      </c>
      <c r="K1190" s="49">
        <v>1</v>
      </c>
      <c r="L1190" s="49">
        <v>3</v>
      </c>
      <c r="M1190" s="83">
        <v>0</v>
      </c>
      <c r="N1190" s="49">
        <v>0</v>
      </c>
      <c r="O1190" s="49">
        <v>0</v>
      </c>
      <c r="P1190" s="49">
        <v>0</v>
      </c>
      <c r="Q1190" s="58">
        <v>0</v>
      </c>
      <c r="R1190" s="42">
        <v>0</v>
      </c>
      <c r="S1190" s="83" t="s">
        <v>283</v>
      </c>
      <c r="T1190" s="49">
        <v>22</v>
      </c>
      <c r="U1190" s="83">
        <v>1</v>
      </c>
      <c r="V1190" s="49">
        <v>2</v>
      </c>
      <c r="W1190" s="49">
        <v>2</v>
      </c>
      <c r="X1190" s="58"/>
      <c r="Y1190" s="83">
        <v>1</v>
      </c>
      <c r="AD1190" s="49">
        <v>9</v>
      </c>
      <c r="AE1190" s="49">
        <v>22</v>
      </c>
      <c r="AJ1190" s="49">
        <v>0</v>
      </c>
      <c r="AK1190" s="83">
        <v>0</v>
      </c>
      <c r="AL1190" s="49">
        <v>0</v>
      </c>
      <c r="AM1190" s="49">
        <v>0</v>
      </c>
      <c r="AN1190" s="49">
        <v>0</v>
      </c>
      <c r="AO1190" s="58">
        <v>0</v>
      </c>
      <c r="AP1190" s="174">
        <v>0</v>
      </c>
      <c r="AQ1190" s="175">
        <v>0</v>
      </c>
      <c r="AR1190" s="175">
        <v>0</v>
      </c>
      <c r="AS1190" s="175">
        <v>0</v>
      </c>
      <c r="AT1190" s="175">
        <v>0</v>
      </c>
      <c r="AU1190" s="175">
        <v>0</v>
      </c>
      <c r="AV1190" s="175">
        <v>0</v>
      </c>
      <c r="AW1190" s="175">
        <v>0</v>
      </c>
      <c r="AX1190" s="83">
        <v>0</v>
      </c>
      <c r="AY1190" s="49">
        <v>0</v>
      </c>
      <c r="AZ1190" s="49">
        <v>0</v>
      </c>
      <c r="BA1190" s="49">
        <v>0</v>
      </c>
      <c r="BB1190" s="58">
        <v>0</v>
      </c>
      <c r="BC1190" s="42">
        <v>140</v>
      </c>
      <c r="BD1190" s="49">
        <v>79.819999999999993</v>
      </c>
      <c r="BS1190" s="58"/>
      <c r="BT1190" s="83">
        <v>79.42</v>
      </c>
      <c r="CE1190" s="83">
        <v>69.739999999999995</v>
      </c>
      <c r="CK1190" s="58"/>
      <c r="CL1190" s="83"/>
      <c r="CO1190" s="58"/>
      <c r="CP1190" s="83"/>
      <c r="CR1190" s="58"/>
      <c r="CS1190" s="83"/>
      <c r="CY1190" s="83"/>
      <c r="DG1190" s="58"/>
      <c r="DH1190" s="83"/>
      <c r="DQ1190" s="83"/>
      <c r="EE1190" s="58"/>
      <c r="EF1190" s="83"/>
      <c r="EI1190" s="83"/>
      <c r="EK1190" s="58"/>
      <c r="EL1190" s="83"/>
      <c r="EO1190" s="58"/>
      <c r="EP1190" s="83"/>
      <c r="EQ1190" s="58"/>
      <c r="ER1190" s="83"/>
      <c r="ES1190" s="58"/>
      <c r="ET1190" s="83"/>
      <c r="EU1190" s="58"/>
    </row>
    <row r="1191" spans="1:151">
      <c r="A1191" s="83" t="s">
        <v>324</v>
      </c>
      <c r="B1191" s="173" t="s">
        <v>557</v>
      </c>
      <c r="C1191" s="173" t="s">
        <v>556</v>
      </c>
      <c r="D1191" s="83" t="s">
        <v>281</v>
      </c>
      <c r="E1191" s="49" t="s">
        <v>1</v>
      </c>
      <c r="F1191" s="49" t="s">
        <v>286</v>
      </c>
      <c r="G1191" s="49">
        <v>17.837</v>
      </c>
      <c r="I1191" s="49">
        <v>2989</v>
      </c>
      <c r="J1191" s="159">
        <v>1.3427672955974843</v>
      </c>
      <c r="K1191" s="49">
        <v>1</v>
      </c>
      <c r="L1191" s="49">
        <v>3</v>
      </c>
      <c r="M1191" s="83">
        <v>0</v>
      </c>
      <c r="N1191" s="49">
        <v>0</v>
      </c>
      <c r="O1191" s="49">
        <v>0</v>
      </c>
      <c r="P1191" s="49">
        <v>1</v>
      </c>
      <c r="Q1191" s="58">
        <v>0</v>
      </c>
      <c r="R1191" s="42">
        <v>1</v>
      </c>
      <c r="S1191" s="83" t="s">
        <v>283</v>
      </c>
      <c r="T1191" s="49">
        <v>14</v>
      </c>
      <c r="U1191" s="83">
        <v>1</v>
      </c>
      <c r="V1191" s="49">
        <v>2</v>
      </c>
      <c r="W1191" s="49">
        <v>2</v>
      </c>
      <c r="X1191" s="58"/>
      <c r="Y1191" s="83">
        <v>2</v>
      </c>
      <c r="Z1191" s="49">
        <v>8</v>
      </c>
      <c r="AA1191" s="49">
        <v>30</v>
      </c>
      <c r="AD1191" s="49">
        <v>8</v>
      </c>
      <c r="AE1191" s="49">
        <v>49</v>
      </c>
      <c r="AF1191" s="49">
        <v>9</v>
      </c>
      <c r="AG1191" s="49">
        <v>48</v>
      </c>
      <c r="AH1191" s="49">
        <v>9</v>
      </c>
      <c r="AI1191" s="49">
        <v>418</v>
      </c>
      <c r="AJ1191" s="49">
        <v>0</v>
      </c>
      <c r="AK1191" s="83">
        <v>0</v>
      </c>
      <c r="AL1191" s="49">
        <v>0</v>
      </c>
      <c r="AM1191" s="49">
        <v>0</v>
      </c>
      <c r="AN1191" s="49">
        <v>0</v>
      </c>
      <c r="AO1191" s="58">
        <v>0</v>
      </c>
      <c r="AP1191" s="174">
        <v>0</v>
      </c>
      <c r="AQ1191" s="175">
        <v>0</v>
      </c>
      <c r="AR1191" s="175">
        <v>0</v>
      </c>
      <c r="AS1191" s="175">
        <v>0</v>
      </c>
      <c r="AT1191" s="175">
        <v>0</v>
      </c>
      <c r="AU1191" s="175">
        <v>0</v>
      </c>
      <c r="AV1191" s="175">
        <v>0</v>
      </c>
      <c r="AW1191" s="175">
        <v>0</v>
      </c>
      <c r="AX1191" s="83">
        <v>0</v>
      </c>
      <c r="AY1191" s="49">
        <v>0</v>
      </c>
      <c r="AZ1191" s="49">
        <v>0</v>
      </c>
      <c r="BA1191" s="49">
        <v>0</v>
      </c>
      <c r="BB1191" s="58">
        <v>0</v>
      </c>
      <c r="BC1191" s="42">
        <v>140</v>
      </c>
      <c r="BS1191" s="58"/>
      <c r="BT1191" s="83">
        <v>79.61</v>
      </c>
      <c r="CE1191" s="83">
        <v>68.39</v>
      </c>
      <c r="CK1191" s="58"/>
      <c r="CL1191" s="83"/>
      <c r="CO1191" s="58"/>
      <c r="CP1191" s="83"/>
      <c r="CR1191" s="58"/>
      <c r="CS1191" s="83"/>
      <c r="CY1191" s="83"/>
      <c r="DG1191" s="58"/>
      <c r="DH1191" s="83"/>
      <c r="DQ1191" s="83"/>
      <c r="EE1191" s="58"/>
      <c r="EF1191" s="83"/>
      <c r="EI1191" s="83"/>
      <c r="EK1191" s="58"/>
      <c r="EL1191" s="83"/>
      <c r="EO1191" s="58"/>
      <c r="EP1191" s="83"/>
      <c r="EQ1191" s="58"/>
      <c r="ER1191" s="83"/>
      <c r="ES1191" s="58"/>
      <c r="ET1191" s="83"/>
      <c r="EU1191" s="58"/>
    </row>
    <row r="1192" spans="1:151">
      <c r="A1192" s="83" t="s">
        <v>324</v>
      </c>
      <c r="B1192" s="173" t="s">
        <v>557</v>
      </c>
      <c r="C1192" s="173" t="s">
        <v>556</v>
      </c>
      <c r="D1192" s="83" t="s">
        <v>76</v>
      </c>
      <c r="F1192" s="49" t="s">
        <v>286</v>
      </c>
      <c r="G1192" s="49">
        <v>17.837</v>
      </c>
      <c r="I1192" s="49">
        <v>2958</v>
      </c>
      <c r="J1192" s="159">
        <v>2.3163664839467502</v>
      </c>
      <c r="K1192" s="49">
        <v>4</v>
      </c>
      <c r="L1192" s="49">
        <v>3</v>
      </c>
      <c r="M1192" s="83">
        <v>0</v>
      </c>
      <c r="N1192" s="49">
        <v>2</v>
      </c>
      <c r="O1192" s="49">
        <v>0</v>
      </c>
      <c r="P1192" s="49">
        <v>0</v>
      </c>
      <c r="Q1192" s="58">
        <v>0</v>
      </c>
      <c r="R1192" s="42">
        <v>2</v>
      </c>
      <c r="S1192" s="83" t="s">
        <v>283</v>
      </c>
      <c r="T1192" s="49">
        <v>19</v>
      </c>
      <c r="U1192" s="83">
        <v>1</v>
      </c>
      <c r="V1192" s="49">
        <v>4</v>
      </c>
      <c r="W1192" s="49">
        <v>2</v>
      </c>
      <c r="X1192" s="58"/>
      <c r="Y1192" s="83">
        <v>3</v>
      </c>
      <c r="AD1192" s="49">
        <v>19</v>
      </c>
      <c r="AE1192" s="49">
        <v>117</v>
      </c>
      <c r="AF1192" s="49">
        <v>49</v>
      </c>
      <c r="AG1192" s="49">
        <v>60</v>
      </c>
      <c r="AH1192" s="49">
        <v>49</v>
      </c>
      <c r="AI1192" s="49">
        <v>506</v>
      </c>
      <c r="AJ1192" s="49">
        <v>0</v>
      </c>
      <c r="AK1192" s="83">
        <v>0</v>
      </c>
      <c r="AL1192" s="49">
        <v>0</v>
      </c>
      <c r="AM1192" s="49">
        <v>0</v>
      </c>
      <c r="AN1192" s="49">
        <v>0</v>
      </c>
      <c r="AO1192" s="58">
        <v>0</v>
      </c>
      <c r="AP1192" s="174">
        <v>0</v>
      </c>
      <c r="AQ1192" s="175">
        <v>0</v>
      </c>
      <c r="AR1192" s="175">
        <v>0</v>
      </c>
      <c r="AS1192" s="175">
        <v>0</v>
      </c>
      <c r="AT1192" s="175">
        <v>0</v>
      </c>
      <c r="AU1192" s="175">
        <v>0</v>
      </c>
      <c r="AV1192" s="175">
        <v>0</v>
      </c>
      <c r="AW1192" s="175">
        <v>0</v>
      </c>
      <c r="AX1192" s="83">
        <v>0</v>
      </c>
      <c r="AY1192" s="49">
        <v>0</v>
      </c>
      <c r="AZ1192" s="49">
        <v>0</v>
      </c>
      <c r="BA1192" s="49">
        <v>0</v>
      </c>
      <c r="BB1192" s="58">
        <v>0</v>
      </c>
      <c r="BC1192" s="42">
        <v>112</v>
      </c>
      <c r="BS1192" s="58"/>
      <c r="BT1192" s="83"/>
      <c r="CE1192" s="83"/>
      <c r="CK1192" s="58"/>
      <c r="CL1192" s="83"/>
      <c r="CO1192" s="58"/>
      <c r="CP1192" s="83"/>
      <c r="CR1192" s="58"/>
      <c r="CS1192" s="83"/>
      <c r="CY1192" s="83"/>
      <c r="DG1192" s="58"/>
      <c r="DH1192" s="83"/>
      <c r="DQ1192" s="83"/>
      <c r="EE1192" s="58"/>
      <c r="EF1192" s="83"/>
      <c r="EI1192" s="83"/>
      <c r="EK1192" s="58"/>
      <c r="EL1192" s="83"/>
      <c r="EO1192" s="58"/>
      <c r="EP1192" s="83"/>
      <c r="EQ1192" s="58"/>
      <c r="ER1192" s="83"/>
      <c r="ES1192" s="58"/>
      <c r="ET1192" s="83"/>
      <c r="EU1192" s="58"/>
    </row>
    <row r="1193" spans="1:151">
      <c r="A1193" s="83" t="s">
        <v>324</v>
      </c>
      <c r="B1193" s="173" t="s">
        <v>557</v>
      </c>
      <c r="C1193" s="173" t="s">
        <v>556</v>
      </c>
      <c r="D1193" s="83" t="s">
        <v>81</v>
      </c>
      <c r="F1193" s="49" t="s">
        <v>286</v>
      </c>
      <c r="G1193" s="49">
        <v>17.837</v>
      </c>
      <c r="I1193" s="49">
        <v>2509</v>
      </c>
      <c r="J1193" s="159">
        <v>1.1812617702448212</v>
      </c>
      <c r="K1193" s="49">
        <v>1</v>
      </c>
      <c r="L1193" s="49">
        <v>2</v>
      </c>
      <c r="M1193" s="83">
        <v>0</v>
      </c>
      <c r="N1193" s="49">
        <v>0</v>
      </c>
      <c r="O1193" s="49">
        <v>0</v>
      </c>
      <c r="P1193" s="49">
        <v>1</v>
      </c>
      <c r="Q1193" s="58">
        <v>0</v>
      </c>
      <c r="R1193" s="42">
        <v>1</v>
      </c>
      <c r="S1193" s="83" t="s">
        <v>283</v>
      </c>
      <c r="T1193" s="49">
        <v>14</v>
      </c>
      <c r="U1193" s="83">
        <v>2</v>
      </c>
      <c r="V1193" s="49">
        <v>2</v>
      </c>
      <c r="W1193" s="49">
        <v>3</v>
      </c>
      <c r="X1193" s="58">
        <v>2</v>
      </c>
      <c r="Y1193" s="83">
        <v>1</v>
      </c>
      <c r="Z1193" s="49">
        <v>10</v>
      </c>
      <c r="AA1193" s="49">
        <v>25</v>
      </c>
      <c r="AD1193" s="49">
        <v>54</v>
      </c>
      <c r="AE1193" s="49">
        <v>203</v>
      </c>
      <c r="AJ1193" s="49">
        <v>1</v>
      </c>
      <c r="AK1193" s="83">
        <v>0</v>
      </c>
      <c r="AL1193" s="49">
        <v>1</v>
      </c>
      <c r="AM1193" s="49">
        <v>0</v>
      </c>
      <c r="AN1193" s="49">
        <v>0</v>
      </c>
      <c r="AO1193" s="58">
        <v>0</v>
      </c>
      <c r="AP1193" s="174">
        <v>362</v>
      </c>
      <c r="AQ1193" s="175">
        <v>1004</v>
      </c>
      <c r="AR1193" s="175">
        <v>0</v>
      </c>
      <c r="AS1193" s="175">
        <v>0</v>
      </c>
      <c r="AT1193" s="175">
        <v>0</v>
      </c>
      <c r="AU1193" s="175">
        <v>0</v>
      </c>
      <c r="AV1193" s="175">
        <v>0</v>
      </c>
      <c r="AW1193" s="175">
        <v>0</v>
      </c>
      <c r="AX1193" s="83">
        <v>0</v>
      </c>
      <c r="AY1193" s="49">
        <v>0</v>
      </c>
      <c r="AZ1193" s="49">
        <v>0</v>
      </c>
      <c r="BA1193" s="49">
        <v>0</v>
      </c>
      <c r="BB1193" s="58">
        <v>0</v>
      </c>
      <c r="BC1193" s="42">
        <v>135</v>
      </c>
      <c r="BS1193" s="58"/>
      <c r="BT1193" s="83"/>
      <c r="CE1193" s="83"/>
      <c r="CK1193" s="58"/>
      <c r="CL1193" s="83"/>
      <c r="CO1193" s="58"/>
      <c r="CP1193" s="83"/>
      <c r="CR1193" s="58"/>
      <c r="CS1193" s="83"/>
      <c r="CY1193" s="83"/>
      <c r="DG1193" s="58"/>
      <c r="DH1193" s="83"/>
      <c r="DQ1193" s="83"/>
      <c r="EE1193" s="58"/>
      <c r="EF1193" s="83"/>
      <c r="EI1193" s="83"/>
      <c r="EK1193" s="58"/>
      <c r="EL1193" s="83"/>
      <c r="EO1193" s="58"/>
      <c r="EP1193" s="83"/>
      <c r="EQ1193" s="58"/>
      <c r="ER1193" s="83"/>
      <c r="ES1193" s="58"/>
      <c r="ET1193" s="83"/>
      <c r="EU1193" s="58"/>
    </row>
    <row r="1194" spans="1:151">
      <c r="A1194" s="83" t="s">
        <v>324</v>
      </c>
      <c r="B1194" s="173" t="s">
        <v>557</v>
      </c>
      <c r="C1194" s="173" t="s">
        <v>556</v>
      </c>
      <c r="D1194" s="83" t="s">
        <v>87</v>
      </c>
      <c r="E1194" s="49" t="s">
        <v>0</v>
      </c>
      <c r="F1194" s="49" t="s">
        <v>286</v>
      </c>
      <c r="G1194" s="49">
        <v>17.837</v>
      </c>
      <c r="I1194" s="49">
        <v>2000</v>
      </c>
      <c r="J1194" s="159">
        <v>3.7174721189591078</v>
      </c>
      <c r="K1194" s="49">
        <v>4</v>
      </c>
      <c r="L1194" s="49">
        <v>3</v>
      </c>
      <c r="M1194" s="83">
        <v>0</v>
      </c>
      <c r="N1194" s="49">
        <v>1</v>
      </c>
      <c r="O1194" s="49">
        <v>1</v>
      </c>
      <c r="P1194" s="49">
        <v>0</v>
      </c>
      <c r="Q1194" s="58">
        <v>0</v>
      </c>
      <c r="R1194" s="42">
        <v>2</v>
      </c>
      <c r="S1194" s="83">
        <v>1</v>
      </c>
      <c r="U1194" s="83">
        <v>1</v>
      </c>
      <c r="V1194" s="49">
        <v>3</v>
      </c>
      <c r="W1194" s="49">
        <v>1</v>
      </c>
      <c r="X1194" s="58">
        <v>1</v>
      </c>
      <c r="Y1194" s="83">
        <v>2</v>
      </c>
      <c r="AA1194" s="49">
        <v>8</v>
      </c>
      <c r="AF1194" s="49">
        <v>3</v>
      </c>
      <c r="AG1194" s="49">
        <v>37</v>
      </c>
      <c r="AI1194" s="49">
        <v>348</v>
      </c>
      <c r="AJ1194" s="49">
        <v>0</v>
      </c>
      <c r="AK1194" s="83">
        <v>0</v>
      </c>
      <c r="AL1194" s="49">
        <v>1</v>
      </c>
      <c r="AM1194" s="49">
        <v>0</v>
      </c>
      <c r="AN1194" s="49">
        <v>0</v>
      </c>
      <c r="AO1194" s="58">
        <v>0</v>
      </c>
      <c r="AP1194" s="174">
        <v>0</v>
      </c>
      <c r="AQ1194" s="175">
        <v>880</v>
      </c>
      <c r="AR1194" s="175">
        <v>0</v>
      </c>
      <c r="AS1194" s="175">
        <v>0</v>
      </c>
      <c r="AT1194" s="175">
        <v>0</v>
      </c>
      <c r="AU1194" s="175">
        <v>0</v>
      </c>
      <c r="AV1194" s="175">
        <v>0</v>
      </c>
      <c r="AW1194" s="175">
        <v>0</v>
      </c>
      <c r="AX1194" s="83">
        <v>0</v>
      </c>
      <c r="AY1194" s="49">
        <v>0</v>
      </c>
      <c r="AZ1194" s="49">
        <v>0</v>
      </c>
      <c r="BA1194" s="49">
        <v>0</v>
      </c>
      <c r="BB1194" s="58">
        <v>0</v>
      </c>
      <c r="BC1194" s="42">
        <v>106</v>
      </c>
      <c r="BS1194" s="58"/>
      <c r="BT1194" s="83"/>
      <c r="CE1194" s="83"/>
      <c r="CK1194" s="58"/>
      <c r="CL1194" s="83"/>
      <c r="CO1194" s="58"/>
      <c r="CP1194" s="83"/>
      <c r="CR1194" s="58"/>
      <c r="CS1194" s="83"/>
      <c r="CY1194" s="83"/>
      <c r="DG1194" s="58"/>
      <c r="DH1194" s="83"/>
      <c r="DQ1194" s="83"/>
      <c r="EE1194" s="58"/>
      <c r="EF1194" s="83"/>
      <c r="EI1194" s="83"/>
      <c r="EK1194" s="58"/>
      <c r="EL1194" s="83"/>
      <c r="EO1194" s="58"/>
      <c r="EP1194" s="83"/>
      <c r="EQ1194" s="58"/>
      <c r="ER1194" s="83"/>
      <c r="ES1194" s="58"/>
      <c r="ET1194" s="83"/>
      <c r="EU1194" s="58"/>
    </row>
    <row r="1195" spans="1:151" ht="17" customHeight="1">
      <c r="A1195" s="83" t="s">
        <v>324</v>
      </c>
      <c r="B1195" s="173" t="s">
        <v>557</v>
      </c>
      <c r="C1195" s="173" t="s">
        <v>556</v>
      </c>
      <c r="D1195" s="83" t="s">
        <v>87</v>
      </c>
      <c r="E1195" s="49" t="s">
        <v>1</v>
      </c>
      <c r="F1195" s="49" t="s">
        <v>286</v>
      </c>
      <c r="G1195" s="49">
        <v>17.837</v>
      </c>
      <c r="I1195" s="49">
        <v>1351</v>
      </c>
      <c r="J1195" s="159">
        <v>2.6966067864271457</v>
      </c>
      <c r="K1195" s="49">
        <v>1</v>
      </c>
      <c r="L1195" s="49">
        <v>1</v>
      </c>
      <c r="M1195" s="83">
        <v>0</v>
      </c>
      <c r="N1195" s="49">
        <v>0</v>
      </c>
      <c r="O1195" s="49">
        <v>0</v>
      </c>
      <c r="P1195" s="49">
        <v>0</v>
      </c>
      <c r="Q1195" s="58">
        <v>0</v>
      </c>
      <c r="R1195" s="42">
        <v>0</v>
      </c>
      <c r="S1195" s="83" t="s">
        <v>284</v>
      </c>
      <c r="U1195" s="83">
        <v>0</v>
      </c>
      <c r="V1195" s="49">
        <v>0</v>
      </c>
      <c r="W1195" s="49">
        <v>0</v>
      </c>
      <c r="X1195" s="58"/>
      <c r="Y1195" s="83">
        <v>2</v>
      </c>
      <c r="AH1195" s="49">
        <v>11</v>
      </c>
      <c r="AI1195" s="49">
        <v>122</v>
      </c>
      <c r="AJ1195" s="49">
        <v>0</v>
      </c>
      <c r="AK1195" s="83">
        <v>0</v>
      </c>
      <c r="AL1195" s="49">
        <v>1</v>
      </c>
      <c r="AM1195" s="49">
        <v>0</v>
      </c>
      <c r="AN1195" s="49">
        <v>0</v>
      </c>
      <c r="AO1195" s="58">
        <v>0</v>
      </c>
      <c r="AP1195" s="174">
        <v>0</v>
      </c>
      <c r="AQ1195" s="175">
        <v>253</v>
      </c>
      <c r="AR1195" s="175">
        <v>0</v>
      </c>
      <c r="AS1195" s="175">
        <v>0</v>
      </c>
      <c r="AT1195" s="175">
        <v>0</v>
      </c>
      <c r="AU1195" s="175">
        <v>0</v>
      </c>
      <c r="AV1195" s="175">
        <v>0</v>
      </c>
      <c r="AW1195" s="175">
        <v>0</v>
      </c>
      <c r="AX1195" s="83">
        <v>0</v>
      </c>
      <c r="AY1195" s="49">
        <v>0</v>
      </c>
      <c r="AZ1195" s="49">
        <v>0</v>
      </c>
      <c r="BA1195" s="49">
        <v>0</v>
      </c>
      <c r="BB1195" s="58">
        <v>0</v>
      </c>
      <c r="BC1195" s="42">
        <v>106</v>
      </c>
      <c r="BS1195" s="58"/>
      <c r="BT1195" s="83"/>
      <c r="CE1195" s="83"/>
      <c r="CK1195" s="58"/>
      <c r="CL1195" s="83"/>
      <c r="CO1195" s="58"/>
      <c r="CP1195" s="83"/>
      <c r="CR1195" s="58"/>
      <c r="CS1195" s="83"/>
      <c r="CY1195" s="83"/>
      <c r="DG1195" s="58"/>
      <c r="DH1195" s="83"/>
      <c r="DQ1195" s="83"/>
      <c r="EE1195" s="58"/>
      <c r="EF1195" s="83"/>
      <c r="EI1195" s="83"/>
      <c r="EK1195" s="58"/>
      <c r="EL1195" s="83"/>
      <c r="EO1195" s="58"/>
      <c r="EP1195" s="83"/>
      <c r="EQ1195" s="58"/>
      <c r="ER1195" s="83"/>
      <c r="ES1195" s="58"/>
      <c r="ET1195" s="83"/>
      <c r="EU1195" s="58"/>
    </row>
    <row r="1196" spans="1:151">
      <c r="A1196" s="83" t="s">
        <v>324</v>
      </c>
      <c r="B1196" s="173" t="s">
        <v>557</v>
      </c>
      <c r="C1196" s="173" t="s">
        <v>556</v>
      </c>
      <c r="D1196" s="83" t="s">
        <v>88</v>
      </c>
      <c r="F1196" s="49" t="s">
        <v>286</v>
      </c>
      <c r="G1196" s="49">
        <v>17.837</v>
      </c>
      <c r="I1196" s="49">
        <v>2914</v>
      </c>
      <c r="J1196" s="159">
        <v>2.9140000000000001</v>
      </c>
      <c r="K1196" s="49">
        <v>1</v>
      </c>
      <c r="L1196" s="49">
        <v>2</v>
      </c>
      <c r="M1196" s="83">
        <v>0</v>
      </c>
      <c r="N1196" s="49">
        <v>1</v>
      </c>
      <c r="O1196" s="49">
        <v>0</v>
      </c>
      <c r="P1196" s="49">
        <v>1</v>
      </c>
      <c r="Q1196" s="58">
        <v>0</v>
      </c>
      <c r="R1196" s="42">
        <v>2</v>
      </c>
      <c r="S1196" s="83" t="s">
        <v>283</v>
      </c>
      <c r="T1196" s="49">
        <v>10</v>
      </c>
      <c r="U1196" s="83">
        <v>2</v>
      </c>
      <c r="V1196" s="49">
        <v>2</v>
      </c>
      <c r="W1196" s="49">
        <v>3</v>
      </c>
      <c r="X1196" s="58">
        <v>2</v>
      </c>
      <c r="Y1196" s="83">
        <v>2</v>
      </c>
      <c r="Z1196" s="49">
        <v>7</v>
      </c>
      <c r="AA1196" s="49">
        <v>62</v>
      </c>
      <c r="AD1196" s="49">
        <v>24</v>
      </c>
      <c r="AE1196" s="49">
        <v>119</v>
      </c>
      <c r="AF1196" s="49">
        <v>36</v>
      </c>
      <c r="AG1196" s="49">
        <v>103</v>
      </c>
      <c r="AI1196" s="49">
        <v>452</v>
      </c>
      <c r="AJ1196" s="49">
        <v>1</v>
      </c>
      <c r="AK1196" s="83">
        <v>0</v>
      </c>
      <c r="AL1196" s="49">
        <v>1</v>
      </c>
      <c r="AM1196" s="49">
        <v>1</v>
      </c>
      <c r="AN1196" s="49">
        <v>0</v>
      </c>
      <c r="AO1196" s="58">
        <v>0</v>
      </c>
      <c r="AP1196" s="174">
        <v>0</v>
      </c>
      <c r="AQ1196" s="175">
        <v>866</v>
      </c>
      <c r="AR1196" s="175">
        <v>52</v>
      </c>
      <c r="AS1196" s="175">
        <v>64</v>
      </c>
      <c r="AT1196" s="175">
        <v>0</v>
      </c>
      <c r="AU1196" s="175">
        <v>0</v>
      </c>
      <c r="AV1196" s="175">
        <v>0</v>
      </c>
      <c r="AW1196" s="175">
        <v>0</v>
      </c>
      <c r="AX1196" s="83">
        <v>0</v>
      </c>
      <c r="AY1196" s="49">
        <v>0</v>
      </c>
      <c r="AZ1196" s="49">
        <v>0</v>
      </c>
      <c r="BA1196" s="49">
        <v>0</v>
      </c>
      <c r="BB1196" s="58">
        <v>0</v>
      </c>
      <c r="BC1196" s="42">
        <v>117</v>
      </c>
      <c r="BS1196" s="58"/>
      <c r="BT1196" s="83"/>
      <c r="CE1196" s="83"/>
      <c r="CK1196" s="58"/>
      <c r="CL1196" s="83"/>
      <c r="CO1196" s="58"/>
      <c r="CP1196" s="83"/>
      <c r="CR1196" s="58"/>
      <c r="CS1196" s="83"/>
      <c r="CY1196" s="83"/>
      <c r="DG1196" s="58"/>
      <c r="DH1196" s="83"/>
      <c r="DQ1196" s="83"/>
      <c r="EE1196" s="58"/>
      <c r="EF1196" s="83"/>
      <c r="EI1196" s="83"/>
      <c r="EK1196" s="58"/>
      <c r="EL1196" s="83"/>
      <c r="EO1196" s="58"/>
      <c r="EP1196" s="83"/>
      <c r="EQ1196" s="58"/>
      <c r="ER1196" s="83"/>
      <c r="ES1196" s="58"/>
      <c r="ET1196" s="83"/>
      <c r="EU1196" s="58"/>
    </row>
    <row r="1197" spans="1:151">
      <c r="A1197" s="83" t="s">
        <v>324</v>
      </c>
      <c r="B1197" s="173" t="s">
        <v>557</v>
      </c>
      <c r="C1197" s="173" t="s">
        <v>556</v>
      </c>
      <c r="D1197" s="83" t="s">
        <v>93</v>
      </c>
      <c r="F1197" s="49" t="s">
        <v>286</v>
      </c>
      <c r="G1197" s="49">
        <v>17.837</v>
      </c>
      <c r="I1197" s="49">
        <v>1027</v>
      </c>
      <c r="J1197" s="159">
        <v>1.1078748651564185</v>
      </c>
      <c r="K1197" s="49">
        <v>1</v>
      </c>
      <c r="L1197" s="49">
        <v>3</v>
      </c>
      <c r="M1197" s="83">
        <v>0</v>
      </c>
      <c r="N1197" s="49">
        <v>1</v>
      </c>
      <c r="O1197" s="49">
        <v>0</v>
      </c>
      <c r="P1197" s="49">
        <v>0</v>
      </c>
      <c r="Q1197" s="58">
        <v>0</v>
      </c>
      <c r="R1197" s="42">
        <v>1</v>
      </c>
      <c r="S1197" s="83" t="s">
        <v>283</v>
      </c>
      <c r="T1197" s="49">
        <v>4</v>
      </c>
      <c r="U1197" s="83">
        <v>1</v>
      </c>
      <c r="V1197" s="49">
        <v>3</v>
      </c>
      <c r="W1197" s="49">
        <v>2</v>
      </c>
      <c r="X1197" s="58"/>
      <c r="Y1197" s="83">
        <v>1</v>
      </c>
      <c r="AD1197" s="49">
        <v>4</v>
      </c>
      <c r="AE1197" s="49">
        <v>18</v>
      </c>
      <c r="AH1197" s="49">
        <v>5</v>
      </c>
      <c r="AI1197" s="49">
        <v>37</v>
      </c>
      <c r="AJ1197" s="49">
        <v>0</v>
      </c>
      <c r="AK1197" s="83">
        <v>0</v>
      </c>
      <c r="AL1197" s="49">
        <v>1</v>
      </c>
      <c r="AM1197" s="49">
        <v>0</v>
      </c>
      <c r="AN1197" s="49">
        <v>0</v>
      </c>
      <c r="AO1197" s="58">
        <v>0</v>
      </c>
      <c r="AP1197" s="174">
        <v>0</v>
      </c>
      <c r="AQ1197" s="175">
        <v>739</v>
      </c>
      <c r="AR1197" s="175">
        <v>0</v>
      </c>
      <c r="AS1197" s="175">
        <v>0</v>
      </c>
      <c r="AT1197" s="175">
        <v>0</v>
      </c>
      <c r="AU1197" s="175">
        <v>0</v>
      </c>
      <c r="AV1197" s="175">
        <v>0</v>
      </c>
      <c r="AW1197" s="175">
        <v>0</v>
      </c>
      <c r="AX1197" s="83">
        <v>0</v>
      </c>
      <c r="AY1197" s="49">
        <v>0</v>
      </c>
      <c r="AZ1197" s="49">
        <v>0</v>
      </c>
      <c r="BA1197" s="49">
        <v>0</v>
      </c>
      <c r="BB1197" s="58">
        <v>0</v>
      </c>
      <c r="BC1197" s="42">
        <v>96</v>
      </c>
      <c r="BS1197" s="58"/>
      <c r="BT1197" s="83"/>
      <c r="CE1197" s="83"/>
      <c r="CK1197" s="58"/>
      <c r="CL1197" s="83"/>
      <c r="CO1197" s="58"/>
      <c r="CP1197" s="83"/>
      <c r="CR1197" s="58"/>
      <c r="CS1197" s="83"/>
      <c r="CY1197" s="83"/>
      <c r="DG1197" s="58"/>
      <c r="DH1197" s="83"/>
      <c r="DQ1197" s="83"/>
      <c r="EE1197" s="58"/>
      <c r="EF1197" s="83"/>
      <c r="EI1197" s="83"/>
      <c r="EK1197" s="58"/>
      <c r="EL1197" s="83"/>
      <c r="EO1197" s="58"/>
      <c r="EP1197" s="83"/>
      <c r="EQ1197" s="58"/>
      <c r="ER1197" s="83"/>
      <c r="ES1197" s="58"/>
      <c r="ET1197" s="83"/>
      <c r="EU1197" s="58"/>
    </row>
    <row r="1198" spans="1:151">
      <c r="A1198" s="83" t="s">
        <v>324</v>
      </c>
      <c r="B1198" s="173" t="s">
        <v>557</v>
      </c>
      <c r="C1198" s="173" t="s">
        <v>556</v>
      </c>
      <c r="D1198" s="83" t="s">
        <v>112</v>
      </c>
      <c r="F1198" s="49" t="s">
        <v>286</v>
      </c>
      <c r="G1198" s="49">
        <v>17.837</v>
      </c>
      <c r="I1198" s="49">
        <v>1198</v>
      </c>
      <c r="J1198" s="159">
        <v>1.4110718492343934</v>
      </c>
      <c r="K1198" s="49">
        <v>4</v>
      </c>
      <c r="L1198" s="49">
        <v>3</v>
      </c>
      <c r="M1198" s="83">
        <v>0</v>
      </c>
      <c r="N1198" s="49">
        <v>2</v>
      </c>
      <c r="O1198" s="49">
        <v>0</v>
      </c>
      <c r="P1198" s="49">
        <v>1</v>
      </c>
      <c r="Q1198" s="58">
        <v>0</v>
      </c>
      <c r="R1198" s="42">
        <v>3</v>
      </c>
      <c r="S1198" s="83">
        <v>1</v>
      </c>
      <c r="U1198" s="83">
        <v>1</v>
      </c>
      <c r="V1198" s="49">
        <v>3</v>
      </c>
      <c r="W1198" s="49">
        <v>1</v>
      </c>
      <c r="X1198" s="58">
        <v>2</v>
      </c>
      <c r="Y1198" s="83">
        <v>1</v>
      </c>
      <c r="AE1198" s="49">
        <v>41</v>
      </c>
      <c r="AI1198" s="49">
        <v>64</v>
      </c>
      <c r="AJ1198" s="49">
        <v>0</v>
      </c>
      <c r="AK1198" s="83">
        <v>0</v>
      </c>
      <c r="AL1198" s="49">
        <v>1</v>
      </c>
      <c r="AM1198" s="49">
        <v>0</v>
      </c>
      <c r="AN1198" s="49">
        <v>0</v>
      </c>
      <c r="AO1198" s="58">
        <v>0</v>
      </c>
      <c r="AP1198" s="174">
        <v>623</v>
      </c>
      <c r="AQ1198" s="175">
        <v>688</v>
      </c>
      <c r="AR1198" s="175">
        <v>0</v>
      </c>
      <c r="AS1198" s="175">
        <v>0</v>
      </c>
      <c r="AT1198" s="175">
        <v>0</v>
      </c>
      <c r="AU1198" s="175">
        <v>0</v>
      </c>
      <c r="AV1198" s="175">
        <v>0</v>
      </c>
      <c r="AW1198" s="175">
        <v>0</v>
      </c>
      <c r="AX1198" s="83">
        <v>0</v>
      </c>
      <c r="AY1198" s="49">
        <v>0</v>
      </c>
      <c r="AZ1198" s="49">
        <v>0</v>
      </c>
      <c r="BA1198" s="49">
        <v>0</v>
      </c>
      <c r="BB1198" s="58">
        <v>0</v>
      </c>
      <c r="BC1198" s="42">
        <v>121</v>
      </c>
      <c r="BS1198" s="58"/>
      <c r="BT1198" s="83">
        <v>74.97</v>
      </c>
      <c r="CE1198" s="83">
        <v>72.7</v>
      </c>
      <c r="CF1198" s="49">
        <v>73.23</v>
      </c>
      <c r="CK1198" s="58"/>
      <c r="CL1198" s="83"/>
      <c r="CO1198" s="58"/>
      <c r="CP1198" s="83"/>
      <c r="CR1198" s="58"/>
      <c r="CS1198" s="83"/>
      <c r="CY1198" s="83"/>
      <c r="DG1198" s="58"/>
      <c r="DH1198" s="83"/>
      <c r="DQ1198" s="83"/>
      <c r="EE1198" s="58"/>
      <c r="EF1198" s="83"/>
      <c r="EI1198" s="83"/>
      <c r="EK1198" s="58"/>
      <c r="EL1198" s="83">
        <v>74.33</v>
      </c>
      <c r="EO1198" s="58"/>
      <c r="EP1198" s="83">
        <v>72.09</v>
      </c>
      <c r="EQ1198" s="58">
        <v>73.39</v>
      </c>
      <c r="ER1198" s="83"/>
      <c r="ES1198" s="58"/>
      <c r="ET1198" s="83"/>
      <c r="EU1198" s="58"/>
    </row>
    <row r="1199" spans="1:151">
      <c r="A1199" s="83" t="s">
        <v>324</v>
      </c>
      <c r="B1199" s="173" t="s">
        <v>557</v>
      </c>
      <c r="C1199" s="173" t="s">
        <v>556</v>
      </c>
      <c r="D1199" s="83" t="s">
        <v>94</v>
      </c>
      <c r="E1199" s="49" t="s">
        <v>0</v>
      </c>
      <c r="F1199" s="49" t="s">
        <v>287</v>
      </c>
      <c r="G1199" s="49">
        <v>17.837</v>
      </c>
      <c r="I1199" s="49">
        <v>401</v>
      </c>
      <c r="J1199" s="159">
        <v>1.8144796380090498</v>
      </c>
      <c r="K1199" s="49">
        <v>1</v>
      </c>
      <c r="L1199" s="49">
        <v>2</v>
      </c>
      <c r="M1199" s="83">
        <v>0</v>
      </c>
      <c r="N1199" s="49">
        <v>0</v>
      </c>
      <c r="O1199" s="49">
        <v>1</v>
      </c>
      <c r="P1199" s="49">
        <v>1</v>
      </c>
      <c r="Q1199" s="58">
        <v>0</v>
      </c>
      <c r="R1199" s="42">
        <v>2</v>
      </c>
      <c r="S1199" s="83" t="s">
        <v>283</v>
      </c>
      <c r="T1199" s="49">
        <v>2</v>
      </c>
      <c r="U1199" s="83">
        <v>1</v>
      </c>
      <c r="V1199" s="49">
        <v>3</v>
      </c>
      <c r="W1199" s="49">
        <v>1</v>
      </c>
      <c r="X1199" s="58">
        <v>1</v>
      </c>
      <c r="Y1199" s="83">
        <v>0</v>
      </c>
      <c r="AJ1199" s="49">
        <v>0</v>
      </c>
      <c r="AK1199" s="83">
        <v>0</v>
      </c>
      <c r="AL1199" s="49">
        <v>0</v>
      </c>
      <c r="AM1199" s="49">
        <v>1</v>
      </c>
      <c r="AN1199" s="49">
        <v>0</v>
      </c>
      <c r="AO1199" s="58">
        <v>0</v>
      </c>
      <c r="AP1199" s="174">
        <v>0</v>
      </c>
      <c r="AQ1199" s="175">
        <v>0</v>
      </c>
      <c r="AR1199" s="175">
        <v>0</v>
      </c>
      <c r="AS1199" s="175">
        <v>17</v>
      </c>
      <c r="AT1199" s="175">
        <v>0</v>
      </c>
      <c r="AU1199" s="175">
        <v>0</v>
      </c>
      <c r="AV1199" s="175">
        <v>0</v>
      </c>
      <c r="AW1199" s="175">
        <v>0</v>
      </c>
      <c r="AX1199" s="83">
        <v>0</v>
      </c>
      <c r="AY1199" s="49">
        <v>0</v>
      </c>
      <c r="AZ1199" s="49">
        <v>0</v>
      </c>
      <c r="BA1199" s="49">
        <v>0</v>
      </c>
      <c r="BB1199" s="58">
        <v>0</v>
      </c>
      <c r="BC1199" s="42">
        <v>72</v>
      </c>
      <c r="BD1199" s="49">
        <v>79.040000000000006</v>
      </c>
      <c r="BE1199" s="159">
        <v>78.75</v>
      </c>
      <c r="BF1199" s="49">
        <v>79.319999999999993</v>
      </c>
      <c r="BS1199" s="58"/>
      <c r="BT1199" s="83"/>
      <c r="CE1199" s="83"/>
      <c r="CK1199" s="58"/>
      <c r="CL1199" s="83"/>
      <c r="CO1199" s="58"/>
      <c r="CP1199" s="83"/>
      <c r="CR1199" s="58"/>
      <c r="CS1199" s="83"/>
      <c r="CY1199" s="83"/>
      <c r="DG1199" s="58"/>
      <c r="DH1199" s="83"/>
      <c r="DQ1199" s="83"/>
      <c r="EE1199" s="58"/>
      <c r="EF1199" s="83"/>
      <c r="EI1199" s="83"/>
      <c r="EK1199" s="58"/>
      <c r="EL1199" s="83"/>
      <c r="EO1199" s="58"/>
      <c r="EP1199" s="83"/>
      <c r="EQ1199" s="58"/>
      <c r="ER1199" s="83"/>
      <c r="ES1199" s="58"/>
      <c r="ET1199" s="83"/>
      <c r="EU1199" s="58"/>
    </row>
    <row r="1200" spans="1:151">
      <c r="A1200" s="83" t="s">
        <v>324</v>
      </c>
      <c r="B1200" s="173" t="s">
        <v>557</v>
      </c>
      <c r="C1200" s="173" t="s">
        <v>556</v>
      </c>
      <c r="D1200" s="83" t="s">
        <v>94</v>
      </c>
      <c r="E1200" s="49" t="s">
        <v>1</v>
      </c>
      <c r="F1200" s="49" t="s">
        <v>287</v>
      </c>
      <c r="G1200" s="49">
        <v>17.837</v>
      </c>
      <c r="I1200" s="49">
        <v>425</v>
      </c>
      <c r="J1200" s="159">
        <v>1.6221374045801527</v>
      </c>
      <c r="K1200" s="49">
        <v>4</v>
      </c>
      <c r="L1200" s="49">
        <v>3</v>
      </c>
      <c r="M1200" s="83">
        <v>0</v>
      </c>
      <c r="N1200" s="49">
        <v>0</v>
      </c>
      <c r="O1200" s="49">
        <v>1</v>
      </c>
      <c r="P1200" s="49">
        <v>1</v>
      </c>
      <c r="Q1200" s="58">
        <v>0</v>
      </c>
      <c r="R1200" s="42">
        <v>2</v>
      </c>
      <c r="S1200" s="83" t="s">
        <v>283</v>
      </c>
      <c r="T1200" s="49">
        <v>4</v>
      </c>
      <c r="U1200" s="83">
        <v>1</v>
      </c>
      <c r="V1200" s="49">
        <v>3</v>
      </c>
      <c r="W1200" s="49">
        <v>1</v>
      </c>
      <c r="X1200" s="58">
        <v>1</v>
      </c>
      <c r="Y1200" s="83">
        <v>1</v>
      </c>
      <c r="AD1200" s="49">
        <v>3</v>
      </c>
      <c r="AE1200" s="49">
        <v>9</v>
      </c>
      <c r="AJ1200" s="49">
        <v>0</v>
      </c>
      <c r="AK1200" s="83">
        <v>0</v>
      </c>
      <c r="AL1200" s="49">
        <v>0</v>
      </c>
      <c r="AM1200" s="49">
        <v>1</v>
      </c>
      <c r="AN1200" s="49">
        <v>0</v>
      </c>
      <c r="AO1200" s="58">
        <v>0</v>
      </c>
      <c r="AP1200" s="174">
        <v>0</v>
      </c>
      <c r="AQ1200" s="175">
        <v>0</v>
      </c>
      <c r="AR1200" s="175">
        <v>0</v>
      </c>
      <c r="AS1200" s="175">
        <v>22</v>
      </c>
      <c r="AT1200" s="175">
        <v>0</v>
      </c>
      <c r="AU1200" s="175">
        <v>0</v>
      </c>
      <c r="AV1200" s="175">
        <v>0</v>
      </c>
      <c r="AW1200" s="175">
        <v>0</v>
      </c>
      <c r="AX1200" s="83">
        <v>0</v>
      </c>
      <c r="AY1200" s="49">
        <v>0</v>
      </c>
      <c r="AZ1200" s="49">
        <v>0</v>
      </c>
      <c r="BA1200" s="49">
        <v>0</v>
      </c>
      <c r="BB1200" s="58">
        <v>0</v>
      </c>
      <c r="BC1200" s="42">
        <v>72</v>
      </c>
      <c r="BD1200" s="49">
        <v>78.17</v>
      </c>
      <c r="BS1200" s="58"/>
      <c r="BT1200" s="83">
        <v>68</v>
      </c>
      <c r="CE1200" s="83"/>
      <c r="CK1200" s="58"/>
      <c r="CL1200" s="83"/>
      <c r="CO1200" s="58"/>
      <c r="CP1200" s="83"/>
      <c r="CR1200" s="58"/>
      <c r="CS1200" s="83"/>
      <c r="CY1200" s="83"/>
      <c r="DG1200" s="58"/>
      <c r="DH1200" s="83"/>
      <c r="DQ1200" s="83"/>
      <c r="EE1200" s="58"/>
      <c r="EF1200" s="83"/>
      <c r="EI1200" s="83"/>
      <c r="EK1200" s="58"/>
      <c r="EL1200" s="83"/>
      <c r="EO1200" s="58"/>
      <c r="EP1200" s="83"/>
      <c r="EQ1200" s="58"/>
      <c r="ER1200" s="83"/>
      <c r="ES1200" s="58"/>
      <c r="ET1200" s="83"/>
      <c r="EU1200" s="58"/>
    </row>
    <row r="1201" spans="1:151">
      <c r="A1201" s="83" t="s">
        <v>324</v>
      </c>
      <c r="B1201" s="173" t="s">
        <v>557</v>
      </c>
      <c r="C1201" s="173" t="s">
        <v>556</v>
      </c>
      <c r="D1201" s="83" t="s">
        <v>94</v>
      </c>
      <c r="E1201" s="49" t="s">
        <v>70</v>
      </c>
      <c r="F1201" s="49" t="s">
        <v>287</v>
      </c>
      <c r="G1201" s="49">
        <v>17.837</v>
      </c>
      <c r="I1201" s="49">
        <v>237</v>
      </c>
      <c r="J1201" s="159">
        <v>4.0862068965517242</v>
      </c>
      <c r="K1201" s="49">
        <v>1</v>
      </c>
      <c r="L1201" s="49">
        <v>2</v>
      </c>
      <c r="M1201" s="83">
        <v>0</v>
      </c>
      <c r="N1201" s="49">
        <v>1</v>
      </c>
      <c r="O1201" s="49">
        <v>0</v>
      </c>
      <c r="P1201" s="49">
        <v>0</v>
      </c>
      <c r="Q1201" s="58">
        <v>0</v>
      </c>
      <c r="R1201" s="42">
        <v>1</v>
      </c>
      <c r="S1201" s="83">
        <v>1</v>
      </c>
      <c r="U1201" s="83">
        <v>0</v>
      </c>
      <c r="V1201" s="49">
        <v>0</v>
      </c>
      <c r="W1201" s="49">
        <v>0</v>
      </c>
      <c r="X1201" s="58"/>
      <c r="Y1201" s="83">
        <v>10</v>
      </c>
      <c r="AD1201" s="49">
        <v>7</v>
      </c>
      <c r="AE1201" s="49">
        <v>47</v>
      </c>
      <c r="AH1201" s="49">
        <v>19</v>
      </c>
      <c r="AI1201" s="49">
        <v>26</v>
      </c>
      <c r="AJ1201" s="49">
        <v>0</v>
      </c>
      <c r="AK1201" s="83">
        <v>0</v>
      </c>
      <c r="AL1201" s="49">
        <v>0</v>
      </c>
      <c r="AM1201" s="49">
        <v>1</v>
      </c>
      <c r="AN1201" s="49">
        <v>0</v>
      </c>
      <c r="AO1201" s="58">
        <v>0</v>
      </c>
      <c r="AP1201" s="174">
        <v>0</v>
      </c>
      <c r="AQ1201" s="175">
        <v>0</v>
      </c>
      <c r="AR1201" s="175">
        <v>0</v>
      </c>
      <c r="AS1201" s="175">
        <v>76</v>
      </c>
      <c r="AT1201" s="175">
        <v>0</v>
      </c>
      <c r="AU1201" s="175">
        <v>0</v>
      </c>
      <c r="AV1201" s="175">
        <v>0</v>
      </c>
      <c r="AW1201" s="175">
        <v>0</v>
      </c>
      <c r="AX1201" s="83">
        <v>0</v>
      </c>
      <c r="AY1201" s="49">
        <v>0</v>
      </c>
      <c r="AZ1201" s="49">
        <v>0</v>
      </c>
      <c r="BA1201" s="49">
        <v>0</v>
      </c>
      <c r="BB1201" s="58">
        <v>0</v>
      </c>
      <c r="BC1201" s="42">
        <v>94</v>
      </c>
      <c r="BD1201" s="49">
        <v>64.62</v>
      </c>
      <c r="BS1201" s="58"/>
      <c r="BT1201" s="83">
        <v>68.959999999999994</v>
      </c>
      <c r="CE1201" s="83"/>
      <c r="CK1201" s="58"/>
      <c r="CL1201" s="83"/>
      <c r="CO1201" s="58"/>
      <c r="CP1201" s="83"/>
      <c r="CR1201" s="58"/>
      <c r="CS1201" s="83"/>
      <c r="CY1201" s="83"/>
      <c r="DG1201" s="58"/>
      <c r="DH1201" s="83"/>
      <c r="DQ1201" s="83"/>
      <c r="EE1201" s="58"/>
      <c r="EF1201" s="83"/>
      <c r="EI1201" s="83"/>
      <c r="EK1201" s="58"/>
      <c r="EL1201" s="83"/>
      <c r="EO1201" s="58"/>
      <c r="EP1201" s="83"/>
      <c r="EQ1201" s="58"/>
      <c r="ER1201" s="83"/>
      <c r="ES1201" s="58"/>
      <c r="ET1201" s="83"/>
      <c r="EU1201" s="58"/>
    </row>
    <row r="1202" spans="1:151">
      <c r="A1202" s="83" t="s">
        <v>324</v>
      </c>
      <c r="B1202" s="173" t="s">
        <v>557</v>
      </c>
      <c r="C1202" s="173" t="s">
        <v>556</v>
      </c>
      <c r="D1202" s="83" t="s">
        <v>96</v>
      </c>
      <c r="F1202" s="49" t="s">
        <v>287</v>
      </c>
      <c r="G1202" s="49">
        <v>17.837</v>
      </c>
      <c r="I1202" s="49">
        <v>712</v>
      </c>
      <c r="J1202" s="159">
        <v>3.5073891625615765</v>
      </c>
      <c r="K1202" s="49">
        <v>2</v>
      </c>
      <c r="L1202" s="49">
        <v>2</v>
      </c>
      <c r="M1202" s="83">
        <v>0</v>
      </c>
      <c r="N1202" s="49">
        <v>1</v>
      </c>
      <c r="O1202" s="49">
        <v>0</v>
      </c>
      <c r="P1202" s="49">
        <v>1</v>
      </c>
      <c r="Q1202" s="58">
        <v>0</v>
      </c>
      <c r="R1202" s="42">
        <v>2</v>
      </c>
      <c r="S1202" s="83" t="s">
        <v>283</v>
      </c>
      <c r="T1202" s="49">
        <v>4</v>
      </c>
      <c r="U1202" s="83">
        <v>0</v>
      </c>
      <c r="V1202" s="49">
        <v>0</v>
      </c>
      <c r="W1202" s="49">
        <v>0</v>
      </c>
      <c r="X1202" s="58"/>
      <c r="Y1202" s="83">
        <v>6</v>
      </c>
      <c r="AD1202" s="49">
        <v>4</v>
      </c>
      <c r="AE1202" s="49">
        <v>30</v>
      </c>
      <c r="AF1202" s="49">
        <v>50</v>
      </c>
      <c r="AG1202" s="49">
        <v>105</v>
      </c>
      <c r="AH1202" s="49">
        <v>14</v>
      </c>
      <c r="AI1202" s="49">
        <v>39</v>
      </c>
      <c r="AJ1202" s="49">
        <v>0</v>
      </c>
      <c r="AK1202" s="83">
        <v>0</v>
      </c>
      <c r="AL1202" s="49">
        <v>0</v>
      </c>
      <c r="AM1202" s="49">
        <v>0</v>
      </c>
      <c r="AN1202" s="49">
        <v>0</v>
      </c>
      <c r="AO1202" s="58">
        <v>0</v>
      </c>
      <c r="AP1202" s="174">
        <v>0</v>
      </c>
      <c r="AQ1202" s="175">
        <v>0</v>
      </c>
      <c r="AR1202" s="175">
        <v>0</v>
      </c>
      <c r="AS1202" s="175">
        <v>0</v>
      </c>
      <c r="AT1202" s="175">
        <v>0</v>
      </c>
      <c r="AU1202" s="175">
        <v>0</v>
      </c>
      <c r="AV1202" s="175">
        <v>0</v>
      </c>
      <c r="AW1202" s="175">
        <v>0</v>
      </c>
      <c r="AX1202" s="83">
        <v>0</v>
      </c>
      <c r="AY1202" s="49">
        <v>0</v>
      </c>
      <c r="AZ1202" s="49">
        <v>0</v>
      </c>
      <c r="BA1202" s="49">
        <v>0</v>
      </c>
      <c r="BB1202" s="58">
        <v>0</v>
      </c>
      <c r="BC1202" s="42">
        <v>94</v>
      </c>
      <c r="BS1202" s="58"/>
      <c r="BT1202" s="83"/>
      <c r="CE1202" s="83"/>
      <c r="CK1202" s="58"/>
      <c r="CL1202" s="83"/>
      <c r="CO1202" s="58"/>
      <c r="CP1202" s="83"/>
      <c r="CR1202" s="58"/>
      <c r="CS1202" s="83"/>
      <c r="CY1202" s="83"/>
      <c r="DG1202" s="58"/>
      <c r="DH1202" s="83"/>
      <c r="DQ1202" s="83"/>
      <c r="EE1202" s="58"/>
      <c r="EF1202" s="83"/>
      <c r="EI1202" s="83"/>
      <c r="EK1202" s="58"/>
      <c r="EL1202" s="83"/>
      <c r="EO1202" s="58"/>
      <c r="EP1202" s="83"/>
      <c r="EQ1202" s="58"/>
      <c r="ER1202" s="83"/>
      <c r="ES1202" s="58"/>
      <c r="ET1202" s="83"/>
      <c r="EU1202" s="58"/>
    </row>
    <row r="1203" spans="1:151">
      <c r="A1203" s="83" t="s">
        <v>324</v>
      </c>
      <c r="B1203" s="173" t="s">
        <v>557</v>
      </c>
      <c r="C1203" s="173" t="s">
        <v>556</v>
      </c>
      <c r="D1203" s="83" t="s">
        <v>97</v>
      </c>
      <c r="E1203" s="49" t="s">
        <v>0</v>
      </c>
      <c r="F1203" s="49" t="s">
        <v>286</v>
      </c>
      <c r="G1203" s="49">
        <v>17.837</v>
      </c>
      <c r="I1203" s="49">
        <v>6360</v>
      </c>
      <c r="J1203" s="159">
        <v>14.164810690423163</v>
      </c>
      <c r="K1203" s="49">
        <v>3</v>
      </c>
      <c r="L1203" s="49">
        <v>3</v>
      </c>
      <c r="M1203" s="83">
        <v>0</v>
      </c>
      <c r="N1203" s="49">
        <v>1</v>
      </c>
      <c r="O1203" s="49">
        <v>1</v>
      </c>
      <c r="P1203" s="49">
        <v>1</v>
      </c>
      <c r="Q1203" s="58">
        <v>0</v>
      </c>
      <c r="R1203" s="42">
        <v>3</v>
      </c>
      <c r="S1203" s="83" t="s">
        <v>284</v>
      </c>
      <c r="U1203" s="83">
        <v>1</v>
      </c>
      <c r="V1203" s="49">
        <v>2</v>
      </c>
      <c r="W1203" s="49">
        <v>1</v>
      </c>
      <c r="X1203" s="58">
        <v>1</v>
      </c>
      <c r="Y1203" s="83">
        <v>1</v>
      </c>
      <c r="Z1203" s="49">
        <v>8</v>
      </c>
      <c r="AA1203" s="49">
        <v>11</v>
      </c>
      <c r="AD1203" s="49">
        <v>7</v>
      </c>
      <c r="AE1203" s="49">
        <v>206</v>
      </c>
      <c r="AF1203" s="49">
        <v>9</v>
      </c>
      <c r="AG1203" s="49">
        <v>121</v>
      </c>
      <c r="AJ1203" s="49">
        <v>0</v>
      </c>
      <c r="AK1203" s="83">
        <v>0</v>
      </c>
      <c r="AL1203" s="49">
        <v>1</v>
      </c>
      <c r="AM1203" s="49">
        <v>0</v>
      </c>
      <c r="AN1203" s="49">
        <v>0</v>
      </c>
      <c r="AO1203" s="58">
        <v>0</v>
      </c>
      <c r="AP1203" s="174">
        <v>289</v>
      </c>
      <c r="AQ1203" s="175">
        <v>1994</v>
      </c>
      <c r="AR1203" s="175">
        <v>0</v>
      </c>
      <c r="AS1203" s="175">
        <v>0</v>
      </c>
      <c r="AT1203" s="175">
        <v>0</v>
      </c>
      <c r="AU1203" s="175">
        <v>0</v>
      </c>
      <c r="AV1203" s="175">
        <v>0</v>
      </c>
      <c r="AW1203" s="175">
        <v>0</v>
      </c>
      <c r="AX1203" s="83">
        <v>0</v>
      </c>
      <c r="AY1203" s="49">
        <v>0</v>
      </c>
      <c r="AZ1203" s="49">
        <v>0</v>
      </c>
      <c r="BA1203" s="49">
        <v>0</v>
      </c>
      <c r="BB1203" s="58">
        <v>0</v>
      </c>
      <c r="BC1203" s="42">
        <v>118</v>
      </c>
      <c r="BS1203" s="58"/>
      <c r="BT1203" s="83"/>
      <c r="CE1203" s="83"/>
      <c r="CK1203" s="58"/>
      <c r="CL1203" s="83"/>
      <c r="CO1203" s="58"/>
      <c r="CP1203" s="83"/>
      <c r="CR1203" s="58"/>
      <c r="CS1203" s="83"/>
      <c r="CY1203" s="83"/>
      <c r="DG1203" s="58"/>
      <c r="DH1203" s="83"/>
      <c r="DQ1203" s="83"/>
      <c r="EE1203" s="58"/>
      <c r="EF1203" s="83"/>
      <c r="EI1203" s="83"/>
      <c r="EK1203" s="58"/>
      <c r="EL1203" s="83"/>
      <c r="EO1203" s="58"/>
      <c r="EP1203" s="83"/>
      <c r="EQ1203" s="58"/>
      <c r="ER1203" s="83"/>
      <c r="ES1203" s="58"/>
      <c r="ET1203" s="83"/>
      <c r="EU1203" s="58"/>
    </row>
    <row r="1204" spans="1:151">
      <c r="A1204" s="83" t="s">
        <v>324</v>
      </c>
      <c r="B1204" s="173" t="s">
        <v>557</v>
      </c>
      <c r="C1204" s="173" t="s">
        <v>556</v>
      </c>
      <c r="D1204" s="83" t="s">
        <v>97</v>
      </c>
      <c r="E1204" s="49" t="s">
        <v>1</v>
      </c>
      <c r="F1204" s="49" t="s">
        <v>286</v>
      </c>
      <c r="G1204" s="49">
        <v>17.837</v>
      </c>
      <c r="I1204" s="49">
        <v>1492</v>
      </c>
      <c r="J1204" s="159">
        <v>2.942800788954635</v>
      </c>
      <c r="K1204" s="49">
        <v>1</v>
      </c>
      <c r="L1204" s="49">
        <v>2</v>
      </c>
      <c r="M1204" s="83">
        <v>0</v>
      </c>
      <c r="N1204" s="49">
        <v>3</v>
      </c>
      <c r="O1204" s="49">
        <v>0</v>
      </c>
      <c r="P1204" s="49">
        <v>0</v>
      </c>
      <c r="Q1204" s="58">
        <v>0</v>
      </c>
      <c r="R1204" s="42">
        <v>3</v>
      </c>
      <c r="S1204" s="83" t="s">
        <v>284</v>
      </c>
      <c r="U1204" s="83">
        <v>1</v>
      </c>
      <c r="V1204" s="49">
        <v>3</v>
      </c>
      <c r="W1204" s="49">
        <v>1</v>
      </c>
      <c r="X1204" s="58">
        <v>1</v>
      </c>
      <c r="Y1204" s="83">
        <v>4</v>
      </c>
      <c r="AF1204" s="49">
        <v>19</v>
      </c>
      <c r="AG1204" s="49">
        <v>240</v>
      </c>
      <c r="AH1204" s="49">
        <v>8</v>
      </c>
      <c r="AI1204" s="49">
        <v>200</v>
      </c>
      <c r="AJ1204" s="49">
        <v>0</v>
      </c>
      <c r="AK1204" s="83">
        <v>0</v>
      </c>
      <c r="AL1204" s="49">
        <v>1</v>
      </c>
      <c r="AM1204" s="49">
        <v>0</v>
      </c>
      <c r="AN1204" s="49">
        <v>0</v>
      </c>
      <c r="AO1204" s="58">
        <v>0</v>
      </c>
      <c r="AP1204" s="174">
        <v>0</v>
      </c>
      <c r="AQ1204" s="175">
        <v>542</v>
      </c>
      <c r="AR1204" s="175">
        <v>0</v>
      </c>
      <c r="AS1204" s="175">
        <v>0</v>
      </c>
      <c r="AT1204" s="175">
        <v>0</v>
      </c>
      <c r="AU1204" s="175">
        <v>0</v>
      </c>
      <c r="AV1204" s="175">
        <v>0</v>
      </c>
      <c r="AW1204" s="175">
        <v>0</v>
      </c>
      <c r="AX1204" s="83">
        <v>0</v>
      </c>
      <c r="AY1204" s="49">
        <v>0</v>
      </c>
      <c r="AZ1204" s="49">
        <v>0</v>
      </c>
      <c r="BA1204" s="49">
        <v>0</v>
      </c>
      <c r="BB1204" s="58">
        <v>0</v>
      </c>
      <c r="BC1204" s="42">
        <v>118</v>
      </c>
      <c r="BS1204" s="58"/>
      <c r="BT1204" s="83"/>
      <c r="CE1204" s="83"/>
      <c r="CK1204" s="58"/>
      <c r="CL1204" s="83"/>
      <c r="CO1204" s="58"/>
      <c r="CP1204" s="83"/>
      <c r="CR1204" s="58"/>
      <c r="CS1204" s="83"/>
      <c r="CY1204" s="83"/>
      <c r="DG1204" s="58"/>
      <c r="DH1204" s="83"/>
      <c r="DQ1204" s="83"/>
      <c r="EE1204" s="58"/>
      <c r="EF1204" s="83"/>
      <c r="EI1204" s="83"/>
      <c r="EK1204" s="58"/>
      <c r="EL1204" s="83"/>
      <c r="EO1204" s="58"/>
      <c r="EP1204" s="83"/>
      <c r="EQ1204" s="58"/>
      <c r="ER1204" s="83"/>
      <c r="ES1204" s="58"/>
      <c r="ET1204" s="83"/>
      <c r="EU1204" s="58"/>
    </row>
    <row r="1205" spans="1:151">
      <c r="A1205" s="83" t="s">
        <v>324</v>
      </c>
      <c r="B1205" s="173" t="s">
        <v>557</v>
      </c>
      <c r="C1205" s="173" t="s">
        <v>556</v>
      </c>
      <c r="D1205" s="83" t="s">
        <v>100</v>
      </c>
      <c r="F1205" s="49" t="s">
        <v>286</v>
      </c>
      <c r="G1205" s="49">
        <v>17.837</v>
      </c>
      <c r="I1205" s="49">
        <v>1809</v>
      </c>
      <c r="J1205" s="159">
        <v>1.510016694490818</v>
      </c>
      <c r="K1205" s="49">
        <v>4</v>
      </c>
      <c r="L1205" s="49">
        <v>3</v>
      </c>
      <c r="M1205" s="83">
        <v>0</v>
      </c>
      <c r="N1205" s="49">
        <v>2</v>
      </c>
      <c r="O1205" s="49">
        <v>0</v>
      </c>
      <c r="P1205" s="49">
        <v>0</v>
      </c>
      <c r="Q1205" s="58">
        <v>0</v>
      </c>
      <c r="R1205" s="42">
        <v>2</v>
      </c>
      <c r="S1205" s="83" t="s">
        <v>284</v>
      </c>
      <c r="U1205" s="83">
        <v>1</v>
      </c>
      <c r="V1205" s="49">
        <v>3</v>
      </c>
      <c r="W1205" s="49">
        <v>2</v>
      </c>
      <c r="X1205" s="58"/>
      <c r="Y1205" s="83">
        <v>1</v>
      </c>
      <c r="AA1205" s="49">
        <v>12</v>
      </c>
      <c r="AD1205" s="49">
        <v>28</v>
      </c>
      <c r="AE1205" s="49">
        <v>102</v>
      </c>
      <c r="AF1205" s="49">
        <v>16</v>
      </c>
      <c r="AG1205" s="49">
        <v>99</v>
      </c>
      <c r="AJ1205" s="49">
        <v>0</v>
      </c>
      <c r="AK1205" s="83">
        <v>0</v>
      </c>
      <c r="AL1205" s="49">
        <v>1</v>
      </c>
      <c r="AM1205" s="49">
        <v>0</v>
      </c>
      <c r="AN1205" s="49">
        <v>0</v>
      </c>
      <c r="AO1205" s="58">
        <v>0</v>
      </c>
      <c r="AP1205" s="174">
        <v>0</v>
      </c>
      <c r="AQ1205" s="175">
        <v>741</v>
      </c>
      <c r="AR1205" s="175">
        <v>0</v>
      </c>
      <c r="AS1205" s="175">
        <v>0</v>
      </c>
      <c r="AT1205" s="175">
        <v>0</v>
      </c>
      <c r="AU1205" s="175">
        <v>0</v>
      </c>
      <c r="AV1205" s="175">
        <v>0</v>
      </c>
      <c r="AW1205" s="175">
        <v>0</v>
      </c>
      <c r="AX1205" s="83">
        <v>0</v>
      </c>
      <c r="AY1205" s="49">
        <v>0</v>
      </c>
      <c r="AZ1205" s="49">
        <v>0</v>
      </c>
      <c r="BA1205" s="49">
        <v>0</v>
      </c>
      <c r="BB1205" s="58">
        <v>0</v>
      </c>
      <c r="BC1205" s="42">
        <v>121</v>
      </c>
      <c r="BS1205" s="58"/>
      <c r="BT1205" s="83"/>
      <c r="CE1205" s="83"/>
      <c r="CK1205" s="58"/>
      <c r="CL1205" s="83"/>
      <c r="CO1205" s="58"/>
      <c r="CP1205" s="83"/>
      <c r="CR1205" s="58"/>
      <c r="CS1205" s="83"/>
      <c r="CY1205" s="83"/>
      <c r="DG1205" s="58"/>
      <c r="DH1205" s="83"/>
      <c r="DQ1205" s="83"/>
      <c r="EE1205" s="58"/>
      <c r="EF1205" s="83"/>
      <c r="EI1205" s="83"/>
      <c r="EK1205" s="58"/>
      <c r="EL1205" s="83"/>
      <c r="EO1205" s="58"/>
      <c r="EP1205" s="83"/>
      <c r="EQ1205" s="58"/>
      <c r="ER1205" s="83"/>
      <c r="ES1205" s="58"/>
      <c r="ET1205" s="83"/>
      <c r="EU1205" s="58"/>
    </row>
    <row r="1206" spans="1:151">
      <c r="A1206" s="83" t="s">
        <v>324</v>
      </c>
      <c r="B1206" s="173" t="s">
        <v>557</v>
      </c>
      <c r="C1206" s="173" t="s">
        <v>556</v>
      </c>
      <c r="D1206" s="83" t="s">
        <v>114</v>
      </c>
      <c r="F1206" s="49" t="s">
        <v>286</v>
      </c>
      <c r="G1206" s="49">
        <v>17.837</v>
      </c>
      <c r="I1206" s="49">
        <v>6355</v>
      </c>
      <c r="J1206" s="159">
        <v>2.3201898503103324</v>
      </c>
      <c r="K1206" s="49">
        <v>1</v>
      </c>
      <c r="L1206" s="49">
        <v>3</v>
      </c>
      <c r="M1206" s="83">
        <v>0</v>
      </c>
      <c r="N1206" s="49">
        <v>0</v>
      </c>
      <c r="O1206" s="49">
        <v>0</v>
      </c>
      <c r="P1206" s="49">
        <v>0</v>
      </c>
      <c r="Q1206" s="58">
        <v>0</v>
      </c>
      <c r="R1206" s="42">
        <v>0</v>
      </c>
      <c r="S1206" s="83" t="s">
        <v>283</v>
      </c>
      <c r="T1206" s="49">
        <v>18</v>
      </c>
      <c r="U1206" s="83">
        <v>1</v>
      </c>
      <c r="V1206" s="49">
        <v>3</v>
      </c>
      <c r="W1206" s="49">
        <v>2</v>
      </c>
      <c r="X1206" s="58"/>
      <c r="Y1206" s="83">
        <v>8</v>
      </c>
      <c r="Z1206" s="49">
        <v>6</v>
      </c>
      <c r="AA1206" s="49">
        <v>310</v>
      </c>
      <c r="AD1206" s="49">
        <v>4</v>
      </c>
      <c r="AE1206" s="49">
        <v>616</v>
      </c>
      <c r="AF1206" s="49">
        <v>9</v>
      </c>
      <c r="AG1206" s="49">
        <v>353</v>
      </c>
      <c r="AH1206" s="49">
        <v>157</v>
      </c>
      <c r="AI1206" s="49">
        <v>713</v>
      </c>
      <c r="AJ1206" s="49">
        <v>1</v>
      </c>
      <c r="AK1206" s="83">
        <v>0</v>
      </c>
      <c r="AL1206" s="49">
        <v>1</v>
      </c>
      <c r="AM1206" s="49">
        <v>0</v>
      </c>
      <c r="AN1206" s="49">
        <v>0</v>
      </c>
      <c r="AO1206" s="58">
        <v>0</v>
      </c>
      <c r="AP1206" s="174">
        <v>631</v>
      </c>
      <c r="AQ1206" s="175">
        <v>1765</v>
      </c>
      <c r="AR1206" s="175">
        <v>0</v>
      </c>
      <c r="AS1206" s="175">
        <v>0</v>
      </c>
      <c r="AT1206" s="175">
        <v>0</v>
      </c>
      <c r="AU1206" s="175">
        <v>0</v>
      </c>
      <c r="AV1206" s="175">
        <v>0</v>
      </c>
      <c r="AW1206" s="175">
        <v>0</v>
      </c>
      <c r="AX1206" s="83">
        <v>0</v>
      </c>
      <c r="AY1206" s="49">
        <v>0</v>
      </c>
      <c r="AZ1206" s="49">
        <v>0</v>
      </c>
      <c r="BA1206" s="49">
        <v>0</v>
      </c>
      <c r="BB1206" s="58">
        <v>0</v>
      </c>
      <c r="BC1206" s="42">
        <v>87</v>
      </c>
      <c r="BD1206" s="49">
        <v>79.069999999999993</v>
      </c>
      <c r="BE1206" s="159">
        <v>78.959999999999994</v>
      </c>
      <c r="BF1206" s="49">
        <v>77.78</v>
      </c>
      <c r="BG1206" s="49">
        <v>78.540000000000006</v>
      </c>
      <c r="BH1206" s="49">
        <v>78.48</v>
      </c>
      <c r="BS1206" s="58"/>
      <c r="BT1206" s="83"/>
      <c r="CE1206" s="83"/>
      <c r="CK1206" s="58"/>
      <c r="CL1206" s="83">
        <v>70.34</v>
      </c>
      <c r="CM1206" s="49">
        <v>70.180000000000007</v>
      </c>
      <c r="CO1206" s="58"/>
      <c r="CP1206" s="83"/>
      <c r="CR1206" s="58"/>
      <c r="CS1206" s="83"/>
      <c r="CY1206" s="83"/>
      <c r="DG1206" s="58"/>
      <c r="DH1206" s="83"/>
      <c r="DQ1206" s="83"/>
      <c r="EE1206" s="58"/>
      <c r="EF1206" s="83"/>
      <c r="EI1206" s="83"/>
      <c r="EK1206" s="58"/>
      <c r="EL1206" s="83"/>
      <c r="EO1206" s="58"/>
      <c r="EP1206" s="83"/>
      <c r="EQ1206" s="58"/>
      <c r="ER1206" s="83"/>
      <c r="ES1206" s="58"/>
      <c r="ET1206" s="83"/>
      <c r="EU1206" s="58"/>
    </row>
    <row r="1207" spans="1:151">
      <c r="A1207" s="83" t="s">
        <v>324</v>
      </c>
      <c r="B1207" s="173" t="s">
        <v>557</v>
      </c>
      <c r="C1207" s="173" t="s">
        <v>556</v>
      </c>
      <c r="D1207" s="83" t="s">
        <v>119</v>
      </c>
      <c r="F1207" s="49" t="s">
        <v>286</v>
      </c>
      <c r="G1207" s="49">
        <v>17.837</v>
      </c>
      <c r="I1207" s="49">
        <v>1944</v>
      </c>
      <c r="J1207" s="159">
        <v>1.2615184944841011</v>
      </c>
      <c r="K1207" s="49">
        <v>4</v>
      </c>
      <c r="L1207" s="49">
        <v>3</v>
      </c>
      <c r="M1207" s="83">
        <v>0</v>
      </c>
      <c r="N1207" s="49">
        <v>0</v>
      </c>
      <c r="O1207" s="49">
        <v>0</v>
      </c>
      <c r="P1207" s="49">
        <v>1</v>
      </c>
      <c r="Q1207" s="58">
        <v>0</v>
      </c>
      <c r="R1207" s="42">
        <v>1</v>
      </c>
      <c r="S1207" s="83" t="s">
        <v>284</v>
      </c>
      <c r="U1207" s="83">
        <v>1</v>
      </c>
      <c r="V1207" s="49">
        <v>3</v>
      </c>
      <c r="W1207" s="49">
        <v>2</v>
      </c>
      <c r="X1207" s="58"/>
      <c r="Y1207" s="83">
        <v>1</v>
      </c>
      <c r="Z1207" s="49">
        <v>7</v>
      </c>
      <c r="AA1207" s="49">
        <v>13</v>
      </c>
      <c r="AD1207" s="49">
        <v>6</v>
      </c>
      <c r="AE1207" s="49">
        <v>122</v>
      </c>
      <c r="AJ1207" s="49">
        <v>0</v>
      </c>
      <c r="AK1207" s="83">
        <v>0</v>
      </c>
      <c r="AL1207" s="49">
        <v>1</v>
      </c>
      <c r="AM1207" s="49">
        <v>0</v>
      </c>
      <c r="AN1207" s="49">
        <v>0</v>
      </c>
      <c r="AO1207" s="58">
        <v>0</v>
      </c>
      <c r="AP1207" s="174">
        <v>0</v>
      </c>
      <c r="AQ1207" s="175">
        <v>346</v>
      </c>
      <c r="AR1207" s="175">
        <v>0</v>
      </c>
      <c r="AS1207" s="175">
        <v>0</v>
      </c>
      <c r="AT1207" s="175">
        <v>0</v>
      </c>
      <c r="AU1207" s="175">
        <v>0</v>
      </c>
      <c r="AV1207" s="175">
        <v>0</v>
      </c>
      <c r="AW1207" s="175">
        <v>0</v>
      </c>
      <c r="AX1207" s="83">
        <v>0</v>
      </c>
      <c r="AY1207" s="49">
        <v>0</v>
      </c>
      <c r="AZ1207" s="49">
        <v>0</v>
      </c>
      <c r="BA1207" s="49">
        <v>0</v>
      </c>
      <c r="BB1207" s="58">
        <v>0</v>
      </c>
      <c r="BC1207" s="42">
        <v>108</v>
      </c>
      <c r="BD1207" s="49">
        <v>78.349999999999994</v>
      </c>
      <c r="BS1207" s="58"/>
      <c r="BT1207" s="83">
        <v>77.75</v>
      </c>
      <c r="CE1207" s="83">
        <v>69.680000000000007</v>
      </c>
      <c r="CK1207" s="58"/>
      <c r="CL1207" s="83"/>
      <c r="CO1207" s="58"/>
      <c r="CP1207" s="83"/>
      <c r="CR1207" s="58"/>
      <c r="CS1207" s="83"/>
      <c r="CY1207" s="83"/>
      <c r="DG1207" s="58"/>
      <c r="DH1207" s="83"/>
      <c r="DQ1207" s="83"/>
      <c r="EE1207" s="58"/>
      <c r="EF1207" s="83"/>
      <c r="EI1207" s="83"/>
      <c r="EK1207" s="58"/>
      <c r="EL1207" s="83"/>
      <c r="EO1207" s="58"/>
      <c r="EP1207" s="83"/>
      <c r="EQ1207" s="58"/>
      <c r="ER1207" s="83"/>
      <c r="ES1207" s="58"/>
      <c r="ET1207" s="83"/>
      <c r="EU1207" s="58"/>
    </row>
    <row r="1208" spans="1:151">
      <c r="A1208" s="83" t="s">
        <v>324</v>
      </c>
      <c r="B1208" s="173" t="s">
        <v>557</v>
      </c>
      <c r="C1208" s="173" t="s">
        <v>556</v>
      </c>
      <c r="D1208" s="83" t="s">
        <v>120</v>
      </c>
      <c r="F1208" s="49" t="s">
        <v>286</v>
      </c>
      <c r="G1208" s="49">
        <v>17.837</v>
      </c>
      <c r="I1208" s="49">
        <v>2127</v>
      </c>
      <c r="J1208" s="159">
        <v>2.600244498777506</v>
      </c>
      <c r="K1208" s="49">
        <v>1</v>
      </c>
      <c r="L1208" s="49">
        <v>2</v>
      </c>
      <c r="M1208" s="83">
        <v>0</v>
      </c>
      <c r="N1208" s="49">
        <v>1</v>
      </c>
      <c r="O1208" s="49">
        <v>0</v>
      </c>
      <c r="P1208" s="49">
        <v>0</v>
      </c>
      <c r="Q1208" s="58">
        <v>0</v>
      </c>
      <c r="R1208" s="42">
        <v>1</v>
      </c>
      <c r="S1208" s="83" t="s">
        <v>283</v>
      </c>
      <c r="T1208" s="49">
        <v>11</v>
      </c>
      <c r="U1208" s="83">
        <v>1</v>
      </c>
      <c r="V1208" s="49">
        <v>1</v>
      </c>
      <c r="W1208" s="49">
        <v>2</v>
      </c>
      <c r="X1208" s="58"/>
      <c r="Y1208" s="83">
        <v>2</v>
      </c>
      <c r="AA1208" s="49">
        <v>6</v>
      </c>
      <c r="AD1208" s="49">
        <v>12</v>
      </c>
      <c r="AE1208" s="49">
        <v>51</v>
      </c>
      <c r="AF1208" s="49">
        <v>7</v>
      </c>
      <c r="AG1208" s="49">
        <v>219</v>
      </c>
      <c r="AJ1208" s="49">
        <v>1</v>
      </c>
      <c r="AK1208" s="83">
        <v>0</v>
      </c>
      <c r="AL1208" s="49">
        <v>1</v>
      </c>
      <c r="AM1208" s="49">
        <v>0</v>
      </c>
      <c r="AN1208" s="49">
        <v>0</v>
      </c>
      <c r="AO1208" s="58">
        <v>0</v>
      </c>
      <c r="AP1208" s="174">
        <v>169</v>
      </c>
      <c r="AQ1208" s="175">
        <v>236</v>
      </c>
      <c r="AR1208" s="175">
        <v>0</v>
      </c>
      <c r="AS1208" s="175">
        <v>0</v>
      </c>
      <c r="AT1208" s="175">
        <v>0</v>
      </c>
      <c r="AU1208" s="175">
        <v>0</v>
      </c>
      <c r="AV1208" s="175">
        <v>0</v>
      </c>
      <c r="AW1208" s="175">
        <v>0</v>
      </c>
      <c r="AX1208" s="83">
        <v>0</v>
      </c>
      <c r="AY1208" s="49">
        <v>0</v>
      </c>
      <c r="AZ1208" s="49">
        <v>0</v>
      </c>
      <c r="BA1208" s="49">
        <v>0</v>
      </c>
      <c r="BB1208" s="58">
        <v>0</v>
      </c>
      <c r="BC1208" s="42">
        <v>95</v>
      </c>
      <c r="BD1208" s="49">
        <v>77.69</v>
      </c>
      <c r="BE1208" s="159">
        <v>77.69</v>
      </c>
      <c r="BF1208" s="49">
        <v>78.03</v>
      </c>
      <c r="BS1208" s="58"/>
      <c r="BT1208" s="83"/>
      <c r="CE1208" s="83">
        <v>78.319999999999993</v>
      </c>
      <c r="CF1208" s="49">
        <v>78.150000000000006</v>
      </c>
      <c r="CG1208" s="49">
        <v>70.89</v>
      </c>
      <c r="CK1208" s="58"/>
      <c r="CL1208" s="83">
        <v>71.180000000000007</v>
      </c>
      <c r="CO1208" s="58"/>
      <c r="CP1208" s="83"/>
      <c r="CR1208" s="58"/>
      <c r="CS1208" s="83"/>
      <c r="CY1208" s="83"/>
      <c r="DG1208" s="58"/>
      <c r="DH1208" s="83"/>
      <c r="DQ1208" s="83"/>
      <c r="EE1208" s="58"/>
      <c r="EF1208" s="83"/>
      <c r="EI1208" s="83"/>
      <c r="EK1208" s="58"/>
      <c r="EL1208" s="83"/>
      <c r="EO1208" s="58"/>
      <c r="EP1208" s="83"/>
      <c r="EQ1208" s="58"/>
      <c r="ER1208" s="83"/>
      <c r="ES1208" s="58"/>
      <c r="ET1208" s="83"/>
      <c r="EU1208" s="58"/>
    </row>
    <row r="1209" spans="1:151" ht="17" thickBot="1">
      <c r="A1209" s="83" t="s">
        <v>324</v>
      </c>
      <c r="B1209" s="47" t="s">
        <v>557</v>
      </c>
      <c r="C1209" s="47" t="s">
        <v>556</v>
      </c>
      <c r="D1209" s="84" t="s">
        <v>168</v>
      </c>
      <c r="E1209" s="57"/>
      <c r="F1209" s="57" t="s">
        <v>287</v>
      </c>
      <c r="G1209" s="57">
        <v>17.837</v>
      </c>
      <c r="H1209" s="57"/>
      <c r="I1209" s="57">
        <v>274</v>
      </c>
      <c r="J1209" s="75">
        <v>2.6601941747572817</v>
      </c>
      <c r="K1209" s="57">
        <v>2</v>
      </c>
      <c r="L1209" s="57">
        <v>2</v>
      </c>
      <c r="M1209" s="84">
        <v>0</v>
      </c>
      <c r="N1209" s="57">
        <v>3</v>
      </c>
      <c r="O1209" s="57">
        <v>0</v>
      </c>
      <c r="P1209" s="57">
        <v>0</v>
      </c>
      <c r="Q1209" s="56">
        <v>0</v>
      </c>
      <c r="R1209" s="55">
        <v>3</v>
      </c>
      <c r="S1209" s="84" t="s">
        <v>283</v>
      </c>
      <c r="T1209" s="57">
        <v>2</v>
      </c>
      <c r="U1209" s="84">
        <v>1</v>
      </c>
      <c r="V1209" s="57">
        <v>1</v>
      </c>
      <c r="W1209" s="57">
        <v>2</v>
      </c>
      <c r="X1209" s="56"/>
      <c r="Y1209" s="84">
        <v>5</v>
      </c>
      <c r="Z1209" s="57"/>
      <c r="AA1209" s="57"/>
      <c r="AB1209" s="57"/>
      <c r="AC1209" s="57"/>
      <c r="AD1209" s="57">
        <v>2</v>
      </c>
      <c r="AE1209" s="57">
        <v>20</v>
      </c>
      <c r="AF1209" s="57"/>
      <c r="AG1209" s="57"/>
      <c r="AH1209" s="57">
        <v>3</v>
      </c>
      <c r="AI1209" s="57">
        <v>83</v>
      </c>
      <c r="AJ1209" s="57">
        <v>0</v>
      </c>
      <c r="AK1209" s="84">
        <v>0</v>
      </c>
      <c r="AL1209" s="57">
        <v>0</v>
      </c>
      <c r="AM1209" s="57">
        <v>1</v>
      </c>
      <c r="AN1209" s="57">
        <v>0</v>
      </c>
      <c r="AO1209" s="56">
        <v>0</v>
      </c>
      <c r="AP1209" s="178">
        <v>0</v>
      </c>
      <c r="AQ1209" s="179">
        <v>0</v>
      </c>
      <c r="AR1209" s="179">
        <v>0</v>
      </c>
      <c r="AS1209" s="179">
        <v>92</v>
      </c>
      <c r="AT1209" s="179">
        <v>0</v>
      </c>
      <c r="AU1209" s="179">
        <v>0</v>
      </c>
      <c r="AV1209" s="179">
        <v>0</v>
      </c>
      <c r="AW1209" s="179">
        <v>0</v>
      </c>
      <c r="AX1209" s="84">
        <v>0</v>
      </c>
      <c r="AY1209" s="57">
        <v>0</v>
      </c>
      <c r="AZ1209" s="57">
        <v>0</v>
      </c>
      <c r="BA1209" s="57">
        <v>0</v>
      </c>
      <c r="BB1209" s="56">
        <v>0</v>
      </c>
      <c r="BC1209" s="55">
        <v>49</v>
      </c>
      <c r="BD1209" s="57"/>
      <c r="BE1209" s="75"/>
      <c r="BF1209" s="57"/>
      <c r="BG1209" s="57"/>
      <c r="BH1209" s="57"/>
      <c r="BI1209" s="57"/>
      <c r="BJ1209" s="57"/>
      <c r="BK1209" s="57"/>
      <c r="BL1209" s="57"/>
      <c r="BM1209" s="57"/>
      <c r="BN1209" s="57"/>
      <c r="BO1209" s="57"/>
      <c r="BP1209" s="57"/>
      <c r="BQ1209" s="57"/>
      <c r="BR1209" s="57"/>
      <c r="BS1209" s="56"/>
      <c r="BT1209" s="84"/>
      <c r="BU1209" s="57"/>
      <c r="BV1209" s="57"/>
      <c r="BW1209" s="57"/>
      <c r="BX1209" s="57"/>
      <c r="BY1209" s="57"/>
      <c r="BZ1209" s="57"/>
      <c r="CA1209" s="57"/>
      <c r="CB1209" s="57"/>
      <c r="CC1209" s="57"/>
      <c r="CD1209" s="57"/>
      <c r="CE1209" s="84"/>
      <c r="CF1209" s="57"/>
      <c r="CG1209" s="57"/>
      <c r="CH1209" s="57"/>
      <c r="CI1209" s="57"/>
      <c r="CJ1209" s="57"/>
      <c r="CK1209" s="56"/>
      <c r="CL1209" s="84"/>
      <c r="CM1209" s="57"/>
      <c r="CN1209" s="57"/>
      <c r="CO1209" s="56"/>
      <c r="CP1209" s="84"/>
      <c r="CQ1209" s="57"/>
      <c r="CR1209" s="56"/>
      <c r="CS1209" s="84"/>
      <c r="CT1209" s="57"/>
      <c r="CU1209" s="57"/>
      <c r="CV1209" s="57"/>
      <c r="CW1209" s="57"/>
      <c r="CX1209" s="57"/>
      <c r="CY1209" s="84"/>
      <c r="CZ1209" s="57"/>
      <c r="DA1209" s="57"/>
      <c r="DB1209" s="57"/>
      <c r="DC1209" s="57"/>
      <c r="DD1209" s="57"/>
      <c r="DE1209" s="57"/>
      <c r="DF1209" s="57"/>
      <c r="DG1209" s="56"/>
      <c r="DH1209" s="84"/>
      <c r="DI1209" s="57"/>
      <c r="DJ1209" s="57"/>
      <c r="DK1209" s="57"/>
      <c r="DL1209" s="57"/>
      <c r="DM1209" s="57"/>
      <c r="DN1209" s="57"/>
      <c r="DO1209" s="57"/>
      <c r="DP1209" s="57"/>
      <c r="DQ1209" s="84"/>
      <c r="DR1209" s="57"/>
      <c r="DS1209" s="57"/>
      <c r="DT1209" s="57"/>
      <c r="DU1209" s="57"/>
      <c r="DV1209" s="57"/>
      <c r="DW1209" s="57"/>
      <c r="DX1209" s="57"/>
      <c r="DY1209" s="57"/>
      <c r="DZ1209" s="57"/>
      <c r="EA1209" s="57"/>
      <c r="EB1209" s="57"/>
      <c r="EC1209" s="57"/>
      <c r="ED1209" s="57"/>
      <c r="EE1209" s="56"/>
      <c r="EF1209" s="84"/>
      <c r="EG1209" s="57"/>
      <c r="EH1209" s="57"/>
      <c r="EI1209" s="84"/>
      <c r="EJ1209" s="57"/>
      <c r="EK1209" s="56"/>
      <c r="EL1209" s="84"/>
      <c r="EM1209" s="57"/>
      <c r="EN1209" s="57"/>
      <c r="EO1209" s="56"/>
      <c r="EP1209" s="84"/>
      <c r="EQ1209" s="56"/>
      <c r="ER1209" s="84"/>
      <c r="ES1209" s="56"/>
      <c r="ET1209" s="84"/>
      <c r="EU1209" s="56"/>
    </row>
    <row r="1210" spans="1:151">
      <c r="A1210" s="87" t="s">
        <v>324</v>
      </c>
      <c r="B1210" s="173" t="s">
        <v>558</v>
      </c>
      <c r="C1210" s="173" t="s">
        <v>556</v>
      </c>
      <c r="D1210" s="83" t="s">
        <v>64</v>
      </c>
      <c r="F1210" s="49" t="s">
        <v>287</v>
      </c>
      <c r="G1210" s="49">
        <v>17.837</v>
      </c>
      <c r="I1210" s="49">
        <v>880</v>
      </c>
      <c r="J1210" s="159">
        <v>1.7357001972386588</v>
      </c>
      <c r="K1210" s="49">
        <v>1</v>
      </c>
      <c r="L1210" s="49">
        <v>1</v>
      </c>
      <c r="M1210" s="83">
        <v>0</v>
      </c>
      <c r="N1210" s="49">
        <v>1</v>
      </c>
      <c r="O1210" s="49">
        <v>1</v>
      </c>
      <c r="P1210" s="49">
        <v>1</v>
      </c>
      <c r="Q1210" s="58">
        <v>0</v>
      </c>
      <c r="R1210" s="42">
        <v>3</v>
      </c>
      <c r="S1210" s="83" t="s">
        <v>284</v>
      </c>
      <c r="U1210" s="83">
        <v>2</v>
      </c>
      <c r="V1210" s="49">
        <v>2</v>
      </c>
      <c r="W1210" s="49">
        <v>1</v>
      </c>
      <c r="X1210" s="58">
        <v>3</v>
      </c>
      <c r="Y1210" s="83">
        <v>0</v>
      </c>
      <c r="AJ1210" s="49">
        <v>0</v>
      </c>
      <c r="AK1210" s="83">
        <v>0</v>
      </c>
      <c r="AL1210" s="49">
        <v>1</v>
      </c>
      <c r="AM1210" s="49">
        <v>0</v>
      </c>
      <c r="AN1210" s="49">
        <v>0</v>
      </c>
      <c r="AO1210" s="58">
        <v>0</v>
      </c>
      <c r="AP1210" s="174">
        <v>0</v>
      </c>
      <c r="AQ1210" s="175">
        <v>175</v>
      </c>
      <c r="AR1210" s="175">
        <v>0</v>
      </c>
      <c r="AS1210" s="175">
        <v>0</v>
      </c>
      <c r="AT1210" s="175">
        <v>0</v>
      </c>
      <c r="AU1210" s="175">
        <v>0</v>
      </c>
      <c r="AV1210" s="175">
        <v>0</v>
      </c>
      <c r="AW1210" s="175">
        <v>0</v>
      </c>
      <c r="AX1210" s="83">
        <v>0</v>
      </c>
      <c r="AY1210" s="49">
        <v>0</v>
      </c>
      <c r="AZ1210" s="49">
        <v>0</v>
      </c>
      <c r="BA1210" s="49">
        <v>0</v>
      </c>
      <c r="BB1210" s="58">
        <v>0</v>
      </c>
      <c r="BC1210" s="42">
        <v>65</v>
      </c>
      <c r="BS1210" s="58"/>
      <c r="BT1210" s="83"/>
      <c r="CE1210" s="83"/>
      <c r="CK1210" s="58"/>
      <c r="CL1210" s="83"/>
      <c r="CO1210" s="58"/>
      <c r="CP1210" s="83"/>
      <c r="CR1210" s="58"/>
      <c r="CS1210" s="83"/>
      <c r="CY1210" s="83"/>
      <c r="DG1210" s="58"/>
      <c r="DH1210" s="83"/>
      <c r="DQ1210" s="83"/>
      <c r="EE1210" s="58"/>
      <c r="EF1210" s="83"/>
      <c r="EI1210" s="83"/>
      <c r="EK1210" s="58"/>
      <c r="EL1210" s="83"/>
      <c r="EO1210" s="58"/>
      <c r="EP1210" s="83"/>
      <c r="EQ1210" s="58"/>
      <c r="ER1210" s="83"/>
      <c r="ES1210" s="58"/>
      <c r="ET1210" s="83"/>
      <c r="EU1210" s="58"/>
    </row>
    <row r="1211" spans="1:151">
      <c r="A1211" s="42" t="s">
        <v>324</v>
      </c>
      <c r="B1211" s="173" t="s">
        <v>558</v>
      </c>
      <c r="C1211" s="173" t="s">
        <v>556</v>
      </c>
      <c r="D1211" s="83" t="s">
        <v>65</v>
      </c>
      <c r="F1211" s="49" t="s">
        <v>286</v>
      </c>
      <c r="G1211" s="49">
        <v>17.837</v>
      </c>
      <c r="I1211" s="49">
        <v>3095</v>
      </c>
      <c r="J1211" s="159">
        <v>1.0584815321477428</v>
      </c>
      <c r="K1211" s="49">
        <v>4</v>
      </c>
      <c r="L1211" s="49">
        <v>3</v>
      </c>
      <c r="M1211" s="83">
        <v>0</v>
      </c>
      <c r="N1211" s="49">
        <v>2</v>
      </c>
      <c r="O1211" s="49">
        <v>1</v>
      </c>
      <c r="P1211" s="49">
        <v>1</v>
      </c>
      <c r="Q1211" s="58">
        <v>0</v>
      </c>
      <c r="R1211" s="42">
        <v>4</v>
      </c>
      <c r="S1211" s="83" t="s">
        <v>283</v>
      </c>
      <c r="T1211" s="49">
        <v>17</v>
      </c>
      <c r="U1211" s="83">
        <v>3</v>
      </c>
      <c r="V1211" s="49">
        <v>3</v>
      </c>
      <c r="W1211" s="49">
        <v>3</v>
      </c>
      <c r="X1211" s="58">
        <v>1</v>
      </c>
      <c r="Y1211" s="83">
        <v>1</v>
      </c>
      <c r="Z1211" s="49">
        <v>6</v>
      </c>
      <c r="AA1211" s="49">
        <v>19</v>
      </c>
      <c r="AD1211" s="49">
        <v>6</v>
      </c>
      <c r="AE1211" s="49">
        <v>186</v>
      </c>
      <c r="AJ1211" s="49">
        <v>1</v>
      </c>
      <c r="AK1211" s="83">
        <v>0</v>
      </c>
      <c r="AL1211" s="49">
        <v>1</v>
      </c>
      <c r="AM1211" s="49">
        <v>0</v>
      </c>
      <c r="AN1211" s="49">
        <v>0</v>
      </c>
      <c r="AO1211" s="58">
        <v>0</v>
      </c>
      <c r="AP1211" s="174">
        <v>0</v>
      </c>
      <c r="AQ1211" s="175">
        <v>460</v>
      </c>
      <c r="AR1211" s="175">
        <v>0</v>
      </c>
      <c r="AS1211" s="175">
        <v>0</v>
      </c>
      <c r="AT1211" s="175">
        <v>0</v>
      </c>
      <c r="AU1211" s="175">
        <v>0</v>
      </c>
      <c r="AV1211" s="175">
        <v>0</v>
      </c>
      <c r="AW1211" s="175">
        <v>0</v>
      </c>
      <c r="AX1211" s="83">
        <v>0</v>
      </c>
      <c r="AY1211" s="49">
        <v>0</v>
      </c>
      <c r="AZ1211" s="49">
        <v>0</v>
      </c>
      <c r="BA1211" s="49">
        <v>0</v>
      </c>
      <c r="BB1211" s="58">
        <v>0</v>
      </c>
      <c r="BC1211" s="42">
        <v>127</v>
      </c>
      <c r="BS1211" s="58"/>
      <c r="BT1211" s="83"/>
      <c r="CE1211" s="83"/>
      <c r="CK1211" s="58"/>
      <c r="CL1211" s="83"/>
      <c r="CO1211" s="58"/>
      <c r="CP1211" s="83"/>
      <c r="CR1211" s="58"/>
      <c r="CS1211" s="83"/>
      <c r="CY1211" s="83"/>
      <c r="DG1211" s="58"/>
      <c r="DH1211" s="83"/>
      <c r="DQ1211" s="83"/>
      <c r="EE1211" s="58"/>
      <c r="EF1211" s="83"/>
      <c r="EI1211" s="83"/>
      <c r="EK1211" s="58"/>
      <c r="EL1211" s="83"/>
      <c r="EO1211" s="58"/>
      <c r="EP1211" s="83"/>
      <c r="EQ1211" s="58"/>
      <c r="ER1211" s="83"/>
      <c r="ES1211" s="58"/>
      <c r="ET1211" s="83"/>
      <c r="EU1211" s="58"/>
    </row>
    <row r="1212" spans="1:151">
      <c r="A1212" s="42" t="s">
        <v>324</v>
      </c>
      <c r="B1212" s="173" t="s">
        <v>558</v>
      </c>
      <c r="C1212" s="173" t="s">
        <v>556</v>
      </c>
      <c r="D1212" s="83" t="s">
        <v>67</v>
      </c>
      <c r="F1212" s="49" t="s">
        <v>286</v>
      </c>
      <c r="G1212" s="49">
        <v>17.837</v>
      </c>
      <c r="I1212" s="49">
        <v>3426</v>
      </c>
      <c r="J1212" s="159">
        <v>1.6810598626104023</v>
      </c>
      <c r="K1212" s="49">
        <v>4</v>
      </c>
      <c r="L1212" s="49">
        <v>4</v>
      </c>
      <c r="M1212" s="83">
        <v>0</v>
      </c>
      <c r="N1212" s="49">
        <v>2</v>
      </c>
      <c r="O1212" s="49">
        <v>0</v>
      </c>
      <c r="P1212" s="49">
        <v>0</v>
      </c>
      <c r="Q1212" s="58">
        <v>0</v>
      </c>
      <c r="R1212" s="42">
        <v>2</v>
      </c>
      <c r="S1212" s="83" t="s">
        <v>283</v>
      </c>
      <c r="T1212" s="49">
        <v>10</v>
      </c>
      <c r="U1212" s="83">
        <v>1</v>
      </c>
      <c r="V1212" s="49">
        <v>4</v>
      </c>
      <c r="W1212" s="49">
        <v>2</v>
      </c>
      <c r="X1212" s="58"/>
      <c r="Y1212" s="83">
        <v>1</v>
      </c>
      <c r="Z1212" s="49">
        <v>4</v>
      </c>
      <c r="AA1212" s="49">
        <v>22</v>
      </c>
      <c r="AD1212" s="49">
        <v>7</v>
      </c>
      <c r="AE1212" s="49">
        <v>52</v>
      </c>
      <c r="AF1212" s="49">
        <v>6</v>
      </c>
      <c r="AG1212" s="49">
        <v>112</v>
      </c>
      <c r="AJ1212" s="49">
        <v>0</v>
      </c>
      <c r="AK1212" s="83">
        <v>0</v>
      </c>
      <c r="AL1212" s="49">
        <v>0</v>
      </c>
      <c r="AM1212" s="49">
        <v>0</v>
      </c>
      <c r="AN1212" s="49">
        <v>0</v>
      </c>
      <c r="AO1212" s="58">
        <v>0</v>
      </c>
      <c r="AP1212" s="174">
        <v>0</v>
      </c>
      <c r="AQ1212" s="175">
        <v>0</v>
      </c>
      <c r="AR1212" s="175">
        <v>0</v>
      </c>
      <c r="AS1212" s="175">
        <v>0</v>
      </c>
      <c r="AT1212" s="175">
        <v>0</v>
      </c>
      <c r="AU1212" s="175">
        <v>0</v>
      </c>
      <c r="AV1212" s="175">
        <v>0</v>
      </c>
      <c r="AW1212" s="175">
        <v>0</v>
      </c>
      <c r="AX1212" s="83">
        <v>0</v>
      </c>
      <c r="AY1212" s="49">
        <v>0</v>
      </c>
      <c r="AZ1212" s="49">
        <v>0</v>
      </c>
      <c r="BA1212" s="49">
        <v>0</v>
      </c>
      <c r="BB1212" s="58">
        <v>0</v>
      </c>
      <c r="BC1212" s="42">
        <v>122</v>
      </c>
      <c r="BS1212" s="58"/>
      <c r="BT1212" s="83"/>
      <c r="CE1212" s="83"/>
      <c r="CK1212" s="58"/>
      <c r="CL1212" s="83"/>
      <c r="CO1212" s="58"/>
      <c r="CP1212" s="83"/>
      <c r="CR1212" s="58"/>
      <c r="CS1212" s="83"/>
      <c r="CY1212" s="83"/>
      <c r="DG1212" s="58"/>
      <c r="DH1212" s="83"/>
      <c r="DQ1212" s="83"/>
      <c r="EE1212" s="58"/>
      <c r="EF1212" s="83"/>
      <c r="EI1212" s="83"/>
      <c r="EK1212" s="58"/>
      <c r="EL1212" s="83"/>
      <c r="EO1212" s="58"/>
      <c r="EP1212" s="83"/>
      <c r="EQ1212" s="58"/>
      <c r="ER1212" s="83"/>
      <c r="ES1212" s="58"/>
      <c r="ET1212" s="83"/>
      <c r="EU1212" s="58"/>
    </row>
    <row r="1213" spans="1:151">
      <c r="A1213" s="42" t="s">
        <v>324</v>
      </c>
      <c r="B1213" s="173" t="s">
        <v>558</v>
      </c>
      <c r="C1213" s="173" t="s">
        <v>556</v>
      </c>
      <c r="D1213" s="83" t="s">
        <v>69</v>
      </c>
      <c r="F1213" s="49" t="s">
        <v>286</v>
      </c>
      <c r="G1213" s="49">
        <v>17.837</v>
      </c>
      <c r="I1213" s="49">
        <v>1106</v>
      </c>
      <c r="J1213" s="159">
        <v>1.5006784260515604</v>
      </c>
      <c r="K1213" s="49">
        <v>1</v>
      </c>
      <c r="L1213" s="49">
        <v>3</v>
      </c>
      <c r="M1213" s="83">
        <v>0</v>
      </c>
      <c r="N1213" s="49">
        <v>0</v>
      </c>
      <c r="O1213" s="49">
        <v>1</v>
      </c>
      <c r="P1213" s="49">
        <v>1</v>
      </c>
      <c r="Q1213" s="58">
        <v>0</v>
      </c>
      <c r="R1213" s="42">
        <v>2</v>
      </c>
      <c r="S1213" s="83" t="s">
        <v>283</v>
      </c>
      <c r="T1213" s="49">
        <v>15</v>
      </c>
      <c r="U1213" s="83">
        <v>1</v>
      </c>
      <c r="V1213" s="49">
        <v>3</v>
      </c>
      <c r="W1213" s="49">
        <v>2</v>
      </c>
      <c r="X1213" s="58"/>
      <c r="Y1213" s="83">
        <v>6</v>
      </c>
      <c r="Z1213" s="49">
        <v>1</v>
      </c>
      <c r="AA1213" s="49">
        <v>21</v>
      </c>
      <c r="AD1213" s="49">
        <v>4</v>
      </c>
      <c r="AE1213" s="49">
        <v>198</v>
      </c>
      <c r="AH1213" s="49">
        <v>23</v>
      </c>
      <c r="AI1213" s="49">
        <v>61</v>
      </c>
      <c r="AJ1213" s="49">
        <v>1</v>
      </c>
      <c r="AK1213" s="83">
        <v>0</v>
      </c>
      <c r="AL1213" s="49">
        <v>1</v>
      </c>
      <c r="AM1213" s="49">
        <v>1</v>
      </c>
      <c r="AN1213" s="49">
        <v>0</v>
      </c>
      <c r="AO1213" s="58">
        <v>0</v>
      </c>
      <c r="AP1213" s="174">
        <v>0</v>
      </c>
      <c r="AQ1213" s="175">
        <v>120</v>
      </c>
      <c r="AR1213" s="175">
        <v>0</v>
      </c>
      <c r="AS1213" s="175">
        <v>58</v>
      </c>
      <c r="AT1213" s="175">
        <v>0</v>
      </c>
      <c r="AU1213" s="175">
        <v>0</v>
      </c>
      <c r="AV1213" s="175">
        <v>0</v>
      </c>
      <c r="AW1213" s="175">
        <v>0</v>
      </c>
      <c r="AX1213" s="83">
        <v>0</v>
      </c>
      <c r="AY1213" s="49">
        <v>0</v>
      </c>
      <c r="AZ1213" s="49">
        <v>0</v>
      </c>
      <c r="BA1213" s="49">
        <v>0</v>
      </c>
      <c r="BB1213" s="58">
        <v>0</v>
      </c>
      <c r="BC1213" s="42">
        <v>82</v>
      </c>
      <c r="BD1213" s="49">
        <v>80.19</v>
      </c>
      <c r="BE1213" s="159">
        <v>77.510000000000005</v>
      </c>
      <c r="BF1213" s="49">
        <v>77.69</v>
      </c>
      <c r="BS1213" s="58"/>
      <c r="BT1213" s="83">
        <v>77.989999999999995</v>
      </c>
      <c r="CE1213" s="83">
        <v>71.62</v>
      </c>
      <c r="CK1213" s="58"/>
      <c r="CL1213" s="83"/>
      <c r="CO1213" s="58"/>
      <c r="CP1213" s="83"/>
      <c r="CR1213" s="58"/>
      <c r="CS1213" s="83"/>
      <c r="CY1213" s="83"/>
      <c r="DG1213" s="58"/>
      <c r="DH1213" s="83"/>
      <c r="DQ1213" s="83"/>
      <c r="EE1213" s="58"/>
      <c r="EF1213" s="83"/>
      <c r="EI1213" s="83"/>
      <c r="EK1213" s="58"/>
      <c r="EL1213" s="83"/>
      <c r="EO1213" s="58"/>
      <c r="EP1213" s="83"/>
      <c r="EQ1213" s="58"/>
      <c r="ER1213" s="83"/>
      <c r="ES1213" s="58"/>
      <c r="ET1213" s="83"/>
      <c r="EU1213" s="58"/>
    </row>
    <row r="1214" spans="1:151">
      <c r="A1214" s="42" t="s">
        <v>324</v>
      </c>
      <c r="B1214" s="173" t="s">
        <v>558</v>
      </c>
      <c r="C1214" s="173" t="s">
        <v>556</v>
      </c>
      <c r="D1214" s="83" t="s">
        <v>74</v>
      </c>
      <c r="F1214" s="49" t="s">
        <v>286</v>
      </c>
      <c r="G1214" s="49">
        <v>17.837</v>
      </c>
      <c r="I1214" s="49">
        <v>5059</v>
      </c>
      <c r="J1214" s="159">
        <v>3.2893368010403119</v>
      </c>
      <c r="K1214" s="49">
        <v>1</v>
      </c>
      <c r="L1214" s="49">
        <v>3</v>
      </c>
      <c r="M1214" s="83">
        <v>0</v>
      </c>
      <c r="N1214" s="49">
        <v>1</v>
      </c>
      <c r="O1214" s="49">
        <v>1</v>
      </c>
      <c r="P1214" s="49">
        <v>1</v>
      </c>
      <c r="Q1214" s="58">
        <v>0</v>
      </c>
      <c r="R1214" s="42">
        <v>3</v>
      </c>
      <c r="S1214" s="83" t="s">
        <v>283</v>
      </c>
      <c r="T1214" s="49">
        <v>15</v>
      </c>
      <c r="U1214" s="83">
        <v>1</v>
      </c>
      <c r="V1214" s="49">
        <v>4</v>
      </c>
      <c r="W1214" s="49">
        <v>1</v>
      </c>
      <c r="X1214" s="58">
        <v>1</v>
      </c>
      <c r="Y1214" s="83">
        <v>2</v>
      </c>
      <c r="Z1214" s="49">
        <v>2</v>
      </c>
      <c r="AA1214" s="49">
        <v>11</v>
      </c>
      <c r="AD1214" s="49">
        <v>9</v>
      </c>
      <c r="AE1214" s="49">
        <v>154</v>
      </c>
      <c r="AF1214" s="49">
        <v>45</v>
      </c>
      <c r="AG1214" s="49">
        <v>154</v>
      </c>
      <c r="AH1214" s="49">
        <v>59</v>
      </c>
      <c r="AI1214" s="49">
        <v>310</v>
      </c>
      <c r="AJ1214" s="49">
        <v>1</v>
      </c>
      <c r="AK1214" s="83">
        <v>0</v>
      </c>
      <c r="AL1214" s="49">
        <v>1</v>
      </c>
      <c r="AM1214" s="49">
        <v>1</v>
      </c>
      <c r="AN1214" s="49">
        <v>0</v>
      </c>
      <c r="AO1214" s="58">
        <v>0</v>
      </c>
      <c r="AP1214" s="174">
        <v>98</v>
      </c>
      <c r="AQ1214" s="175">
        <v>1153</v>
      </c>
      <c r="AR1214" s="175">
        <v>65</v>
      </c>
      <c r="AS1214" s="175">
        <v>89</v>
      </c>
      <c r="AT1214" s="175">
        <v>0</v>
      </c>
      <c r="AU1214" s="175">
        <v>0</v>
      </c>
      <c r="AV1214" s="175">
        <v>0</v>
      </c>
      <c r="AW1214" s="175">
        <v>0</v>
      </c>
      <c r="AX1214" s="83">
        <v>0</v>
      </c>
      <c r="AY1214" s="49">
        <v>0</v>
      </c>
      <c r="AZ1214" s="49">
        <v>0</v>
      </c>
      <c r="BA1214" s="49">
        <v>0</v>
      </c>
      <c r="BB1214" s="58">
        <v>0</v>
      </c>
      <c r="BC1214" s="42">
        <v>120</v>
      </c>
      <c r="BS1214" s="58"/>
      <c r="BT1214" s="83"/>
      <c r="CE1214" s="83"/>
      <c r="CK1214" s="58"/>
      <c r="CL1214" s="83"/>
      <c r="CO1214" s="58"/>
      <c r="CP1214" s="83"/>
      <c r="CR1214" s="58"/>
      <c r="CS1214" s="83"/>
      <c r="CY1214" s="83"/>
      <c r="DG1214" s="58"/>
      <c r="DH1214" s="83"/>
      <c r="DQ1214" s="83"/>
      <c r="EE1214" s="58"/>
      <c r="EF1214" s="83"/>
      <c r="EI1214" s="83"/>
      <c r="EK1214" s="58"/>
      <c r="EL1214" s="83"/>
      <c r="EO1214" s="58"/>
      <c r="EP1214" s="83"/>
      <c r="EQ1214" s="58"/>
      <c r="ER1214" s="83"/>
      <c r="ES1214" s="58"/>
      <c r="ET1214" s="83"/>
      <c r="EU1214" s="58"/>
    </row>
    <row r="1215" spans="1:151">
      <c r="A1215" s="42" t="s">
        <v>324</v>
      </c>
      <c r="B1215" s="173" t="s">
        <v>558</v>
      </c>
      <c r="C1215" s="173" t="s">
        <v>556</v>
      </c>
      <c r="D1215" s="83" t="s">
        <v>75</v>
      </c>
      <c r="F1215" s="49" t="s">
        <v>286</v>
      </c>
      <c r="G1215" s="49">
        <v>17.837</v>
      </c>
      <c r="I1215" s="49">
        <v>5934</v>
      </c>
      <c r="J1215" s="159">
        <v>1.3923040825903332</v>
      </c>
      <c r="K1215" s="49">
        <v>1</v>
      </c>
      <c r="L1215" s="49">
        <v>2</v>
      </c>
      <c r="M1215" s="83">
        <v>0</v>
      </c>
      <c r="N1215" s="49">
        <v>0</v>
      </c>
      <c r="O1215" s="49">
        <v>1</v>
      </c>
      <c r="P1215" s="49">
        <v>1</v>
      </c>
      <c r="Q1215" s="58">
        <v>0</v>
      </c>
      <c r="R1215" s="42">
        <v>2</v>
      </c>
      <c r="S1215" s="83">
        <v>1</v>
      </c>
      <c r="U1215" s="83">
        <v>1</v>
      </c>
      <c r="V1215" s="49">
        <v>1</v>
      </c>
      <c r="W1215" s="49">
        <v>2</v>
      </c>
      <c r="X1215" s="58"/>
      <c r="Y1215" s="83">
        <v>1</v>
      </c>
      <c r="Z1215" s="49">
        <v>6</v>
      </c>
      <c r="AA1215" s="49">
        <v>13</v>
      </c>
      <c r="AD1215" s="49">
        <v>8</v>
      </c>
      <c r="AE1215" s="49">
        <v>109</v>
      </c>
      <c r="AF1215" s="49">
        <v>7</v>
      </c>
      <c r="AG1215" s="49">
        <v>226</v>
      </c>
      <c r="AI1215" s="49">
        <v>246</v>
      </c>
      <c r="AJ1215" s="49">
        <v>0</v>
      </c>
      <c r="AK1215" s="83">
        <v>0</v>
      </c>
      <c r="AL1215" s="49">
        <v>1</v>
      </c>
      <c r="AM1215" s="49">
        <v>0</v>
      </c>
      <c r="AN1215" s="49">
        <v>0</v>
      </c>
      <c r="AO1215" s="58">
        <v>0</v>
      </c>
      <c r="AP1215" s="174">
        <v>285</v>
      </c>
      <c r="AQ1215" s="175">
        <v>2417</v>
      </c>
      <c r="AR1215" s="175">
        <v>0</v>
      </c>
      <c r="AS1215" s="175">
        <v>0</v>
      </c>
      <c r="AT1215" s="175">
        <v>0</v>
      </c>
      <c r="AU1215" s="175">
        <v>0</v>
      </c>
      <c r="AV1215" s="175">
        <v>0</v>
      </c>
      <c r="AW1215" s="175">
        <v>0</v>
      </c>
      <c r="AX1215" s="83">
        <v>0</v>
      </c>
      <c r="AY1215" s="49">
        <v>0</v>
      </c>
      <c r="AZ1215" s="49">
        <v>0</v>
      </c>
      <c r="BA1215" s="49">
        <v>0</v>
      </c>
      <c r="BB1215" s="58">
        <v>0</v>
      </c>
      <c r="BC1215" s="42">
        <v>143</v>
      </c>
      <c r="BS1215" s="58"/>
      <c r="BT1215" s="83"/>
      <c r="CE1215" s="83"/>
      <c r="CK1215" s="58"/>
      <c r="CL1215" s="83"/>
      <c r="CO1215" s="58"/>
      <c r="CP1215" s="83"/>
      <c r="CR1215" s="58"/>
      <c r="CS1215" s="83"/>
      <c r="CY1215" s="83"/>
      <c r="DG1215" s="58"/>
      <c r="DH1215" s="83"/>
      <c r="DQ1215" s="83"/>
      <c r="EE1215" s="58"/>
      <c r="EF1215" s="83"/>
      <c r="EI1215" s="83"/>
      <c r="EK1215" s="58"/>
      <c r="EL1215" s="83"/>
      <c r="EO1215" s="58"/>
      <c r="EP1215" s="83"/>
      <c r="EQ1215" s="58"/>
      <c r="ER1215" s="83"/>
      <c r="ES1215" s="58"/>
      <c r="ET1215" s="83"/>
      <c r="EU1215" s="58"/>
    </row>
    <row r="1216" spans="1:151">
      <c r="A1216" s="42" t="s">
        <v>324</v>
      </c>
      <c r="B1216" s="173" t="s">
        <v>558</v>
      </c>
      <c r="C1216" s="173" t="s">
        <v>556</v>
      </c>
      <c r="D1216" s="83" t="s">
        <v>76</v>
      </c>
      <c r="E1216" s="49" t="s">
        <v>0</v>
      </c>
      <c r="F1216" s="49" t="s">
        <v>286</v>
      </c>
      <c r="G1216" s="49">
        <v>17.837</v>
      </c>
      <c r="I1216" s="49">
        <v>2671</v>
      </c>
      <c r="J1216" s="159">
        <v>3.7940340909090908</v>
      </c>
      <c r="K1216" s="49">
        <v>1</v>
      </c>
      <c r="L1216" s="49">
        <v>3</v>
      </c>
      <c r="M1216" s="83">
        <v>0</v>
      </c>
      <c r="N1216" s="49">
        <v>2</v>
      </c>
      <c r="O1216" s="49">
        <v>0</v>
      </c>
      <c r="P1216" s="49">
        <v>0</v>
      </c>
      <c r="Q1216" s="58">
        <v>0</v>
      </c>
      <c r="R1216" s="42">
        <v>2</v>
      </c>
      <c r="S1216" s="83" t="s">
        <v>284</v>
      </c>
      <c r="U1216" s="83">
        <v>1</v>
      </c>
      <c r="V1216" s="49">
        <v>2</v>
      </c>
      <c r="W1216" s="49">
        <v>1</v>
      </c>
      <c r="X1216" s="58">
        <v>1</v>
      </c>
      <c r="Y1216" s="83">
        <v>4</v>
      </c>
      <c r="AD1216" s="49">
        <v>24</v>
      </c>
      <c r="AE1216" s="49">
        <v>177</v>
      </c>
      <c r="AJ1216" s="49">
        <v>1</v>
      </c>
      <c r="AK1216" s="83">
        <v>0</v>
      </c>
      <c r="AL1216" s="49">
        <v>1</v>
      </c>
      <c r="AM1216" s="49">
        <v>0</v>
      </c>
      <c r="AN1216" s="49">
        <v>0</v>
      </c>
      <c r="AO1216" s="58">
        <v>0</v>
      </c>
      <c r="AP1216" s="174">
        <v>307</v>
      </c>
      <c r="AQ1216" s="175">
        <v>1164</v>
      </c>
      <c r="AR1216" s="175">
        <v>0</v>
      </c>
      <c r="AS1216" s="175">
        <v>0</v>
      </c>
      <c r="AT1216" s="175">
        <v>0</v>
      </c>
      <c r="AU1216" s="175">
        <v>0</v>
      </c>
      <c r="AV1216" s="175">
        <v>0</v>
      </c>
      <c r="AW1216" s="175">
        <v>0</v>
      </c>
      <c r="AX1216" s="83">
        <v>0</v>
      </c>
      <c r="AY1216" s="49">
        <v>0</v>
      </c>
      <c r="AZ1216" s="49">
        <v>0</v>
      </c>
      <c r="BA1216" s="49">
        <v>0</v>
      </c>
      <c r="BB1216" s="58">
        <v>0</v>
      </c>
      <c r="BC1216" s="42">
        <v>128</v>
      </c>
      <c r="BS1216" s="58"/>
      <c r="BT1216" s="83"/>
      <c r="CE1216" s="83">
        <v>75.05</v>
      </c>
      <c r="CK1216" s="58"/>
      <c r="CL1216" s="83"/>
      <c r="CO1216" s="58"/>
      <c r="CP1216" s="83"/>
      <c r="CR1216" s="58"/>
      <c r="CS1216" s="83"/>
      <c r="CY1216" s="83">
        <v>78.83</v>
      </c>
      <c r="DG1216" s="58"/>
      <c r="DH1216" s="83"/>
      <c r="DQ1216" s="83">
        <v>73.16</v>
      </c>
      <c r="EE1216" s="58"/>
      <c r="EF1216" s="83"/>
      <c r="EI1216" s="83"/>
      <c r="EK1216" s="58"/>
      <c r="EL1216" s="83"/>
      <c r="EO1216" s="58"/>
      <c r="EP1216" s="83"/>
      <c r="EQ1216" s="58"/>
      <c r="ER1216" s="83"/>
      <c r="ES1216" s="58"/>
      <c r="ET1216" s="83"/>
      <c r="EU1216" s="58"/>
    </row>
    <row r="1217" spans="1:151">
      <c r="A1217" s="42" t="s">
        <v>324</v>
      </c>
      <c r="B1217" s="173" t="s">
        <v>558</v>
      </c>
      <c r="C1217" s="173" t="s">
        <v>556</v>
      </c>
      <c r="D1217" s="83" t="s">
        <v>76</v>
      </c>
      <c r="E1217" s="49" t="s">
        <v>1</v>
      </c>
      <c r="F1217" s="49" t="s">
        <v>286</v>
      </c>
      <c r="G1217" s="49">
        <v>17.837</v>
      </c>
      <c r="I1217" s="49">
        <v>5096</v>
      </c>
      <c r="J1217" s="159">
        <v>1.528494301139772</v>
      </c>
      <c r="K1217" s="49">
        <v>1</v>
      </c>
      <c r="L1217" s="49">
        <v>2</v>
      </c>
      <c r="M1217" s="83">
        <v>0</v>
      </c>
      <c r="N1217" s="49">
        <v>0</v>
      </c>
      <c r="O1217" s="49">
        <v>1</v>
      </c>
      <c r="P1217" s="49">
        <v>1</v>
      </c>
      <c r="Q1217" s="58">
        <v>0</v>
      </c>
      <c r="R1217" s="42">
        <v>2</v>
      </c>
      <c r="S1217" s="83" t="s">
        <v>283</v>
      </c>
      <c r="T1217" s="49">
        <v>17</v>
      </c>
      <c r="U1217" s="83">
        <v>2</v>
      </c>
      <c r="V1217" s="49">
        <v>2</v>
      </c>
      <c r="W1217" s="49">
        <v>3</v>
      </c>
      <c r="X1217" s="58">
        <v>1</v>
      </c>
      <c r="Y1217" s="83">
        <v>6</v>
      </c>
      <c r="Z1217" s="49">
        <v>4</v>
      </c>
      <c r="AA1217" s="49">
        <v>223</v>
      </c>
      <c r="AD1217" s="49">
        <v>7</v>
      </c>
      <c r="AE1217" s="49">
        <v>281</v>
      </c>
      <c r="AF1217" s="49">
        <v>11</v>
      </c>
      <c r="AG1217" s="49">
        <v>67</v>
      </c>
      <c r="AH1217" s="49">
        <v>42</v>
      </c>
      <c r="AI1217" s="49">
        <v>929</v>
      </c>
      <c r="AJ1217" s="49">
        <v>1</v>
      </c>
      <c r="AK1217" s="83">
        <v>0</v>
      </c>
      <c r="AL1217" s="49">
        <v>0</v>
      </c>
      <c r="AM1217" s="49">
        <v>0</v>
      </c>
      <c r="AN1217" s="49">
        <v>0</v>
      </c>
      <c r="AO1217" s="58">
        <v>0</v>
      </c>
      <c r="AP1217" s="174">
        <v>0</v>
      </c>
      <c r="AQ1217" s="175">
        <v>0</v>
      </c>
      <c r="AR1217" s="175">
        <v>0</v>
      </c>
      <c r="AS1217" s="175">
        <v>0</v>
      </c>
      <c r="AT1217" s="175">
        <v>0</v>
      </c>
      <c r="AU1217" s="175">
        <v>0</v>
      </c>
      <c r="AV1217" s="175">
        <v>0</v>
      </c>
      <c r="AW1217" s="175">
        <v>0</v>
      </c>
      <c r="AX1217" s="83">
        <v>0</v>
      </c>
      <c r="AY1217" s="49">
        <v>0</v>
      </c>
      <c r="AZ1217" s="49">
        <v>0</v>
      </c>
      <c r="BA1217" s="49">
        <v>0</v>
      </c>
      <c r="BB1217" s="58">
        <v>0</v>
      </c>
      <c r="BC1217" s="42">
        <v>128</v>
      </c>
      <c r="BD1217" s="49">
        <v>80.569999999999993</v>
      </c>
      <c r="BS1217" s="58"/>
      <c r="BT1217" s="83">
        <v>79.63</v>
      </c>
      <c r="BU1217" s="49">
        <v>78.39</v>
      </c>
      <c r="BV1217" s="49">
        <v>77.39</v>
      </c>
      <c r="CE1217" s="83">
        <v>79.89</v>
      </c>
      <c r="CF1217" s="49">
        <v>78.34</v>
      </c>
      <c r="CG1217" s="49">
        <v>77.599999999999994</v>
      </c>
      <c r="CK1217" s="58"/>
      <c r="CL1217" s="83"/>
      <c r="CO1217" s="58"/>
      <c r="CP1217" s="83"/>
      <c r="CR1217" s="58"/>
      <c r="CS1217" s="83"/>
      <c r="CY1217" s="83"/>
      <c r="DG1217" s="58"/>
      <c r="DH1217" s="83"/>
      <c r="DQ1217" s="83">
        <v>77.7</v>
      </c>
      <c r="EE1217" s="58"/>
      <c r="EF1217" s="83"/>
      <c r="EI1217" s="83"/>
      <c r="EK1217" s="58"/>
      <c r="EL1217" s="83"/>
      <c r="EO1217" s="58"/>
      <c r="EP1217" s="83"/>
      <c r="EQ1217" s="58"/>
      <c r="ER1217" s="83"/>
      <c r="ES1217" s="58"/>
      <c r="ET1217" s="83"/>
      <c r="EU1217" s="58"/>
    </row>
    <row r="1218" spans="1:151">
      <c r="A1218" s="42" t="s">
        <v>324</v>
      </c>
      <c r="B1218" s="173" t="s">
        <v>558</v>
      </c>
      <c r="C1218" s="173" t="s">
        <v>556</v>
      </c>
      <c r="D1218" s="83" t="s">
        <v>73</v>
      </c>
      <c r="F1218" s="49" t="s">
        <v>286</v>
      </c>
      <c r="G1218" s="49">
        <v>17.837</v>
      </c>
      <c r="I1218" s="49">
        <v>2347</v>
      </c>
      <c r="J1218" s="159">
        <v>1.1294513955726659</v>
      </c>
      <c r="K1218" s="49">
        <v>4</v>
      </c>
      <c r="L1218" s="49">
        <v>4</v>
      </c>
      <c r="M1218" s="83">
        <v>0</v>
      </c>
      <c r="N1218" s="49">
        <v>1</v>
      </c>
      <c r="O1218" s="49">
        <v>1</v>
      </c>
      <c r="P1218" s="49">
        <v>1</v>
      </c>
      <c r="Q1218" s="58">
        <v>0</v>
      </c>
      <c r="R1218" s="42">
        <v>3</v>
      </c>
      <c r="S1218" s="83" t="s">
        <v>283</v>
      </c>
      <c r="T1218" s="49">
        <v>5</v>
      </c>
      <c r="U1218" s="83">
        <v>2</v>
      </c>
      <c r="V1218" s="49">
        <v>4</v>
      </c>
      <c r="W1218" s="49">
        <v>1</v>
      </c>
      <c r="X1218" s="58">
        <v>3</v>
      </c>
      <c r="Y1218" s="83">
        <v>2</v>
      </c>
      <c r="Z1218" s="49">
        <v>5</v>
      </c>
      <c r="AA1218" s="49">
        <v>17</v>
      </c>
      <c r="AD1218" s="49">
        <v>7</v>
      </c>
      <c r="AE1218" s="49">
        <v>235</v>
      </c>
      <c r="AF1218" s="49">
        <v>15</v>
      </c>
      <c r="AG1218" s="49">
        <v>151</v>
      </c>
      <c r="AH1218" s="49">
        <v>12</v>
      </c>
      <c r="AI1218" s="49">
        <v>249</v>
      </c>
      <c r="AJ1218" s="49">
        <v>1</v>
      </c>
      <c r="AK1218" s="83">
        <v>0</v>
      </c>
      <c r="AL1218" s="49">
        <v>0</v>
      </c>
      <c r="AM1218" s="49">
        <v>0</v>
      </c>
      <c r="AN1218" s="49">
        <v>0</v>
      </c>
      <c r="AO1218" s="58">
        <v>0</v>
      </c>
      <c r="AP1218" s="174">
        <v>0</v>
      </c>
      <c r="AQ1218" s="175">
        <v>0</v>
      </c>
      <c r="AR1218" s="175">
        <v>0</v>
      </c>
      <c r="AS1218" s="175">
        <v>0</v>
      </c>
      <c r="AT1218" s="175">
        <v>0</v>
      </c>
      <c r="AU1218" s="175">
        <v>0</v>
      </c>
      <c r="AV1218" s="175">
        <v>0</v>
      </c>
      <c r="AW1218" s="175">
        <v>0</v>
      </c>
      <c r="AX1218" s="83">
        <v>0</v>
      </c>
      <c r="AY1218" s="49">
        <v>0</v>
      </c>
      <c r="AZ1218" s="49">
        <v>0</v>
      </c>
      <c r="BA1218" s="49">
        <v>0</v>
      </c>
      <c r="BB1218" s="58">
        <v>0</v>
      </c>
      <c r="BC1218" s="42">
        <v>120</v>
      </c>
      <c r="BD1218" s="49">
        <v>80.56</v>
      </c>
      <c r="BE1218" s="159">
        <v>76.55</v>
      </c>
      <c r="BF1218" s="49">
        <v>74.959999999999994</v>
      </c>
      <c r="BS1218" s="58"/>
      <c r="BT1218" s="83">
        <v>71.09</v>
      </c>
      <c r="BU1218" s="49">
        <v>65.209999999999994</v>
      </c>
      <c r="CE1218" s="83"/>
      <c r="CK1218" s="58"/>
      <c r="CL1218" s="83"/>
      <c r="CO1218" s="58"/>
      <c r="CP1218" s="83"/>
      <c r="CR1218" s="58"/>
      <c r="CS1218" s="83"/>
      <c r="CY1218" s="83"/>
      <c r="DG1218" s="58"/>
      <c r="DH1218" s="83"/>
      <c r="DQ1218" s="83">
        <v>76.11</v>
      </c>
      <c r="EE1218" s="58"/>
      <c r="EF1218" s="83"/>
      <c r="EI1218" s="83"/>
      <c r="EK1218" s="58"/>
      <c r="EL1218" s="83"/>
      <c r="EO1218" s="58"/>
      <c r="EP1218" s="83"/>
      <c r="EQ1218" s="58"/>
      <c r="ER1218" s="83"/>
      <c r="ES1218" s="58"/>
      <c r="ET1218" s="83"/>
      <c r="EU1218" s="58"/>
    </row>
    <row r="1219" spans="1:151">
      <c r="A1219" s="42" t="s">
        <v>324</v>
      </c>
      <c r="B1219" s="173" t="s">
        <v>558</v>
      </c>
      <c r="C1219" s="173" t="s">
        <v>556</v>
      </c>
      <c r="D1219" s="83" t="s">
        <v>81</v>
      </c>
      <c r="F1219" s="49" t="s">
        <v>286</v>
      </c>
      <c r="G1219" s="49">
        <v>17.837</v>
      </c>
      <c r="I1219" s="49">
        <v>2223</v>
      </c>
      <c r="J1219" s="159">
        <v>3.3732928679817906</v>
      </c>
      <c r="K1219" s="49">
        <v>1</v>
      </c>
      <c r="L1219" s="49">
        <v>2</v>
      </c>
      <c r="M1219" s="83">
        <v>0</v>
      </c>
      <c r="N1219" s="49">
        <v>1</v>
      </c>
      <c r="O1219" s="49">
        <v>0</v>
      </c>
      <c r="P1219" s="49">
        <v>0</v>
      </c>
      <c r="Q1219" s="58">
        <v>0</v>
      </c>
      <c r="R1219" s="42">
        <v>1</v>
      </c>
      <c r="S1219" s="83" t="s">
        <v>283</v>
      </c>
      <c r="T1219" s="49">
        <v>2</v>
      </c>
      <c r="U1219" s="83">
        <v>0</v>
      </c>
      <c r="V1219" s="49">
        <v>0</v>
      </c>
      <c r="W1219" s="49">
        <v>0</v>
      </c>
      <c r="X1219" s="58"/>
      <c r="Y1219" s="83">
        <v>2</v>
      </c>
      <c r="Z1219" s="49">
        <v>5</v>
      </c>
      <c r="AA1219" s="49">
        <v>8</v>
      </c>
      <c r="AD1219" s="49">
        <v>3</v>
      </c>
      <c r="AE1219" s="49">
        <v>186</v>
      </c>
      <c r="AH1219" s="49">
        <v>18</v>
      </c>
      <c r="AI1219" s="49">
        <v>32</v>
      </c>
      <c r="AJ1219" s="49">
        <v>1</v>
      </c>
      <c r="AK1219" s="83">
        <v>0</v>
      </c>
      <c r="AL1219" s="49">
        <v>0</v>
      </c>
      <c r="AM1219" s="49">
        <v>1</v>
      </c>
      <c r="AN1219" s="49">
        <v>0</v>
      </c>
      <c r="AO1219" s="58">
        <v>0</v>
      </c>
      <c r="AP1219" s="174">
        <v>0</v>
      </c>
      <c r="AQ1219" s="175">
        <v>0</v>
      </c>
      <c r="AR1219" s="175">
        <v>23</v>
      </c>
      <c r="AS1219" s="175">
        <v>132</v>
      </c>
      <c r="AT1219" s="175">
        <v>0</v>
      </c>
      <c r="AU1219" s="175">
        <v>0</v>
      </c>
      <c r="AV1219" s="175">
        <v>0</v>
      </c>
      <c r="AW1219" s="175">
        <v>0</v>
      </c>
      <c r="AX1219" s="83">
        <v>0</v>
      </c>
      <c r="AY1219" s="49">
        <v>0</v>
      </c>
      <c r="AZ1219" s="49">
        <v>0</v>
      </c>
      <c r="BA1219" s="49">
        <v>0</v>
      </c>
      <c r="BB1219" s="58">
        <v>0</v>
      </c>
      <c r="BC1219" s="42">
        <v>106</v>
      </c>
      <c r="BD1219" s="49">
        <v>77.83</v>
      </c>
      <c r="BS1219" s="58"/>
      <c r="BT1219" s="83"/>
      <c r="CE1219" s="83"/>
      <c r="CK1219" s="58"/>
      <c r="CL1219" s="83">
        <v>69.150000000000006</v>
      </c>
      <c r="CM1219" s="49">
        <v>67.150000000000006</v>
      </c>
      <c r="CO1219" s="58"/>
      <c r="CP1219" s="83"/>
      <c r="CR1219" s="58"/>
      <c r="CS1219" s="83"/>
      <c r="CY1219" s="83"/>
      <c r="DG1219" s="58"/>
      <c r="DH1219" s="83"/>
      <c r="DQ1219" s="83"/>
      <c r="EE1219" s="58"/>
      <c r="EF1219" s="83"/>
      <c r="EI1219" s="83"/>
      <c r="EK1219" s="58"/>
      <c r="EL1219" s="83"/>
      <c r="EO1219" s="58"/>
      <c r="EP1219" s="83"/>
      <c r="EQ1219" s="58"/>
      <c r="ER1219" s="83"/>
      <c r="ES1219" s="58"/>
      <c r="ET1219" s="83"/>
      <c r="EU1219" s="58"/>
    </row>
    <row r="1220" spans="1:151" ht="17" customHeight="1">
      <c r="A1220" s="42" t="s">
        <v>324</v>
      </c>
      <c r="B1220" s="173" t="s">
        <v>558</v>
      </c>
      <c r="C1220" s="173" t="s">
        <v>556</v>
      </c>
      <c r="D1220" s="83" t="s">
        <v>87</v>
      </c>
      <c r="F1220" s="49" t="s">
        <v>286</v>
      </c>
      <c r="G1220" s="49">
        <v>17.837</v>
      </c>
      <c r="I1220" s="49">
        <v>10363</v>
      </c>
      <c r="J1220" s="159">
        <v>2.7775395336370945</v>
      </c>
      <c r="K1220" s="49">
        <v>4</v>
      </c>
      <c r="L1220" s="49">
        <v>5</v>
      </c>
      <c r="M1220" s="83">
        <v>0</v>
      </c>
      <c r="N1220" s="49">
        <v>3</v>
      </c>
      <c r="O1220" s="49">
        <v>0</v>
      </c>
      <c r="P1220" s="49">
        <v>0</v>
      </c>
      <c r="Q1220" s="58">
        <v>0</v>
      </c>
      <c r="R1220" s="42">
        <v>3</v>
      </c>
      <c r="S1220" s="83" t="s">
        <v>283</v>
      </c>
      <c r="T1220" s="49">
        <v>23</v>
      </c>
      <c r="U1220" s="83">
        <v>2</v>
      </c>
      <c r="V1220" s="49">
        <v>5</v>
      </c>
      <c r="W1220" s="49">
        <v>1</v>
      </c>
      <c r="X1220" s="58">
        <v>3</v>
      </c>
      <c r="Y1220" s="83">
        <v>5</v>
      </c>
      <c r="Z1220" s="49">
        <v>7</v>
      </c>
      <c r="AA1220" s="49">
        <v>33</v>
      </c>
      <c r="AD1220" s="49">
        <v>6</v>
      </c>
      <c r="AE1220" s="49">
        <v>324</v>
      </c>
      <c r="AH1220" s="49">
        <v>62</v>
      </c>
      <c r="AI1220" s="49">
        <v>1597</v>
      </c>
      <c r="AJ1220" s="49">
        <v>1</v>
      </c>
      <c r="AK1220" s="83">
        <v>0</v>
      </c>
      <c r="AL1220" s="49">
        <v>0</v>
      </c>
      <c r="AM1220" s="49">
        <v>0</v>
      </c>
      <c r="AN1220" s="49">
        <v>0</v>
      </c>
      <c r="AO1220" s="58">
        <v>0</v>
      </c>
      <c r="AP1220" s="174">
        <v>0</v>
      </c>
      <c r="AQ1220" s="175">
        <v>0</v>
      </c>
      <c r="AR1220" s="175">
        <v>0</v>
      </c>
      <c r="AS1220" s="175">
        <v>0</v>
      </c>
      <c r="AT1220" s="175">
        <v>0</v>
      </c>
      <c r="AU1220" s="175">
        <v>0</v>
      </c>
      <c r="AV1220" s="175">
        <v>0</v>
      </c>
      <c r="AW1220" s="175">
        <v>0</v>
      </c>
      <c r="AX1220" s="83">
        <v>0</v>
      </c>
      <c r="AY1220" s="49">
        <v>0</v>
      </c>
      <c r="AZ1220" s="49">
        <v>0</v>
      </c>
      <c r="BA1220" s="49">
        <v>0</v>
      </c>
      <c r="BB1220" s="58">
        <v>0</v>
      </c>
      <c r="BC1220" s="42">
        <v>135</v>
      </c>
      <c r="BD1220" s="49">
        <v>80.83</v>
      </c>
      <c r="BE1220" s="49">
        <v>80.42</v>
      </c>
      <c r="BF1220" s="49">
        <v>79.42</v>
      </c>
      <c r="BG1220" s="49">
        <v>80.61</v>
      </c>
      <c r="BH1220" s="49">
        <v>80.11</v>
      </c>
      <c r="BI1220" s="49">
        <v>80.58</v>
      </c>
      <c r="BS1220" s="58"/>
      <c r="BT1220" s="83">
        <v>74.7</v>
      </c>
      <c r="BU1220" s="49">
        <v>73.89</v>
      </c>
      <c r="CE1220" s="83">
        <v>77.8</v>
      </c>
      <c r="CK1220" s="58"/>
      <c r="CL1220" s="83">
        <v>71.86</v>
      </c>
      <c r="CO1220" s="58"/>
      <c r="CP1220" s="83"/>
      <c r="CR1220" s="58"/>
      <c r="CS1220" s="83">
        <v>79.78</v>
      </c>
      <c r="CT1220" s="49">
        <v>74.33</v>
      </c>
      <c r="CU1220" s="49">
        <v>73.86</v>
      </c>
      <c r="CY1220" s="83"/>
      <c r="CZ1220" s="159"/>
      <c r="DG1220" s="58"/>
      <c r="DH1220" s="83"/>
      <c r="DQ1220" s="83">
        <v>76.209999999999994</v>
      </c>
      <c r="DR1220" s="49">
        <v>74.8</v>
      </c>
      <c r="EE1220" s="58"/>
      <c r="EF1220" s="83"/>
      <c r="EI1220" s="83"/>
      <c r="EK1220" s="58"/>
      <c r="EL1220" s="83"/>
      <c r="EO1220" s="58"/>
      <c r="EP1220" s="83"/>
      <c r="EQ1220" s="58"/>
      <c r="ER1220" s="83"/>
      <c r="ES1220" s="58"/>
      <c r="ET1220" s="83"/>
      <c r="EU1220" s="58"/>
    </row>
    <row r="1221" spans="1:151">
      <c r="A1221" s="42" t="s">
        <v>324</v>
      </c>
      <c r="B1221" s="173" t="s">
        <v>558</v>
      </c>
      <c r="C1221" s="173" t="s">
        <v>556</v>
      </c>
      <c r="D1221" s="83" t="s">
        <v>111</v>
      </c>
      <c r="F1221" s="49" t="s">
        <v>286</v>
      </c>
      <c r="G1221" s="49">
        <v>17.837</v>
      </c>
      <c r="I1221" s="49">
        <v>13061</v>
      </c>
      <c r="J1221" s="159">
        <v>2.7683340398473928</v>
      </c>
      <c r="K1221" s="49">
        <v>1</v>
      </c>
      <c r="L1221" s="49">
        <v>2</v>
      </c>
      <c r="M1221" s="83">
        <v>0</v>
      </c>
      <c r="N1221" s="49">
        <v>1</v>
      </c>
      <c r="O1221" s="49">
        <v>1</v>
      </c>
      <c r="P1221" s="49">
        <v>0</v>
      </c>
      <c r="Q1221" s="58">
        <v>0</v>
      </c>
      <c r="R1221" s="42">
        <v>2</v>
      </c>
      <c r="S1221" s="83" t="s">
        <v>283</v>
      </c>
      <c r="T1221" s="49">
        <v>23</v>
      </c>
      <c r="U1221" s="83">
        <v>1</v>
      </c>
      <c r="V1221" s="49">
        <v>2</v>
      </c>
      <c r="W1221" s="49">
        <v>1</v>
      </c>
      <c r="X1221" s="58">
        <v>1</v>
      </c>
      <c r="Y1221" s="83">
        <v>3</v>
      </c>
      <c r="Z1221" s="49">
        <v>10</v>
      </c>
      <c r="AA1221" s="49">
        <v>88</v>
      </c>
      <c r="AD1221" s="49">
        <v>22</v>
      </c>
      <c r="AE1221" s="49">
        <v>617</v>
      </c>
      <c r="AF1221" s="49">
        <v>14</v>
      </c>
      <c r="AG1221" s="49">
        <v>257</v>
      </c>
      <c r="AH1221" s="49">
        <v>41</v>
      </c>
      <c r="AI1221" s="49">
        <v>2097</v>
      </c>
      <c r="AJ1221" s="49">
        <v>1</v>
      </c>
      <c r="AK1221" s="83">
        <v>0</v>
      </c>
      <c r="AL1221" s="49">
        <v>1</v>
      </c>
      <c r="AM1221" s="49">
        <v>0</v>
      </c>
      <c r="AN1221" s="49">
        <v>0</v>
      </c>
      <c r="AO1221" s="58">
        <v>0</v>
      </c>
      <c r="AP1221" s="174">
        <v>539</v>
      </c>
      <c r="AQ1221" s="175">
        <v>2971</v>
      </c>
      <c r="AR1221" s="175">
        <v>0</v>
      </c>
      <c r="AS1221" s="175">
        <v>0</v>
      </c>
      <c r="AT1221" s="175">
        <v>0</v>
      </c>
      <c r="AU1221" s="175">
        <v>0</v>
      </c>
      <c r="AV1221" s="175">
        <v>0</v>
      </c>
      <c r="AW1221" s="175">
        <v>0</v>
      </c>
      <c r="AX1221" s="83">
        <v>0</v>
      </c>
      <c r="AY1221" s="49">
        <v>0</v>
      </c>
      <c r="AZ1221" s="49">
        <v>0</v>
      </c>
      <c r="BA1221" s="49">
        <v>1</v>
      </c>
      <c r="BB1221" s="58">
        <v>1</v>
      </c>
      <c r="BC1221" s="42">
        <v>134</v>
      </c>
      <c r="BS1221" s="58"/>
      <c r="BT1221" s="83">
        <v>81.86</v>
      </c>
      <c r="BU1221" s="49">
        <v>81.099999999999994</v>
      </c>
      <c r="BV1221" s="49">
        <v>79.53</v>
      </c>
      <c r="BW1221" s="49">
        <v>78.540000000000006</v>
      </c>
      <c r="BX1221" s="49">
        <v>79.17</v>
      </c>
      <c r="CE1221" s="83">
        <v>75.760000000000005</v>
      </c>
      <c r="CF1221" s="49">
        <v>76.53</v>
      </c>
      <c r="CK1221" s="58"/>
      <c r="CL1221" s="83"/>
      <c r="CO1221" s="58"/>
      <c r="CP1221" s="83"/>
      <c r="CR1221" s="58"/>
      <c r="CS1221" s="83"/>
      <c r="CY1221" s="83"/>
      <c r="DG1221" s="58"/>
      <c r="DH1221" s="83"/>
      <c r="DQ1221" s="83">
        <v>80.099999999999994</v>
      </c>
      <c r="EE1221" s="58"/>
      <c r="EF1221" s="83"/>
      <c r="EI1221" s="83"/>
      <c r="EK1221" s="58"/>
      <c r="EL1221" s="83"/>
      <c r="EO1221" s="58"/>
      <c r="EP1221" s="83"/>
      <c r="EQ1221" s="58"/>
      <c r="ER1221" s="83"/>
      <c r="ES1221" s="58"/>
      <c r="ET1221" s="83"/>
      <c r="EU1221" s="58"/>
    </row>
    <row r="1222" spans="1:151">
      <c r="A1222" s="42" t="s">
        <v>324</v>
      </c>
      <c r="B1222" s="173" t="s">
        <v>558</v>
      </c>
      <c r="C1222" s="173" t="s">
        <v>556</v>
      </c>
      <c r="D1222" s="83" t="s">
        <v>92</v>
      </c>
      <c r="F1222" s="49" t="s">
        <v>286</v>
      </c>
      <c r="G1222" s="49">
        <v>17.837</v>
      </c>
      <c r="I1222" s="49">
        <v>2159</v>
      </c>
      <c r="J1222" s="159">
        <v>3.2417417417417416</v>
      </c>
      <c r="K1222" s="49">
        <v>1</v>
      </c>
      <c r="L1222" s="49">
        <v>3</v>
      </c>
      <c r="M1222" s="83">
        <v>0</v>
      </c>
      <c r="N1222" s="49">
        <v>1</v>
      </c>
      <c r="O1222" s="49">
        <v>0</v>
      </c>
      <c r="P1222" s="49">
        <v>0</v>
      </c>
      <c r="Q1222" s="58">
        <v>0</v>
      </c>
      <c r="R1222" s="42">
        <v>1</v>
      </c>
      <c r="S1222" s="83" t="s">
        <v>284</v>
      </c>
      <c r="U1222" s="83">
        <v>1</v>
      </c>
      <c r="V1222" s="49">
        <v>2</v>
      </c>
      <c r="W1222" s="49">
        <v>2</v>
      </c>
      <c r="X1222" s="58"/>
      <c r="Y1222" s="83">
        <v>0</v>
      </c>
      <c r="AJ1222" s="49">
        <v>0</v>
      </c>
      <c r="AK1222" s="83">
        <v>0</v>
      </c>
      <c r="AL1222" s="49">
        <v>1</v>
      </c>
      <c r="AM1222" s="49">
        <v>0</v>
      </c>
      <c r="AN1222" s="49">
        <v>0</v>
      </c>
      <c r="AO1222" s="58">
        <v>0</v>
      </c>
      <c r="AP1222" s="174">
        <v>626</v>
      </c>
      <c r="AQ1222" s="175">
        <v>752</v>
      </c>
      <c r="AR1222" s="175">
        <v>0</v>
      </c>
      <c r="AS1222" s="175">
        <v>0</v>
      </c>
      <c r="AT1222" s="175">
        <v>0</v>
      </c>
      <c r="AU1222" s="175">
        <v>0</v>
      </c>
      <c r="AV1222" s="175">
        <v>0</v>
      </c>
      <c r="AW1222" s="175">
        <v>0</v>
      </c>
      <c r="AX1222" s="83">
        <v>0</v>
      </c>
      <c r="AY1222" s="49">
        <v>0</v>
      </c>
      <c r="AZ1222" s="49">
        <v>0</v>
      </c>
      <c r="BA1222" s="49">
        <v>0</v>
      </c>
      <c r="BB1222" s="58">
        <v>0</v>
      </c>
      <c r="BC1222" s="42">
        <v>116</v>
      </c>
      <c r="BS1222" s="58"/>
      <c r="BT1222" s="83"/>
      <c r="CE1222" s="83"/>
      <c r="CK1222" s="58"/>
      <c r="CL1222" s="83"/>
      <c r="CO1222" s="58"/>
      <c r="CP1222" s="83"/>
      <c r="CR1222" s="58"/>
      <c r="CS1222" s="83"/>
      <c r="CY1222" s="83"/>
      <c r="DG1222" s="58"/>
      <c r="DH1222" s="83"/>
      <c r="DQ1222" s="83"/>
      <c r="EE1222" s="58"/>
      <c r="EF1222" s="83"/>
      <c r="EI1222" s="83"/>
      <c r="EK1222" s="58"/>
      <c r="EL1222" s="83"/>
      <c r="EO1222" s="58"/>
      <c r="EP1222" s="83"/>
      <c r="EQ1222" s="58"/>
      <c r="ER1222" s="83"/>
      <c r="ES1222" s="58"/>
      <c r="ET1222" s="83"/>
      <c r="EU1222" s="58"/>
    </row>
    <row r="1223" spans="1:151">
      <c r="A1223" s="42" t="s">
        <v>324</v>
      </c>
      <c r="B1223" s="173" t="s">
        <v>558</v>
      </c>
      <c r="C1223" s="173" t="s">
        <v>556</v>
      </c>
      <c r="D1223" s="83" t="s">
        <v>93</v>
      </c>
      <c r="E1223" s="49" t="s">
        <v>1</v>
      </c>
      <c r="F1223" s="49" t="s">
        <v>286</v>
      </c>
      <c r="G1223" s="49">
        <v>17.837</v>
      </c>
      <c r="I1223" s="49">
        <v>1994</v>
      </c>
      <c r="J1223" s="159">
        <v>3.864341085271318</v>
      </c>
      <c r="K1223" s="49">
        <v>1</v>
      </c>
      <c r="L1223" s="49">
        <v>2</v>
      </c>
      <c r="M1223" s="83">
        <v>0</v>
      </c>
      <c r="N1223" s="49">
        <v>1</v>
      </c>
      <c r="O1223" s="49">
        <v>0</v>
      </c>
      <c r="P1223" s="49">
        <v>1</v>
      </c>
      <c r="Q1223" s="58">
        <v>0</v>
      </c>
      <c r="R1223" s="42">
        <v>2</v>
      </c>
      <c r="S1223" s="83" t="s">
        <v>283</v>
      </c>
      <c r="T1223" s="49">
        <v>12</v>
      </c>
      <c r="U1223" s="83">
        <v>1</v>
      </c>
      <c r="V1223" s="49">
        <v>2</v>
      </c>
      <c r="W1223" s="49">
        <v>1</v>
      </c>
      <c r="X1223" s="58">
        <v>2</v>
      </c>
      <c r="Y1223" s="83">
        <v>5</v>
      </c>
      <c r="AA1223" s="49">
        <v>149</v>
      </c>
      <c r="AD1223" s="49">
        <v>8</v>
      </c>
      <c r="AE1223" s="49">
        <v>70</v>
      </c>
      <c r="AG1223" s="49">
        <v>11</v>
      </c>
      <c r="AI1223" s="49">
        <v>426</v>
      </c>
      <c r="AJ1223" s="49">
        <v>1</v>
      </c>
      <c r="AK1223" s="83">
        <v>0</v>
      </c>
      <c r="AL1223" s="49">
        <v>1</v>
      </c>
      <c r="AM1223" s="49">
        <v>0</v>
      </c>
      <c r="AN1223" s="49">
        <v>0</v>
      </c>
      <c r="AO1223" s="58">
        <v>0</v>
      </c>
      <c r="AP1223" s="174">
        <v>0</v>
      </c>
      <c r="AQ1223" s="175">
        <v>268</v>
      </c>
      <c r="AR1223" s="175">
        <v>0</v>
      </c>
      <c r="AS1223" s="175">
        <v>0</v>
      </c>
      <c r="AT1223" s="175">
        <v>0</v>
      </c>
      <c r="AU1223" s="175">
        <v>0</v>
      </c>
      <c r="AV1223" s="175">
        <v>0</v>
      </c>
      <c r="AW1223" s="175">
        <v>0</v>
      </c>
      <c r="AX1223" s="83">
        <v>0</v>
      </c>
      <c r="AY1223" s="49">
        <v>0</v>
      </c>
      <c r="AZ1223" s="49">
        <v>0</v>
      </c>
      <c r="BA1223" s="49">
        <v>0</v>
      </c>
      <c r="BB1223" s="58">
        <v>0</v>
      </c>
      <c r="BC1223" s="42">
        <v>113</v>
      </c>
      <c r="BS1223" s="58"/>
      <c r="BT1223" s="83"/>
      <c r="CE1223" s="83"/>
      <c r="CK1223" s="58"/>
      <c r="CL1223" s="83"/>
      <c r="CO1223" s="58"/>
      <c r="CP1223" s="83"/>
      <c r="CR1223" s="58"/>
      <c r="CS1223" s="83"/>
      <c r="CY1223" s="83"/>
      <c r="DG1223" s="58"/>
      <c r="DH1223" s="83"/>
      <c r="DQ1223" s="83"/>
      <c r="EE1223" s="58"/>
      <c r="EF1223" s="83"/>
      <c r="EI1223" s="83"/>
      <c r="EK1223" s="58"/>
      <c r="EL1223" s="83"/>
      <c r="EO1223" s="58"/>
      <c r="EP1223" s="83"/>
      <c r="EQ1223" s="58"/>
      <c r="ER1223" s="83"/>
      <c r="ES1223" s="58"/>
      <c r="ET1223" s="83"/>
      <c r="EU1223" s="58"/>
    </row>
    <row r="1224" spans="1:151">
      <c r="A1224" s="42" t="s">
        <v>324</v>
      </c>
      <c r="B1224" s="173" t="s">
        <v>558</v>
      </c>
      <c r="C1224" s="173" t="s">
        <v>556</v>
      </c>
      <c r="D1224" s="83" t="s">
        <v>112</v>
      </c>
      <c r="F1224" s="49" t="s">
        <v>286</v>
      </c>
      <c r="G1224" s="49">
        <v>17.837</v>
      </c>
      <c r="I1224" s="49">
        <v>8588</v>
      </c>
      <c r="J1224" s="159">
        <v>2.0418449833571088</v>
      </c>
      <c r="K1224" s="49">
        <v>4</v>
      </c>
      <c r="L1224" s="49">
        <v>3</v>
      </c>
      <c r="M1224" s="83">
        <v>0</v>
      </c>
      <c r="N1224" s="49">
        <v>5</v>
      </c>
      <c r="O1224" s="49">
        <v>1</v>
      </c>
      <c r="P1224" s="49">
        <v>0</v>
      </c>
      <c r="Q1224" s="58">
        <v>0</v>
      </c>
      <c r="R1224" s="42">
        <v>6</v>
      </c>
      <c r="S1224" s="83" t="s">
        <v>283</v>
      </c>
      <c r="T1224" s="49">
        <v>12</v>
      </c>
      <c r="U1224" s="83">
        <v>2</v>
      </c>
      <c r="V1224" s="49">
        <v>3</v>
      </c>
      <c r="W1224" s="49">
        <v>3</v>
      </c>
      <c r="X1224" s="58">
        <v>1</v>
      </c>
      <c r="Y1224" s="83">
        <v>10</v>
      </c>
      <c r="Z1224" s="49">
        <v>13</v>
      </c>
      <c r="AA1224" s="49">
        <v>196</v>
      </c>
      <c r="AD1224" s="49">
        <v>13</v>
      </c>
      <c r="AE1224" s="49">
        <v>574</v>
      </c>
      <c r="AF1224" s="49">
        <v>14</v>
      </c>
      <c r="AG1224" s="49">
        <v>196</v>
      </c>
      <c r="AH1224" s="49">
        <v>282</v>
      </c>
      <c r="AI1224" s="49">
        <v>1527</v>
      </c>
      <c r="AJ1224" s="49">
        <v>1</v>
      </c>
      <c r="AK1224" s="83">
        <v>0</v>
      </c>
      <c r="AL1224" s="49">
        <v>0</v>
      </c>
      <c r="AM1224" s="49">
        <v>0</v>
      </c>
      <c r="AN1224" s="49">
        <v>0</v>
      </c>
      <c r="AO1224" s="58">
        <v>0</v>
      </c>
      <c r="AP1224" s="174">
        <v>0</v>
      </c>
      <c r="AQ1224" s="175">
        <v>0</v>
      </c>
      <c r="AR1224" s="175">
        <v>0</v>
      </c>
      <c r="AS1224" s="175">
        <v>0</v>
      </c>
      <c r="AT1224" s="175">
        <v>0</v>
      </c>
      <c r="AU1224" s="175">
        <v>0</v>
      </c>
      <c r="AV1224" s="175">
        <v>0</v>
      </c>
      <c r="AW1224" s="175">
        <v>0</v>
      </c>
      <c r="AX1224" s="83">
        <v>0</v>
      </c>
      <c r="AY1224" s="49">
        <v>0</v>
      </c>
      <c r="AZ1224" s="49">
        <v>0</v>
      </c>
      <c r="BA1224" s="49">
        <v>0</v>
      </c>
      <c r="BB1224" s="58">
        <v>0</v>
      </c>
      <c r="BC1224" s="42">
        <v>157</v>
      </c>
      <c r="BD1224" s="49">
        <v>79.38</v>
      </c>
      <c r="BE1224" s="159">
        <v>80.260000000000005</v>
      </c>
      <c r="BF1224" s="49">
        <v>80.58</v>
      </c>
      <c r="BG1224" s="49">
        <v>83.55</v>
      </c>
      <c r="BH1224" s="49">
        <v>78.97</v>
      </c>
      <c r="BI1224" s="49">
        <v>81.34</v>
      </c>
      <c r="BJ1224" s="49">
        <v>79.650000000000006</v>
      </c>
      <c r="BK1224" s="49">
        <v>79.849999999999994</v>
      </c>
      <c r="BL1224" s="49">
        <v>82.38</v>
      </c>
      <c r="BM1224" s="49">
        <v>79.52</v>
      </c>
      <c r="BS1224" s="58"/>
      <c r="BT1224" s="83"/>
      <c r="CE1224" s="83">
        <v>78.510000000000005</v>
      </c>
      <c r="CF1224" s="49">
        <v>78.39</v>
      </c>
      <c r="CK1224" s="58"/>
      <c r="CL1224" s="83">
        <v>71.48</v>
      </c>
      <c r="CO1224" s="58"/>
      <c r="CP1224" s="83"/>
      <c r="CR1224" s="58"/>
      <c r="CS1224" s="83">
        <v>77.59</v>
      </c>
      <c r="CT1224" s="49">
        <v>76.849999999999994</v>
      </c>
      <c r="CU1224" s="49">
        <v>76.94</v>
      </c>
      <c r="CV1224" s="49">
        <v>74.760000000000005</v>
      </c>
      <c r="CY1224" s="83"/>
      <c r="DG1224" s="58"/>
      <c r="DH1224" s="83"/>
      <c r="DQ1224" s="83">
        <v>77.040000000000006</v>
      </c>
      <c r="DR1224" s="49">
        <v>75.150000000000006</v>
      </c>
      <c r="EE1224" s="58"/>
      <c r="EF1224" s="83"/>
      <c r="EI1224" s="83"/>
      <c r="EK1224" s="58"/>
      <c r="EL1224" s="83"/>
      <c r="EO1224" s="58"/>
      <c r="EP1224" s="83"/>
      <c r="EQ1224" s="58"/>
      <c r="ER1224" s="83"/>
      <c r="ES1224" s="58"/>
      <c r="ET1224" s="83"/>
      <c r="EU1224" s="58"/>
    </row>
    <row r="1225" spans="1:151">
      <c r="A1225" s="42" t="s">
        <v>324</v>
      </c>
      <c r="B1225" s="173" t="s">
        <v>558</v>
      </c>
      <c r="C1225" s="173" t="s">
        <v>556</v>
      </c>
      <c r="D1225" s="83" t="s">
        <v>94</v>
      </c>
      <c r="F1225" s="49" t="s">
        <v>286</v>
      </c>
      <c r="G1225" s="49">
        <v>17.837</v>
      </c>
      <c r="I1225" s="49">
        <v>4937</v>
      </c>
      <c r="J1225" s="159">
        <v>1.3211131924003212</v>
      </c>
      <c r="K1225" s="49">
        <v>1</v>
      </c>
      <c r="L1225" s="49">
        <v>2</v>
      </c>
      <c r="M1225" s="83">
        <v>0</v>
      </c>
      <c r="N1225" s="49">
        <v>3</v>
      </c>
      <c r="O1225" s="49">
        <v>1</v>
      </c>
      <c r="P1225" s="49">
        <v>1</v>
      </c>
      <c r="Q1225" s="58">
        <v>0</v>
      </c>
      <c r="R1225" s="42">
        <v>5</v>
      </c>
      <c r="S1225" s="83" t="s">
        <v>283</v>
      </c>
      <c r="T1225" s="49">
        <v>21</v>
      </c>
      <c r="U1225" s="83">
        <v>1</v>
      </c>
      <c r="V1225" s="49">
        <v>1</v>
      </c>
      <c r="W1225" s="49">
        <v>2</v>
      </c>
      <c r="X1225" s="58"/>
      <c r="Y1225" s="83">
        <v>6</v>
      </c>
      <c r="Z1225" s="49">
        <v>5</v>
      </c>
      <c r="AA1225" s="49">
        <v>36</v>
      </c>
      <c r="AD1225" s="49">
        <v>7</v>
      </c>
      <c r="AE1225" s="49">
        <v>304</v>
      </c>
      <c r="AF1225" s="49">
        <v>3</v>
      </c>
      <c r="AG1225" s="49">
        <v>24</v>
      </c>
      <c r="AH1225" s="49">
        <v>20</v>
      </c>
      <c r="AI1225" s="49">
        <v>1169</v>
      </c>
      <c r="AJ1225" s="49">
        <v>1</v>
      </c>
      <c r="AK1225" s="83">
        <v>0</v>
      </c>
      <c r="AL1225" s="49">
        <v>1</v>
      </c>
      <c r="AM1225" s="49">
        <v>0</v>
      </c>
      <c r="AN1225" s="49">
        <v>0</v>
      </c>
      <c r="AO1225" s="58">
        <v>0</v>
      </c>
      <c r="AP1225" s="174">
        <v>413</v>
      </c>
      <c r="AQ1225" s="175">
        <v>815</v>
      </c>
      <c r="AR1225" s="175">
        <v>0</v>
      </c>
      <c r="AS1225" s="175">
        <v>0</v>
      </c>
      <c r="AT1225" s="175">
        <v>0</v>
      </c>
      <c r="AU1225" s="175">
        <v>0</v>
      </c>
      <c r="AV1225" s="175">
        <v>0</v>
      </c>
      <c r="AW1225" s="175">
        <v>0</v>
      </c>
      <c r="AX1225" s="83">
        <v>0</v>
      </c>
      <c r="AY1225" s="49">
        <v>0</v>
      </c>
      <c r="AZ1225" s="49">
        <v>0</v>
      </c>
      <c r="BA1225" s="49">
        <v>0</v>
      </c>
      <c r="BB1225" s="58">
        <v>0</v>
      </c>
      <c r="BC1225" s="42">
        <v>117</v>
      </c>
      <c r="BE1225" s="49"/>
      <c r="BS1225" s="58"/>
      <c r="BT1225" s="83">
        <v>77.260000000000005</v>
      </c>
      <c r="BU1225" s="49">
        <v>77.209999999999994</v>
      </c>
      <c r="CE1225" s="83">
        <v>78.209999999999994</v>
      </c>
      <c r="CK1225" s="58"/>
      <c r="CL1225" s="83"/>
      <c r="CO1225" s="58"/>
      <c r="CP1225" s="83"/>
      <c r="CR1225" s="58"/>
      <c r="CS1225" s="83"/>
      <c r="CY1225" s="83">
        <v>76.02</v>
      </c>
      <c r="CZ1225" s="159">
        <v>76.400000000000006</v>
      </c>
      <c r="DG1225" s="58"/>
      <c r="DH1225" s="83"/>
      <c r="DQ1225" s="83">
        <v>73.650000000000006</v>
      </c>
      <c r="EE1225" s="58"/>
      <c r="EF1225" s="83"/>
      <c r="EI1225" s="83"/>
      <c r="EK1225" s="58"/>
      <c r="EL1225" s="83"/>
      <c r="EO1225" s="58"/>
      <c r="EP1225" s="83"/>
      <c r="EQ1225" s="58"/>
      <c r="ER1225" s="83"/>
      <c r="ES1225" s="58"/>
      <c r="ET1225" s="83"/>
      <c r="EU1225" s="58"/>
    </row>
    <row r="1226" spans="1:151">
      <c r="A1226" s="42" t="s">
        <v>324</v>
      </c>
      <c r="B1226" s="173" t="s">
        <v>558</v>
      </c>
      <c r="C1226" s="173" t="s">
        <v>556</v>
      </c>
      <c r="D1226" s="83" t="s">
        <v>95</v>
      </c>
      <c r="E1226" s="49" t="s">
        <v>0</v>
      </c>
      <c r="F1226" s="49" t="s">
        <v>287</v>
      </c>
      <c r="G1226" s="49">
        <v>17.837</v>
      </c>
      <c r="I1226" s="49">
        <v>777</v>
      </c>
      <c r="J1226" s="159">
        <v>1.0851955307262571</v>
      </c>
      <c r="K1226" s="49">
        <v>1</v>
      </c>
      <c r="L1226" s="49">
        <v>1</v>
      </c>
      <c r="M1226" s="83">
        <v>0</v>
      </c>
      <c r="N1226" s="49">
        <v>1</v>
      </c>
      <c r="O1226" s="49">
        <v>0</v>
      </c>
      <c r="P1226" s="49">
        <v>0</v>
      </c>
      <c r="Q1226" s="58">
        <v>0</v>
      </c>
      <c r="R1226" s="42">
        <v>1</v>
      </c>
      <c r="S1226" s="83" t="s">
        <v>284</v>
      </c>
      <c r="U1226" s="83">
        <v>1</v>
      </c>
      <c r="V1226" s="49">
        <v>1</v>
      </c>
      <c r="W1226" s="49">
        <v>2</v>
      </c>
      <c r="X1226" s="58"/>
      <c r="Y1226" s="83">
        <v>1</v>
      </c>
      <c r="AD1226" s="49">
        <v>6</v>
      </c>
      <c r="AE1226" s="49">
        <v>97</v>
      </c>
      <c r="AF1226" s="49">
        <v>4</v>
      </c>
      <c r="AG1226" s="49">
        <v>12</v>
      </c>
      <c r="AH1226" s="49">
        <v>7</v>
      </c>
      <c r="AI1226" s="49">
        <v>25</v>
      </c>
      <c r="AJ1226" s="49">
        <v>0</v>
      </c>
      <c r="AK1226" s="83">
        <v>0</v>
      </c>
      <c r="AL1226" s="49">
        <v>0</v>
      </c>
      <c r="AM1226" s="49">
        <v>1</v>
      </c>
      <c r="AN1226" s="49">
        <v>0</v>
      </c>
      <c r="AO1226" s="58">
        <v>0</v>
      </c>
      <c r="AP1226" s="174">
        <v>0</v>
      </c>
      <c r="AQ1226" s="175">
        <v>0</v>
      </c>
      <c r="AR1226" s="175">
        <v>42</v>
      </c>
      <c r="AS1226" s="175">
        <v>50</v>
      </c>
      <c r="AT1226" s="175">
        <v>0</v>
      </c>
      <c r="AU1226" s="175">
        <v>0</v>
      </c>
      <c r="AV1226" s="175">
        <v>0</v>
      </c>
      <c r="AW1226" s="175">
        <v>0</v>
      </c>
      <c r="AX1226" s="83">
        <v>0</v>
      </c>
      <c r="AY1226" s="49">
        <v>1</v>
      </c>
      <c r="AZ1226" s="49">
        <v>0</v>
      </c>
      <c r="BA1226" s="49">
        <v>0</v>
      </c>
      <c r="BB1226" s="58">
        <v>1</v>
      </c>
      <c r="BC1226" s="42">
        <v>116</v>
      </c>
      <c r="BS1226" s="58"/>
      <c r="BT1226" s="83"/>
      <c r="CE1226" s="83"/>
      <c r="CK1226" s="58"/>
      <c r="CL1226" s="83"/>
      <c r="CO1226" s="58"/>
      <c r="CP1226" s="83"/>
      <c r="CR1226" s="58"/>
      <c r="CS1226" s="83"/>
      <c r="CY1226" s="83"/>
      <c r="DG1226" s="58"/>
      <c r="DH1226" s="83"/>
      <c r="DQ1226" s="83"/>
      <c r="EE1226" s="58"/>
      <c r="EF1226" s="83"/>
      <c r="EI1226" s="83"/>
      <c r="EK1226" s="58"/>
      <c r="EL1226" s="83"/>
      <c r="EO1226" s="58"/>
      <c r="EP1226" s="83"/>
      <c r="EQ1226" s="58"/>
      <c r="ER1226" s="83"/>
      <c r="ES1226" s="58"/>
      <c r="ET1226" s="83"/>
      <c r="EU1226" s="58"/>
    </row>
    <row r="1227" spans="1:151">
      <c r="A1227" s="42" t="s">
        <v>324</v>
      </c>
      <c r="B1227" s="173" t="s">
        <v>558</v>
      </c>
      <c r="C1227" s="173" t="s">
        <v>556</v>
      </c>
      <c r="D1227" s="83" t="s">
        <v>95</v>
      </c>
      <c r="E1227" s="49" t="s">
        <v>1</v>
      </c>
      <c r="F1227" s="49" t="s">
        <v>286</v>
      </c>
      <c r="G1227" s="49">
        <v>17.837</v>
      </c>
      <c r="I1227" s="49">
        <v>2201</v>
      </c>
      <c r="J1227" s="159">
        <v>1.810032894736842</v>
      </c>
      <c r="K1227" s="49">
        <v>4</v>
      </c>
      <c r="L1227" s="49">
        <v>3</v>
      </c>
      <c r="M1227" s="83">
        <v>1</v>
      </c>
      <c r="N1227" s="49">
        <v>1</v>
      </c>
      <c r="O1227" s="49">
        <v>0</v>
      </c>
      <c r="P1227" s="49">
        <v>0</v>
      </c>
      <c r="Q1227" s="58">
        <v>0</v>
      </c>
      <c r="R1227" s="42">
        <v>2</v>
      </c>
      <c r="S1227" s="83" t="s">
        <v>284</v>
      </c>
      <c r="U1227" s="83">
        <v>1</v>
      </c>
      <c r="V1227" s="49">
        <v>3</v>
      </c>
      <c r="W1227" s="49">
        <v>2</v>
      </c>
      <c r="X1227" s="58"/>
      <c r="Y1227" s="83">
        <v>5</v>
      </c>
      <c r="AD1227" s="49">
        <v>4</v>
      </c>
      <c r="AE1227" s="49">
        <v>63</v>
      </c>
      <c r="AF1227" s="49">
        <v>23</v>
      </c>
      <c r="AG1227" s="49">
        <v>54</v>
      </c>
      <c r="AH1227" s="49">
        <v>5</v>
      </c>
      <c r="AI1227" s="49">
        <v>652</v>
      </c>
      <c r="AJ1227" s="49">
        <v>0</v>
      </c>
      <c r="AK1227" s="83">
        <v>0</v>
      </c>
      <c r="AL1227" s="49">
        <v>1</v>
      </c>
      <c r="AM1227" s="49">
        <v>1</v>
      </c>
      <c r="AN1227" s="49">
        <v>0</v>
      </c>
      <c r="AO1227" s="58">
        <v>0</v>
      </c>
      <c r="AP1227" s="174">
        <v>0</v>
      </c>
      <c r="AQ1227" s="175">
        <v>518</v>
      </c>
      <c r="AR1227" s="175">
        <v>30</v>
      </c>
      <c r="AS1227" s="175">
        <v>70</v>
      </c>
      <c r="AT1227" s="175">
        <v>0</v>
      </c>
      <c r="AU1227" s="175">
        <v>0</v>
      </c>
      <c r="AV1227" s="175">
        <v>0</v>
      </c>
      <c r="AW1227" s="175">
        <v>0</v>
      </c>
      <c r="AX1227" s="83">
        <v>0</v>
      </c>
      <c r="AY1227" s="49">
        <v>1</v>
      </c>
      <c r="AZ1227" s="49">
        <v>0</v>
      </c>
      <c r="BA1227" s="49">
        <v>0</v>
      </c>
      <c r="BB1227" s="58">
        <v>7</v>
      </c>
      <c r="BC1227" s="42">
        <v>116</v>
      </c>
      <c r="BS1227" s="58"/>
      <c r="BT1227" s="83"/>
      <c r="CE1227" s="83"/>
      <c r="CK1227" s="58"/>
      <c r="CL1227" s="83"/>
      <c r="CO1227" s="58"/>
      <c r="CP1227" s="83"/>
      <c r="CR1227" s="58"/>
      <c r="CS1227" s="83"/>
      <c r="CY1227" s="83"/>
      <c r="DG1227" s="58"/>
      <c r="DH1227" s="83"/>
      <c r="DQ1227" s="83"/>
      <c r="EE1227" s="58"/>
      <c r="EF1227" s="83"/>
      <c r="EI1227" s="83"/>
      <c r="EK1227" s="58"/>
      <c r="EL1227" s="83"/>
      <c r="EO1227" s="58"/>
      <c r="EP1227" s="83"/>
      <c r="EQ1227" s="58"/>
      <c r="ER1227" s="83"/>
      <c r="ES1227" s="58"/>
      <c r="ET1227" s="83"/>
      <c r="EU1227" s="58"/>
    </row>
    <row r="1228" spans="1:151">
      <c r="A1228" s="42" t="s">
        <v>324</v>
      </c>
      <c r="B1228" s="173" t="s">
        <v>558</v>
      </c>
      <c r="C1228" s="173" t="s">
        <v>556</v>
      </c>
      <c r="D1228" s="83" t="s">
        <v>96</v>
      </c>
      <c r="F1228" s="49" t="s">
        <v>286</v>
      </c>
      <c r="G1228" s="49">
        <v>17.837</v>
      </c>
      <c r="I1228" s="49">
        <v>3074</v>
      </c>
      <c r="J1228" s="159">
        <v>1.6598272138228942</v>
      </c>
      <c r="K1228" s="49">
        <v>1</v>
      </c>
      <c r="L1228" s="49">
        <v>2</v>
      </c>
      <c r="M1228" s="83">
        <v>0</v>
      </c>
      <c r="N1228" s="49">
        <v>2</v>
      </c>
      <c r="O1228" s="49">
        <v>1</v>
      </c>
      <c r="P1228" s="49">
        <v>0</v>
      </c>
      <c r="Q1228" s="58">
        <v>0</v>
      </c>
      <c r="R1228" s="42">
        <v>3</v>
      </c>
      <c r="S1228" s="83">
        <v>1</v>
      </c>
      <c r="U1228" s="83">
        <v>1</v>
      </c>
      <c r="V1228" s="49">
        <v>3</v>
      </c>
      <c r="W1228" s="49">
        <v>1</v>
      </c>
      <c r="X1228" s="58">
        <v>1</v>
      </c>
      <c r="Y1228" s="83">
        <v>2</v>
      </c>
      <c r="Z1228" s="49">
        <v>6</v>
      </c>
      <c r="AA1228" s="49">
        <v>20</v>
      </c>
      <c r="AD1228" s="49">
        <v>18</v>
      </c>
      <c r="AE1228" s="49">
        <v>204</v>
      </c>
      <c r="AG1228" s="49">
        <v>196</v>
      </c>
      <c r="AI1228" s="49">
        <v>646</v>
      </c>
      <c r="AJ1228" s="49">
        <v>1</v>
      </c>
      <c r="AK1228" s="83">
        <v>0</v>
      </c>
      <c r="AL1228" s="49">
        <v>1</v>
      </c>
      <c r="AM1228" s="49">
        <v>0</v>
      </c>
      <c r="AN1228" s="49">
        <v>0</v>
      </c>
      <c r="AO1228" s="58">
        <v>0</v>
      </c>
      <c r="AP1228" s="174">
        <v>164</v>
      </c>
      <c r="AQ1228" s="175">
        <v>1462</v>
      </c>
      <c r="AR1228" s="175">
        <v>0</v>
      </c>
      <c r="AS1228" s="175">
        <v>0</v>
      </c>
      <c r="AT1228" s="175">
        <v>0</v>
      </c>
      <c r="AU1228" s="175">
        <v>0</v>
      </c>
      <c r="AV1228" s="175">
        <v>0</v>
      </c>
      <c r="AW1228" s="175">
        <v>0</v>
      </c>
      <c r="AX1228" s="83">
        <v>0</v>
      </c>
      <c r="AY1228" s="49">
        <v>0</v>
      </c>
      <c r="AZ1228" s="49">
        <v>0</v>
      </c>
      <c r="BA1228" s="49">
        <v>0</v>
      </c>
      <c r="BB1228" s="58">
        <v>0</v>
      </c>
      <c r="BC1228" s="42">
        <v>143</v>
      </c>
      <c r="BS1228" s="58"/>
      <c r="BT1228" s="83"/>
      <c r="CE1228" s="83"/>
      <c r="CK1228" s="58"/>
      <c r="CL1228" s="83"/>
      <c r="CO1228" s="58"/>
      <c r="CP1228" s="83"/>
      <c r="CR1228" s="58"/>
      <c r="CS1228" s="83"/>
      <c r="CY1228" s="83"/>
      <c r="DG1228" s="58"/>
      <c r="DH1228" s="83"/>
      <c r="DQ1228" s="83"/>
      <c r="EE1228" s="58"/>
      <c r="EF1228" s="83"/>
      <c r="EI1228" s="83"/>
      <c r="EK1228" s="58"/>
      <c r="EL1228" s="83"/>
      <c r="EO1228" s="58"/>
      <c r="EP1228" s="83"/>
      <c r="EQ1228" s="58"/>
      <c r="ER1228" s="83"/>
      <c r="ES1228" s="58"/>
      <c r="ET1228" s="83"/>
      <c r="EU1228" s="58"/>
    </row>
    <row r="1229" spans="1:151">
      <c r="A1229" s="42" t="s">
        <v>324</v>
      </c>
      <c r="B1229" s="173" t="s">
        <v>558</v>
      </c>
      <c r="C1229" s="173" t="s">
        <v>556</v>
      </c>
      <c r="D1229" s="83" t="s">
        <v>97</v>
      </c>
      <c r="F1229" s="49" t="s">
        <v>286</v>
      </c>
      <c r="G1229" s="49">
        <v>17.837</v>
      </c>
      <c r="I1229" s="49">
        <v>1501</v>
      </c>
      <c r="J1229" s="159">
        <v>1.0924308588064047</v>
      </c>
      <c r="K1229" s="49">
        <v>4</v>
      </c>
      <c r="L1229" s="49">
        <v>3</v>
      </c>
      <c r="M1229" s="83">
        <v>0</v>
      </c>
      <c r="N1229" s="49">
        <v>2</v>
      </c>
      <c r="O1229" s="49">
        <v>1</v>
      </c>
      <c r="P1229" s="49">
        <v>1</v>
      </c>
      <c r="Q1229" s="58">
        <v>0</v>
      </c>
      <c r="R1229" s="42">
        <v>4</v>
      </c>
      <c r="S1229" s="83">
        <v>1</v>
      </c>
      <c r="U1229" s="83">
        <v>2</v>
      </c>
      <c r="V1229" s="49">
        <v>3</v>
      </c>
      <c r="W1229" s="49">
        <v>3</v>
      </c>
      <c r="X1229" s="58">
        <v>1</v>
      </c>
      <c r="Y1229" s="83">
        <v>1</v>
      </c>
      <c r="Z1229" s="49">
        <v>7</v>
      </c>
      <c r="AA1229" s="49">
        <v>22</v>
      </c>
      <c r="AD1229" s="49">
        <v>7</v>
      </c>
      <c r="AE1229" s="49">
        <v>31</v>
      </c>
      <c r="AF1229" s="49">
        <v>3</v>
      </c>
      <c r="AG1229" s="49">
        <v>28</v>
      </c>
      <c r="AJ1229" s="49">
        <v>0</v>
      </c>
      <c r="AK1229" s="83">
        <v>0</v>
      </c>
      <c r="AL1229" s="49">
        <v>1</v>
      </c>
      <c r="AM1229" s="49">
        <v>0</v>
      </c>
      <c r="AN1229" s="49">
        <v>0</v>
      </c>
      <c r="AO1229" s="58">
        <v>0</v>
      </c>
      <c r="AP1229" s="174">
        <v>0</v>
      </c>
      <c r="AQ1229" s="175">
        <v>792</v>
      </c>
      <c r="AR1229" s="175">
        <v>0</v>
      </c>
      <c r="AS1229" s="175">
        <v>0</v>
      </c>
      <c r="AT1229" s="175">
        <v>0</v>
      </c>
      <c r="AU1229" s="175">
        <v>0</v>
      </c>
      <c r="AV1229" s="175">
        <v>0</v>
      </c>
      <c r="AW1229" s="175">
        <v>0</v>
      </c>
      <c r="AX1229" s="83">
        <v>0</v>
      </c>
      <c r="AY1229" s="49">
        <v>0</v>
      </c>
      <c r="AZ1229" s="49">
        <v>0</v>
      </c>
      <c r="BA1229" s="49">
        <v>0</v>
      </c>
      <c r="BB1229" s="58">
        <v>0</v>
      </c>
      <c r="BC1229" s="42">
        <v>131</v>
      </c>
      <c r="BD1229" s="49">
        <v>82.95</v>
      </c>
      <c r="BE1229" s="159">
        <v>80.53</v>
      </c>
      <c r="BF1229" s="49">
        <v>80.760000000000005</v>
      </c>
      <c r="BG1229" s="49">
        <v>80.209999999999994</v>
      </c>
      <c r="BS1229" s="58"/>
      <c r="BT1229" s="83">
        <v>78.680000000000007</v>
      </c>
      <c r="BU1229" s="49">
        <v>78.28</v>
      </c>
      <c r="CE1229" s="83"/>
      <c r="CK1229" s="58"/>
      <c r="CL1229" s="83"/>
      <c r="CO1229" s="58"/>
      <c r="CP1229" s="83"/>
      <c r="CR1229" s="58"/>
      <c r="CS1229" s="83"/>
      <c r="CY1229" s="83"/>
      <c r="DG1229" s="58"/>
      <c r="DH1229" s="83"/>
      <c r="DQ1229" s="83"/>
      <c r="EE1229" s="58"/>
      <c r="EF1229" s="83"/>
      <c r="EI1229" s="83"/>
      <c r="EK1229" s="58"/>
      <c r="EL1229" s="83"/>
      <c r="EO1229" s="58"/>
      <c r="EP1229" s="83"/>
      <c r="EQ1229" s="58"/>
      <c r="ER1229" s="83"/>
      <c r="ES1229" s="58"/>
      <c r="ET1229" s="83"/>
      <c r="EU1229" s="58"/>
    </row>
    <row r="1230" spans="1:151">
      <c r="A1230" s="42" t="s">
        <v>324</v>
      </c>
      <c r="B1230" s="173" t="s">
        <v>558</v>
      </c>
      <c r="C1230" s="173" t="s">
        <v>556</v>
      </c>
      <c r="D1230" s="83" t="s">
        <v>98</v>
      </c>
      <c r="F1230" s="49" t="s">
        <v>286</v>
      </c>
      <c r="G1230" s="49">
        <v>17.837</v>
      </c>
      <c r="I1230" s="49">
        <v>2436</v>
      </c>
      <c r="J1230" s="159">
        <v>2.064406779661017</v>
      </c>
      <c r="K1230" s="49">
        <v>4</v>
      </c>
      <c r="L1230" s="49">
        <v>3</v>
      </c>
      <c r="M1230" s="83">
        <v>0</v>
      </c>
      <c r="N1230" s="49">
        <v>1</v>
      </c>
      <c r="O1230" s="49">
        <v>1</v>
      </c>
      <c r="P1230" s="49">
        <v>1</v>
      </c>
      <c r="Q1230" s="58">
        <v>0</v>
      </c>
      <c r="R1230" s="42">
        <v>3</v>
      </c>
      <c r="S1230" s="83" t="s">
        <v>283</v>
      </c>
      <c r="T1230" s="49">
        <v>8</v>
      </c>
      <c r="U1230" s="83">
        <v>2</v>
      </c>
      <c r="V1230" s="49">
        <v>3</v>
      </c>
      <c r="W1230" s="49">
        <v>1</v>
      </c>
      <c r="X1230" s="58">
        <v>3</v>
      </c>
      <c r="Y1230" s="83">
        <v>1</v>
      </c>
      <c r="Z1230" s="49">
        <v>9</v>
      </c>
      <c r="AA1230" s="49">
        <v>12</v>
      </c>
      <c r="AD1230" s="49">
        <v>9</v>
      </c>
      <c r="AE1230" s="49">
        <v>35</v>
      </c>
      <c r="AF1230" s="49">
        <v>19</v>
      </c>
      <c r="AG1230" s="49">
        <v>56</v>
      </c>
      <c r="AI1230" s="49">
        <v>40</v>
      </c>
      <c r="AJ1230" s="49">
        <v>0</v>
      </c>
      <c r="AK1230" s="83">
        <v>0</v>
      </c>
      <c r="AL1230" s="49">
        <v>0</v>
      </c>
      <c r="AM1230" s="49">
        <v>0</v>
      </c>
      <c r="AN1230" s="49">
        <v>0</v>
      </c>
      <c r="AO1230" s="58">
        <v>0</v>
      </c>
      <c r="AP1230" s="174">
        <v>0</v>
      </c>
      <c r="AQ1230" s="175">
        <v>0</v>
      </c>
      <c r="AR1230" s="175">
        <v>0</v>
      </c>
      <c r="AS1230" s="175">
        <v>0</v>
      </c>
      <c r="AT1230" s="175">
        <v>0</v>
      </c>
      <c r="AU1230" s="175">
        <v>0</v>
      </c>
      <c r="AV1230" s="175">
        <v>0</v>
      </c>
      <c r="AW1230" s="175">
        <v>0</v>
      </c>
      <c r="AX1230" s="83">
        <v>0</v>
      </c>
      <c r="AY1230" s="49">
        <v>0</v>
      </c>
      <c r="AZ1230" s="49">
        <v>0</v>
      </c>
      <c r="BA1230" s="49">
        <v>0</v>
      </c>
      <c r="BB1230" s="58">
        <v>0</v>
      </c>
      <c r="BC1230" s="42">
        <v>112</v>
      </c>
      <c r="BS1230" s="58"/>
      <c r="BT1230" s="83"/>
      <c r="CE1230" s="83"/>
      <c r="CK1230" s="58"/>
      <c r="CL1230" s="83"/>
      <c r="CO1230" s="58"/>
      <c r="CP1230" s="83"/>
      <c r="CR1230" s="58"/>
      <c r="CS1230" s="83"/>
      <c r="CY1230" s="83"/>
      <c r="DG1230" s="58"/>
      <c r="DH1230" s="83"/>
      <c r="DQ1230" s="83"/>
      <c r="EE1230" s="58"/>
      <c r="EF1230" s="83"/>
      <c r="EI1230" s="83"/>
      <c r="EK1230" s="58"/>
      <c r="EL1230" s="83"/>
      <c r="EO1230" s="58"/>
      <c r="EP1230" s="83"/>
      <c r="EQ1230" s="58"/>
      <c r="ER1230" s="83"/>
      <c r="ES1230" s="58"/>
      <c r="ET1230" s="83"/>
      <c r="EU1230" s="58"/>
    </row>
    <row r="1231" spans="1:151">
      <c r="A1231" s="42" t="s">
        <v>324</v>
      </c>
      <c r="B1231" s="173" t="s">
        <v>558</v>
      </c>
      <c r="C1231" s="173" t="s">
        <v>556</v>
      </c>
      <c r="D1231" s="83" t="s">
        <v>99</v>
      </c>
      <c r="F1231" s="49" t="s">
        <v>286</v>
      </c>
      <c r="G1231" s="49">
        <v>17.837</v>
      </c>
      <c r="I1231" s="49">
        <v>1973</v>
      </c>
      <c r="J1231" s="159">
        <v>1.5572217837411209</v>
      </c>
      <c r="K1231" s="49">
        <v>1</v>
      </c>
      <c r="L1231" s="49">
        <v>2</v>
      </c>
      <c r="M1231" s="83">
        <v>0</v>
      </c>
      <c r="N1231" s="49">
        <v>0</v>
      </c>
      <c r="O1231" s="49">
        <v>0</v>
      </c>
      <c r="P1231" s="49">
        <v>1</v>
      </c>
      <c r="Q1231" s="58">
        <v>0</v>
      </c>
      <c r="R1231" s="42">
        <v>1</v>
      </c>
      <c r="S1231" s="83">
        <v>1</v>
      </c>
      <c r="U1231" s="83">
        <v>2</v>
      </c>
      <c r="V1231" s="49">
        <v>3</v>
      </c>
      <c r="W1231" s="49">
        <v>3</v>
      </c>
      <c r="X1231" s="58">
        <v>2</v>
      </c>
      <c r="Y1231" s="83">
        <v>0</v>
      </c>
      <c r="AJ1231" s="49">
        <v>0</v>
      </c>
      <c r="AK1231" s="83">
        <v>0</v>
      </c>
      <c r="AL1231" s="49">
        <v>1</v>
      </c>
      <c r="AM1231" s="49">
        <v>0</v>
      </c>
      <c r="AN1231" s="49">
        <v>0</v>
      </c>
      <c r="AO1231" s="58">
        <v>0</v>
      </c>
      <c r="AP1231" s="174">
        <v>261</v>
      </c>
      <c r="AQ1231" s="175">
        <v>1164</v>
      </c>
      <c r="AR1231" s="175">
        <v>0</v>
      </c>
      <c r="AS1231" s="175">
        <v>0</v>
      </c>
      <c r="AT1231" s="175">
        <v>0</v>
      </c>
      <c r="AU1231" s="175">
        <v>0</v>
      </c>
      <c r="AV1231" s="175">
        <v>0</v>
      </c>
      <c r="AW1231" s="175">
        <v>0</v>
      </c>
      <c r="AX1231" s="83">
        <v>0</v>
      </c>
      <c r="AY1231" s="49">
        <v>0</v>
      </c>
      <c r="AZ1231" s="49">
        <v>0</v>
      </c>
      <c r="BA1231" s="49">
        <v>0</v>
      </c>
      <c r="BB1231" s="58">
        <v>0</v>
      </c>
      <c r="BC1231" s="42">
        <v>108</v>
      </c>
      <c r="BS1231" s="58"/>
      <c r="BT1231" s="83"/>
      <c r="CE1231" s="83"/>
      <c r="CK1231" s="58"/>
      <c r="CL1231" s="83"/>
      <c r="CO1231" s="58"/>
      <c r="CP1231" s="83"/>
      <c r="CR1231" s="58"/>
      <c r="CS1231" s="83"/>
      <c r="CY1231" s="83"/>
      <c r="DG1231" s="58"/>
      <c r="DH1231" s="83"/>
      <c r="DQ1231" s="83"/>
      <c r="EE1231" s="58"/>
      <c r="EF1231" s="83"/>
      <c r="EI1231" s="83"/>
      <c r="EK1231" s="58"/>
      <c r="EL1231" s="83"/>
      <c r="EO1231" s="58"/>
      <c r="EP1231" s="83"/>
      <c r="EQ1231" s="58"/>
      <c r="ER1231" s="83"/>
      <c r="ES1231" s="58"/>
      <c r="ET1231" s="83"/>
      <c r="EU1231" s="58"/>
    </row>
    <row r="1232" spans="1:151">
      <c r="A1232" s="42" t="s">
        <v>324</v>
      </c>
      <c r="B1232" s="173" t="s">
        <v>558</v>
      </c>
      <c r="C1232" s="173" t="s">
        <v>556</v>
      </c>
      <c r="D1232" s="83" t="s">
        <v>100</v>
      </c>
      <c r="F1232" s="49" t="s">
        <v>286</v>
      </c>
      <c r="G1232" s="49">
        <v>17.837</v>
      </c>
      <c r="I1232" s="49">
        <v>9092</v>
      </c>
      <c r="J1232" s="159">
        <v>4.4459657701711492</v>
      </c>
      <c r="K1232" s="49">
        <v>1</v>
      </c>
      <c r="L1232" s="49">
        <v>2</v>
      </c>
      <c r="M1232" s="83">
        <v>1</v>
      </c>
      <c r="N1232" s="49">
        <v>0</v>
      </c>
      <c r="O1232" s="49">
        <v>1</v>
      </c>
      <c r="P1232" s="49">
        <v>0</v>
      </c>
      <c r="Q1232" s="58">
        <v>0</v>
      </c>
      <c r="R1232" s="42">
        <v>2</v>
      </c>
      <c r="S1232" s="83" t="s">
        <v>283</v>
      </c>
      <c r="T1232" s="49">
        <v>20</v>
      </c>
      <c r="U1232" s="83">
        <v>3</v>
      </c>
      <c r="V1232" s="49">
        <v>2</v>
      </c>
      <c r="W1232" s="49">
        <v>3</v>
      </c>
      <c r="X1232" s="58">
        <v>3</v>
      </c>
      <c r="Y1232" s="83">
        <v>2</v>
      </c>
      <c r="Z1232" s="49">
        <v>11</v>
      </c>
      <c r="AA1232" s="49">
        <v>16</v>
      </c>
      <c r="AD1232" s="49">
        <v>8</v>
      </c>
      <c r="AE1232" s="49">
        <v>120</v>
      </c>
      <c r="AF1232" s="49">
        <v>16</v>
      </c>
      <c r="AG1232" s="49">
        <v>155</v>
      </c>
      <c r="AH1232" s="49">
        <v>154</v>
      </c>
      <c r="AI1232" s="49">
        <v>836</v>
      </c>
      <c r="AJ1232" s="49">
        <v>0</v>
      </c>
      <c r="AK1232" s="83">
        <v>0</v>
      </c>
      <c r="AL1232" s="49">
        <v>1</v>
      </c>
      <c r="AM1232" s="49">
        <v>0</v>
      </c>
      <c r="AN1232" s="49">
        <v>0</v>
      </c>
      <c r="AO1232" s="58">
        <v>0</v>
      </c>
      <c r="AP1232" s="174">
        <v>411</v>
      </c>
      <c r="AQ1232" s="175">
        <v>4234</v>
      </c>
      <c r="AR1232" s="175">
        <v>0</v>
      </c>
      <c r="AS1232" s="175">
        <v>0</v>
      </c>
      <c r="AT1232" s="175">
        <v>0</v>
      </c>
      <c r="AU1232" s="175">
        <v>0</v>
      </c>
      <c r="AV1232" s="175">
        <v>0</v>
      </c>
      <c r="AW1232" s="175">
        <v>0</v>
      </c>
      <c r="AX1232" s="83">
        <v>0</v>
      </c>
      <c r="AY1232" s="49">
        <v>0</v>
      </c>
      <c r="AZ1232" s="49">
        <v>0</v>
      </c>
      <c r="BA1232" s="49">
        <v>0</v>
      </c>
      <c r="BB1232" s="58">
        <v>0</v>
      </c>
      <c r="BC1232" s="42">
        <v>135</v>
      </c>
      <c r="BD1232" s="49">
        <v>78.98</v>
      </c>
      <c r="BE1232" s="159">
        <v>79.52</v>
      </c>
      <c r="BF1232" s="49">
        <v>78.010000000000005</v>
      </c>
      <c r="BS1232" s="58"/>
      <c r="BT1232" s="83">
        <v>82.2</v>
      </c>
      <c r="BU1232" s="49">
        <v>78.62</v>
      </c>
      <c r="CE1232" s="83">
        <v>78.260000000000005</v>
      </c>
      <c r="CK1232" s="58"/>
      <c r="CL1232" s="83"/>
      <c r="CO1232" s="58"/>
      <c r="CP1232" s="83"/>
      <c r="CR1232" s="58"/>
      <c r="CS1232" s="83"/>
      <c r="CY1232" s="83"/>
      <c r="DG1232" s="58"/>
      <c r="DH1232" s="83"/>
      <c r="DQ1232" s="83"/>
      <c r="EE1232" s="58"/>
      <c r="EF1232" s="83"/>
      <c r="EI1232" s="83">
        <v>78.95</v>
      </c>
      <c r="EK1232" s="58"/>
      <c r="EL1232" s="83"/>
      <c r="EO1232" s="58"/>
      <c r="EP1232" s="83"/>
      <c r="EQ1232" s="58"/>
      <c r="ER1232" s="83"/>
      <c r="ES1232" s="58"/>
      <c r="ET1232" s="83"/>
      <c r="EU1232" s="58"/>
    </row>
    <row r="1233" spans="1:151">
      <c r="A1233" s="42" t="s">
        <v>324</v>
      </c>
      <c r="B1233" s="173" t="s">
        <v>558</v>
      </c>
      <c r="C1233" s="173" t="s">
        <v>556</v>
      </c>
      <c r="D1233" s="83" t="s">
        <v>282</v>
      </c>
      <c r="F1233" s="49" t="s">
        <v>286</v>
      </c>
      <c r="G1233" s="49">
        <v>17.837</v>
      </c>
      <c r="I1233" s="49">
        <v>4895</v>
      </c>
      <c r="J1233" s="159">
        <v>1.5393081761006289</v>
      </c>
      <c r="K1233" s="49">
        <v>1</v>
      </c>
      <c r="L1233" s="49">
        <v>3</v>
      </c>
      <c r="M1233" s="83">
        <v>0</v>
      </c>
      <c r="N1233" s="49">
        <v>2</v>
      </c>
      <c r="O1233" s="49">
        <v>1</v>
      </c>
      <c r="P1233" s="49">
        <v>1</v>
      </c>
      <c r="Q1233" s="58">
        <v>0</v>
      </c>
      <c r="R1233" s="42">
        <v>4</v>
      </c>
      <c r="S1233" s="83" t="s">
        <v>283</v>
      </c>
      <c r="T1233" s="49">
        <v>23</v>
      </c>
      <c r="U1233" s="83">
        <v>3</v>
      </c>
      <c r="V1233" s="49">
        <v>2</v>
      </c>
      <c r="W1233" s="49">
        <v>3</v>
      </c>
      <c r="X1233" s="58">
        <v>3</v>
      </c>
      <c r="Y1233" s="83">
        <v>1</v>
      </c>
      <c r="Z1233" s="49">
        <v>4</v>
      </c>
      <c r="AA1233" s="49">
        <v>38</v>
      </c>
      <c r="AD1233" s="49">
        <v>12</v>
      </c>
      <c r="AE1233" s="49">
        <v>45</v>
      </c>
      <c r="AF1233" s="49">
        <v>3</v>
      </c>
      <c r="AG1233" s="49">
        <v>50</v>
      </c>
      <c r="AJ1233" s="49">
        <v>1</v>
      </c>
      <c r="AK1233" s="83">
        <v>0</v>
      </c>
      <c r="AL1233" s="49">
        <v>1</v>
      </c>
      <c r="AM1233" s="49">
        <v>0</v>
      </c>
      <c r="AN1233" s="49">
        <v>0</v>
      </c>
      <c r="AO1233" s="58">
        <v>0</v>
      </c>
      <c r="AP1233" s="174">
        <v>0</v>
      </c>
      <c r="AQ1233" s="175">
        <v>325</v>
      </c>
      <c r="AR1233" s="175">
        <v>0</v>
      </c>
      <c r="AS1233" s="175">
        <v>0</v>
      </c>
      <c r="AT1233" s="175">
        <v>0</v>
      </c>
      <c r="AU1233" s="175">
        <v>0</v>
      </c>
      <c r="AV1233" s="175">
        <v>0</v>
      </c>
      <c r="AW1233" s="175">
        <v>0</v>
      </c>
      <c r="AX1233" s="83">
        <v>0</v>
      </c>
      <c r="AY1233" s="49">
        <v>0</v>
      </c>
      <c r="AZ1233" s="49">
        <v>0</v>
      </c>
      <c r="BA1233" s="49">
        <v>0</v>
      </c>
      <c r="BB1233" s="58">
        <v>0</v>
      </c>
      <c r="BC1233" s="42">
        <v>127</v>
      </c>
      <c r="BS1233" s="58"/>
      <c r="BT1233" s="83">
        <v>75.739999999999995</v>
      </c>
      <c r="BU1233" s="49">
        <v>77.97</v>
      </c>
      <c r="CE1233" s="83">
        <v>80.22</v>
      </c>
      <c r="CF1233" s="49">
        <v>79.680000000000007</v>
      </c>
      <c r="CG1233" s="49">
        <v>79.430000000000007</v>
      </c>
      <c r="CK1233" s="58"/>
      <c r="CL1233" s="83">
        <v>72.66</v>
      </c>
      <c r="CO1233" s="58"/>
      <c r="CP1233" s="83"/>
      <c r="CR1233" s="58"/>
      <c r="CS1233" s="83"/>
      <c r="CY1233" s="83"/>
      <c r="DG1233" s="58"/>
      <c r="DH1233" s="83"/>
      <c r="DQ1233" s="83"/>
      <c r="EE1233" s="58"/>
      <c r="EF1233" s="83"/>
      <c r="EI1233" s="83"/>
      <c r="EK1233" s="58"/>
      <c r="EL1233" s="83"/>
      <c r="EO1233" s="58"/>
      <c r="EP1233" s="83"/>
      <c r="EQ1233" s="58"/>
      <c r="ER1233" s="83"/>
      <c r="ES1233" s="58"/>
      <c r="ET1233" s="83"/>
      <c r="EU1233" s="58"/>
    </row>
    <row r="1234" spans="1:151">
      <c r="A1234" s="42" t="s">
        <v>324</v>
      </c>
      <c r="B1234" s="173" t="s">
        <v>558</v>
      </c>
      <c r="C1234" s="173" t="s">
        <v>556</v>
      </c>
      <c r="D1234" s="83" t="s">
        <v>114</v>
      </c>
      <c r="E1234" s="49" t="s">
        <v>0</v>
      </c>
      <c r="F1234" s="49" t="s">
        <v>286</v>
      </c>
      <c r="G1234" s="49">
        <v>17.837</v>
      </c>
      <c r="I1234" s="49">
        <v>1143</v>
      </c>
      <c r="J1234" s="159">
        <v>1.5743801652892562</v>
      </c>
      <c r="K1234" s="49">
        <v>4</v>
      </c>
      <c r="L1234" s="49">
        <v>3</v>
      </c>
      <c r="M1234" s="83">
        <v>0</v>
      </c>
      <c r="N1234" s="49">
        <v>2</v>
      </c>
      <c r="O1234" s="49">
        <v>1</v>
      </c>
      <c r="P1234" s="49">
        <v>1</v>
      </c>
      <c r="Q1234" s="58">
        <v>0</v>
      </c>
      <c r="R1234" s="42">
        <v>4</v>
      </c>
      <c r="S1234" s="83" t="s">
        <v>284</v>
      </c>
      <c r="U1234" s="83">
        <v>1</v>
      </c>
      <c r="V1234" s="49">
        <v>4</v>
      </c>
      <c r="W1234" s="49">
        <v>1</v>
      </c>
      <c r="X1234" s="58">
        <v>1</v>
      </c>
      <c r="Y1234" s="83">
        <v>0</v>
      </c>
      <c r="AJ1234" s="49">
        <v>0</v>
      </c>
      <c r="AK1234" s="83">
        <v>0</v>
      </c>
      <c r="AL1234" s="49">
        <v>0</v>
      </c>
      <c r="AM1234" s="49">
        <v>1</v>
      </c>
      <c r="AN1234" s="49">
        <v>0</v>
      </c>
      <c r="AO1234" s="58">
        <v>0</v>
      </c>
      <c r="AP1234" s="174">
        <v>0</v>
      </c>
      <c r="AQ1234" s="175">
        <v>0</v>
      </c>
      <c r="AR1234" s="175">
        <v>19</v>
      </c>
      <c r="AS1234" s="175">
        <v>52</v>
      </c>
      <c r="AT1234" s="175">
        <v>0</v>
      </c>
      <c r="AU1234" s="175">
        <v>0</v>
      </c>
      <c r="AV1234" s="175">
        <v>0</v>
      </c>
      <c r="AW1234" s="175">
        <v>0</v>
      </c>
      <c r="AX1234" s="83">
        <v>0</v>
      </c>
      <c r="AY1234" s="49">
        <v>1</v>
      </c>
      <c r="AZ1234" s="49">
        <v>0</v>
      </c>
      <c r="BA1234" s="49">
        <v>0</v>
      </c>
      <c r="BB1234" s="58">
        <v>7</v>
      </c>
      <c r="BC1234" s="42">
        <v>113</v>
      </c>
      <c r="BS1234" s="58"/>
      <c r="BT1234" s="83"/>
      <c r="CE1234" s="83"/>
      <c r="CK1234" s="58"/>
      <c r="CL1234" s="83"/>
      <c r="CO1234" s="58"/>
      <c r="CP1234" s="83"/>
      <c r="CR1234" s="58"/>
      <c r="CS1234" s="83"/>
      <c r="CY1234" s="83"/>
      <c r="DG1234" s="58"/>
      <c r="DH1234" s="83"/>
      <c r="DQ1234" s="83"/>
      <c r="EE1234" s="58"/>
      <c r="EF1234" s="83"/>
      <c r="EI1234" s="83"/>
      <c r="EK1234" s="58"/>
      <c r="EL1234" s="83"/>
      <c r="EO1234" s="58"/>
      <c r="EP1234" s="83"/>
      <c r="EQ1234" s="58"/>
      <c r="ER1234" s="83"/>
      <c r="ES1234" s="58"/>
      <c r="ET1234" s="83"/>
      <c r="EU1234" s="58"/>
    </row>
    <row r="1235" spans="1:151">
      <c r="A1235" s="42" t="s">
        <v>324</v>
      </c>
      <c r="B1235" s="173" t="s">
        <v>558</v>
      </c>
      <c r="C1235" s="173" t="s">
        <v>556</v>
      </c>
      <c r="D1235" s="83" t="s">
        <v>114</v>
      </c>
      <c r="E1235" s="49" t="s">
        <v>1</v>
      </c>
      <c r="F1235" s="49" t="s">
        <v>286</v>
      </c>
      <c r="G1235" s="49">
        <v>17.837</v>
      </c>
      <c r="I1235" s="49">
        <v>1396</v>
      </c>
      <c r="J1235" s="159">
        <v>2.3266666666666667</v>
      </c>
      <c r="K1235" s="49">
        <v>1</v>
      </c>
      <c r="L1235" s="49">
        <v>2</v>
      </c>
      <c r="M1235" s="83">
        <v>0</v>
      </c>
      <c r="N1235" s="49">
        <v>1</v>
      </c>
      <c r="O1235" s="49">
        <v>1</v>
      </c>
      <c r="P1235" s="49">
        <v>0</v>
      </c>
      <c r="Q1235" s="58">
        <v>0</v>
      </c>
      <c r="R1235" s="42">
        <v>2</v>
      </c>
      <c r="S1235" s="83" t="s">
        <v>284</v>
      </c>
      <c r="U1235" s="83">
        <v>1</v>
      </c>
      <c r="V1235" s="49">
        <v>2</v>
      </c>
      <c r="W1235" s="49">
        <v>1</v>
      </c>
      <c r="X1235" s="58">
        <v>1</v>
      </c>
      <c r="Y1235" s="83">
        <v>3</v>
      </c>
      <c r="AA1235" s="49">
        <v>15</v>
      </c>
      <c r="AD1235" s="49">
        <v>167</v>
      </c>
      <c r="AE1235" s="49">
        <v>199</v>
      </c>
      <c r="AJ1235" s="49">
        <v>1</v>
      </c>
      <c r="AK1235" s="83">
        <v>0</v>
      </c>
      <c r="AL1235" s="49">
        <v>1</v>
      </c>
      <c r="AM1235" s="49">
        <v>0</v>
      </c>
      <c r="AN1235" s="49">
        <v>0</v>
      </c>
      <c r="AO1235" s="58">
        <v>0</v>
      </c>
      <c r="AP1235" s="174">
        <v>526</v>
      </c>
      <c r="AQ1235" s="175">
        <v>583</v>
      </c>
      <c r="AR1235" s="175">
        <v>0</v>
      </c>
      <c r="AS1235" s="175">
        <v>0</v>
      </c>
      <c r="AT1235" s="175">
        <v>0</v>
      </c>
      <c r="AU1235" s="175">
        <v>0</v>
      </c>
      <c r="AV1235" s="175">
        <v>0</v>
      </c>
      <c r="AW1235" s="175">
        <v>0</v>
      </c>
      <c r="AX1235" s="83">
        <v>0</v>
      </c>
      <c r="AY1235" s="49">
        <v>0</v>
      </c>
      <c r="AZ1235" s="49">
        <v>0</v>
      </c>
      <c r="BA1235" s="49">
        <v>0</v>
      </c>
      <c r="BB1235" s="58">
        <v>0</v>
      </c>
      <c r="BC1235" s="42">
        <v>113</v>
      </c>
      <c r="BS1235" s="58"/>
      <c r="BT1235" s="83"/>
      <c r="CE1235" s="83"/>
      <c r="CK1235" s="58"/>
      <c r="CL1235" s="83"/>
      <c r="CO1235" s="58"/>
      <c r="CP1235" s="83"/>
      <c r="CR1235" s="58"/>
      <c r="CS1235" s="83"/>
      <c r="CY1235" s="83"/>
      <c r="DG1235" s="58"/>
      <c r="DH1235" s="83"/>
      <c r="DQ1235" s="83"/>
      <c r="EE1235" s="58"/>
      <c r="EF1235" s="83"/>
      <c r="EI1235" s="83"/>
      <c r="EK1235" s="58"/>
      <c r="EL1235" s="83"/>
      <c r="EO1235" s="58"/>
      <c r="EP1235" s="83"/>
      <c r="EQ1235" s="58"/>
      <c r="ER1235" s="83"/>
      <c r="ES1235" s="58"/>
      <c r="ET1235" s="83"/>
      <c r="EU1235" s="58"/>
    </row>
    <row r="1236" spans="1:151">
      <c r="A1236" s="42" t="s">
        <v>324</v>
      </c>
      <c r="B1236" s="173" t="s">
        <v>558</v>
      </c>
      <c r="C1236" s="173" t="s">
        <v>556</v>
      </c>
      <c r="D1236" s="83" t="s">
        <v>119</v>
      </c>
      <c r="F1236" s="49" t="s">
        <v>286</v>
      </c>
      <c r="G1236" s="49">
        <v>17.837</v>
      </c>
      <c r="I1236" s="49">
        <v>2106</v>
      </c>
      <c r="J1236" s="159">
        <v>1.7347611202635915</v>
      </c>
      <c r="K1236" s="49">
        <v>1</v>
      </c>
      <c r="L1236" s="49">
        <v>1</v>
      </c>
      <c r="M1236" s="83">
        <v>0</v>
      </c>
      <c r="N1236" s="49">
        <v>0</v>
      </c>
      <c r="O1236" s="49">
        <v>1</v>
      </c>
      <c r="P1236" s="49">
        <v>1</v>
      </c>
      <c r="Q1236" s="58">
        <v>0</v>
      </c>
      <c r="R1236" s="42">
        <v>2</v>
      </c>
      <c r="S1236" s="83" t="s">
        <v>283</v>
      </c>
      <c r="T1236" s="49">
        <v>21</v>
      </c>
      <c r="U1236" s="83">
        <v>2</v>
      </c>
      <c r="V1236" s="49">
        <v>2</v>
      </c>
      <c r="W1236" s="49">
        <v>1</v>
      </c>
      <c r="X1236" s="58">
        <v>3</v>
      </c>
      <c r="Y1236" s="83">
        <v>1</v>
      </c>
      <c r="Z1236" s="49">
        <v>4</v>
      </c>
      <c r="AA1236" s="49">
        <v>11</v>
      </c>
      <c r="AD1236" s="49">
        <v>7</v>
      </c>
      <c r="AE1236" s="49">
        <v>54</v>
      </c>
      <c r="AG1236" s="49">
        <v>48</v>
      </c>
      <c r="AJ1236" s="49">
        <v>0</v>
      </c>
      <c r="AK1236" s="83">
        <v>0</v>
      </c>
      <c r="AL1236" s="49">
        <v>1</v>
      </c>
      <c r="AM1236" s="49">
        <v>0</v>
      </c>
      <c r="AN1236" s="49">
        <v>0</v>
      </c>
      <c r="AO1236" s="58">
        <v>0</v>
      </c>
      <c r="AP1236" s="174">
        <v>0</v>
      </c>
      <c r="AQ1236" s="175">
        <v>589</v>
      </c>
      <c r="AR1236" s="175">
        <v>0</v>
      </c>
      <c r="AS1236" s="175">
        <v>0</v>
      </c>
      <c r="AT1236" s="175">
        <v>0</v>
      </c>
      <c r="AU1236" s="175">
        <v>0</v>
      </c>
      <c r="AV1236" s="175">
        <v>0</v>
      </c>
      <c r="AW1236" s="175">
        <v>0</v>
      </c>
      <c r="AX1236" s="83">
        <v>0</v>
      </c>
      <c r="AY1236" s="49">
        <v>0</v>
      </c>
      <c r="AZ1236" s="49">
        <v>0</v>
      </c>
      <c r="BA1236" s="49">
        <v>0</v>
      </c>
      <c r="BB1236" s="58">
        <v>0</v>
      </c>
      <c r="BC1236" s="42">
        <v>100</v>
      </c>
      <c r="BS1236" s="58"/>
      <c r="BT1236" s="83"/>
      <c r="CE1236" s="83"/>
      <c r="CK1236" s="58"/>
      <c r="CL1236" s="83"/>
      <c r="CO1236" s="58"/>
      <c r="CP1236" s="83"/>
      <c r="CR1236" s="58"/>
      <c r="CS1236" s="83"/>
      <c r="CY1236" s="83"/>
      <c r="DG1236" s="58"/>
      <c r="DH1236" s="83"/>
      <c r="DQ1236" s="83"/>
      <c r="EE1236" s="58"/>
      <c r="EF1236" s="83"/>
      <c r="EI1236" s="83"/>
      <c r="EK1236" s="58"/>
      <c r="EL1236" s="83"/>
      <c r="EO1236" s="58"/>
      <c r="EP1236" s="83"/>
      <c r="EQ1236" s="58"/>
      <c r="ER1236" s="83"/>
      <c r="ES1236" s="58"/>
      <c r="ET1236" s="83"/>
      <c r="EU1236" s="58"/>
    </row>
    <row r="1237" spans="1:151">
      <c r="A1237" s="42" t="s">
        <v>324</v>
      </c>
      <c r="B1237" s="173" t="s">
        <v>558</v>
      </c>
      <c r="C1237" s="173" t="s">
        <v>556</v>
      </c>
      <c r="D1237" s="83" t="s">
        <v>120</v>
      </c>
      <c r="F1237" s="49" t="s">
        <v>286</v>
      </c>
      <c r="G1237" s="49">
        <v>17.837</v>
      </c>
      <c r="I1237" s="49">
        <v>5372</v>
      </c>
      <c r="J1237" s="159">
        <v>2.5411542100283824</v>
      </c>
      <c r="K1237" s="49">
        <v>1</v>
      </c>
      <c r="L1237" s="49">
        <v>2</v>
      </c>
      <c r="M1237" s="83">
        <v>0</v>
      </c>
      <c r="N1237" s="49">
        <v>0</v>
      </c>
      <c r="O1237" s="49">
        <v>1</v>
      </c>
      <c r="P1237" s="49">
        <v>1</v>
      </c>
      <c r="Q1237" s="58">
        <v>0</v>
      </c>
      <c r="R1237" s="42">
        <v>2</v>
      </c>
      <c r="S1237" s="83">
        <v>1</v>
      </c>
      <c r="U1237" s="83">
        <v>1</v>
      </c>
      <c r="V1237" s="49">
        <v>3</v>
      </c>
      <c r="W1237" s="49">
        <v>2</v>
      </c>
      <c r="X1237" s="58"/>
      <c r="Y1237" s="83">
        <v>1</v>
      </c>
      <c r="Z1237" s="49">
        <v>4</v>
      </c>
      <c r="AA1237" s="49">
        <v>58</v>
      </c>
      <c r="AC1237" s="49">
        <v>91</v>
      </c>
      <c r="AD1237" s="49">
        <v>8</v>
      </c>
      <c r="AE1237" s="49">
        <v>191</v>
      </c>
      <c r="AF1237" s="49">
        <v>21</v>
      </c>
      <c r="AG1237" s="49">
        <v>307</v>
      </c>
      <c r="AJ1237" s="49">
        <v>1</v>
      </c>
      <c r="AK1237" s="83">
        <v>0</v>
      </c>
      <c r="AL1237" s="49">
        <v>1</v>
      </c>
      <c r="AM1237" s="49">
        <v>0</v>
      </c>
      <c r="AN1237" s="49">
        <v>0</v>
      </c>
      <c r="AO1237" s="58">
        <v>0</v>
      </c>
      <c r="AP1237" s="174">
        <v>1503</v>
      </c>
      <c r="AQ1237" s="175">
        <v>2243</v>
      </c>
      <c r="AR1237" s="175">
        <v>0</v>
      </c>
      <c r="AS1237" s="175">
        <v>0</v>
      </c>
      <c r="AT1237" s="175">
        <v>0</v>
      </c>
      <c r="AU1237" s="175">
        <v>0</v>
      </c>
      <c r="AV1237" s="175">
        <v>0</v>
      </c>
      <c r="AW1237" s="175">
        <v>0</v>
      </c>
      <c r="AX1237" s="83">
        <v>0</v>
      </c>
      <c r="AY1237" s="49">
        <v>0</v>
      </c>
      <c r="AZ1237" s="49">
        <v>0</v>
      </c>
      <c r="BA1237" s="49">
        <v>0</v>
      </c>
      <c r="BB1237" s="58">
        <v>0</v>
      </c>
      <c r="BC1237" s="42">
        <v>109</v>
      </c>
      <c r="BS1237" s="58"/>
      <c r="BT1237" s="83"/>
      <c r="CE1237" s="83"/>
      <c r="CK1237" s="58"/>
      <c r="CL1237" s="83"/>
      <c r="CO1237" s="58"/>
      <c r="CP1237" s="83"/>
      <c r="CR1237" s="58"/>
      <c r="CS1237" s="83"/>
      <c r="CY1237" s="83"/>
      <c r="DG1237" s="58"/>
      <c r="DH1237" s="83"/>
      <c r="DQ1237" s="83"/>
      <c r="EE1237" s="58"/>
      <c r="EF1237" s="83"/>
      <c r="EI1237" s="83"/>
      <c r="EK1237" s="58"/>
      <c r="EL1237" s="83"/>
      <c r="EO1237" s="58"/>
      <c r="EP1237" s="83"/>
      <c r="EQ1237" s="58"/>
      <c r="ER1237" s="83"/>
      <c r="ES1237" s="58"/>
      <c r="ET1237" s="83"/>
      <c r="EU1237" s="58"/>
    </row>
    <row r="1238" spans="1:151">
      <c r="A1238" s="42" t="s">
        <v>324</v>
      </c>
      <c r="B1238" s="173" t="s">
        <v>558</v>
      </c>
      <c r="C1238" s="173" t="s">
        <v>556</v>
      </c>
      <c r="D1238" s="83" t="s">
        <v>101</v>
      </c>
      <c r="F1238" s="49" t="s">
        <v>286</v>
      </c>
      <c r="G1238" s="49">
        <v>17.837</v>
      </c>
      <c r="I1238" s="49">
        <v>7887</v>
      </c>
      <c r="J1238" s="159">
        <v>1.2083652520300292</v>
      </c>
      <c r="K1238" s="49">
        <v>4</v>
      </c>
      <c r="L1238" s="49">
        <v>3</v>
      </c>
      <c r="M1238" s="83">
        <v>0</v>
      </c>
      <c r="N1238" s="49">
        <v>2</v>
      </c>
      <c r="O1238" s="49">
        <v>1</v>
      </c>
      <c r="P1238" s="49">
        <v>0</v>
      </c>
      <c r="Q1238" s="58">
        <v>0</v>
      </c>
      <c r="R1238" s="42">
        <v>3</v>
      </c>
      <c r="S1238" s="83" t="s">
        <v>284</v>
      </c>
      <c r="U1238" s="83">
        <v>1</v>
      </c>
      <c r="V1238" s="49">
        <v>4</v>
      </c>
      <c r="W1238" s="49">
        <v>1</v>
      </c>
      <c r="X1238" s="58">
        <v>1</v>
      </c>
      <c r="Y1238" s="83">
        <v>5</v>
      </c>
      <c r="Z1238" s="49">
        <v>5</v>
      </c>
      <c r="AA1238" s="49">
        <v>60</v>
      </c>
      <c r="AD1238" s="49">
        <v>11</v>
      </c>
      <c r="AE1238" s="49">
        <v>235</v>
      </c>
      <c r="AF1238" s="49">
        <v>11</v>
      </c>
      <c r="AG1238" s="49">
        <v>953</v>
      </c>
      <c r="AH1238" s="49">
        <v>12</v>
      </c>
      <c r="AI1238" s="49">
        <v>1225</v>
      </c>
      <c r="AJ1238" s="49">
        <v>1</v>
      </c>
      <c r="AK1238" s="83">
        <v>0</v>
      </c>
      <c r="AL1238" s="49">
        <v>0</v>
      </c>
      <c r="AM1238" s="49">
        <v>0</v>
      </c>
      <c r="AN1238" s="49">
        <v>0</v>
      </c>
      <c r="AO1238" s="58">
        <v>0</v>
      </c>
      <c r="AP1238" s="174">
        <v>0</v>
      </c>
      <c r="AQ1238" s="175">
        <v>0</v>
      </c>
      <c r="AR1238" s="175">
        <v>0</v>
      </c>
      <c r="AS1238" s="175">
        <v>0</v>
      </c>
      <c r="AT1238" s="175">
        <v>0</v>
      </c>
      <c r="AU1238" s="175">
        <v>0</v>
      </c>
      <c r="AV1238" s="175">
        <v>0</v>
      </c>
      <c r="AW1238" s="175">
        <v>0</v>
      </c>
      <c r="AX1238" s="83">
        <v>0</v>
      </c>
      <c r="AY1238" s="49">
        <v>0</v>
      </c>
      <c r="AZ1238" s="49">
        <v>0</v>
      </c>
      <c r="BA1238" s="49">
        <v>0</v>
      </c>
      <c r="BB1238" s="58">
        <v>0</v>
      </c>
      <c r="BC1238" s="42">
        <v>124</v>
      </c>
      <c r="BD1238" s="49">
        <v>78.5</v>
      </c>
      <c r="BE1238" s="159">
        <v>79.849999999999994</v>
      </c>
      <c r="BS1238" s="58"/>
      <c r="BT1238" s="83">
        <v>78.180000000000007</v>
      </c>
      <c r="CE1238" s="83">
        <v>73.44</v>
      </c>
      <c r="CK1238" s="58"/>
      <c r="CL1238" s="83"/>
      <c r="CO1238" s="58"/>
      <c r="CP1238" s="83"/>
      <c r="CR1238" s="58"/>
      <c r="CS1238" s="83"/>
      <c r="CY1238" s="83"/>
      <c r="DG1238" s="58"/>
      <c r="DH1238" s="83"/>
      <c r="DQ1238" s="83">
        <v>73.91</v>
      </c>
      <c r="EE1238" s="58"/>
      <c r="EF1238" s="83"/>
      <c r="EI1238" s="83"/>
      <c r="EK1238" s="58"/>
      <c r="EL1238" s="83"/>
      <c r="EO1238" s="58"/>
      <c r="EP1238" s="83"/>
      <c r="EQ1238" s="58"/>
      <c r="ER1238" s="83"/>
      <c r="ES1238" s="58"/>
      <c r="ET1238" s="83"/>
      <c r="EU1238" s="58"/>
    </row>
    <row r="1239" spans="1:151">
      <c r="A1239" s="42" t="s">
        <v>324</v>
      </c>
      <c r="B1239" s="173" t="s">
        <v>558</v>
      </c>
      <c r="C1239" s="173" t="s">
        <v>556</v>
      </c>
      <c r="D1239" s="83" t="s">
        <v>102</v>
      </c>
      <c r="F1239" s="49" t="s">
        <v>286</v>
      </c>
      <c r="G1239" s="49">
        <v>17.837</v>
      </c>
      <c r="I1239" s="49">
        <v>1139</v>
      </c>
      <c r="J1239" s="159">
        <v>1.0625</v>
      </c>
      <c r="K1239" s="49">
        <v>4</v>
      </c>
      <c r="L1239" s="49">
        <v>4</v>
      </c>
      <c r="M1239" s="83">
        <v>0</v>
      </c>
      <c r="N1239" s="49">
        <v>2</v>
      </c>
      <c r="O1239" s="49">
        <v>0</v>
      </c>
      <c r="P1239" s="49">
        <v>0</v>
      </c>
      <c r="Q1239" s="58">
        <v>0</v>
      </c>
      <c r="R1239" s="42">
        <v>2</v>
      </c>
      <c r="S1239" s="83" t="s">
        <v>284</v>
      </c>
      <c r="U1239" s="83">
        <v>1</v>
      </c>
      <c r="V1239" s="49">
        <v>4</v>
      </c>
      <c r="W1239" s="49">
        <v>2</v>
      </c>
      <c r="X1239" s="58"/>
      <c r="Y1239" s="83">
        <v>3</v>
      </c>
      <c r="AA1239" s="49">
        <v>76</v>
      </c>
      <c r="AD1239" s="49">
        <v>6</v>
      </c>
      <c r="AE1239" s="49">
        <v>173</v>
      </c>
      <c r="AF1239" s="49">
        <v>6</v>
      </c>
      <c r="AG1239" s="49">
        <v>61</v>
      </c>
      <c r="AH1239" s="49">
        <v>10</v>
      </c>
      <c r="AI1239" s="49">
        <v>209</v>
      </c>
      <c r="AJ1239" s="49">
        <v>1</v>
      </c>
      <c r="AK1239" s="83">
        <v>0</v>
      </c>
      <c r="AL1239" s="49">
        <v>0</v>
      </c>
      <c r="AM1239" s="49">
        <v>1</v>
      </c>
      <c r="AN1239" s="49">
        <v>0</v>
      </c>
      <c r="AO1239" s="58">
        <v>0</v>
      </c>
      <c r="AP1239" s="174">
        <v>0</v>
      </c>
      <c r="AQ1239" s="175">
        <v>0</v>
      </c>
      <c r="AR1239" s="175">
        <v>0</v>
      </c>
      <c r="AS1239" s="175">
        <v>140</v>
      </c>
      <c r="AT1239" s="175">
        <v>0</v>
      </c>
      <c r="AU1239" s="175">
        <v>0</v>
      </c>
      <c r="AV1239" s="175">
        <v>0</v>
      </c>
      <c r="AW1239" s="175">
        <v>0</v>
      </c>
      <c r="AX1239" s="83">
        <v>0</v>
      </c>
      <c r="AY1239" s="49">
        <v>0</v>
      </c>
      <c r="AZ1239" s="49">
        <v>0</v>
      </c>
      <c r="BA1239" s="49">
        <v>0</v>
      </c>
      <c r="BB1239" s="58">
        <v>0</v>
      </c>
      <c r="BC1239" s="42">
        <v>95</v>
      </c>
      <c r="BD1239" s="49">
        <v>79.849999999999994</v>
      </c>
      <c r="BE1239" s="159">
        <v>80.319999999999993</v>
      </c>
      <c r="BF1239" s="49">
        <v>79.52</v>
      </c>
      <c r="BG1239" s="49">
        <v>79.849999999999994</v>
      </c>
      <c r="BS1239" s="58"/>
      <c r="BT1239" s="83"/>
      <c r="CE1239" s="83">
        <v>73.31</v>
      </c>
      <c r="CK1239" s="58"/>
      <c r="CL1239" s="83"/>
      <c r="CO1239" s="58"/>
      <c r="CP1239" s="83"/>
      <c r="CR1239" s="58"/>
      <c r="CS1239" s="83"/>
      <c r="CY1239" s="83"/>
      <c r="DG1239" s="58"/>
      <c r="DH1239" s="83"/>
      <c r="DQ1239" s="83"/>
      <c r="EE1239" s="58"/>
      <c r="EF1239" s="83"/>
      <c r="EI1239" s="83"/>
      <c r="EK1239" s="58"/>
      <c r="EL1239" s="83"/>
      <c r="EO1239" s="58"/>
      <c r="EP1239" s="83"/>
      <c r="EQ1239" s="58"/>
      <c r="ER1239" s="83"/>
      <c r="ES1239" s="58"/>
      <c r="ET1239" s="83"/>
      <c r="EU1239" s="58"/>
    </row>
    <row r="1240" spans="1:151">
      <c r="A1240" s="42" t="s">
        <v>324</v>
      </c>
      <c r="B1240" s="173" t="s">
        <v>558</v>
      </c>
      <c r="C1240" s="173" t="s">
        <v>556</v>
      </c>
      <c r="D1240" s="83" t="s">
        <v>103</v>
      </c>
      <c r="F1240" s="49" t="s">
        <v>286</v>
      </c>
      <c r="G1240" s="49">
        <v>17.837</v>
      </c>
      <c r="I1240" s="49">
        <v>1679</v>
      </c>
      <c r="J1240" s="159">
        <v>1.0714741544352266</v>
      </c>
      <c r="K1240" s="49">
        <v>4</v>
      </c>
      <c r="L1240" s="49">
        <v>3</v>
      </c>
      <c r="M1240" s="83">
        <v>0</v>
      </c>
      <c r="N1240" s="49">
        <v>1</v>
      </c>
      <c r="O1240" s="49">
        <v>0</v>
      </c>
      <c r="P1240" s="49">
        <v>1</v>
      </c>
      <c r="Q1240" s="58">
        <v>0</v>
      </c>
      <c r="R1240" s="42">
        <v>2</v>
      </c>
      <c r="S1240" s="83" t="s">
        <v>283</v>
      </c>
      <c r="T1240" s="49">
        <v>23</v>
      </c>
      <c r="U1240" s="83">
        <v>2</v>
      </c>
      <c r="V1240" s="49">
        <v>2</v>
      </c>
      <c r="W1240" s="49">
        <v>3</v>
      </c>
      <c r="X1240" s="58">
        <v>1</v>
      </c>
      <c r="Y1240" s="83">
        <v>1</v>
      </c>
      <c r="Z1240" s="49">
        <v>6</v>
      </c>
      <c r="AA1240" s="49">
        <v>7</v>
      </c>
      <c r="AE1240" s="49">
        <v>14</v>
      </c>
      <c r="AJ1240" s="49">
        <v>0</v>
      </c>
      <c r="AK1240" s="83">
        <v>0</v>
      </c>
      <c r="AL1240" s="49">
        <v>0</v>
      </c>
      <c r="AM1240" s="49">
        <v>0</v>
      </c>
      <c r="AN1240" s="49">
        <v>0</v>
      </c>
      <c r="AO1240" s="58">
        <v>0</v>
      </c>
      <c r="AP1240" s="174">
        <v>0</v>
      </c>
      <c r="AQ1240" s="175">
        <v>0</v>
      </c>
      <c r="AR1240" s="175">
        <v>0</v>
      </c>
      <c r="AS1240" s="175">
        <v>0</v>
      </c>
      <c r="AT1240" s="175">
        <v>0</v>
      </c>
      <c r="AU1240" s="175">
        <v>0</v>
      </c>
      <c r="AV1240" s="175">
        <v>0</v>
      </c>
      <c r="AW1240" s="175">
        <v>0</v>
      </c>
      <c r="AX1240" s="83">
        <v>0</v>
      </c>
      <c r="AY1240" s="49">
        <v>0</v>
      </c>
      <c r="AZ1240" s="49">
        <v>0</v>
      </c>
      <c r="BA1240" s="49">
        <v>0</v>
      </c>
      <c r="BB1240" s="58">
        <v>0</v>
      </c>
      <c r="BC1240" s="42">
        <v>119</v>
      </c>
      <c r="BS1240" s="58"/>
      <c r="BT1240" s="83"/>
      <c r="CE1240" s="83"/>
      <c r="CK1240" s="58"/>
      <c r="CL1240" s="83"/>
      <c r="CO1240" s="58"/>
      <c r="CP1240" s="83"/>
      <c r="CR1240" s="58"/>
      <c r="CS1240" s="83"/>
      <c r="CY1240" s="83"/>
      <c r="DG1240" s="58"/>
      <c r="DH1240" s="83"/>
      <c r="DQ1240" s="83"/>
      <c r="EE1240" s="58"/>
      <c r="EF1240" s="83"/>
      <c r="EI1240" s="83"/>
      <c r="EK1240" s="58"/>
      <c r="EL1240" s="83"/>
      <c r="EO1240" s="58"/>
      <c r="EP1240" s="83"/>
      <c r="EQ1240" s="58"/>
      <c r="ER1240" s="83"/>
      <c r="ES1240" s="58"/>
      <c r="ET1240" s="83"/>
      <c r="EU1240" s="58"/>
    </row>
    <row r="1241" spans="1:151">
      <c r="A1241" s="42" t="s">
        <v>324</v>
      </c>
      <c r="B1241" s="173" t="s">
        <v>558</v>
      </c>
      <c r="C1241" s="173" t="s">
        <v>556</v>
      </c>
      <c r="D1241" s="83" t="s">
        <v>147</v>
      </c>
      <c r="F1241" s="49" t="s">
        <v>286</v>
      </c>
      <c r="G1241" s="49">
        <v>17.837</v>
      </c>
      <c r="I1241" s="49">
        <v>6604</v>
      </c>
      <c r="J1241" s="159">
        <v>1.32557205941389</v>
      </c>
      <c r="K1241" s="49">
        <v>4</v>
      </c>
      <c r="L1241" s="49">
        <v>5</v>
      </c>
      <c r="M1241" s="83">
        <v>0</v>
      </c>
      <c r="N1241" s="49">
        <v>4</v>
      </c>
      <c r="O1241" s="49">
        <v>0</v>
      </c>
      <c r="P1241" s="49">
        <v>1</v>
      </c>
      <c r="Q1241" s="58">
        <v>0</v>
      </c>
      <c r="R1241" s="42">
        <v>5</v>
      </c>
      <c r="S1241" s="83" t="s">
        <v>284</v>
      </c>
      <c r="U1241" s="83">
        <v>1</v>
      </c>
      <c r="V1241" s="49">
        <v>5</v>
      </c>
      <c r="W1241" s="49">
        <v>1</v>
      </c>
      <c r="X1241" s="58">
        <v>2</v>
      </c>
      <c r="Y1241" s="83">
        <v>15</v>
      </c>
      <c r="Z1241" s="49">
        <v>3</v>
      </c>
      <c r="AA1241" s="49">
        <v>143</v>
      </c>
      <c r="AD1241" s="49">
        <v>3</v>
      </c>
      <c r="AE1241" s="49">
        <v>264</v>
      </c>
      <c r="AF1241" s="49">
        <v>12</v>
      </c>
      <c r="AG1241" s="49">
        <v>464</v>
      </c>
      <c r="AH1241" s="49">
        <v>12</v>
      </c>
      <c r="AI1241" s="49">
        <v>901</v>
      </c>
      <c r="AJ1241" s="49">
        <v>1</v>
      </c>
      <c r="AK1241" s="83">
        <v>0</v>
      </c>
      <c r="AL1241" s="49">
        <v>0</v>
      </c>
      <c r="AM1241" s="49">
        <v>0</v>
      </c>
      <c r="AN1241" s="49">
        <v>0</v>
      </c>
      <c r="AO1241" s="58">
        <v>0</v>
      </c>
      <c r="AP1241" s="174">
        <v>0</v>
      </c>
      <c r="AQ1241" s="175">
        <v>0</v>
      </c>
      <c r="AR1241" s="175">
        <v>0</v>
      </c>
      <c r="AS1241" s="175">
        <v>0</v>
      </c>
      <c r="AT1241" s="175">
        <v>0</v>
      </c>
      <c r="AU1241" s="175">
        <v>0</v>
      </c>
      <c r="AV1241" s="175">
        <v>0</v>
      </c>
      <c r="AW1241" s="175">
        <v>0</v>
      </c>
      <c r="AX1241" s="83">
        <v>0</v>
      </c>
      <c r="AY1241" s="49">
        <v>0</v>
      </c>
      <c r="AZ1241" s="49">
        <v>0</v>
      </c>
      <c r="BA1241" s="49">
        <v>0</v>
      </c>
      <c r="BB1241" s="58">
        <v>0</v>
      </c>
      <c r="BC1241" s="42">
        <v>138</v>
      </c>
      <c r="BD1241" s="49">
        <v>65.87</v>
      </c>
      <c r="BE1241" s="159">
        <v>64.12</v>
      </c>
      <c r="BF1241" s="49">
        <v>66.2</v>
      </c>
      <c r="BG1241" s="49">
        <v>66.510000000000005</v>
      </c>
      <c r="BH1241" s="49">
        <v>65.69</v>
      </c>
      <c r="BI1241" s="49">
        <v>67.69</v>
      </c>
      <c r="BS1241" s="58"/>
      <c r="BT1241" s="83"/>
      <c r="CE1241" s="83">
        <v>73.290000000000006</v>
      </c>
      <c r="CK1241" s="58"/>
      <c r="CL1241" s="83"/>
      <c r="CO1241" s="58"/>
      <c r="CP1241" s="83"/>
      <c r="CR1241" s="58"/>
      <c r="CS1241" s="83"/>
      <c r="CY1241" s="83"/>
      <c r="DG1241" s="58"/>
      <c r="DH1241" s="83"/>
      <c r="DQ1241" s="83">
        <v>77.94</v>
      </c>
      <c r="DR1241" s="49">
        <v>69.23</v>
      </c>
      <c r="DS1241" s="49">
        <v>76.680000000000007</v>
      </c>
      <c r="EE1241" s="58"/>
      <c r="EF1241" s="83"/>
      <c r="EI1241" s="83"/>
      <c r="EK1241" s="58"/>
      <c r="EL1241" s="83"/>
      <c r="EO1241" s="58"/>
      <c r="EP1241" s="83"/>
      <c r="EQ1241" s="58"/>
      <c r="ER1241" s="83"/>
      <c r="ES1241" s="58"/>
      <c r="ET1241" s="83"/>
      <c r="EU1241" s="58"/>
    </row>
    <row r="1242" spans="1:151">
      <c r="A1242" s="42" t="s">
        <v>324</v>
      </c>
      <c r="B1242" s="173" t="s">
        <v>558</v>
      </c>
      <c r="C1242" s="173" t="s">
        <v>556</v>
      </c>
      <c r="D1242" s="83" t="s">
        <v>148</v>
      </c>
      <c r="F1242" s="49" t="s">
        <v>286</v>
      </c>
      <c r="G1242" s="49">
        <v>17.837</v>
      </c>
      <c r="I1242" s="49">
        <v>1537</v>
      </c>
      <c r="J1242" s="159">
        <v>1.0019556714471969</v>
      </c>
      <c r="K1242" s="49">
        <v>4</v>
      </c>
      <c r="L1242" s="49">
        <v>5</v>
      </c>
      <c r="M1242" s="83">
        <v>0</v>
      </c>
      <c r="N1242" s="49">
        <v>3</v>
      </c>
      <c r="O1242" s="49">
        <v>0</v>
      </c>
      <c r="P1242" s="49">
        <v>1</v>
      </c>
      <c r="Q1242" s="58">
        <v>0</v>
      </c>
      <c r="R1242" s="42">
        <v>4</v>
      </c>
      <c r="S1242" s="83" t="s">
        <v>284</v>
      </c>
      <c r="U1242" s="83">
        <v>1</v>
      </c>
      <c r="V1242" s="49">
        <v>5</v>
      </c>
      <c r="W1242" s="49">
        <v>1</v>
      </c>
      <c r="X1242" s="58">
        <v>2</v>
      </c>
      <c r="Y1242" s="83">
        <v>5</v>
      </c>
      <c r="Z1242" s="49">
        <v>3</v>
      </c>
      <c r="AA1242" s="49">
        <v>6</v>
      </c>
      <c r="AD1242" s="49">
        <v>6</v>
      </c>
      <c r="AE1242" s="49">
        <v>61</v>
      </c>
      <c r="AF1242" s="49">
        <v>6</v>
      </c>
      <c r="AG1242" s="49">
        <v>404</v>
      </c>
      <c r="AH1242" s="49">
        <v>10</v>
      </c>
      <c r="AI1242" s="49">
        <v>105</v>
      </c>
      <c r="AJ1242" s="49">
        <v>1</v>
      </c>
      <c r="AK1242" s="83">
        <v>0</v>
      </c>
      <c r="AL1242" s="49">
        <v>0</v>
      </c>
      <c r="AM1242" s="49">
        <v>1</v>
      </c>
      <c r="AN1242" s="49">
        <v>0</v>
      </c>
      <c r="AO1242" s="58">
        <v>0</v>
      </c>
      <c r="AP1242" s="174">
        <v>0</v>
      </c>
      <c r="AQ1242" s="175">
        <v>0</v>
      </c>
      <c r="AR1242" s="175">
        <v>15</v>
      </c>
      <c r="AS1242" s="175">
        <v>44</v>
      </c>
      <c r="AT1242" s="175">
        <v>0</v>
      </c>
      <c r="AU1242" s="175">
        <v>0</v>
      </c>
      <c r="AV1242" s="175">
        <v>0</v>
      </c>
      <c r="AW1242" s="175">
        <v>0</v>
      </c>
      <c r="AX1242" s="83">
        <v>0</v>
      </c>
      <c r="AY1242" s="49">
        <v>0</v>
      </c>
      <c r="AZ1242" s="49">
        <v>0</v>
      </c>
      <c r="BA1242" s="49">
        <v>0</v>
      </c>
      <c r="BB1242" s="58">
        <v>0</v>
      </c>
      <c r="BC1242" s="42">
        <v>108</v>
      </c>
      <c r="BS1242" s="58"/>
      <c r="BT1242" s="83"/>
      <c r="CE1242" s="83"/>
      <c r="CK1242" s="58"/>
      <c r="CL1242" s="83"/>
      <c r="CO1242" s="58"/>
      <c r="CP1242" s="83"/>
      <c r="CR1242" s="58"/>
      <c r="CS1242" s="83"/>
      <c r="CY1242" s="83"/>
      <c r="DG1242" s="58"/>
      <c r="DH1242" s="83"/>
      <c r="DQ1242" s="83"/>
      <c r="EE1242" s="58"/>
      <c r="EF1242" s="83"/>
      <c r="EI1242" s="83"/>
      <c r="EK1242" s="58"/>
      <c r="EL1242" s="83"/>
      <c r="EO1242" s="58"/>
      <c r="EP1242" s="83"/>
      <c r="EQ1242" s="58"/>
      <c r="ER1242" s="83"/>
      <c r="ES1242" s="58"/>
      <c r="ET1242" s="83"/>
      <c r="EU1242" s="58"/>
    </row>
    <row r="1243" spans="1:151">
      <c r="A1243" s="42" t="s">
        <v>324</v>
      </c>
      <c r="B1243" s="173" t="s">
        <v>558</v>
      </c>
      <c r="C1243" s="173" t="s">
        <v>556</v>
      </c>
      <c r="D1243" s="83" t="s">
        <v>104</v>
      </c>
      <c r="F1243" s="49" t="s">
        <v>286</v>
      </c>
      <c r="G1243" s="49">
        <v>17.837</v>
      </c>
      <c r="I1243" s="49">
        <v>1122</v>
      </c>
      <c r="J1243" s="159">
        <v>1.1675338189386055</v>
      </c>
      <c r="K1243" s="49">
        <v>4</v>
      </c>
      <c r="L1243" s="49">
        <v>5</v>
      </c>
      <c r="M1243" s="83">
        <v>0</v>
      </c>
      <c r="N1243" s="49">
        <v>1</v>
      </c>
      <c r="O1243" s="49">
        <v>0</v>
      </c>
      <c r="P1243" s="49">
        <v>1</v>
      </c>
      <c r="Q1243" s="58">
        <v>0</v>
      </c>
      <c r="R1243" s="42">
        <v>2</v>
      </c>
      <c r="S1243" s="83" t="s">
        <v>284</v>
      </c>
      <c r="U1243" s="83">
        <v>2</v>
      </c>
      <c r="V1243" s="49">
        <v>4</v>
      </c>
      <c r="W1243" s="49">
        <v>1</v>
      </c>
      <c r="X1243" s="58">
        <v>2</v>
      </c>
      <c r="Y1243" s="83">
        <v>5</v>
      </c>
      <c r="AD1243" s="49">
        <v>8</v>
      </c>
      <c r="AE1243" s="49">
        <v>56</v>
      </c>
      <c r="AG1243" s="49">
        <v>96</v>
      </c>
      <c r="AH1243" s="49">
        <v>27</v>
      </c>
      <c r="AI1243" s="49">
        <v>151</v>
      </c>
      <c r="AJ1243" s="49">
        <v>1</v>
      </c>
      <c r="AK1243" s="83">
        <v>0</v>
      </c>
      <c r="AL1243" s="49">
        <v>1</v>
      </c>
      <c r="AM1243" s="49">
        <v>0</v>
      </c>
      <c r="AN1243" s="49">
        <v>0</v>
      </c>
      <c r="AO1243" s="58">
        <v>0</v>
      </c>
      <c r="AP1243" s="174">
        <v>100</v>
      </c>
      <c r="AQ1243" s="175">
        <v>266</v>
      </c>
      <c r="AR1243" s="175">
        <v>0</v>
      </c>
      <c r="AS1243" s="175">
        <v>0</v>
      </c>
      <c r="AT1243" s="175">
        <v>0</v>
      </c>
      <c r="AU1243" s="175">
        <v>0</v>
      </c>
      <c r="AV1243" s="175">
        <v>0</v>
      </c>
      <c r="AW1243" s="175">
        <v>0</v>
      </c>
      <c r="AX1243" s="83">
        <v>0</v>
      </c>
      <c r="AY1243" s="49">
        <v>0</v>
      </c>
      <c r="AZ1243" s="49">
        <v>0</v>
      </c>
      <c r="BA1243" s="49">
        <v>0</v>
      </c>
      <c r="BB1243" s="58">
        <v>0</v>
      </c>
      <c r="BC1243" s="42">
        <v>96</v>
      </c>
      <c r="BD1243" s="49">
        <v>65.989999999999995</v>
      </c>
      <c r="BS1243" s="58"/>
      <c r="BT1243" s="83">
        <v>78.94</v>
      </c>
      <c r="BU1243" s="49">
        <v>70.64</v>
      </c>
      <c r="CE1243" s="83">
        <v>66.86</v>
      </c>
      <c r="CF1243" s="49">
        <v>69.64</v>
      </c>
      <c r="CK1243" s="58"/>
      <c r="CL1243" s="83"/>
      <c r="CO1243" s="58"/>
      <c r="CP1243" s="83"/>
      <c r="CR1243" s="58"/>
      <c r="CS1243" s="83"/>
      <c r="CY1243" s="83"/>
      <c r="DG1243" s="58"/>
      <c r="DH1243" s="83"/>
      <c r="DQ1243" s="83"/>
      <c r="EE1243" s="58"/>
      <c r="EF1243" s="83"/>
      <c r="EI1243" s="83"/>
      <c r="EK1243" s="58"/>
      <c r="EL1243" s="83"/>
      <c r="EO1243" s="58"/>
      <c r="EP1243" s="83"/>
      <c r="EQ1243" s="58"/>
      <c r="ER1243" s="83"/>
      <c r="ES1243" s="58"/>
      <c r="ET1243" s="83"/>
      <c r="EU1243" s="58"/>
    </row>
    <row r="1244" spans="1:151">
      <c r="A1244" s="42" t="s">
        <v>324</v>
      </c>
      <c r="B1244" s="173" t="s">
        <v>558</v>
      </c>
      <c r="C1244" s="173" t="s">
        <v>556</v>
      </c>
      <c r="D1244" s="83" t="s">
        <v>105</v>
      </c>
      <c r="F1244" s="49" t="s">
        <v>286</v>
      </c>
      <c r="G1244" s="49">
        <v>17.837</v>
      </c>
      <c r="I1244" s="49">
        <v>3412</v>
      </c>
      <c r="J1244" s="159">
        <v>3.2158341187558905</v>
      </c>
      <c r="K1244" s="49">
        <v>1</v>
      </c>
      <c r="L1244" s="49">
        <v>3</v>
      </c>
      <c r="M1244" s="83">
        <v>0</v>
      </c>
      <c r="N1244" s="49">
        <v>0</v>
      </c>
      <c r="O1244" s="49">
        <v>0</v>
      </c>
      <c r="P1244" s="49">
        <v>1</v>
      </c>
      <c r="Q1244" s="58">
        <v>0</v>
      </c>
      <c r="R1244" s="42">
        <v>1</v>
      </c>
      <c r="S1244" s="83" t="s">
        <v>284</v>
      </c>
      <c r="U1244" s="83">
        <v>2</v>
      </c>
      <c r="V1244" s="49">
        <v>3</v>
      </c>
      <c r="W1244" s="49">
        <v>3</v>
      </c>
      <c r="X1244" s="58">
        <v>2</v>
      </c>
      <c r="Y1244" s="83">
        <v>3</v>
      </c>
      <c r="AD1244" s="49">
        <v>19</v>
      </c>
      <c r="AE1244" s="49">
        <v>111</v>
      </c>
      <c r="AH1244" s="49">
        <v>21</v>
      </c>
      <c r="AI1244" s="49">
        <v>491</v>
      </c>
      <c r="AJ1244" s="49">
        <v>1</v>
      </c>
      <c r="AK1244" s="83">
        <v>0</v>
      </c>
      <c r="AL1244" s="49">
        <v>0</v>
      </c>
      <c r="AM1244" s="49">
        <v>0</v>
      </c>
      <c r="AN1244" s="49">
        <v>0</v>
      </c>
      <c r="AO1244" s="58">
        <v>0</v>
      </c>
      <c r="AP1244" s="174">
        <v>0</v>
      </c>
      <c r="AQ1244" s="175">
        <v>0</v>
      </c>
      <c r="AR1244" s="175">
        <v>0</v>
      </c>
      <c r="AS1244" s="175">
        <v>0</v>
      </c>
      <c r="AT1244" s="175">
        <v>0</v>
      </c>
      <c r="AU1244" s="175">
        <v>0</v>
      </c>
      <c r="AV1244" s="175">
        <v>0</v>
      </c>
      <c r="AW1244" s="175">
        <v>0</v>
      </c>
      <c r="AX1244" s="83">
        <v>0</v>
      </c>
      <c r="AY1244" s="49">
        <v>0</v>
      </c>
      <c r="AZ1244" s="49">
        <v>0</v>
      </c>
      <c r="BA1244" s="49">
        <v>0</v>
      </c>
      <c r="BB1244" s="58">
        <v>0</v>
      </c>
      <c r="BC1244" s="42">
        <v>109</v>
      </c>
      <c r="BS1244" s="58"/>
      <c r="BT1244" s="83"/>
      <c r="CE1244" s="83"/>
      <c r="CK1244" s="58"/>
      <c r="CL1244" s="83"/>
      <c r="CO1244" s="58"/>
      <c r="CP1244" s="83"/>
      <c r="CR1244" s="58"/>
      <c r="CS1244" s="83"/>
      <c r="CY1244" s="83"/>
      <c r="DG1244" s="58"/>
      <c r="DH1244" s="83"/>
      <c r="DQ1244" s="83"/>
      <c r="EE1244" s="58"/>
      <c r="EF1244" s="83"/>
      <c r="EI1244" s="83"/>
      <c r="EK1244" s="58"/>
      <c r="EL1244" s="83"/>
      <c r="EO1244" s="58"/>
      <c r="EP1244" s="83"/>
      <c r="EQ1244" s="58"/>
      <c r="ER1244" s="83"/>
      <c r="ES1244" s="58"/>
      <c r="ET1244" s="83"/>
      <c r="EU1244" s="58"/>
    </row>
    <row r="1245" spans="1:151">
      <c r="A1245" s="42" t="s">
        <v>324</v>
      </c>
      <c r="B1245" s="173" t="s">
        <v>558</v>
      </c>
      <c r="C1245" s="173" t="s">
        <v>556</v>
      </c>
      <c r="D1245" s="83" t="s">
        <v>106</v>
      </c>
      <c r="F1245" s="49" t="s">
        <v>286</v>
      </c>
      <c r="G1245" s="49">
        <v>17.837</v>
      </c>
      <c r="I1245" s="49">
        <v>4280</v>
      </c>
      <c r="J1245" s="159">
        <v>1.4172185430463575</v>
      </c>
      <c r="K1245" s="49">
        <v>4</v>
      </c>
      <c r="L1245" s="49">
        <v>3</v>
      </c>
      <c r="M1245" s="83">
        <v>0</v>
      </c>
      <c r="N1245" s="49">
        <v>4</v>
      </c>
      <c r="O1245" s="49">
        <v>0</v>
      </c>
      <c r="P1245" s="49">
        <v>0</v>
      </c>
      <c r="Q1245" s="58">
        <v>0</v>
      </c>
      <c r="R1245" s="42">
        <v>4</v>
      </c>
      <c r="S1245" s="83" t="s">
        <v>283</v>
      </c>
      <c r="T1245" s="49">
        <v>20</v>
      </c>
      <c r="U1245" s="83">
        <v>1</v>
      </c>
      <c r="V1245" s="49">
        <v>3</v>
      </c>
      <c r="W1245" s="49">
        <v>2</v>
      </c>
      <c r="X1245" s="58"/>
      <c r="Y1245" s="83">
        <v>7</v>
      </c>
      <c r="Z1245" s="49">
        <v>3</v>
      </c>
      <c r="AA1245" s="49">
        <v>128</v>
      </c>
      <c r="AC1245" s="49">
        <v>30</v>
      </c>
      <c r="AD1245" s="49">
        <v>6</v>
      </c>
      <c r="AE1245" s="49">
        <v>167</v>
      </c>
      <c r="AF1245" s="49">
        <v>5</v>
      </c>
      <c r="AG1245" s="49">
        <v>160</v>
      </c>
      <c r="AH1245" s="49">
        <v>55</v>
      </c>
      <c r="AI1245" s="49">
        <v>737</v>
      </c>
      <c r="AJ1245" s="49">
        <v>1</v>
      </c>
      <c r="AK1245" s="83">
        <v>0</v>
      </c>
      <c r="AL1245" s="49">
        <v>0</v>
      </c>
      <c r="AM1245" s="49">
        <v>0</v>
      </c>
      <c r="AN1245" s="49">
        <v>0</v>
      </c>
      <c r="AO1245" s="58">
        <v>0</v>
      </c>
      <c r="AP1245" s="174">
        <v>0</v>
      </c>
      <c r="AQ1245" s="175">
        <v>0</v>
      </c>
      <c r="AR1245" s="175">
        <v>0</v>
      </c>
      <c r="AS1245" s="175">
        <v>0</v>
      </c>
      <c r="AT1245" s="175">
        <v>0</v>
      </c>
      <c r="AU1245" s="175">
        <v>0</v>
      </c>
      <c r="AV1245" s="175">
        <v>0</v>
      </c>
      <c r="AW1245" s="175">
        <v>0</v>
      </c>
      <c r="AX1245" s="83">
        <v>0</v>
      </c>
      <c r="AY1245" s="49">
        <v>0</v>
      </c>
      <c r="AZ1245" s="49">
        <v>0</v>
      </c>
      <c r="BA1245" s="49">
        <v>0</v>
      </c>
      <c r="BB1245" s="58">
        <v>0</v>
      </c>
      <c r="BC1245" s="42">
        <v>119</v>
      </c>
      <c r="BD1245" s="49">
        <v>81.2</v>
      </c>
      <c r="BS1245" s="58"/>
      <c r="BT1245" s="83">
        <v>80.39</v>
      </c>
      <c r="CE1245" s="83"/>
      <c r="CK1245" s="58"/>
      <c r="CL1245" s="83">
        <v>72.3</v>
      </c>
      <c r="CO1245" s="58"/>
      <c r="CP1245" s="83"/>
      <c r="CR1245" s="58"/>
      <c r="CS1245" s="83"/>
      <c r="CY1245" s="83"/>
      <c r="DG1245" s="58"/>
      <c r="DH1245" s="83"/>
      <c r="DQ1245" s="83">
        <v>80.02</v>
      </c>
      <c r="EE1245" s="58"/>
      <c r="EF1245" s="83"/>
      <c r="EI1245" s="83"/>
      <c r="EK1245" s="58"/>
      <c r="EL1245" s="83"/>
      <c r="EO1245" s="58"/>
      <c r="EP1245" s="83"/>
      <c r="EQ1245" s="58"/>
      <c r="ER1245" s="83"/>
      <c r="ES1245" s="58"/>
      <c r="ET1245" s="83"/>
      <c r="EU1245" s="58"/>
    </row>
    <row r="1246" spans="1:151">
      <c r="A1246" s="42" t="s">
        <v>324</v>
      </c>
      <c r="B1246" s="173" t="s">
        <v>558</v>
      </c>
      <c r="C1246" s="173" t="s">
        <v>556</v>
      </c>
      <c r="D1246" s="83" t="s">
        <v>107</v>
      </c>
      <c r="E1246" s="49" t="s">
        <v>0</v>
      </c>
      <c r="F1246" s="49" t="s">
        <v>287</v>
      </c>
      <c r="G1246" s="49">
        <v>17.837</v>
      </c>
      <c r="I1246" s="49">
        <v>904</v>
      </c>
      <c r="J1246" s="159">
        <v>1.1926121372031662</v>
      </c>
      <c r="K1246" s="49">
        <v>4</v>
      </c>
      <c r="L1246" s="49">
        <v>3</v>
      </c>
      <c r="M1246" s="83">
        <v>0</v>
      </c>
      <c r="N1246" s="49">
        <v>2</v>
      </c>
      <c r="O1246" s="49">
        <v>0</v>
      </c>
      <c r="P1246" s="49">
        <v>0</v>
      </c>
      <c r="Q1246" s="58">
        <v>0</v>
      </c>
      <c r="R1246" s="42">
        <v>2</v>
      </c>
      <c r="S1246" s="83" t="s">
        <v>284</v>
      </c>
      <c r="U1246" s="83">
        <v>1</v>
      </c>
      <c r="V1246" s="49">
        <v>3</v>
      </c>
      <c r="W1246" s="49">
        <v>1</v>
      </c>
      <c r="X1246" s="58">
        <v>1</v>
      </c>
      <c r="Y1246" s="83">
        <v>1</v>
      </c>
      <c r="AA1246" s="49">
        <v>9</v>
      </c>
      <c r="AD1246" s="49">
        <v>10</v>
      </c>
      <c r="AE1246" s="49">
        <v>44</v>
      </c>
      <c r="AF1246" s="49">
        <v>9</v>
      </c>
      <c r="AG1246" s="49">
        <v>41</v>
      </c>
      <c r="AH1246" s="49">
        <v>15</v>
      </c>
      <c r="AI1246" s="49">
        <v>58</v>
      </c>
      <c r="AJ1246" s="49">
        <v>1</v>
      </c>
      <c r="AK1246" s="83">
        <v>0</v>
      </c>
      <c r="AL1246" s="49">
        <v>0</v>
      </c>
      <c r="AM1246" s="49">
        <v>0</v>
      </c>
      <c r="AN1246" s="49">
        <v>0</v>
      </c>
      <c r="AO1246" s="58">
        <v>0</v>
      </c>
      <c r="AP1246" s="174">
        <v>0</v>
      </c>
      <c r="AQ1246" s="175">
        <v>0</v>
      </c>
      <c r="AR1246" s="175">
        <v>0</v>
      </c>
      <c r="AS1246" s="175">
        <v>0</v>
      </c>
      <c r="AT1246" s="175">
        <v>0</v>
      </c>
      <c r="AU1246" s="175">
        <v>0</v>
      </c>
      <c r="AV1246" s="175">
        <v>0</v>
      </c>
      <c r="AW1246" s="175">
        <v>0</v>
      </c>
      <c r="AX1246" s="83">
        <v>0</v>
      </c>
      <c r="AY1246" s="49">
        <v>0</v>
      </c>
      <c r="AZ1246" s="49">
        <v>0</v>
      </c>
      <c r="BA1246" s="49">
        <v>0</v>
      </c>
      <c r="BB1246" s="58">
        <v>0</v>
      </c>
      <c r="BC1246" s="42">
        <v>120</v>
      </c>
      <c r="BS1246" s="58"/>
      <c r="BT1246" s="83"/>
      <c r="CE1246" s="83"/>
      <c r="CK1246" s="58"/>
      <c r="CL1246" s="83"/>
      <c r="CO1246" s="58"/>
      <c r="CP1246" s="83"/>
      <c r="CR1246" s="58"/>
      <c r="CS1246" s="83"/>
      <c r="CY1246" s="83">
        <v>67.760000000000005</v>
      </c>
      <c r="CZ1246" s="49">
        <v>70.05</v>
      </c>
      <c r="DA1246" s="49">
        <v>81.290000000000006</v>
      </c>
      <c r="DG1246" s="58"/>
      <c r="DH1246" s="83"/>
      <c r="DQ1246" s="83"/>
      <c r="EE1246" s="58"/>
      <c r="EF1246" s="83"/>
      <c r="EI1246" s="83"/>
      <c r="EK1246" s="58"/>
      <c r="EL1246" s="83"/>
      <c r="EO1246" s="58"/>
      <c r="EP1246" s="83"/>
      <c r="EQ1246" s="58"/>
      <c r="ER1246" s="83"/>
      <c r="ES1246" s="58"/>
      <c r="ET1246" s="83"/>
      <c r="EU1246" s="58"/>
    </row>
    <row r="1247" spans="1:151">
      <c r="A1247" s="42" t="s">
        <v>324</v>
      </c>
      <c r="B1247" s="173" t="s">
        <v>558</v>
      </c>
      <c r="C1247" s="173" t="s">
        <v>556</v>
      </c>
      <c r="D1247" s="83" t="s">
        <v>150</v>
      </c>
      <c r="F1247" s="49" t="s">
        <v>286</v>
      </c>
      <c r="G1247" s="49">
        <v>17.837</v>
      </c>
      <c r="I1247" s="49">
        <v>4049</v>
      </c>
      <c r="J1247" s="159">
        <v>1.6745244003308519</v>
      </c>
      <c r="K1247" s="49">
        <v>1</v>
      </c>
      <c r="L1247" s="49">
        <v>3</v>
      </c>
      <c r="M1247" s="83">
        <v>0</v>
      </c>
      <c r="N1247" s="49">
        <v>0</v>
      </c>
      <c r="O1247" s="49">
        <v>1</v>
      </c>
      <c r="P1247" s="49">
        <v>1</v>
      </c>
      <c r="Q1247" s="58">
        <v>0</v>
      </c>
      <c r="R1247" s="42">
        <v>2</v>
      </c>
      <c r="S1247" s="83" t="s">
        <v>283</v>
      </c>
      <c r="T1247" s="49">
        <v>17</v>
      </c>
      <c r="U1247" s="83">
        <v>3</v>
      </c>
      <c r="V1247" s="49">
        <v>3</v>
      </c>
      <c r="W1247" s="49">
        <v>3</v>
      </c>
      <c r="X1247" s="58">
        <v>1</v>
      </c>
      <c r="Y1247" s="83">
        <v>1</v>
      </c>
      <c r="Z1247" s="49">
        <v>5</v>
      </c>
      <c r="AA1247" s="49">
        <v>23</v>
      </c>
      <c r="AD1247" s="49">
        <v>10</v>
      </c>
      <c r="AE1247" s="49">
        <v>269</v>
      </c>
      <c r="AF1247" s="49">
        <v>94</v>
      </c>
      <c r="AG1247" s="49">
        <v>156</v>
      </c>
      <c r="AH1247" s="49">
        <v>106</v>
      </c>
      <c r="AI1247" s="49">
        <v>554</v>
      </c>
      <c r="AJ1247" s="49">
        <v>1</v>
      </c>
      <c r="AK1247" s="83">
        <v>0</v>
      </c>
      <c r="AL1247" s="49">
        <v>1</v>
      </c>
      <c r="AM1247" s="49">
        <v>0</v>
      </c>
      <c r="AN1247" s="49">
        <v>0</v>
      </c>
      <c r="AO1247" s="58">
        <v>0</v>
      </c>
      <c r="AP1247" s="174">
        <v>151</v>
      </c>
      <c r="AQ1247" s="175">
        <v>1429</v>
      </c>
      <c r="AR1247" s="175">
        <v>0</v>
      </c>
      <c r="AS1247" s="175">
        <v>0</v>
      </c>
      <c r="AT1247" s="175">
        <v>0</v>
      </c>
      <c r="AU1247" s="175">
        <v>0</v>
      </c>
      <c r="AV1247" s="175">
        <v>0</v>
      </c>
      <c r="AW1247" s="175">
        <v>0</v>
      </c>
      <c r="AX1247" s="83">
        <v>0</v>
      </c>
      <c r="AY1247" s="49">
        <v>0</v>
      </c>
      <c r="AZ1247" s="49">
        <v>0</v>
      </c>
      <c r="BA1247" s="49">
        <v>0</v>
      </c>
      <c r="BB1247" s="58">
        <v>0</v>
      </c>
      <c r="BC1247" s="42">
        <v>125</v>
      </c>
      <c r="BS1247" s="58"/>
      <c r="BT1247" s="83"/>
      <c r="CE1247" s="83"/>
      <c r="CK1247" s="58"/>
      <c r="CL1247" s="83"/>
      <c r="CO1247" s="58"/>
      <c r="CP1247" s="83"/>
      <c r="CR1247" s="58"/>
      <c r="CS1247" s="83"/>
      <c r="CY1247" s="83"/>
      <c r="DG1247" s="58"/>
      <c r="DH1247" s="83"/>
      <c r="DQ1247" s="83"/>
      <c r="EE1247" s="58"/>
      <c r="EF1247" s="83"/>
      <c r="EI1247" s="83"/>
      <c r="EK1247" s="58"/>
      <c r="EL1247" s="83"/>
      <c r="EO1247" s="58"/>
      <c r="EP1247" s="83"/>
      <c r="EQ1247" s="58"/>
      <c r="ER1247" s="83"/>
      <c r="ES1247" s="58"/>
      <c r="ET1247" s="83"/>
      <c r="EU1247" s="58"/>
    </row>
    <row r="1248" spans="1:151">
      <c r="A1248" s="42" t="s">
        <v>324</v>
      </c>
      <c r="B1248" s="173" t="s">
        <v>558</v>
      </c>
      <c r="C1248" s="173" t="s">
        <v>556</v>
      </c>
      <c r="D1248" s="83" t="s">
        <v>108</v>
      </c>
      <c r="F1248" s="49" t="s">
        <v>286</v>
      </c>
      <c r="G1248" s="49">
        <v>17.837</v>
      </c>
      <c r="I1248" s="49">
        <v>10086</v>
      </c>
      <c r="J1248" s="159">
        <v>1.3467752703965816</v>
      </c>
      <c r="K1248" s="49">
        <v>4</v>
      </c>
      <c r="L1248" s="49">
        <v>3</v>
      </c>
      <c r="M1248" s="83">
        <v>0</v>
      </c>
      <c r="N1248" s="49">
        <v>2</v>
      </c>
      <c r="O1248" s="49">
        <v>0</v>
      </c>
      <c r="P1248" s="49">
        <v>0</v>
      </c>
      <c r="Q1248" s="58">
        <v>0</v>
      </c>
      <c r="R1248" s="42">
        <v>2</v>
      </c>
      <c r="S1248" s="83" t="s">
        <v>283</v>
      </c>
      <c r="T1248" s="49">
        <v>49</v>
      </c>
      <c r="U1248" s="83">
        <v>1</v>
      </c>
      <c r="V1248" s="49">
        <v>4</v>
      </c>
      <c r="W1248" s="49">
        <v>2</v>
      </c>
      <c r="X1248" s="58"/>
      <c r="Y1248" s="83"/>
      <c r="Z1248" s="49">
        <v>6</v>
      </c>
      <c r="AA1248" s="49">
        <v>220</v>
      </c>
      <c r="AD1248" s="49">
        <v>7</v>
      </c>
      <c r="AE1248" s="49">
        <v>385</v>
      </c>
      <c r="AF1248" s="49">
        <v>17</v>
      </c>
      <c r="AG1248" s="49">
        <v>168</v>
      </c>
      <c r="AH1248" s="49">
        <v>58</v>
      </c>
      <c r="AI1248" s="49">
        <v>1028</v>
      </c>
      <c r="AJ1248" s="49">
        <v>1</v>
      </c>
      <c r="AK1248" s="83">
        <v>0</v>
      </c>
      <c r="AL1248" s="49">
        <v>1</v>
      </c>
      <c r="AM1248" s="49">
        <v>0</v>
      </c>
      <c r="AN1248" s="49">
        <v>0</v>
      </c>
      <c r="AO1248" s="58">
        <v>0</v>
      </c>
      <c r="AP1248" s="174">
        <v>765</v>
      </c>
      <c r="AQ1248" s="175">
        <v>3171</v>
      </c>
      <c r="AR1248" s="175">
        <v>0</v>
      </c>
      <c r="AS1248" s="175">
        <v>0</v>
      </c>
      <c r="AT1248" s="175">
        <v>0</v>
      </c>
      <c r="AU1248" s="175">
        <v>0</v>
      </c>
      <c r="AV1248" s="175">
        <v>0</v>
      </c>
      <c r="AW1248" s="175">
        <v>0</v>
      </c>
      <c r="AX1248" s="83">
        <v>0</v>
      </c>
      <c r="AY1248" s="49">
        <v>0</v>
      </c>
      <c r="AZ1248" s="49">
        <v>0</v>
      </c>
      <c r="BA1248" s="49">
        <v>0</v>
      </c>
      <c r="BB1248" s="58">
        <v>0</v>
      </c>
      <c r="BC1248" s="42">
        <v>130</v>
      </c>
      <c r="BD1248" s="49">
        <v>79.28</v>
      </c>
      <c r="BE1248" s="49">
        <v>77.12</v>
      </c>
      <c r="BS1248" s="58"/>
      <c r="BT1248" s="83"/>
      <c r="CE1248" s="83">
        <v>75.540000000000006</v>
      </c>
      <c r="CK1248" s="58"/>
      <c r="CL1248" s="83">
        <v>69.709999999999994</v>
      </c>
      <c r="CO1248" s="58"/>
      <c r="CP1248" s="83"/>
      <c r="CR1248" s="58"/>
      <c r="CS1248" s="83"/>
      <c r="CY1248" s="83"/>
      <c r="DG1248" s="58"/>
      <c r="DH1248" s="83"/>
      <c r="DQ1248" s="83"/>
      <c r="EE1248" s="58"/>
      <c r="EF1248" s="83"/>
      <c r="EI1248" s="83"/>
      <c r="EK1248" s="58"/>
      <c r="EL1248" s="83"/>
      <c r="EO1248" s="58"/>
      <c r="EP1248" s="83"/>
      <c r="EQ1248" s="58"/>
      <c r="ER1248" s="83"/>
      <c r="ES1248" s="58"/>
      <c r="ET1248" s="83"/>
      <c r="EU1248" s="58"/>
    </row>
    <row r="1249" spans="1:151">
      <c r="A1249" s="42" t="s">
        <v>324</v>
      </c>
      <c r="B1249" s="173" t="s">
        <v>558</v>
      </c>
      <c r="C1249" s="173" t="s">
        <v>556</v>
      </c>
      <c r="D1249" s="83" t="s">
        <v>152</v>
      </c>
      <c r="F1249" s="49" t="s">
        <v>286</v>
      </c>
      <c r="G1249" s="49">
        <v>17.837</v>
      </c>
      <c r="I1249" s="49">
        <v>1517</v>
      </c>
      <c r="J1249" s="159">
        <v>1.0564066852367688</v>
      </c>
      <c r="K1249" s="49">
        <v>4</v>
      </c>
      <c r="L1249" s="49">
        <v>5</v>
      </c>
      <c r="M1249" s="83">
        <v>0</v>
      </c>
      <c r="N1249" s="49">
        <v>0</v>
      </c>
      <c r="O1249" s="49">
        <v>0</v>
      </c>
      <c r="P1249" s="49">
        <v>1</v>
      </c>
      <c r="Q1249" s="58">
        <v>0</v>
      </c>
      <c r="R1249" s="42">
        <v>1</v>
      </c>
      <c r="S1249" s="83" t="s">
        <v>284</v>
      </c>
      <c r="U1249" s="83">
        <v>1</v>
      </c>
      <c r="V1249" s="49">
        <v>5</v>
      </c>
      <c r="W1249" s="49">
        <v>1</v>
      </c>
      <c r="X1249" s="58">
        <v>2</v>
      </c>
      <c r="Y1249" s="83">
        <v>15</v>
      </c>
      <c r="AD1249" s="49">
        <v>10</v>
      </c>
      <c r="AE1249" s="49">
        <v>68</v>
      </c>
      <c r="AF1249" s="49">
        <v>15</v>
      </c>
      <c r="AG1249" s="49">
        <v>579</v>
      </c>
      <c r="AH1249" s="49">
        <v>12</v>
      </c>
      <c r="AI1249" s="49">
        <v>256</v>
      </c>
      <c r="AJ1249" s="49">
        <v>0</v>
      </c>
      <c r="AK1249" s="83">
        <v>0</v>
      </c>
      <c r="AL1249" s="49">
        <v>0</v>
      </c>
      <c r="AM1249" s="49">
        <v>0</v>
      </c>
      <c r="AN1249" s="49">
        <v>0</v>
      </c>
      <c r="AO1249" s="58">
        <v>0</v>
      </c>
      <c r="AP1249" s="174">
        <v>0</v>
      </c>
      <c r="AQ1249" s="175">
        <v>0</v>
      </c>
      <c r="AR1249" s="175">
        <v>0</v>
      </c>
      <c r="AS1249" s="175">
        <v>0</v>
      </c>
      <c r="AT1249" s="175">
        <v>0</v>
      </c>
      <c r="AU1249" s="175">
        <v>0</v>
      </c>
      <c r="AV1249" s="175">
        <v>0</v>
      </c>
      <c r="AW1249" s="175">
        <v>0</v>
      </c>
      <c r="AX1249" s="83">
        <v>0</v>
      </c>
      <c r="AY1249" s="49">
        <v>1</v>
      </c>
      <c r="AZ1249" s="49">
        <v>0</v>
      </c>
      <c r="BA1249" s="49">
        <v>0</v>
      </c>
      <c r="BB1249" s="58">
        <v>2</v>
      </c>
      <c r="BC1249" s="42">
        <v>124</v>
      </c>
      <c r="BE1249" s="49"/>
      <c r="BS1249" s="58"/>
      <c r="BT1249" s="83">
        <v>74.14</v>
      </c>
      <c r="BU1249" s="49">
        <v>68.44</v>
      </c>
      <c r="CE1249" s="83"/>
      <c r="CK1249" s="58"/>
      <c r="CL1249" s="83"/>
      <c r="CO1249" s="58"/>
      <c r="CP1249" s="83"/>
      <c r="CR1249" s="58"/>
      <c r="CS1249" s="83"/>
      <c r="CY1249" s="83"/>
      <c r="DG1249" s="58"/>
      <c r="DH1249" s="83">
        <v>63.24</v>
      </c>
      <c r="DI1249" s="159">
        <v>63.3</v>
      </c>
      <c r="DJ1249" s="49">
        <v>63.73</v>
      </c>
      <c r="DK1249" s="49">
        <v>62.32</v>
      </c>
      <c r="DQ1249" s="83">
        <v>75.290000000000006</v>
      </c>
      <c r="EE1249" s="58"/>
      <c r="EF1249" s="83"/>
      <c r="EI1249" s="83"/>
      <c r="EK1249" s="58"/>
      <c r="EL1249" s="83"/>
      <c r="EO1249" s="58"/>
      <c r="EP1249" s="83"/>
      <c r="EQ1249" s="58"/>
      <c r="ER1249" s="83"/>
      <c r="ES1249" s="58"/>
      <c r="ET1249" s="83"/>
      <c r="EU1249" s="58"/>
    </row>
    <row r="1250" spans="1:151">
      <c r="A1250" s="42" t="s">
        <v>324</v>
      </c>
      <c r="B1250" s="173" t="s">
        <v>558</v>
      </c>
      <c r="C1250" s="173" t="s">
        <v>556</v>
      </c>
      <c r="D1250" s="83" t="s">
        <v>153</v>
      </c>
      <c r="F1250" s="49" t="s">
        <v>286</v>
      </c>
      <c r="G1250" s="49">
        <v>17.837</v>
      </c>
      <c r="I1250" s="49">
        <v>3033</v>
      </c>
      <c r="J1250" s="159">
        <v>1.494088669950739</v>
      </c>
      <c r="K1250" s="49">
        <v>4</v>
      </c>
      <c r="L1250" s="49">
        <v>5</v>
      </c>
      <c r="M1250" s="83">
        <v>0</v>
      </c>
      <c r="N1250" s="49">
        <v>2</v>
      </c>
      <c r="O1250" s="49">
        <v>0</v>
      </c>
      <c r="P1250" s="49">
        <v>1</v>
      </c>
      <c r="Q1250" s="58">
        <v>0</v>
      </c>
      <c r="R1250" s="42">
        <v>3</v>
      </c>
      <c r="S1250" s="83" t="s">
        <v>284</v>
      </c>
      <c r="U1250" s="83">
        <v>1</v>
      </c>
      <c r="V1250" s="49">
        <v>5</v>
      </c>
      <c r="W1250" s="49">
        <v>1</v>
      </c>
      <c r="X1250" s="58">
        <v>2</v>
      </c>
      <c r="Y1250" s="83">
        <v>10</v>
      </c>
      <c r="Z1250" s="49">
        <v>4</v>
      </c>
      <c r="AA1250" s="49">
        <v>7</v>
      </c>
      <c r="AD1250" s="49">
        <v>4</v>
      </c>
      <c r="AE1250" s="49">
        <v>33</v>
      </c>
      <c r="AF1250" s="49">
        <v>8</v>
      </c>
      <c r="AG1250" s="49">
        <v>240</v>
      </c>
      <c r="AH1250" s="49">
        <v>10</v>
      </c>
      <c r="AI1250" s="49">
        <v>1146</v>
      </c>
      <c r="AJ1250" s="49">
        <v>1</v>
      </c>
      <c r="AK1250" s="83">
        <v>0</v>
      </c>
      <c r="AL1250" s="49">
        <v>0</v>
      </c>
      <c r="AM1250" s="49">
        <v>0</v>
      </c>
      <c r="AN1250" s="49">
        <v>0</v>
      </c>
      <c r="AO1250" s="58">
        <v>0</v>
      </c>
      <c r="AP1250" s="174">
        <v>0</v>
      </c>
      <c r="AQ1250" s="175">
        <v>0</v>
      </c>
      <c r="AR1250" s="175">
        <v>0</v>
      </c>
      <c r="AS1250" s="175">
        <v>0</v>
      </c>
      <c r="AT1250" s="175">
        <v>0</v>
      </c>
      <c r="AU1250" s="175">
        <v>0</v>
      </c>
      <c r="AV1250" s="175">
        <v>0</v>
      </c>
      <c r="AW1250" s="175">
        <v>0</v>
      </c>
      <c r="AX1250" s="83">
        <v>0</v>
      </c>
      <c r="AY1250" s="49">
        <v>0</v>
      </c>
      <c r="AZ1250" s="49">
        <v>0</v>
      </c>
      <c r="BA1250" s="49">
        <v>0</v>
      </c>
      <c r="BB1250" s="58">
        <v>0</v>
      </c>
      <c r="BC1250" s="42">
        <v>128</v>
      </c>
      <c r="BD1250" s="49">
        <v>64.930000000000007</v>
      </c>
      <c r="BE1250" s="159">
        <v>65.14</v>
      </c>
      <c r="BS1250" s="58"/>
      <c r="BT1250" s="83">
        <v>74.760000000000005</v>
      </c>
      <c r="CE1250" s="83"/>
      <c r="CK1250" s="58"/>
      <c r="CL1250" s="83"/>
      <c r="CO1250" s="58"/>
      <c r="CP1250" s="83"/>
      <c r="CR1250" s="58"/>
      <c r="CS1250" s="83"/>
      <c r="CY1250" s="83"/>
      <c r="DG1250" s="58"/>
      <c r="DH1250" s="83"/>
      <c r="DQ1250" s="83">
        <v>76.209999999999994</v>
      </c>
      <c r="EE1250" s="58"/>
      <c r="EF1250" s="83"/>
      <c r="EI1250" s="83"/>
      <c r="EK1250" s="58"/>
      <c r="EL1250" s="83"/>
      <c r="EO1250" s="58"/>
      <c r="EP1250" s="83"/>
      <c r="EQ1250" s="58"/>
      <c r="ER1250" s="83"/>
      <c r="ES1250" s="58"/>
      <c r="ET1250" s="83"/>
      <c r="EU1250" s="58"/>
    </row>
    <row r="1251" spans="1:151">
      <c r="A1251" s="42" t="s">
        <v>324</v>
      </c>
      <c r="B1251" s="173" t="s">
        <v>558</v>
      </c>
      <c r="C1251" s="173" t="s">
        <v>556</v>
      </c>
      <c r="D1251" s="83" t="s">
        <v>154</v>
      </c>
      <c r="F1251" s="49" t="s">
        <v>287</v>
      </c>
      <c r="G1251" s="49">
        <v>17.837</v>
      </c>
      <c r="I1251" s="49">
        <v>315</v>
      </c>
      <c r="J1251" s="159">
        <v>1.1931818181818181</v>
      </c>
      <c r="K1251" s="49">
        <v>1</v>
      </c>
      <c r="L1251" s="49">
        <v>2</v>
      </c>
      <c r="M1251" s="83">
        <v>0</v>
      </c>
      <c r="N1251" s="49">
        <v>0</v>
      </c>
      <c r="O1251" s="49">
        <v>1</v>
      </c>
      <c r="P1251" s="49">
        <v>1</v>
      </c>
      <c r="Q1251" s="58">
        <v>0</v>
      </c>
      <c r="R1251" s="42">
        <v>2</v>
      </c>
      <c r="S1251" s="83" t="s">
        <v>284</v>
      </c>
      <c r="U1251" s="83">
        <v>1</v>
      </c>
      <c r="V1251" s="49">
        <v>4</v>
      </c>
      <c r="W1251" s="49">
        <v>1</v>
      </c>
      <c r="X1251" s="58">
        <v>1</v>
      </c>
      <c r="Y1251" s="83">
        <v>0</v>
      </c>
      <c r="AJ1251" s="49">
        <v>0</v>
      </c>
      <c r="AK1251" s="83">
        <v>0</v>
      </c>
      <c r="AL1251" s="49">
        <v>1</v>
      </c>
      <c r="AM1251" s="49">
        <v>0</v>
      </c>
      <c r="AN1251" s="49">
        <v>0</v>
      </c>
      <c r="AO1251" s="58">
        <v>0</v>
      </c>
      <c r="AP1251" s="174">
        <v>0</v>
      </c>
      <c r="AQ1251" s="175">
        <v>84</v>
      </c>
      <c r="AR1251" s="175">
        <v>0</v>
      </c>
      <c r="AS1251" s="175">
        <v>0</v>
      </c>
      <c r="AT1251" s="175">
        <v>0</v>
      </c>
      <c r="AU1251" s="175">
        <v>0</v>
      </c>
      <c r="AV1251" s="175">
        <v>0</v>
      </c>
      <c r="AW1251" s="175">
        <v>0</v>
      </c>
      <c r="AX1251" s="83">
        <v>0</v>
      </c>
      <c r="AY1251" s="49">
        <v>0</v>
      </c>
      <c r="AZ1251" s="49">
        <v>0</v>
      </c>
      <c r="BA1251" s="49">
        <v>0</v>
      </c>
      <c r="BB1251" s="58">
        <v>0</v>
      </c>
      <c r="BC1251" s="42">
        <v>82</v>
      </c>
      <c r="BS1251" s="58"/>
      <c r="BT1251" s="83"/>
      <c r="CE1251" s="83"/>
      <c r="CK1251" s="58"/>
      <c r="CL1251" s="83"/>
      <c r="CO1251" s="58"/>
      <c r="CP1251" s="83"/>
      <c r="CR1251" s="58"/>
      <c r="CS1251" s="83"/>
      <c r="CY1251" s="83"/>
      <c r="DG1251" s="58"/>
      <c r="DH1251" s="83"/>
      <c r="DQ1251" s="83"/>
      <c r="EE1251" s="58"/>
      <c r="EF1251" s="83"/>
      <c r="EI1251" s="83"/>
      <c r="EK1251" s="58"/>
      <c r="EL1251" s="83"/>
      <c r="EO1251" s="58"/>
      <c r="EP1251" s="83"/>
      <c r="EQ1251" s="58"/>
      <c r="ER1251" s="83"/>
      <c r="ES1251" s="58"/>
      <c r="ET1251" s="83"/>
      <c r="EU1251" s="58"/>
    </row>
    <row r="1252" spans="1:151">
      <c r="A1252" s="42" t="s">
        <v>324</v>
      </c>
      <c r="B1252" s="173" t="s">
        <v>558</v>
      </c>
      <c r="C1252" s="173" t="s">
        <v>556</v>
      </c>
      <c r="D1252" s="83" t="s">
        <v>155</v>
      </c>
      <c r="F1252" s="49" t="s">
        <v>286</v>
      </c>
      <c r="G1252" s="49">
        <v>17.837</v>
      </c>
      <c r="I1252" s="49">
        <v>2650</v>
      </c>
      <c r="J1252" s="159">
        <v>3.9493293591654246</v>
      </c>
      <c r="K1252" s="49">
        <v>2</v>
      </c>
      <c r="L1252" s="49">
        <v>3</v>
      </c>
      <c r="M1252" s="83">
        <v>0</v>
      </c>
      <c r="N1252" s="49">
        <v>1</v>
      </c>
      <c r="O1252" s="49">
        <v>0</v>
      </c>
      <c r="P1252" s="49">
        <v>1</v>
      </c>
      <c r="Q1252" s="58">
        <v>0</v>
      </c>
      <c r="R1252" s="42">
        <v>2</v>
      </c>
      <c r="S1252" s="83" t="s">
        <v>284</v>
      </c>
      <c r="U1252" s="83">
        <v>0</v>
      </c>
      <c r="V1252" s="49">
        <v>0</v>
      </c>
      <c r="W1252" s="49">
        <v>0</v>
      </c>
      <c r="X1252" s="58"/>
      <c r="Y1252" s="83">
        <v>20</v>
      </c>
      <c r="AD1252" s="49">
        <v>6</v>
      </c>
      <c r="AE1252" s="49">
        <v>165</v>
      </c>
      <c r="AF1252" s="49">
        <v>16</v>
      </c>
      <c r="AG1252" s="49">
        <v>452</v>
      </c>
      <c r="AH1252" s="49">
        <v>10</v>
      </c>
      <c r="AI1252" s="49">
        <v>339</v>
      </c>
      <c r="AJ1252" s="49">
        <v>0</v>
      </c>
      <c r="AK1252" s="83">
        <v>0</v>
      </c>
      <c r="AL1252" s="49">
        <v>1</v>
      </c>
      <c r="AM1252" s="49">
        <v>0</v>
      </c>
      <c r="AN1252" s="49">
        <v>0</v>
      </c>
      <c r="AO1252" s="58">
        <v>0</v>
      </c>
      <c r="AP1252" s="174">
        <v>92</v>
      </c>
      <c r="AQ1252" s="175">
        <v>183</v>
      </c>
      <c r="AR1252" s="175">
        <v>0</v>
      </c>
      <c r="AS1252" s="175">
        <v>0</v>
      </c>
      <c r="AT1252" s="175">
        <v>0</v>
      </c>
      <c r="AU1252" s="175">
        <v>0</v>
      </c>
      <c r="AV1252" s="175">
        <v>0</v>
      </c>
      <c r="AW1252" s="175">
        <v>0</v>
      </c>
      <c r="AX1252" s="83">
        <v>0</v>
      </c>
      <c r="AY1252" s="49">
        <v>0</v>
      </c>
      <c r="AZ1252" s="49">
        <v>0</v>
      </c>
      <c r="BA1252" s="49">
        <v>0</v>
      </c>
      <c r="BB1252" s="58">
        <v>0</v>
      </c>
      <c r="BC1252" s="42">
        <v>134</v>
      </c>
      <c r="BE1252" s="49"/>
      <c r="BS1252" s="58"/>
      <c r="BT1252" s="83">
        <v>72.239999999999995</v>
      </c>
      <c r="BU1252" s="49">
        <v>74.05</v>
      </c>
      <c r="BV1252" s="49">
        <v>72.53</v>
      </c>
      <c r="CE1252" s="83"/>
      <c r="CK1252" s="58"/>
      <c r="CL1252" s="83"/>
      <c r="CO1252" s="58"/>
      <c r="CP1252" s="83"/>
      <c r="CR1252" s="58"/>
      <c r="CS1252" s="83"/>
      <c r="CY1252" s="83"/>
      <c r="DG1252" s="58"/>
      <c r="DH1252" s="89">
        <v>62.92</v>
      </c>
      <c r="DI1252" s="49">
        <v>63.77</v>
      </c>
      <c r="DJ1252" s="49">
        <v>63.23</v>
      </c>
      <c r="DQ1252" s="83">
        <v>65.7</v>
      </c>
      <c r="EE1252" s="58"/>
      <c r="EF1252" s="83"/>
      <c r="EI1252" s="83"/>
      <c r="EK1252" s="58"/>
      <c r="EL1252" s="83"/>
      <c r="EO1252" s="58"/>
      <c r="EP1252" s="83"/>
      <c r="EQ1252" s="58"/>
      <c r="ER1252" s="83"/>
      <c r="ES1252" s="58"/>
      <c r="ET1252" s="83"/>
      <c r="EU1252" s="58"/>
    </row>
    <row r="1253" spans="1:151">
      <c r="A1253" s="42" t="s">
        <v>324</v>
      </c>
      <c r="B1253" s="173" t="s">
        <v>558</v>
      </c>
      <c r="C1253" s="173" t="s">
        <v>556</v>
      </c>
      <c r="D1253" s="83" t="s">
        <v>156</v>
      </c>
      <c r="F1253" s="49" t="s">
        <v>286</v>
      </c>
      <c r="G1253" s="49">
        <v>17.837</v>
      </c>
      <c r="I1253" s="49">
        <v>2036</v>
      </c>
      <c r="J1253" s="159">
        <v>4.0316831683168317</v>
      </c>
      <c r="K1253" s="49">
        <v>1</v>
      </c>
      <c r="L1253" s="49">
        <v>3</v>
      </c>
      <c r="M1253" s="83">
        <v>0</v>
      </c>
      <c r="N1253" s="49">
        <v>1</v>
      </c>
      <c r="O1253" s="49">
        <v>0</v>
      </c>
      <c r="P1253" s="49">
        <v>1</v>
      </c>
      <c r="Q1253" s="58">
        <v>0</v>
      </c>
      <c r="R1253" s="42">
        <v>2</v>
      </c>
      <c r="S1253" s="83" t="s">
        <v>284</v>
      </c>
      <c r="U1253" s="83">
        <v>0</v>
      </c>
      <c r="V1253" s="49">
        <v>0</v>
      </c>
      <c r="W1253" s="49">
        <v>0</v>
      </c>
      <c r="X1253" s="58"/>
      <c r="Y1253" s="83">
        <v>2</v>
      </c>
      <c r="AD1253" s="49">
        <v>8</v>
      </c>
      <c r="AE1253" s="49">
        <v>153</v>
      </c>
      <c r="AF1253" s="49">
        <v>11</v>
      </c>
      <c r="AG1253" s="49">
        <v>168</v>
      </c>
      <c r="AH1253" s="49">
        <v>8</v>
      </c>
      <c r="AI1253" s="49">
        <v>95</v>
      </c>
      <c r="AJ1253" s="49">
        <v>0</v>
      </c>
      <c r="AK1253" s="83">
        <v>0</v>
      </c>
      <c r="AL1253" s="49">
        <v>0</v>
      </c>
      <c r="AM1253" s="49">
        <v>0</v>
      </c>
      <c r="AN1253" s="49">
        <v>1</v>
      </c>
      <c r="AO1253" s="58">
        <v>0</v>
      </c>
      <c r="AP1253" s="174">
        <v>0</v>
      </c>
      <c r="AQ1253" s="175">
        <v>0</v>
      </c>
      <c r="AR1253" s="175">
        <v>0</v>
      </c>
      <c r="AS1253" s="175">
        <v>0</v>
      </c>
      <c r="AT1253" s="175">
        <v>0</v>
      </c>
      <c r="AU1253" s="175">
        <v>41</v>
      </c>
      <c r="AV1253" s="175">
        <v>0</v>
      </c>
      <c r="AW1253" s="175">
        <v>0</v>
      </c>
      <c r="AX1253" s="83">
        <v>0</v>
      </c>
      <c r="AY1253" s="49">
        <v>0</v>
      </c>
      <c r="AZ1253" s="49">
        <v>0</v>
      </c>
      <c r="BA1253" s="49">
        <v>0</v>
      </c>
      <c r="BB1253" s="58">
        <v>0</v>
      </c>
      <c r="BC1253" s="42">
        <v>100</v>
      </c>
      <c r="BS1253" s="58"/>
      <c r="BT1253" s="83"/>
      <c r="CE1253" s="83"/>
      <c r="CK1253" s="58"/>
      <c r="CL1253" s="83"/>
      <c r="CO1253" s="58"/>
      <c r="CP1253" s="83"/>
      <c r="CR1253" s="58"/>
      <c r="CS1253" s="83"/>
      <c r="CY1253" s="83"/>
      <c r="DG1253" s="58"/>
      <c r="DH1253" s="83"/>
      <c r="DQ1253" s="83"/>
      <c r="EE1253" s="58"/>
      <c r="EF1253" s="83"/>
      <c r="EI1253" s="83"/>
      <c r="EK1253" s="58"/>
      <c r="EL1253" s="83"/>
      <c r="EO1253" s="58"/>
      <c r="EP1253" s="83"/>
      <c r="EQ1253" s="58"/>
      <c r="ER1253" s="83"/>
      <c r="ES1253" s="58"/>
      <c r="ET1253" s="83"/>
      <c r="EU1253" s="58"/>
    </row>
    <row r="1254" spans="1:151">
      <c r="A1254" s="42" t="s">
        <v>324</v>
      </c>
      <c r="B1254" s="173" t="s">
        <v>558</v>
      </c>
      <c r="C1254" s="173" t="s">
        <v>556</v>
      </c>
      <c r="D1254" s="83" t="s">
        <v>182</v>
      </c>
      <c r="F1254" s="49" t="s">
        <v>286</v>
      </c>
      <c r="G1254" s="49">
        <v>17.837</v>
      </c>
      <c r="I1254" s="49">
        <v>2256</v>
      </c>
      <c r="J1254" s="159">
        <v>1.4144200626959247</v>
      </c>
      <c r="K1254" s="49">
        <v>1</v>
      </c>
      <c r="L1254" s="49">
        <v>3</v>
      </c>
      <c r="M1254" s="83">
        <v>0</v>
      </c>
      <c r="N1254" s="49">
        <v>2</v>
      </c>
      <c r="O1254" s="49">
        <v>0</v>
      </c>
      <c r="P1254" s="49">
        <v>0</v>
      </c>
      <c r="Q1254" s="58">
        <v>0</v>
      </c>
      <c r="R1254" s="42">
        <v>2</v>
      </c>
      <c r="S1254" s="83" t="s">
        <v>283</v>
      </c>
      <c r="T1254" s="49">
        <v>8</v>
      </c>
      <c r="U1254" s="83">
        <v>1</v>
      </c>
      <c r="V1254" s="49">
        <v>3</v>
      </c>
      <c r="W1254" s="49">
        <v>2</v>
      </c>
      <c r="X1254" s="58"/>
      <c r="Y1254" s="83">
        <v>1</v>
      </c>
      <c r="Z1254" s="49">
        <v>4</v>
      </c>
      <c r="AA1254" s="49">
        <v>11</v>
      </c>
      <c r="AD1254" s="49">
        <v>4</v>
      </c>
      <c r="AE1254" s="49">
        <v>162</v>
      </c>
      <c r="AI1254" s="49">
        <v>118</v>
      </c>
      <c r="AJ1254" s="49">
        <v>0</v>
      </c>
      <c r="AK1254" s="83">
        <v>0</v>
      </c>
      <c r="AL1254" s="49">
        <v>1</v>
      </c>
      <c r="AM1254" s="49">
        <v>0</v>
      </c>
      <c r="AN1254" s="49">
        <v>0</v>
      </c>
      <c r="AO1254" s="58">
        <v>0</v>
      </c>
      <c r="AP1254" s="174">
        <v>138</v>
      </c>
      <c r="AQ1254" s="175">
        <v>325</v>
      </c>
      <c r="AR1254" s="175">
        <v>0</v>
      </c>
      <c r="AS1254" s="175">
        <v>0</v>
      </c>
      <c r="AT1254" s="175">
        <v>0</v>
      </c>
      <c r="AU1254" s="175">
        <v>0</v>
      </c>
      <c r="AV1254" s="175">
        <v>0</v>
      </c>
      <c r="AW1254" s="175">
        <v>0</v>
      </c>
      <c r="AX1254" s="83">
        <v>0</v>
      </c>
      <c r="AY1254" s="49">
        <v>0</v>
      </c>
      <c r="AZ1254" s="49">
        <v>0</v>
      </c>
      <c r="BA1254" s="49">
        <v>0</v>
      </c>
      <c r="BB1254" s="58">
        <v>0</v>
      </c>
      <c r="BC1254" s="42">
        <v>105</v>
      </c>
      <c r="BS1254" s="58"/>
      <c r="BT1254" s="83"/>
      <c r="CE1254" s="83"/>
      <c r="CK1254" s="58"/>
      <c r="CL1254" s="83"/>
      <c r="CO1254" s="58"/>
      <c r="CP1254" s="83"/>
      <c r="CR1254" s="58"/>
      <c r="CS1254" s="83"/>
      <c r="CY1254" s="83"/>
      <c r="DG1254" s="58"/>
      <c r="DH1254" s="83"/>
      <c r="DQ1254" s="83"/>
      <c r="EE1254" s="58"/>
      <c r="EF1254" s="83"/>
      <c r="EI1254" s="83"/>
      <c r="EK1254" s="58"/>
      <c r="EL1254" s="83"/>
      <c r="EO1254" s="58"/>
      <c r="EP1254" s="83"/>
      <c r="EQ1254" s="58"/>
      <c r="ER1254" s="83"/>
      <c r="ES1254" s="58"/>
      <c r="ET1254" s="83"/>
      <c r="EU1254" s="58"/>
    </row>
    <row r="1255" spans="1:151" ht="17" thickBot="1">
      <c r="A1255" s="55" t="s">
        <v>324</v>
      </c>
      <c r="B1255" s="47" t="s">
        <v>558</v>
      </c>
      <c r="C1255" s="47" t="s">
        <v>556</v>
      </c>
      <c r="D1255" s="84" t="s">
        <v>157</v>
      </c>
      <c r="E1255" s="57"/>
      <c r="F1255" s="57" t="s">
        <v>286</v>
      </c>
      <c r="G1255" s="57">
        <v>17.837</v>
      </c>
      <c r="H1255" s="57"/>
      <c r="I1255" s="57">
        <v>5092</v>
      </c>
      <c r="J1255" s="75">
        <v>1.0428015564202335</v>
      </c>
      <c r="K1255" s="57">
        <v>1</v>
      </c>
      <c r="L1255" s="57">
        <v>1</v>
      </c>
      <c r="M1255" s="84">
        <v>0</v>
      </c>
      <c r="N1255" s="57">
        <v>1</v>
      </c>
      <c r="O1255" s="57">
        <v>1</v>
      </c>
      <c r="P1255" s="57">
        <v>1</v>
      </c>
      <c r="Q1255" s="56">
        <v>0</v>
      </c>
      <c r="R1255" s="55">
        <v>3</v>
      </c>
      <c r="S1255" s="84" t="s">
        <v>283</v>
      </c>
      <c r="T1255" s="57">
        <v>17</v>
      </c>
      <c r="U1255" s="84">
        <v>2</v>
      </c>
      <c r="V1255" s="57">
        <v>2</v>
      </c>
      <c r="W1255" s="57">
        <v>1</v>
      </c>
      <c r="X1255" s="56">
        <v>3</v>
      </c>
      <c r="Y1255" s="84">
        <v>5</v>
      </c>
      <c r="Z1255" s="57">
        <v>6</v>
      </c>
      <c r="AA1255" s="57">
        <v>57</v>
      </c>
      <c r="AB1255" s="57"/>
      <c r="AC1255" s="57"/>
      <c r="AD1255" s="57">
        <v>7</v>
      </c>
      <c r="AE1255" s="57">
        <v>643</v>
      </c>
      <c r="AF1255" s="57">
        <v>21</v>
      </c>
      <c r="AG1255" s="57">
        <v>311</v>
      </c>
      <c r="AH1255" s="57">
        <v>440</v>
      </c>
      <c r="AI1255" s="57">
        <v>616</v>
      </c>
      <c r="AJ1255" s="57">
        <v>1</v>
      </c>
      <c r="AK1255" s="84">
        <v>0</v>
      </c>
      <c r="AL1255" s="57">
        <v>1</v>
      </c>
      <c r="AM1255" s="57">
        <v>0</v>
      </c>
      <c r="AN1255" s="57">
        <v>0</v>
      </c>
      <c r="AO1255" s="56">
        <v>0</v>
      </c>
      <c r="AP1255" s="178">
        <v>338</v>
      </c>
      <c r="AQ1255" s="179">
        <v>1940</v>
      </c>
      <c r="AR1255" s="179">
        <v>0</v>
      </c>
      <c r="AS1255" s="179">
        <v>0</v>
      </c>
      <c r="AT1255" s="179">
        <v>0</v>
      </c>
      <c r="AU1255" s="179">
        <v>0</v>
      </c>
      <c r="AV1255" s="179">
        <v>0</v>
      </c>
      <c r="AW1255" s="179">
        <v>0</v>
      </c>
      <c r="AX1255" s="84">
        <v>0</v>
      </c>
      <c r="AY1255" s="57">
        <v>0</v>
      </c>
      <c r="AZ1255" s="57">
        <v>0</v>
      </c>
      <c r="BA1255" s="57">
        <v>0</v>
      </c>
      <c r="BB1255" s="56">
        <v>0</v>
      </c>
      <c r="BC1255" s="55">
        <v>137</v>
      </c>
      <c r="BD1255" s="75">
        <v>79.010000000000005</v>
      </c>
      <c r="BE1255" s="57"/>
      <c r="BF1255" s="57"/>
      <c r="BG1255" s="57"/>
      <c r="BH1255" s="57"/>
      <c r="BI1255" s="57"/>
      <c r="BJ1255" s="57"/>
      <c r="BK1255" s="57"/>
      <c r="BL1255" s="57"/>
      <c r="BM1255" s="57"/>
      <c r="BN1255" s="57"/>
      <c r="BO1255" s="57"/>
      <c r="BP1255" s="57"/>
      <c r="BQ1255" s="57"/>
      <c r="BR1255" s="57"/>
      <c r="BS1255" s="56"/>
      <c r="BT1255" s="84">
        <v>81.59</v>
      </c>
      <c r="BU1255" s="57">
        <v>81.650000000000006</v>
      </c>
      <c r="BV1255" s="57">
        <v>81.5</v>
      </c>
      <c r="BW1255" s="57">
        <v>78.569999999999993</v>
      </c>
      <c r="BX1255" s="57">
        <v>79.569999999999993</v>
      </c>
      <c r="BY1255" s="57"/>
      <c r="BZ1255" s="57"/>
      <c r="CA1255" s="57"/>
      <c r="CB1255" s="57"/>
      <c r="CC1255" s="57"/>
      <c r="CD1255" s="57"/>
      <c r="CE1255" s="84"/>
      <c r="CF1255" s="57"/>
      <c r="CG1255" s="57"/>
      <c r="CH1255" s="57"/>
      <c r="CI1255" s="57"/>
      <c r="CJ1255" s="57"/>
      <c r="CK1255" s="56"/>
      <c r="CL1255" s="84">
        <v>70.48</v>
      </c>
      <c r="CM1255" s="57"/>
      <c r="CN1255" s="57"/>
      <c r="CO1255" s="56"/>
      <c r="CP1255" s="84"/>
      <c r="CQ1255" s="57"/>
      <c r="CR1255" s="56"/>
      <c r="CS1255" s="84"/>
      <c r="CT1255" s="57"/>
      <c r="CU1255" s="57"/>
      <c r="CV1255" s="57"/>
      <c r="CW1255" s="57"/>
      <c r="CX1255" s="57"/>
      <c r="CY1255" s="84"/>
      <c r="CZ1255" s="57"/>
      <c r="DA1255" s="57"/>
      <c r="DB1255" s="57"/>
      <c r="DC1255" s="57"/>
      <c r="DD1255" s="57"/>
      <c r="DE1255" s="57"/>
      <c r="DF1255" s="57"/>
      <c r="DG1255" s="56"/>
      <c r="DH1255" s="84"/>
      <c r="DI1255" s="57"/>
      <c r="DJ1255" s="57"/>
      <c r="DK1255" s="57"/>
      <c r="DL1255" s="57"/>
      <c r="DM1255" s="57"/>
      <c r="DN1255" s="57"/>
      <c r="DO1255" s="57"/>
      <c r="DP1255" s="57"/>
      <c r="DQ1255" s="84"/>
      <c r="DR1255" s="57"/>
      <c r="DS1255" s="57"/>
      <c r="DT1255" s="57"/>
      <c r="DU1255" s="57"/>
      <c r="DV1255" s="57"/>
      <c r="DW1255" s="57"/>
      <c r="DX1255" s="57"/>
      <c r="DY1255" s="57"/>
      <c r="DZ1255" s="57"/>
      <c r="EA1255" s="57"/>
      <c r="EB1255" s="57"/>
      <c r="EC1255" s="57"/>
      <c r="ED1255" s="57"/>
      <c r="EE1255" s="56"/>
      <c r="EF1255" s="84"/>
      <c r="EG1255" s="57"/>
      <c r="EH1255" s="57"/>
      <c r="EI1255" s="84"/>
      <c r="EJ1255" s="57"/>
      <c r="EK1255" s="56"/>
      <c r="EL1255" s="84"/>
      <c r="EM1255" s="57"/>
      <c r="EN1255" s="57"/>
      <c r="EO1255" s="56"/>
      <c r="EP1255" s="84"/>
      <c r="EQ1255" s="56"/>
      <c r="ER1255" s="84"/>
      <c r="ES1255" s="56"/>
      <c r="ET1255" s="84"/>
      <c r="EU1255" s="56"/>
    </row>
  </sheetData>
  <mergeCells count="36">
    <mergeCell ref="BD1:EE1"/>
    <mergeCell ref="EI1:EU1"/>
    <mergeCell ref="AB2:AC2"/>
    <mergeCell ref="A1:D1"/>
    <mergeCell ref="Y1:AJ1"/>
    <mergeCell ref="AP1:AW1"/>
    <mergeCell ref="AX1:BB1"/>
    <mergeCell ref="A2:D2"/>
    <mergeCell ref="M2:Q2"/>
    <mergeCell ref="S2:T2"/>
    <mergeCell ref="U2:X2"/>
    <mergeCell ref="Z2:AA2"/>
    <mergeCell ref="CE2:CK2"/>
    <mergeCell ref="AD2:AE2"/>
    <mergeCell ref="AF2:AG2"/>
    <mergeCell ref="AH2:AI2"/>
    <mergeCell ref="AK2:AO2"/>
    <mergeCell ref="AP2:AQ2"/>
    <mergeCell ref="AR2:AS2"/>
    <mergeCell ref="AT2:AU2"/>
    <mergeCell ref="AV2:AW2"/>
    <mergeCell ref="AX2:BA2"/>
    <mergeCell ref="BD2:BS2"/>
    <mergeCell ref="BT2:CD2"/>
    <mergeCell ref="ET2:EU2"/>
    <mergeCell ref="CL2:CO2"/>
    <mergeCell ref="CP2:CR2"/>
    <mergeCell ref="CS2:CX2"/>
    <mergeCell ref="CY2:DG2"/>
    <mergeCell ref="DH2:DP2"/>
    <mergeCell ref="DQ2:EE2"/>
    <mergeCell ref="EF2:EH2"/>
    <mergeCell ref="EI2:EK2"/>
    <mergeCell ref="EL2:EO2"/>
    <mergeCell ref="EP2:EQ2"/>
    <mergeCell ref="ER2:ES2"/>
  </mergeCells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E2214C-5ED2-DC43-A1A3-63CD81E01EB9}">
  <dimension ref="A1:DB170"/>
  <sheetViews>
    <sheetView zoomScale="98" zoomScaleNormal="98" workbookViewId="0">
      <selection activeCell="BI10" sqref="BI10"/>
    </sheetView>
  </sheetViews>
  <sheetFormatPr baseColWidth="10" defaultRowHeight="16"/>
  <cols>
    <col min="1" max="1" width="30.5" bestFit="1" customWidth="1"/>
    <col min="2" max="2" width="16.5" bestFit="1" customWidth="1"/>
    <col min="6" max="6" width="15" bestFit="1" customWidth="1"/>
    <col min="9" max="9" width="14" bestFit="1" customWidth="1"/>
    <col min="38" max="38" width="13.6640625" bestFit="1" customWidth="1"/>
    <col min="39" max="39" width="6.6640625" bestFit="1" customWidth="1"/>
    <col min="40" max="40" width="4.83203125" bestFit="1" customWidth="1"/>
    <col min="41" max="41" width="4.6640625" bestFit="1" customWidth="1"/>
    <col min="42" max="42" width="4.33203125" bestFit="1" customWidth="1"/>
    <col min="43" max="43" width="4.6640625" bestFit="1" customWidth="1"/>
    <col min="44" max="44" width="4.33203125" bestFit="1" customWidth="1"/>
    <col min="45" max="45" width="4.6640625" bestFit="1" customWidth="1"/>
    <col min="46" max="46" width="4.33203125" bestFit="1" customWidth="1"/>
    <col min="47" max="47" width="4.6640625" bestFit="1" customWidth="1"/>
    <col min="48" max="48" width="4.33203125" bestFit="1" customWidth="1"/>
    <col min="49" max="49" width="5.1640625" bestFit="1" customWidth="1"/>
    <col min="50" max="50" width="5.33203125" bestFit="1" customWidth="1"/>
    <col min="51" max="54" width="2.1640625" bestFit="1" customWidth="1"/>
    <col min="57" max="57" width="16.5" bestFit="1" customWidth="1"/>
  </cols>
  <sheetData>
    <row r="1" spans="1:106" ht="22" thickBot="1">
      <c r="A1" s="334" t="s">
        <v>485</v>
      </c>
      <c r="B1" s="334"/>
      <c r="C1" s="143"/>
      <c r="D1" s="6"/>
      <c r="E1" s="189" t="s">
        <v>35</v>
      </c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189" t="s">
        <v>559</v>
      </c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  <c r="AG1" s="6"/>
      <c r="AH1" s="6"/>
      <c r="AI1" s="6"/>
      <c r="AJ1" s="6"/>
      <c r="AK1" s="6"/>
      <c r="AL1" s="6"/>
      <c r="AM1" s="322" t="s">
        <v>290</v>
      </c>
      <c r="AN1" s="323"/>
      <c r="AO1" s="323"/>
      <c r="AP1" s="323"/>
      <c r="AQ1" s="323"/>
      <c r="AR1" s="323"/>
      <c r="AS1" s="323"/>
      <c r="AT1" s="323"/>
      <c r="AU1" s="323"/>
      <c r="AV1" s="323"/>
      <c r="AW1" s="323"/>
      <c r="AX1" s="324"/>
      <c r="AY1" s="335" t="s">
        <v>10</v>
      </c>
      <c r="AZ1" s="336"/>
      <c r="BA1" s="336"/>
      <c r="BB1" s="336"/>
      <c r="BC1" s="336"/>
      <c r="BD1" s="337"/>
      <c r="BE1" s="6"/>
      <c r="BF1" s="6"/>
      <c r="BG1" s="6"/>
      <c r="BH1" s="6"/>
      <c r="BI1" s="6"/>
      <c r="BJ1" s="6"/>
      <c r="BK1" s="6"/>
      <c r="BL1" s="6" t="s">
        <v>334</v>
      </c>
      <c r="BM1" s="6"/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6"/>
      <c r="CP1" s="6"/>
      <c r="CQ1" s="6"/>
      <c r="CR1" s="6"/>
      <c r="CS1" s="6"/>
      <c r="CT1" s="6"/>
      <c r="CU1" s="6"/>
      <c r="CV1" s="6"/>
      <c r="CW1" s="6"/>
      <c r="CX1" s="6"/>
      <c r="CY1" s="6"/>
      <c r="CZ1" s="6"/>
      <c r="DA1" s="6"/>
      <c r="DB1" s="6"/>
    </row>
    <row r="2" spans="1:106" ht="17" thickBot="1">
      <c r="A2" s="338" t="s">
        <v>438</v>
      </c>
      <c r="B2" s="338"/>
      <c r="C2" s="6"/>
      <c r="D2" s="6"/>
      <c r="E2" s="190" t="s">
        <v>560</v>
      </c>
      <c r="F2" s="6"/>
      <c r="G2" s="6"/>
      <c r="H2" s="6"/>
      <c r="I2" s="6"/>
      <c r="J2" s="326" t="s">
        <v>335</v>
      </c>
      <c r="K2" s="327"/>
      <c r="L2" s="327"/>
      <c r="M2" s="327"/>
      <c r="N2" s="327"/>
      <c r="O2" s="191" t="s">
        <v>42</v>
      </c>
      <c r="P2" s="326" t="s">
        <v>336</v>
      </c>
      <c r="Q2" s="327"/>
      <c r="R2" s="327"/>
      <c r="S2" s="328"/>
      <c r="T2" s="190" t="s">
        <v>560</v>
      </c>
      <c r="U2" s="326" t="s">
        <v>337</v>
      </c>
      <c r="V2" s="327"/>
      <c r="W2" s="327"/>
      <c r="X2" s="327"/>
      <c r="Y2" s="328"/>
      <c r="Z2" s="191" t="s">
        <v>561</v>
      </c>
      <c r="AA2" s="189" t="s">
        <v>561</v>
      </c>
      <c r="AB2" s="189" t="s">
        <v>562</v>
      </c>
      <c r="AC2" s="326" t="s">
        <v>13</v>
      </c>
      <c r="AD2" s="328"/>
      <c r="AE2" s="326" t="s">
        <v>338</v>
      </c>
      <c r="AF2" s="327"/>
      <c r="AG2" s="328"/>
      <c r="AH2" s="189" t="s">
        <v>363</v>
      </c>
      <c r="AI2" s="326" t="s">
        <v>339</v>
      </c>
      <c r="AJ2" s="328"/>
      <c r="AK2" s="326" t="s">
        <v>12</v>
      </c>
      <c r="AL2" s="327"/>
      <c r="AM2" s="192"/>
      <c r="AN2" s="326">
        <v>1</v>
      </c>
      <c r="AO2" s="328"/>
      <c r="AP2" s="326">
        <v>2</v>
      </c>
      <c r="AQ2" s="328"/>
      <c r="AR2" s="326">
        <v>3</v>
      </c>
      <c r="AS2" s="328"/>
      <c r="AT2" s="326">
        <v>4</v>
      </c>
      <c r="AU2" s="328"/>
      <c r="AV2" s="326">
        <v>5</v>
      </c>
      <c r="AW2" s="328"/>
      <c r="AX2" s="193"/>
      <c r="AY2" s="332" t="s">
        <v>19</v>
      </c>
      <c r="AZ2" s="333"/>
      <c r="BA2" s="333"/>
      <c r="BB2" s="333"/>
      <c r="BC2" s="189" t="s">
        <v>563</v>
      </c>
      <c r="BD2" s="189" t="s">
        <v>564</v>
      </c>
      <c r="BE2" s="194"/>
      <c r="BF2" s="326" t="s">
        <v>340</v>
      </c>
      <c r="BG2" s="327"/>
      <c r="BH2" s="327"/>
      <c r="BI2" s="328"/>
      <c r="BJ2" s="326" t="s">
        <v>341</v>
      </c>
      <c r="BK2" s="328"/>
      <c r="BL2" s="326" t="s">
        <v>60</v>
      </c>
      <c r="BM2" s="327"/>
      <c r="BN2" s="327"/>
      <c r="BO2" s="327"/>
      <c r="BP2" s="327"/>
      <c r="BQ2" s="327"/>
      <c r="BR2" s="327"/>
      <c r="BS2" s="327"/>
      <c r="BT2" s="328"/>
      <c r="BU2" s="326" t="s">
        <v>21</v>
      </c>
      <c r="BV2" s="327"/>
      <c r="BW2" s="327"/>
      <c r="BX2" s="327"/>
      <c r="BY2" s="327"/>
      <c r="BZ2" s="327"/>
      <c r="CA2" s="327"/>
      <c r="CB2" s="328"/>
      <c r="CC2" s="326" t="s">
        <v>24</v>
      </c>
      <c r="CD2" s="327"/>
      <c r="CE2" s="328"/>
      <c r="CF2" s="326" t="s">
        <v>12</v>
      </c>
      <c r="CG2" s="327"/>
      <c r="CH2" s="328"/>
      <c r="CI2" s="329" t="s">
        <v>565</v>
      </c>
      <c r="CJ2" s="330"/>
      <c r="CK2" s="329" t="s">
        <v>330</v>
      </c>
      <c r="CL2" s="330"/>
      <c r="CM2" s="329" t="s">
        <v>28</v>
      </c>
      <c r="CN2" s="331"/>
      <c r="CO2" s="331"/>
      <c r="CP2" s="331"/>
      <c r="CQ2" s="331"/>
      <c r="CR2" s="330"/>
      <c r="CS2" s="326" t="s">
        <v>29</v>
      </c>
      <c r="CT2" s="327"/>
      <c r="CU2" s="327"/>
      <c r="CV2" s="328"/>
      <c r="CW2" s="326" t="s">
        <v>566</v>
      </c>
      <c r="CX2" s="327"/>
      <c r="CY2" s="327"/>
      <c r="CZ2" s="328"/>
      <c r="DA2" s="6"/>
      <c r="DB2" s="6"/>
    </row>
    <row r="3" spans="1:106" ht="17" thickBot="1">
      <c r="A3" s="44" t="s">
        <v>32</v>
      </c>
      <c r="B3" s="189" t="s">
        <v>33</v>
      </c>
      <c r="C3" s="189" t="s">
        <v>34</v>
      </c>
      <c r="D3" s="189" t="s">
        <v>35</v>
      </c>
      <c r="E3" s="193" t="s">
        <v>38</v>
      </c>
      <c r="F3" s="195" t="s">
        <v>39</v>
      </c>
      <c r="G3" s="189" t="s">
        <v>40</v>
      </c>
      <c r="H3" s="189" t="s">
        <v>41</v>
      </c>
      <c r="I3" s="195" t="s">
        <v>567</v>
      </c>
      <c r="J3" s="192" t="s">
        <v>453</v>
      </c>
      <c r="K3" s="196" t="s">
        <v>454</v>
      </c>
      <c r="L3" s="196" t="s">
        <v>429</v>
      </c>
      <c r="M3" s="196" t="s">
        <v>455</v>
      </c>
      <c r="N3" s="196" t="s">
        <v>440</v>
      </c>
      <c r="O3" s="192" t="s">
        <v>328</v>
      </c>
      <c r="P3" s="192" t="s">
        <v>342</v>
      </c>
      <c r="Q3" s="196" t="s">
        <v>343</v>
      </c>
      <c r="R3" s="196" t="s">
        <v>344</v>
      </c>
      <c r="S3" s="193" t="s">
        <v>345</v>
      </c>
      <c r="T3" s="190" t="s">
        <v>38</v>
      </c>
      <c r="U3" s="192" t="s">
        <v>43</v>
      </c>
      <c r="V3" s="196" t="s">
        <v>44</v>
      </c>
      <c r="W3" s="196" t="s">
        <v>45</v>
      </c>
      <c r="X3" s="196" t="s">
        <v>46</v>
      </c>
      <c r="Y3" s="193" t="s">
        <v>47</v>
      </c>
      <c r="Z3" s="192" t="s">
        <v>38</v>
      </c>
      <c r="AA3" s="190" t="s">
        <v>289</v>
      </c>
      <c r="AB3" s="190" t="s">
        <v>568</v>
      </c>
      <c r="AC3" s="192" t="s">
        <v>49</v>
      </c>
      <c r="AD3" s="193" t="s">
        <v>50</v>
      </c>
      <c r="AE3" s="192">
        <v>1</v>
      </c>
      <c r="AF3" s="196">
        <v>2</v>
      </c>
      <c r="AG3" s="193">
        <v>3</v>
      </c>
      <c r="AH3" s="190" t="s">
        <v>38</v>
      </c>
      <c r="AI3" s="192" t="s">
        <v>55</v>
      </c>
      <c r="AJ3" s="193" t="s">
        <v>54</v>
      </c>
      <c r="AK3" s="192" t="s">
        <v>48</v>
      </c>
      <c r="AL3" s="196" t="s">
        <v>569</v>
      </c>
      <c r="AM3" s="192" t="s">
        <v>346</v>
      </c>
      <c r="AN3" s="192" t="s">
        <v>53</v>
      </c>
      <c r="AO3" s="193" t="s">
        <v>54</v>
      </c>
      <c r="AP3" s="192" t="s">
        <v>55</v>
      </c>
      <c r="AQ3" s="193" t="s">
        <v>54</v>
      </c>
      <c r="AR3" s="192" t="s">
        <v>55</v>
      </c>
      <c r="AS3" s="193" t="s">
        <v>54</v>
      </c>
      <c r="AT3" s="192" t="s">
        <v>55</v>
      </c>
      <c r="AU3" s="193" t="s">
        <v>54</v>
      </c>
      <c r="AV3" s="192" t="s">
        <v>55</v>
      </c>
      <c r="AW3" s="193" t="s">
        <v>54</v>
      </c>
      <c r="AX3" s="193" t="s">
        <v>570</v>
      </c>
      <c r="AY3" s="192">
        <v>1</v>
      </c>
      <c r="AZ3" s="196">
        <v>2</v>
      </c>
      <c r="BA3" s="196">
        <v>3</v>
      </c>
      <c r="BB3" s="196">
        <v>4</v>
      </c>
      <c r="BC3" s="190" t="s">
        <v>571</v>
      </c>
      <c r="BD3" s="190" t="s">
        <v>38</v>
      </c>
      <c r="BE3" s="189" t="s">
        <v>58</v>
      </c>
      <c r="BF3" s="192" t="s">
        <v>16</v>
      </c>
      <c r="BG3" s="196" t="s">
        <v>15</v>
      </c>
      <c r="BH3" s="196" t="s">
        <v>347</v>
      </c>
      <c r="BI3" s="193" t="s">
        <v>348</v>
      </c>
      <c r="BJ3" s="192" t="s">
        <v>349</v>
      </c>
      <c r="BK3" s="193" t="s">
        <v>350</v>
      </c>
      <c r="BL3" s="192">
        <v>1</v>
      </c>
      <c r="BM3" s="196">
        <v>2</v>
      </c>
      <c r="BN3" s="196">
        <v>3</v>
      </c>
      <c r="BO3" s="196">
        <v>4</v>
      </c>
      <c r="BP3" s="196">
        <v>5</v>
      </c>
      <c r="BQ3" s="196">
        <v>6</v>
      </c>
      <c r="BR3" s="196">
        <v>7</v>
      </c>
      <c r="BS3" s="196">
        <v>8</v>
      </c>
      <c r="BT3" s="193">
        <v>9</v>
      </c>
      <c r="BU3" s="192">
        <v>1</v>
      </c>
      <c r="BV3" s="196">
        <v>2</v>
      </c>
      <c r="BW3" s="196">
        <v>3</v>
      </c>
      <c r="BX3" s="196">
        <v>4</v>
      </c>
      <c r="BY3" s="196">
        <v>5</v>
      </c>
      <c r="BZ3" s="196">
        <v>6</v>
      </c>
      <c r="CA3" s="196">
        <v>7</v>
      </c>
      <c r="CB3" s="193">
        <v>8</v>
      </c>
      <c r="CC3" s="192" t="s">
        <v>492</v>
      </c>
      <c r="CD3" s="196" t="s">
        <v>63</v>
      </c>
      <c r="CE3" s="193" t="s">
        <v>572</v>
      </c>
      <c r="CF3" s="192" t="s">
        <v>493</v>
      </c>
      <c r="CG3" s="196" t="s">
        <v>494</v>
      </c>
      <c r="CH3" s="193" t="s">
        <v>573</v>
      </c>
      <c r="CI3" s="192">
        <v>1</v>
      </c>
      <c r="CJ3" s="193">
        <v>2</v>
      </c>
      <c r="CK3" s="197" t="s">
        <v>574</v>
      </c>
      <c r="CL3" s="198" t="s">
        <v>575</v>
      </c>
      <c r="CM3" s="197" t="s">
        <v>576</v>
      </c>
      <c r="CN3" s="199" t="s">
        <v>577</v>
      </c>
      <c r="CO3" s="199" t="s">
        <v>578</v>
      </c>
      <c r="CP3" s="199" t="s">
        <v>579</v>
      </c>
      <c r="CQ3" s="199" t="s">
        <v>580</v>
      </c>
      <c r="CR3" s="198" t="s">
        <v>581</v>
      </c>
      <c r="CS3" s="192" t="s">
        <v>582</v>
      </c>
      <c r="CT3" s="196" t="s">
        <v>583</v>
      </c>
      <c r="CU3" s="196" t="s">
        <v>584</v>
      </c>
      <c r="CV3" s="193"/>
      <c r="CW3" s="192" t="s">
        <v>64</v>
      </c>
      <c r="CX3" s="196" t="s">
        <v>65</v>
      </c>
      <c r="CY3" s="196" t="s">
        <v>66</v>
      </c>
      <c r="CZ3" s="193" t="s">
        <v>67</v>
      </c>
      <c r="DA3" s="189" t="s">
        <v>362</v>
      </c>
      <c r="DB3" s="6"/>
    </row>
    <row r="4" spans="1:106">
      <c r="A4" s="42" t="s">
        <v>319</v>
      </c>
      <c r="B4" s="162" t="s">
        <v>83</v>
      </c>
      <c r="C4" s="160" t="s">
        <v>65</v>
      </c>
      <c r="D4" s="161"/>
      <c r="E4" s="43">
        <v>1000</v>
      </c>
      <c r="F4" s="43">
        <v>3292</v>
      </c>
      <c r="G4" s="160">
        <v>5120</v>
      </c>
      <c r="H4" s="162">
        <v>2.2555066079295156</v>
      </c>
      <c r="I4" s="43">
        <v>3</v>
      </c>
      <c r="J4" s="160">
        <v>0</v>
      </c>
      <c r="K4" s="161">
        <v>0</v>
      </c>
      <c r="L4" s="161">
        <v>1</v>
      </c>
      <c r="M4" s="161">
        <v>1</v>
      </c>
      <c r="N4" s="162">
        <v>0</v>
      </c>
      <c r="O4" s="160">
        <v>110</v>
      </c>
      <c r="P4" s="160">
        <v>1</v>
      </c>
      <c r="Q4" s="161">
        <v>0</v>
      </c>
      <c r="R4" s="161">
        <v>0</v>
      </c>
      <c r="S4" s="162">
        <v>0</v>
      </c>
      <c r="T4" s="160">
        <v>1000</v>
      </c>
      <c r="U4" s="160">
        <v>1</v>
      </c>
      <c r="V4" s="161">
        <v>0</v>
      </c>
      <c r="W4" s="161">
        <v>1</v>
      </c>
      <c r="X4" s="161">
        <v>1</v>
      </c>
      <c r="Y4" s="162">
        <v>0</v>
      </c>
      <c r="Z4" s="43">
        <v>10110</v>
      </c>
      <c r="AA4" s="43">
        <v>3</v>
      </c>
      <c r="AB4" s="43">
        <v>1</v>
      </c>
      <c r="AC4" s="160">
        <v>1</v>
      </c>
      <c r="AD4" s="162">
        <v>1</v>
      </c>
      <c r="AE4" s="160">
        <v>0</v>
      </c>
      <c r="AF4" s="161">
        <v>1</v>
      </c>
      <c r="AG4" s="161">
        <v>1</v>
      </c>
      <c r="AH4" s="43">
        <v>11</v>
      </c>
      <c r="AI4" s="160">
        <v>1070</v>
      </c>
      <c r="AJ4" s="162">
        <v>3310</v>
      </c>
      <c r="AK4" s="160"/>
      <c r="AL4" s="162">
        <v>1</v>
      </c>
      <c r="AM4" s="160" t="s">
        <v>78</v>
      </c>
      <c r="AN4" s="161">
        <v>0</v>
      </c>
      <c r="AO4" s="161">
        <v>30</v>
      </c>
      <c r="AP4" s="161">
        <v>0</v>
      </c>
      <c r="AQ4" s="161">
        <v>0</v>
      </c>
      <c r="AR4" s="161">
        <v>0</v>
      </c>
      <c r="AS4" s="161">
        <v>0</v>
      </c>
      <c r="AT4" s="161">
        <v>0</v>
      </c>
      <c r="AU4" s="161">
        <v>40</v>
      </c>
      <c r="AV4" s="161">
        <v>0</v>
      </c>
      <c r="AW4" s="161">
        <v>0</v>
      </c>
      <c r="AX4" s="162"/>
      <c r="AY4" s="160">
        <v>0</v>
      </c>
      <c r="AZ4" s="161">
        <v>0</v>
      </c>
      <c r="BA4" s="161">
        <v>0</v>
      </c>
      <c r="BB4" s="162">
        <v>0</v>
      </c>
      <c r="BC4" s="160">
        <v>0</v>
      </c>
      <c r="BD4" s="162">
        <v>0</v>
      </c>
      <c r="BE4" s="43">
        <v>118</v>
      </c>
      <c r="BF4" s="160">
        <v>0</v>
      </c>
      <c r="BG4" s="161">
        <v>1</v>
      </c>
      <c r="BH4" s="161">
        <v>0</v>
      </c>
      <c r="BI4" s="161">
        <v>0</v>
      </c>
      <c r="BJ4" s="160">
        <v>0</v>
      </c>
      <c r="BK4" s="161">
        <v>1</v>
      </c>
      <c r="BL4" s="160">
        <v>81.349999999999994</v>
      </c>
      <c r="BM4" s="161">
        <v>81.489999999999995</v>
      </c>
      <c r="BN4" s="161">
        <v>81.23</v>
      </c>
      <c r="BO4" s="161"/>
      <c r="BP4" s="161"/>
      <c r="BQ4" s="161"/>
      <c r="BR4" s="161"/>
      <c r="BS4" s="161"/>
      <c r="BT4" s="162"/>
      <c r="BU4" s="160">
        <v>74.45</v>
      </c>
      <c r="BV4" s="161">
        <v>72.34</v>
      </c>
      <c r="BW4" s="161">
        <v>72.05</v>
      </c>
      <c r="BX4" s="161"/>
      <c r="BY4" s="161"/>
      <c r="BZ4" s="161"/>
      <c r="CA4" s="161"/>
      <c r="CB4" s="162"/>
      <c r="CC4" s="160">
        <v>77.849999999999994</v>
      </c>
      <c r="CD4" s="161">
        <v>75.760000000000005</v>
      </c>
      <c r="CE4" s="162"/>
      <c r="CF4" s="160">
        <v>70.650000000000006</v>
      </c>
      <c r="CG4" s="161"/>
      <c r="CH4" s="162"/>
      <c r="CI4" s="160"/>
      <c r="CJ4" s="162"/>
      <c r="CK4" s="160"/>
      <c r="CL4" s="162"/>
      <c r="CM4" s="160"/>
      <c r="CN4" s="161"/>
      <c r="CO4" s="161"/>
      <c r="CP4" s="161"/>
      <c r="CQ4" s="161"/>
      <c r="CR4" s="162"/>
      <c r="CS4" s="160"/>
      <c r="CT4" s="161"/>
      <c r="CU4" s="161"/>
      <c r="CV4" s="162"/>
      <c r="CW4" s="160"/>
      <c r="CX4" s="161"/>
      <c r="CY4" s="161"/>
      <c r="CZ4" s="162"/>
      <c r="DA4" s="43"/>
      <c r="DB4" s="6"/>
    </row>
    <row r="5" spans="1:106" ht="17" thickBot="1">
      <c r="A5" s="42" t="s">
        <v>319</v>
      </c>
      <c r="B5" s="38" t="s">
        <v>83</v>
      </c>
      <c r="C5" s="22" t="s">
        <v>66</v>
      </c>
      <c r="D5" s="37"/>
      <c r="E5" s="39">
        <v>1000</v>
      </c>
      <c r="F5" s="39">
        <v>3292</v>
      </c>
      <c r="G5" s="22">
        <v>3640</v>
      </c>
      <c r="H5" s="38">
        <v>1.2465753424657535</v>
      </c>
      <c r="I5" s="39">
        <v>4</v>
      </c>
      <c r="J5" s="22">
        <v>0</v>
      </c>
      <c r="K5" s="37">
        <v>0</v>
      </c>
      <c r="L5" s="37">
        <v>1</v>
      </c>
      <c r="M5" s="37">
        <v>1</v>
      </c>
      <c r="N5" s="38">
        <v>0</v>
      </c>
      <c r="O5" s="22">
        <v>110</v>
      </c>
      <c r="P5" s="22">
        <v>1</v>
      </c>
      <c r="Q5" s="37">
        <v>0</v>
      </c>
      <c r="R5" s="37">
        <v>0</v>
      </c>
      <c r="S5" s="38">
        <v>0</v>
      </c>
      <c r="T5" s="22">
        <v>1000</v>
      </c>
      <c r="U5" s="22">
        <v>1</v>
      </c>
      <c r="V5" s="37">
        <v>0</v>
      </c>
      <c r="W5" s="37">
        <v>1</v>
      </c>
      <c r="X5" s="37">
        <v>0</v>
      </c>
      <c r="Y5" s="38">
        <v>0</v>
      </c>
      <c r="Z5" s="39">
        <v>10100</v>
      </c>
      <c r="AA5" s="39">
        <v>2</v>
      </c>
      <c r="AB5" s="39">
        <v>1</v>
      </c>
      <c r="AC5" s="22">
        <v>1</v>
      </c>
      <c r="AD5" s="38">
        <v>3</v>
      </c>
      <c r="AE5" s="22">
        <v>1</v>
      </c>
      <c r="AF5" s="37">
        <v>1</v>
      </c>
      <c r="AG5" s="37">
        <v>0</v>
      </c>
      <c r="AH5" s="39">
        <v>110</v>
      </c>
      <c r="AI5" s="22">
        <v>647</v>
      </c>
      <c r="AJ5" s="38">
        <v>2553</v>
      </c>
      <c r="AK5" s="22">
        <v>10</v>
      </c>
      <c r="AL5" s="38">
        <v>1</v>
      </c>
      <c r="AM5" s="22">
        <v>5</v>
      </c>
      <c r="AN5" s="37">
        <v>10</v>
      </c>
      <c r="AO5" s="37">
        <v>70</v>
      </c>
      <c r="AP5" s="37">
        <v>0</v>
      </c>
      <c r="AQ5" s="37">
        <v>0</v>
      </c>
      <c r="AR5" s="37">
        <v>20</v>
      </c>
      <c r="AS5" s="37">
        <v>70</v>
      </c>
      <c r="AT5" s="37">
        <v>0</v>
      </c>
      <c r="AU5" s="37">
        <v>90</v>
      </c>
      <c r="AV5" s="37">
        <v>0</v>
      </c>
      <c r="AW5" s="37">
        <v>0</v>
      </c>
      <c r="AX5" s="38"/>
      <c r="AY5" s="22">
        <v>0</v>
      </c>
      <c r="AZ5" s="37">
        <v>0</v>
      </c>
      <c r="BA5" s="37">
        <v>0</v>
      </c>
      <c r="BB5" s="38">
        <v>0</v>
      </c>
      <c r="BC5" s="22">
        <v>0</v>
      </c>
      <c r="BD5" s="38">
        <v>0</v>
      </c>
      <c r="BE5" s="39">
        <v>106</v>
      </c>
      <c r="BF5" s="22">
        <v>0</v>
      </c>
      <c r="BG5" s="37">
        <v>1</v>
      </c>
      <c r="BH5" s="37">
        <v>0</v>
      </c>
      <c r="BI5" s="37">
        <v>0</v>
      </c>
      <c r="BJ5" s="22">
        <v>0</v>
      </c>
      <c r="BK5" s="37">
        <v>1</v>
      </c>
      <c r="BL5" s="22"/>
      <c r="BM5" s="37"/>
      <c r="BN5" s="37"/>
      <c r="BO5" s="37"/>
      <c r="BP5" s="37"/>
      <c r="BQ5" s="37"/>
      <c r="BR5" s="37"/>
      <c r="BS5" s="37"/>
      <c r="BT5" s="38"/>
      <c r="BU5" s="22">
        <v>80.12</v>
      </c>
      <c r="BV5" s="37">
        <v>82.48</v>
      </c>
      <c r="BW5" s="37"/>
      <c r="BX5" s="37"/>
      <c r="BY5" s="37"/>
      <c r="BZ5" s="37"/>
      <c r="CA5" s="37"/>
      <c r="CB5" s="38"/>
      <c r="CC5" s="22"/>
      <c r="CD5" s="37"/>
      <c r="CE5" s="38"/>
      <c r="CF5" s="22">
        <v>67.739999999999995</v>
      </c>
      <c r="CG5" s="37"/>
      <c r="CH5" s="38"/>
      <c r="CI5" s="22"/>
      <c r="CJ5" s="38"/>
      <c r="CK5" s="22"/>
      <c r="CL5" s="38"/>
      <c r="CM5" s="22"/>
      <c r="CN5" s="37"/>
      <c r="CO5" s="37"/>
      <c r="CP5" s="37"/>
      <c r="CQ5" s="37"/>
      <c r="CR5" s="38"/>
      <c r="CS5" s="22"/>
      <c r="CT5" s="37"/>
      <c r="CU5" s="37"/>
      <c r="CV5" s="38"/>
      <c r="CW5" s="22"/>
      <c r="CX5" s="37"/>
      <c r="CY5" s="37"/>
      <c r="CZ5" s="38"/>
      <c r="DA5" s="39"/>
      <c r="DB5" s="6"/>
    </row>
    <row r="6" spans="1:106">
      <c r="A6" s="87" t="s">
        <v>319</v>
      </c>
      <c r="B6" s="162" t="s">
        <v>310</v>
      </c>
      <c r="C6" s="160" t="s">
        <v>66</v>
      </c>
      <c r="D6" s="161"/>
      <c r="E6" s="43">
        <v>1000</v>
      </c>
      <c r="F6" s="43">
        <v>3206</v>
      </c>
      <c r="G6" s="160">
        <v>789</v>
      </c>
      <c r="H6" s="162">
        <v>1.0808219178082192</v>
      </c>
      <c r="I6" s="43">
        <v>2</v>
      </c>
      <c r="J6" s="160">
        <v>0</v>
      </c>
      <c r="K6" s="161">
        <v>0</v>
      </c>
      <c r="L6" s="161">
        <v>1</v>
      </c>
      <c r="M6" s="161">
        <v>0</v>
      </c>
      <c r="N6" s="162">
        <v>0</v>
      </c>
      <c r="O6" s="160">
        <v>100</v>
      </c>
      <c r="P6" s="160">
        <v>1</v>
      </c>
      <c r="Q6" s="161">
        <v>0</v>
      </c>
      <c r="R6" s="161">
        <v>0</v>
      </c>
      <c r="S6" s="162">
        <v>0</v>
      </c>
      <c r="T6" s="160">
        <v>1000</v>
      </c>
      <c r="U6" s="160">
        <v>0</v>
      </c>
      <c r="V6" s="161">
        <v>3</v>
      </c>
      <c r="W6" s="161">
        <v>0</v>
      </c>
      <c r="X6" s="161">
        <v>0</v>
      </c>
      <c r="Y6" s="162">
        <v>0</v>
      </c>
      <c r="Z6" s="43">
        <v>3000</v>
      </c>
      <c r="AA6" s="43">
        <v>3</v>
      </c>
      <c r="AB6" s="43">
        <v>3</v>
      </c>
      <c r="AC6" s="160">
        <v>1</v>
      </c>
      <c r="AD6" s="162">
        <v>3</v>
      </c>
      <c r="AE6" s="160">
        <v>0</v>
      </c>
      <c r="AF6" s="161">
        <v>0</v>
      </c>
      <c r="AG6" s="161">
        <v>1</v>
      </c>
      <c r="AH6" s="43">
        <v>1</v>
      </c>
      <c r="AI6" s="160">
        <v>752</v>
      </c>
      <c r="AJ6" s="162">
        <v>776</v>
      </c>
      <c r="AK6" s="160">
        <v>16</v>
      </c>
      <c r="AL6" s="162">
        <v>1</v>
      </c>
      <c r="AM6" s="160">
        <v>1</v>
      </c>
      <c r="AN6" s="161">
        <v>0</v>
      </c>
      <c r="AO6" s="161">
        <v>0</v>
      </c>
      <c r="AP6" s="161">
        <v>0</v>
      </c>
      <c r="AQ6" s="161">
        <v>0</v>
      </c>
      <c r="AR6" s="161">
        <v>0</v>
      </c>
      <c r="AS6" s="161">
        <v>0</v>
      </c>
      <c r="AT6" s="161">
        <v>17</v>
      </c>
      <c r="AU6" s="161">
        <v>64</v>
      </c>
      <c r="AV6" s="161">
        <v>0</v>
      </c>
      <c r="AW6" s="161">
        <v>0</v>
      </c>
      <c r="AX6" s="162">
        <v>0</v>
      </c>
      <c r="AY6" s="160">
        <v>0</v>
      </c>
      <c r="AZ6" s="161">
        <v>0</v>
      </c>
      <c r="BA6" s="161">
        <v>0</v>
      </c>
      <c r="BB6" s="162">
        <v>0</v>
      </c>
      <c r="BC6" s="160">
        <v>0</v>
      </c>
      <c r="BD6" s="162">
        <v>0</v>
      </c>
      <c r="BE6" s="43">
        <v>49</v>
      </c>
      <c r="BF6" s="160">
        <v>0</v>
      </c>
      <c r="BG6" s="161">
        <v>0</v>
      </c>
      <c r="BH6" s="161">
        <v>0</v>
      </c>
      <c r="BI6" s="161">
        <v>0</v>
      </c>
      <c r="BJ6" s="160">
        <v>0</v>
      </c>
      <c r="BK6" s="161">
        <v>1</v>
      </c>
      <c r="BL6" s="160"/>
      <c r="BM6" s="161"/>
      <c r="BN6" s="161"/>
      <c r="BO6" s="161"/>
      <c r="BP6" s="161"/>
      <c r="BQ6" s="161"/>
      <c r="BR6" s="161"/>
      <c r="BS6" s="161"/>
      <c r="BT6" s="162"/>
      <c r="BU6" s="160">
        <v>79.14</v>
      </c>
      <c r="BV6" s="161"/>
      <c r="BW6" s="161"/>
      <c r="BX6" s="161"/>
      <c r="BY6" s="161"/>
      <c r="BZ6" s="161"/>
      <c r="CA6" s="161"/>
      <c r="CB6" s="162"/>
      <c r="CC6" s="160"/>
      <c r="CD6" s="161"/>
      <c r="CE6" s="162"/>
      <c r="CF6" s="160">
        <v>61.22</v>
      </c>
      <c r="CG6" s="161"/>
      <c r="CH6" s="162"/>
      <c r="CI6" s="160"/>
      <c r="CJ6" s="162"/>
      <c r="CK6" s="160"/>
      <c r="CL6" s="162"/>
      <c r="CM6" s="160">
        <v>79.430000000000007</v>
      </c>
      <c r="CN6" s="161"/>
      <c r="CO6" s="161"/>
      <c r="CP6" s="161"/>
      <c r="CQ6" s="161"/>
      <c r="CR6" s="162"/>
      <c r="CS6" s="160"/>
      <c r="CT6" s="161"/>
      <c r="CU6" s="161"/>
      <c r="CV6" s="162"/>
      <c r="CW6" s="160">
        <v>73.45</v>
      </c>
      <c r="CX6" s="161"/>
      <c r="CY6" s="161"/>
      <c r="CZ6" s="162"/>
      <c r="DA6" s="43"/>
      <c r="DB6" s="6"/>
    </row>
    <row r="7" spans="1:106">
      <c r="A7" s="42" t="s">
        <v>319</v>
      </c>
      <c r="B7" s="17" t="s">
        <v>310</v>
      </c>
      <c r="C7" s="16" t="s">
        <v>67</v>
      </c>
      <c r="D7" s="1"/>
      <c r="E7" s="18">
        <v>100</v>
      </c>
      <c r="F7" s="18">
        <v>3206</v>
      </c>
      <c r="G7" s="16">
        <v>1141</v>
      </c>
      <c r="H7" s="17">
        <v>1.4034440344403445</v>
      </c>
      <c r="I7" s="18">
        <v>2</v>
      </c>
      <c r="J7" s="16">
        <v>0</v>
      </c>
      <c r="K7" s="1">
        <v>1</v>
      </c>
      <c r="L7" s="1">
        <v>0</v>
      </c>
      <c r="M7" s="1">
        <v>0</v>
      </c>
      <c r="N7" s="17">
        <v>0</v>
      </c>
      <c r="O7" s="16">
        <v>1000</v>
      </c>
      <c r="P7" s="16">
        <v>0</v>
      </c>
      <c r="Q7" s="1">
        <v>0</v>
      </c>
      <c r="R7" s="1">
        <v>0</v>
      </c>
      <c r="S7" s="17">
        <v>1</v>
      </c>
      <c r="T7" s="16">
        <v>100</v>
      </c>
      <c r="U7" s="16">
        <v>0</v>
      </c>
      <c r="V7" s="1">
        <v>1</v>
      </c>
      <c r="W7" s="1">
        <v>0</v>
      </c>
      <c r="X7" s="1">
        <v>0</v>
      </c>
      <c r="Y7" s="17">
        <v>0</v>
      </c>
      <c r="Z7" s="18">
        <v>1000</v>
      </c>
      <c r="AA7" s="18">
        <v>1</v>
      </c>
      <c r="AB7" s="18">
        <v>2</v>
      </c>
      <c r="AC7" s="16">
        <v>1</v>
      </c>
      <c r="AD7" s="17">
        <v>4</v>
      </c>
      <c r="AE7" s="16">
        <v>0</v>
      </c>
      <c r="AF7" s="1">
        <v>0</v>
      </c>
      <c r="AG7" s="1">
        <v>1</v>
      </c>
      <c r="AH7" s="18">
        <v>1</v>
      </c>
      <c r="AI7" s="16">
        <v>760</v>
      </c>
      <c r="AJ7" s="17">
        <v>892</v>
      </c>
      <c r="AK7" s="16">
        <v>11</v>
      </c>
      <c r="AL7" s="17">
        <v>1</v>
      </c>
      <c r="AM7" s="16">
        <v>1</v>
      </c>
      <c r="AN7" s="1">
        <v>3</v>
      </c>
      <c r="AO7" s="1">
        <v>23</v>
      </c>
      <c r="AP7" s="1">
        <v>0</v>
      </c>
      <c r="AQ7" s="1">
        <v>0</v>
      </c>
      <c r="AR7" s="1">
        <v>0</v>
      </c>
      <c r="AS7" s="1">
        <v>46</v>
      </c>
      <c r="AT7" s="1">
        <v>25</v>
      </c>
      <c r="AU7" s="1">
        <v>36</v>
      </c>
      <c r="AV7" s="1">
        <v>0</v>
      </c>
      <c r="AW7" s="1">
        <v>0</v>
      </c>
      <c r="AX7" s="17">
        <v>0</v>
      </c>
      <c r="AY7" s="16">
        <v>0</v>
      </c>
      <c r="AZ7" s="1">
        <v>0</v>
      </c>
      <c r="BA7" s="1">
        <v>0</v>
      </c>
      <c r="BB7" s="17">
        <v>0</v>
      </c>
      <c r="BC7" s="16">
        <v>0</v>
      </c>
      <c r="BD7" s="17">
        <v>0</v>
      </c>
      <c r="BE7" s="18">
        <v>75</v>
      </c>
      <c r="BF7" s="16">
        <v>0</v>
      </c>
      <c r="BG7" s="1">
        <v>0</v>
      </c>
      <c r="BH7" s="1">
        <v>0</v>
      </c>
      <c r="BI7" s="1">
        <v>0</v>
      </c>
      <c r="BJ7" s="16">
        <v>0</v>
      </c>
      <c r="BK7" s="1">
        <v>1</v>
      </c>
      <c r="BL7" s="16">
        <v>80.7</v>
      </c>
      <c r="BM7" s="1"/>
      <c r="BN7" s="1"/>
      <c r="BO7" s="1"/>
      <c r="BP7" s="1"/>
      <c r="BQ7" s="1"/>
      <c r="BR7" s="1"/>
      <c r="BS7" s="1"/>
      <c r="BT7" s="17"/>
      <c r="BU7" s="16">
        <v>82.47</v>
      </c>
      <c r="BV7" s="1"/>
      <c r="BW7" s="1"/>
      <c r="BX7" s="1"/>
      <c r="BY7" s="1"/>
      <c r="BZ7" s="1"/>
      <c r="CA7" s="1"/>
      <c r="CB7" s="17"/>
      <c r="CC7" s="16"/>
      <c r="CD7" s="1"/>
      <c r="CE7" s="17"/>
      <c r="CF7" s="16">
        <v>55.83</v>
      </c>
      <c r="CG7" s="1"/>
      <c r="CH7" s="17"/>
      <c r="CI7" s="16"/>
      <c r="CJ7" s="17"/>
      <c r="CK7" s="16"/>
      <c r="CL7" s="17"/>
      <c r="CM7" s="16"/>
      <c r="CN7" s="1"/>
      <c r="CO7" s="1"/>
      <c r="CP7" s="1"/>
      <c r="CQ7" s="1"/>
      <c r="CR7" s="17"/>
      <c r="CS7" s="16"/>
      <c r="CT7" s="1"/>
      <c r="CU7" s="1"/>
      <c r="CV7" s="17"/>
      <c r="CW7" s="16"/>
      <c r="CX7" s="1"/>
      <c r="CY7" s="1"/>
      <c r="CZ7" s="17"/>
      <c r="DA7" s="18"/>
      <c r="DB7" s="6"/>
    </row>
    <row r="8" spans="1:106" ht="17" thickBot="1">
      <c r="A8" s="55" t="s">
        <v>319</v>
      </c>
      <c r="B8" s="38" t="s">
        <v>310</v>
      </c>
      <c r="C8" s="22" t="s">
        <v>73</v>
      </c>
      <c r="D8" s="37"/>
      <c r="E8" s="39">
        <v>100</v>
      </c>
      <c r="F8" s="39">
        <v>3206</v>
      </c>
      <c r="G8" s="22">
        <v>4570</v>
      </c>
      <c r="H8" s="38">
        <v>1.2694444444444444</v>
      </c>
      <c r="I8" s="39">
        <v>4</v>
      </c>
      <c r="J8" s="22">
        <v>0</v>
      </c>
      <c r="K8" s="37">
        <v>1</v>
      </c>
      <c r="L8" s="37">
        <v>0</v>
      </c>
      <c r="M8" s="37">
        <v>0</v>
      </c>
      <c r="N8" s="38">
        <v>0</v>
      </c>
      <c r="O8" s="22">
        <v>1000</v>
      </c>
      <c r="P8" s="22">
        <v>0</v>
      </c>
      <c r="Q8" s="37">
        <v>0</v>
      </c>
      <c r="R8" s="37">
        <v>0</v>
      </c>
      <c r="S8" s="38">
        <v>1</v>
      </c>
      <c r="T8" s="22">
        <v>100</v>
      </c>
      <c r="U8" s="22">
        <v>0</v>
      </c>
      <c r="V8" s="37">
        <v>1</v>
      </c>
      <c r="W8" s="37">
        <v>1</v>
      </c>
      <c r="X8" s="37">
        <v>0</v>
      </c>
      <c r="Y8" s="38">
        <v>0</v>
      </c>
      <c r="Z8" s="39">
        <v>1100</v>
      </c>
      <c r="AA8" s="39">
        <v>2</v>
      </c>
      <c r="AB8" s="39">
        <v>3</v>
      </c>
      <c r="AC8" s="22">
        <v>1</v>
      </c>
      <c r="AD8" s="38">
        <v>2</v>
      </c>
      <c r="AE8" s="22">
        <v>0</v>
      </c>
      <c r="AF8" s="37">
        <v>1</v>
      </c>
      <c r="AG8" s="37">
        <v>1</v>
      </c>
      <c r="AH8" s="39">
        <v>11</v>
      </c>
      <c r="AI8" s="22">
        <v>750</v>
      </c>
      <c r="AJ8" s="38">
        <v>3663</v>
      </c>
      <c r="AK8" s="22">
        <v>16</v>
      </c>
      <c r="AL8" s="38">
        <v>1</v>
      </c>
      <c r="AM8" s="22">
        <v>3</v>
      </c>
      <c r="AN8" s="37">
        <v>20</v>
      </c>
      <c r="AO8" s="37">
        <v>70</v>
      </c>
      <c r="AP8" s="37">
        <v>0</v>
      </c>
      <c r="AQ8" s="37">
        <v>0</v>
      </c>
      <c r="AR8" s="37">
        <v>10</v>
      </c>
      <c r="AS8" s="37">
        <v>110</v>
      </c>
      <c r="AT8" s="37">
        <v>0</v>
      </c>
      <c r="AU8" s="37">
        <v>0</v>
      </c>
      <c r="AV8" s="37">
        <v>140</v>
      </c>
      <c r="AW8" s="37">
        <v>1250</v>
      </c>
      <c r="AX8" s="38"/>
      <c r="AY8" s="22">
        <v>0</v>
      </c>
      <c r="AZ8" s="37">
        <v>0</v>
      </c>
      <c r="BA8" s="37">
        <v>0</v>
      </c>
      <c r="BB8" s="38">
        <v>0</v>
      </c>
      <c r="BC8" s="22">
        <v>0</v>
      </c>
      <c r="BD8" s="38">
        <v>0</v>
      </c>
      <c r="BE8" s="39">
        <v>108</v>
      </c>
      <c r="BF8" s="22">
        <v>0</v>
      </c>
      <c r="BG8" s="37">
        <v>1</v>
      </c>
      <c r="BH8" s="37">
        <v>0</v>
      </c>
      <c r="BI8" s="37">
        <v>0</v>
      </c>
      <c r="BJ8" s="22">
        <v>0</v>
      </c>
      <c r="BK8" s="37">
        <v>1</v>
      </c>
      <c r="BL8" s="22"/>
      <c r="BM8" s="37"/>
      <c r="BN8" s="37"/>
      <c r="BO8" s="37"/>
      <c r="BP8" s="37"/>
      <c r="BQ8" s="37"/>
      <c r="BR8" s="37"/>
      <c r="BS8" s="37"/>
      <c r="BT8" s="38"/>
      <c r="BU8" s="22"/>
      <c r="BV8" s="37"/>
      <c r="BW8" s="37"/>
      <c r="BX8" s="37"/>
      <c r="BY8" s="37"/>
      <c r="BZ8" s="37"/>
      <c r="CA8" s="37"/>
      <c r="CB8" s="38"/>
      <c r="CC8" s="22"/>
      <c r="CD8" s="37"/>
      <c r="CE8" s="38"/>
      <c r="CF8" s="22"/>
      <c r="CG8" s="37"/>
      <c r="CH8" s="38"/>
      <c r="CI8" s="22"/>
      <c r="CJ8" s="38"/>
      <c r="CK8" s="22"/>
      <c r="CL8" s="38"/>
      <c r="CM8" s="22"/>
      <c r="CN8" s="37"/>
      <c r="CO8" s="37"/>
      <c r="CP8" s="37"/>
      <c r="CQ8" s="37"/>
      <c r="CR8" s="38"/>
      <c r="CS8" s="22"/>
      <c r="CT8" s="37"/>
      <c r="CU8" s="37"/>
      <c r="CV8" s="38"/>
      <c r="CW8" s="22"/>
      <c r="CX8" s="37"/>
      <c r="CY8" s="37"/>
      <c r="CZ8" s="38"/>
      <c r="DA8" s="39"/>
      <c r="DB8" s="6"/>
    </row>
    <row r="9" spans="1:106" ht="17" thickBot="1">
      <c r="A9" s="42" t="s">
        <v>319</v>
      </c>
      <c r="B9" s="162" t="s">
        <v>86</v>
      </c>
      <c r="C9" s="160" t="s">
        <v>81</v>
      </c>
      <c r="D9" s="161"/>
      <c r="E9" s="43">
        <v>1000</v>
      </c>
      <c r="F9" s="43"/>
      <c r="G9" s="160">
        <v>3497</v>
      </c>
      <c r="H9" s="162">
        <v>1.6371722846441947</v>
      </c>
      <c r="I9" s="43">
        <v>2</v>
      </c>
      <c r="J9" s="160">
        <v>0</v>
      </c>
      <c r="K9" s="161">
        <v>0</v>
      </c>
      <c r="L9" s="161">
        <v>1</v>
      </c>
      <c r="M9" s="161">
        <v>0</v>
      </c>
      <c r="N9" s="162">
        <v>0</v>
      </c>
      <c r="O9" s="160">
        <v>100</v>
      </c>
      <c r="P9" s="160">
        <v>1</v>
      </c>
      <c r="Q9" s="161">
        <v>0</v>
      </c>
      <c r="R9" s="161">
        <v>0</v>
      </c>
      <c r="S9" s="162">
        <v>0</v>
      </c>
      <c r="T9" s="160">
        <v>1000</v>
      </c>
      <c r="U9" s="160">
        <v>0</v>
      </c>
      <c r="V9" s="161">
        <v>0</v>
      </c>
      <c r="W9" s="161">
        <v>0</v>
      </c>
      <c r="X9" s="161">
        <v>1</v>
      </c>
      <c r="Y9" s="162">
        <v>0</v>
      </c>
      <c r="Z9" s="43">
        <v>10</v>
      </c>
      <c r="AA9" s="43">
        <v>1</v>
      </c>
      <c r="AB9" s="43">
        <v>1</v>
      </c>
      <c r="AC9" s="160">
        <v>1</v>
      </c>
      <c r="AD9" s="162">
        <v>3</v>
      </c>
      <c r="AE9" s="160">
        <v>0</v>
      </c>
      <c r="AF9" s="161">
        <v>0</v>
      </c>
      <c r="AG9" s="161">
        <v>1</v>
      </c>
      <c r="AH9" s="43">
        <v>1</v>
      </c>
      <c r="AI9" s="160">
        <v>2130</v>
      </c>
      <c r="AJ9" s="162">
        <v>2140</v>
      </c>
      <c r="AK9" s="160"/>
      <c r="AL9" s="162">
        <v>1</v>
      </c>
      <c r="AM9" s="160">
        <v>4</v>
      </c>
      <c r="AN9" s="161">
        <v>11</v>
      </c>
      <c r="AO9" s="161">
        <v>47</v>
      </c>
      <c r="AP9" s="161">
        <v>0</v>
      </c>
      <c r="AQ9" s="161">
        <v>0</v>
      </c>
      <c r="AR9" s="161">
        <v>9</v>
      </c>
      <c r="AS9" s="161">
        <v>87</v>
      </c>
      <c r="AT9" s="161">
        <v>13</v>
      </c>
      <c r="AU9" s="161">
        <v>176</v>
      </c>
      <c r="AV9" s="161">
        <v>0</v>
      </c>
      <c r="AW9" s="161">
        <v>601</v>
      </c>
      <c r="AX9" s="162">
        <v>0</v>
      </c>
      <c r="AY9" s="160">
        <v>0</v>
      </c>
      <c r="AZ9" s="161">
        <v>0</v>
      </c>
      <c r="BA9" s="161">
        <v>0</v>
      </c>
      <c r="BB9" s="162">
        <v>0</v>
      </c>
      <c r="BC9" s="160">
        <v>0</v>
      </c>
      <c r="BD9" s="162">
        <v>0</v>
      </c>
      <c r="BE9" s="43">
        <v>118</v>
      </c>
      <c r="BF9" s="160">
        <v>0</v>
      </c>
      <c r="BG9" s="161">
        <v>1</v>
      </c>
      <c r="BH9" s="161">
        <v>0</v>
      </c>
      <c r="BI9" s="161">
        <v>0</v>
      </c>
      <c r="BJ9" s="160">
        <v>0</v>
      </c>
      <c r="BK9" s="161">
        <v>1</v>
      </c>
      <c r="BL9" s="160"/>
      <c r="BM9" s="161"/>
      <c r="BN9" s="161"/>
      <c r="BO9" s="161"/>
      <c r="BP9" s="161"/>
      <c r="BQ9" s="161"/>
      <c r="BR9" s="161"/>
      <c r="BS9" s="161"/>
      <c r="BT9" s="162"/>
      <c r="BU9" s="160"/>
      <c r="BV9" s="161"/>
      <c r="BW9" s="161"/>
      <c r="BX9" s="161"/>
      <c r="BY9" s="161"/>
      <c r="BZ9" s="161"/>
      <c r="CA9" s="161"/>
      <c r="CB9" s="162"/>
      <c r="CC9" s="160"/>
      <c r="CD9" s="161"/>
      <c r="CE9" s="162"/>
      <c r="CF9" s="160"/>
      <c r="CG9" s="161"/>
      <c r="CH9" s="162"/>
      <c r="CI9" s="160"/>
      <c r="CJ9" s="162"/>
      <c r="CK9" s="160"/>
      <c r="CL9" s="162"/>
      <c r="CM9" s="160"/>
      <c r="CN9" s="161"/>
      <c r="CO9" s="161"/>
      <c r="CP9" s="161"/>
      <c r="CQ9" s="161"/>
      <c r="CR9" s="162"/>
      <c r="CS9" s="160"/>
      <c r="CT9" s="161"/>
      <c r="CU9" s="161"/>
      <c r="CV9" s="162"/>
      <c r="CW9" s="160"/>
      <c r="CX9" s="161"/>
      <c r="CY9" s="161"/>
      <c r="CZ9" s="162"/>
      <c r="DA9" s="43"/>
      <c r="DB9" s="6"/>
    </row>
    <row r="10" spans="1:106" ht="17" thickBot="1">
      <c r="A10" s="88" t="s">
        <v>319</v>
      </c>
      <c r="B10" s="200" t="s">
        <v>90</v>
      </c>
      <c r="C10" s="201" t="s">
        <v>114</v>
      </c>
      <c r="D10" s="202"/>
      <c r="E10" s="46">
        <v>1100</v>
      </c>
      <c r="F10" s="46"/>
      <c r="G10" s="201">
        <v>5281</v>
      </c>
      <c r="H10" s="200">
        <v>2.3874321880650995</v>
      </c>
      <c r="I10" s="46">
        <v>3</v>
      </c>
      <c r="J10" s="201">
        <v>0</v>
      </c>
      <c r="K10" s="202">
        <v>1</v>
      </c>
      <c r="L10" s="202">
        <v>1</v>
      </c>
      <c r="M10" s="202">
        <v>0</v>
      </c>
      <c r="N10" s="200">
        <v>0</v>
      </c>
      <c r="O10" s="201">
        <v>1100</v>
      </c>
      <c r="P10" s="201">
        <v>1</v>
      </c>
      <c r="Q10" s="202">
        <v>0</v>
      </c>
      <c r="R10" s="202">
        <v>0</v>
      </c>
      <c r="S10" s="200">
        <v>1</v>
      </c>
      <c r="T10" s="201">
        <v>1100</v>
      </c>
      <c r="U10" s="201">
        <v>0</v>
      </c>
      <c r="V10" s="202">
        <v>0</v>
      </c>
      <c r="W10" s="202">
        <v>1</v>
      </c>
      <c r="X10" s="202">
        <v>1</v>
      </c>
      <c r="Y10" s="200">
        <v>0</v>
      </c>
      <c r="Z10" s="46">
        <v>110</v>
      </c>
      <c r="AA10" s="46">
        <v>2</v>
      </c>
      <c r="AB10" s="46">
        <v>3</v>
      </c>
      <c r="AC10" s="201">
        <v>1</v>
      </c>
      <c r="AD10" s="200">
        <v>3</v>
      </c>
      <c r="AE10" s="201">
        <v>0</v>
      </c>
      <c r="AF10" s="202">
        <v>0</v>
      </c>
      <c r="AG10" s="202">
        <v>1</v>
      </c>
      <c r="AH10" s="46">
        <v>1</v>
      </c>
      <c r="AI10" s="201">
        <v>1911</v>
      </c>
      <c r="AJ10" s="200">
        <v>4671</v>
      </c>
      <c r="AK10" s="201"/>
      <c r="AL10" s="200">
        <v>1</v>
      </c>
      <c r="AM10" s="201">
        <v>3</v>
      </c>
      <c r="AN10" s="202">
        <v>10</v>
      </c>
      <c r="AO10" s="202">
        <v>40</v>
      </c>
      <c r="AP10" s="202">
        <v>0</v>
      </c>
      <c r="AQ10" s="202">
        <v>0</v>
      </c>
      <c r="AR10" s="202">
        <v>30</v>
      </c>
      <c r="AS10" s="202">
        <v>170</v>
      </c>
      <c r="AT10" s="202">
        <v>20</v>
      </c>
      <c r="AU10" s="202">
        <v>290</v>
      </c>
      <c r="AV10" s="202">
        <v>90</v>
      </c>
      <c r="AW10" s="202">
        <v>130</v>
      </c>
      <c r="AX10" s="200">
        <v>0</v>
      </c>
      <c r="AY10" s="201">
        <v>0</v>
      </c>
      <c r="AZ10" s="202">
        <v>0</v>
      </c>
      <c r="BA10" s="202">
        <v>0</v>
      </c>
      <c r="BB10" s="200">
        <v>0</v>
      </c>
      <c r="BC10" s="201">
        <v>0</v>
      </c>
      <c r="BD10" s="200">
        <v>0</v>
      </c>
      <c r="BE10" s="46">
        <v>196</v>
      </c>
      <c r="BF10" s="201">
        <v>0</v>
      </c>
      <c r="BG10" s="202">
        <v>1</v>
      </c>
      <c r="BH10" s="202">
        <v>0</v>
      </c>
      <c r="BI10" s="202">
        <v>0</v>
      </c>
      <c r="BJ10" s="201">
        <v>0</v>
      </c>
      <c r="BK10" s="202">
        <v>1</v>
      </c>
      <c r="BL10" s="201">
        <v>80.78</v>
      </c>
      <c r="BM10" s="202"/>
      <c r="BN10" s="202"/>
      <c r="BO10" s="202"/>
      <c r="BP10" s="202"/>
      <c r="BQ10" s="202"/>
      <c r="BR10" s="202"/>
      <c r="BS10" s="202"/>
      <c r="BT10" s="200"/>
      <c r="BU10" s="201">
        <v>82.05</v>
      </c>
      <c r="BV10" s="202"/>
      <c r="BW10" s="202"/>
      <c r="BX10" s="202"/>
      <c r="BY10" s="202"/>
      <c r="BZ10" s="202"/>
      <c r="CA10" s="202"/>
      <c r="CB10" s="200"/>
      <c r="CC10" s="201"/>
      <c r="CD10" s="202"/>
      <c r="CE10" s="200"/>
      <c r="CF10" s="201">
        <v>62.41</v>
      </c>
      <c r="CG10" s="202"/>
      <c r="CH10" s="200"/>
      <c r="CI10" s="201"/>
      <c r="CJ10" s="200"/>
      <c r="CK10" s="201"/>
      <c r="CL10" s="200"/>
      <c r="CM10" s="201"/>
      <c r="CN10" s="202"/>
      <c r="CO10" s="202"/>
      <c r="CP10" s="202"/>
      <c r="CQ10" s="202"/>
      <c r="CR10" s="200"/>
      <c r="CS10" s="201"/>
      <c r="CT10" s="202"/>
      <c r="CU10" s="202"/>
      <c r="CV10" s="200"/>
      <c r="CW10" s="201"/>
      <c r="CX10" s="202"/>
      <c r="CY10" s="202"/>
      <c r="CZ10" s="200"/>
      <c r="DA10" s="46"/>
      <c r="DB10" s="6"/>
    </row>
    <row r="11" spans="1:106">
      <c r="A11" s="42" t="s">
        <v>319</v>
      </c>
      <c r="B11" s="162" t="s">
        <v>109</v>
      </c>
      <c r="C11" s="160" t="s">
        <v>69</v>
      </c>
      <c r="D11" s="161"/>
      <c r="E11" s="43">
        <v>1100</v>
      </c>
      <c r="F11" s="43"/>
      <c r="G11" s="160">
        <v>4440</v>
      </c>
      <c r="H11" s="162">
        <v>1.4006309148264984</v>
      </c>
      <c r="I11" s="43">
        <v>11</v>
      </c>
      <c r="J11" s="160">
        <v>0</v>
      </c>
      <c r="K11" s="161">
        <v>0</v>
      </c>
      <c r="L11" s="161">
        <v>1</v>
      </c>
      <c r="M11" s="161">
        <v>0</v>
      </c>
      <c r="N11" s="162">
        <v>0</v>
      </c>
      <c r="O11" s="160">
        <v>100</v>
      </c>
      <c r="P11" s="160">
        <v>1</v>
      </c>
      <c r="Q11" s="161">
        <v>0</v>
      </c>
      <c r="R11" s="161">
        <v>0</v>
      </c>
      <c r="S11" s="162">
        <v>1</v>
      </c>
      <c r="T11" s="160">
        <v>1100</v>
      </c>
      <c r="U11" s="160">
        <v>0</v>
      </c>
      <c r="V11" s="161">
        <v>2</v>
      </c>
      <c r="W11" s="161">
        <v>0</v>
      </c>
      <c r="X11" s="161">
        <v>1</v>
      </c>
      <c r="Y11" s="162">
        <v>0</v>
      </c>
      <c r="Z11" s="43">
        <v>2010</v>
      </c>
      <c r="AA11" s="43">
        <v>3</v>
      </c>
      <c r="AB11" s="43">
        <v>3</v>
      </c>
      <c r="AC11" s="160"/>
      <c r="AD11" s="162"/>
      <c r="AE11" s="160">
        <v>1</v>
      </c>
      <c r="AF11" s="161">
        <v>0</v>
      </c>
      <c r="AG11" s="161">
        <v>1</v>
      </c>
      <c r="AH11" s="43">
        <v>101</v>
      </c>
      <c r="AI11" s="160">
        <v>124</v>
      </c>
      <c r="AJ11" s="162">
        <v>2378</v>
      </c>
      <c r="AK11" s="160">
        <v>12</v>
      </c>
      <c r="AL11" s="162">
        <v>1</v>
      </c>
      <c r="AM11" s="160">
        <v>5</v>
      </c>
      <c r="AN11" s="161">
        <v>20</v>
      </c>
      <c r="AO11" s="161">
        <v>200</v>
      </c>
      <c r="AP11" s="161">
        <v>0</v>
      </c>
      <c r="AQ11" s="161">
        <v>0</v>
      </c>
      <c r="AR11" s="161">
        <v>30</v>
      </c>
      <c r="AS11" s="161">
        <v>240</v>
      </c>
      <c r="AT11" s="161">
        <v>20</v>
      </c>
      <c r="AU11" s="161">
        <v>200</v>
      </c>
      <c r="AV11" s="161">
        <v>60</v>
      </c>
      <c r="AW11" s="161">
        <v>220</v>
      </c>
      <c r="AX11" s="162"/>
      <c r="AY11" s="160">
        <v>0</v>
      </c>
      <c r="AZ11" s="161">
        <v>0</v>
      </c>
      <c r="BA11" s="161">
        <v>0</v>
      </c>
      <c r="BB11" s="162">
        <v>0</v>
      </c>
      <c r="BC11" s="160">
        <v>0</v>
      </c>
      <c r="BD11" s="162">
        <v>0</v>
      </c>
      <c r="BE11" s="43">
        <v>150</v>
      </c>
      <c r="BF11" s="160">
        <v>0</v>
      </c>
      <c r="BG11" s="161">
        <v>1</v>
      </c>
      <c r="BH11" s="161">
        <v>0</v>
      </c>
      <c r="BI11" s="161">
        <v>0</v>
      </c>
      <c r="BJ11" s="160">
        <v>1</v>
      </c>
      <c r="BK11" s="161">
        <v>0</v>
      </c>
      <c r="BL11" s="160">
        <v>79.150000000000006</v>
      </c>
      <c r="BM11" s="161">
        <v>72.95</v>
      </c>
      <c r="BN11" s="161"/>
      <c r="BO11" s="161"/>
      <c r="BP11" s="161"/>
      <c r="BQ11" s="161"/>
      <c r="BR11" s="161"/>
      <c r="BS11" s="161"/>
      <c r="BT11" s="162"/>
      <c r="BU11" s="160"/>
      <c r="BV11" s="161">
        <v>77.819999999999993</v>
      </c>
      <c r="BW11" s="161">
        <v>79.33</v>
      </c>
      <c r="BX11" s="161">
        <v>80.569999999999993</v>
      </c>
      <c r="BY11" s="161"/>
      <c r="BZ11" s="161"/>
      <c r="CA11" s="161"/>
      <c r="CB11" s="162"/>
      <c r="CC11" s="160">
        <v>68.5</v>
      </c>
      <c r="CD11" s="161">
        <v>74.14</v>
      </c>
      <c r="CE11" s="162">
        <v>74.97</v>
      </c>
      <c r="CF11" s="160">
        <v>54.7</v>
      </c>
      <c r="CG11" s="161">
        <v>54.63</v>
      </c>
      <c r="CH11" s="162"/>
      <c r="CI11" s="160"/>
      <c r="CJ11" s="162"/>
      <c r="CK11" s="160"/>
      <c r="CL11" s="162"/>
      <c r="CM11" s="160"/>
      <c r="CN11" s="161"/>
      <c r="CO11" s="161"/>
      <c r="CP11" s="161"/>
      <c r="CQ11" s="161"/>
      <c r="CR11" s="162"/>
      <c r="CS11" s="160"/>
      <c r="CT11" s="161"/>
      <c r="CU11" s="161"/>
      <c r="CV11" s="162"/>
      <c r="CW11" s="160"/>
      <c r="CX11" s="161"/>
      <c r="CY11" s="161"/>
      <c r="CZ11" s="162"/>
      <c r="DA11" s="43"/>
      <c r="DB11" s="6"/>
    </row>
    <row r="12" spans="1:106" ht="17" thickBot="1">
      <c r="A12" s="42" t="s">
        <v>319</v>
      </c>
      <c r="B12" s="38" t="s">
        <v>109</v>
      </c>
      <c r="C12" s="22" t="s">
        <v>75</v>
      </c>
      <c r="D12" s="37"/>
      <c r="E12" s="39">
        <v>0</v>
      </c>
      <c r="F12" s="39"/>
      <c r="G12" s="22">
        <v>3010</v>
      </c>
      <c r="H12" s="38">
        <v>1.0711743772241993</v>
      </c>
      <c r="I12" s="39">
        <v>4</v>
      </c>
      <c r="J12" s="22"/>
      <c r="K12" s="37"/>
      <c r="L12" s="37"/>
      <c r="M12" s="37"/>
      <c r="N12" s="38"/>
      <c r="O12" s="22">
        <v>0</v>
      </c>
      <c r="P12" s="22"/>
      <c r="Q12" s="37"/>
      <c r="R12" s="37"/>
      <c r="S12" s="38"/>
      <c r="T12" s="22">
        <v>0</v>
      </c>
      <c r="U12" s="22">
        <v>1</v>
      </c>
      <c r="V12" s="37">
        <v>1</v>
      </c>
      <c r="W12" s="37">
        <v>0</v>
      </c>
      <c r="X12" s="37">
        <v>0</v>
      </c>
      <c r="Y12" s="38">
        <v>0</v>
      </c>
      <c r="Z12" s="39">
        <v>11000</v>
      </c>
      <c r="AA12" s="39"/>
      <c r="AB12" s="39"/>
      <c r="AC12" s="22">
        <v>1</v>
      </c>
      <c r="AD12" s="38">
        <v>1</v>
      </c>
      <c r="AE12" s="22"/>
      <c r="AF12" s="37"/>
      <c r="AG12" s="37"/>
      <c r="AH12" s="39">
        <v>0</v>
      </c>
      <c r="AI12" s="22"/>
      <c r="AJ12" s="38"/>
      <c r="AK12" s="22">
        <v>16</v>
      </c>
      <c r="AL12" s="38"/>
      <c r="AM12" s="22">
        <v>1</v>
      </c>
      <c r="AN12" s="37">
        <v>0</v>
      </c>
      <c r="AO12" s="37">
        <v>0</v>
      </c>
      <c r="AP12" s="37">
        <v>0</v>
      </c>
      <c r="AQ12" s="37">
        <v>0</v>
      </c>
      <c r="AR12" s="37">
        <v>0</v>
      </c>
      <c r="AS12" s="37">
        <v>0</v>
      </c>
      <c r="AT12" s="37">
        <v>60</v>
      </c>
      <c r="AU12" s="37">
        <v>240</v>
      </c>
      <c r="AV12" s="37">
        <v>0</v>
      </c>
      <c r="AW12" s="37">
        <v>0</v>
      </c>
      <c r="AX12" s="38"/>
      <c r="AY12" s="22">
        <v>0</v>
      </c>
      <c r="AZ12" s="37">
        <v>0</v>
      </c>
      <c r="BA12" s="37">
        <v>0</v>
      </c>
      <c r="BB12" s="38">
        <v>0</v>
      </c>
      <c r="BC12" s="22">
        <v>0</v>
      </c>
      <c r="BD12" s="38">
        <v>0</v>
      </c>
      <c r="BE12" s="39">
        <v>108</v>
      </c>
      <c r="BF12" s="22"/>
      <c r="BG12" s="37"/>
      <c r="BH12" s="37"/>
      <c r="BI12" s="37"/>
      <c r="BJ12" s="22"/>
      <c r="BK12" s="37"/>
      <c r="BL12" s="22"/>
      <c r="BM12" s="37"/>
      <c r="BN12" s="37"/>
      <c r="BO12" s="37"/>
      <c r="BP12" s="37"/>
      <c r="BQ12" s="37"/>
      <c r="BR12" s="37"/>
      <c r="BS12" s="37"/>
      <c r="BT12" s="38"/>
      <c r="BU12" s="22"/>
      <c r="BV12" s="37"/>
      <c r="BW12" s="37"/>
      <c r="BX12" s="37"/>
      <c r="BY12" s="37"/>
      <c r="BZ12" s="37"/>
      <c r="CA12" s="37"/>
      <c r="CB12" s="38"/>
      <c r="CC12" s="22"/>
      <c r="CD12" s="37"/>
      <c r="CE12" s="38"/>
      <c r="CF12" s="22"/>
      <c r="CG12" s="37"/>
      <c r="CH12" s="38"/>
      <c r="CI12" s="22"/>
      <c r="CJ12" s="38"/>
      <c r="CK12" s="22"/>
      <c r="CL12" s="38"/>
      <c r="CM12" s="22"/>
      <c r="CN12" s="37"/>
      <c r="CO12" s="37"/>
      <c r="CP12" s="37"/>
      <c r="CQ12" s="37"/>
      <c r="CR12" s="38"/>
      <c r="CS12" s="22"/>
      <c r="CT12" s="37"/>
      <c r="CU12" s="37"/>
      <c r="CV12" s="38"/>
      <c r="CW12" s="22"/>
      <c r="CX12" s="37"/>
      <c r="CY12" s="37"/>
      <c r="CZ12" s="38"/>
      <c r="DA12" s="39"/>
      <c r="DB12" s="6"/>
    </row>
    <row r="13" spans="1:106">
      <c r="A13" s="87" t="s">
        <v>319</v>
      </c>
      <c r="B13" s="162" t="s">
        <v>110</v>
      </c>
      <c r="C13" s="160" t="s">
        <v>66</v>
      </c>
      <c r="D13" s="161"/>
      <c r="E13" s="43">
        <v>1100</v>
      </c>
      <c r="F13" s="43"/>
      <c r="G13" s="160">
        <v>3550</v>
      </c>
      <c r="H13" s="162">
        <v>1.7067307692307692</v>
      </c>
      <c r="I13" s="43">
        <v>2</v>
      </c>
      <c r="J13" s="160">
        <v>0</v>
      </c>
      <c r="K13" s="161">
        <v>0</v>
      </c>
      <c r="L13" s="161">
        <v>1</v>
      </c>
      <c r="M13" s="161">
        <v>0</v>
      </c>
      <c r="N13" s="162">
        <v>0</v>
      </c>
      <c r="O13" s="160">
        <v>100</v>
      </c>
      <c r="P13" s="160">
        <v>1</v>
      </c>
      <c r="Q13" s="161">
        <v>0</v>
      </c>
      <c r="R13" s="161">
        <v>0</v>
      </c>
      <c r="S13" s="162">
        <v>1</v>
      </c>
      <c r="T13" s="160">
        <v>1100</v>
      </c>
      <c r="U13" s="160">
        <v>1</v>
      </c>
      <c r="V13" s="161">
        <v>0</v>
      </c>
      <c r="W13" s="161">
        <v>1</v>
      </c>
      <c r="X13" s="161">
        <v>1</v>
      </c>
      <c r="Y13" s="162">
        <v>0</v>
      </c>
      <c r="Z13" s="43">
        <v>10110</v>
      </c>
      <c r="AA13" s="43">
        <v>3</v>
      </c>
      <c r="AB13" s="43">
        <v>1</v>
      </c>
      <c r="AC13" s="160">
        <v>1</v>
      </c>
      <c r="AD13" s="162">
        <v>3</v>
      </c>
      <c r="AE13" s="160">
        <v>0</v>
      </c>
      <c r="AF13" s="161">
        <v>0</v>
      </c>
      <c r="AG13" s="161">
        <v>1</v>
      </c>
      <c r="AH13" s="43">
        <v>1</v>
      </c>
      <c r="AI13" s="160">
        <v>2146</v>
      </c>
      <c r="AJ13" s="162">
        <v>2393</v>
      </c>
      <c r="AK13" s="160">
        <v>18</v>
      </c>
      <c r="AL13" s="162">
        <v>1</v>
      </c>
      <c r="AM13" s="160">
        <v>0</v>
      </c>
      <c r="AN13" s="161">
        <v>0</v>
      </c>
      <c r="AO13" s="161">
        <v>0</v>
      </c>
      <c r="AP13" s="161">
        <v>0</v>
      </c>
      <c r="AQ13" s="161">
        <v>0</v>
      </c>
      <c r="AR13" s="161">
        <v>0</v>
      </c>
      <c r="AS13" s="161">
        <v>0</v>
      </c>
      <c r="AT13" s="161">
        <v>0</v>
      </c>
      <c r="AU13" s="161">
        <v>0</v>
      </c>
      <c r="AV13" s="161">
        <v>0</v>
      </c>
      <c r="AW13" s="161">
        <v>0</v>
      </c>
      <c r="AX13" s="162"/>
      <c r="AY13" s="160">
        <v>0</v>
      </c>
      <c r="AZ13" s="161">
        <v>0</v>
      </c>
      <c r="BA13" s="161">
        <v>0</v>
      </c>
      <c r="BB13" s="162">
        <v>0</v>
      </c>
      <c r="BC13" s="160">
        <v>0</v>
      </c>
      <c r="BD13" s="162">
        <v>0</v>
      </c>
      <c r="BE13" s="43">
        <v>94</v>
      </c>
      <c r="BF13" s="160">
        <v>0</v>
      </c>
      <c r="BG13" s="161">
        <v>0</v>
      </c>
      <c r="BH13" s="161">
        <v>0</v>
      </c>
      <c r="BI13" s="161">
        <v>0</v>
      </c>
      <c r="BJ13" s="160">
        <v>0</v>
      </c>
      <c r="BK13" s="161">
        <v>1</v>
      </c>
      <c r="BL13" s="160">
        <v>75.180000000000007</v>
      </c>
      <c r="BM13" s="161"/>
      <c r="BN13" s="161"/>
      <c r="BO13" s="161"/>
      <c r="BP13" s="161"/>
      <c r="BQ13" s="161"/>
      <c r="BR13" s="161"/>
      <c r="BS13" s="161"/>
      <c r="BT13" s="162"/>
      <c r="BU13" s="160">
        <v>80.63</v>
      </c>
      <c r="BV13" s="161"/>
      <c r="BW13" s="161"/>
      <c r="BX13" s="161"/>
      <c r="BY13" s="161"/>
      <c r="BZ13" s="161"/>
      <c r="CA13" s="161"/>
      <c r="CB13" s="162"/>
      <c r="CC13" s="160"/>
      <c r="CD13" s="161"/>
      <c r="CE13" s="162"/>
      <c r="CF13" s="160">
        <v>64.58</v>
      </c>
      <c r="CG13" s="161"/>
      <c r="CH13" s="162"/>
      <c r="CI13" s="160"/>
      <c r="CJ13" s="162"/>
      <c r="CK13" s="160"/>
      <c r="CL13" s="162"/>
      <c r="CM13" s="160"/>
      <c r="CN13" s="161"/>
      <c r="CO13" s="161"/>
      <c r="CP13" s="161"/>
      <c r="CQ13" s="161"/>
      <c r="CR13" s="162"/>
      <c r="CS13" s="160"/>
      <c r="CT13" s="161"/>
      <c r="CU13" s="161"/>
      <c r="CV13" s="162"/>
      <c r="CW13" s="160"/>
      <c r="CX13" s="161"/>
      <c r="CY13" s="161"/>
      <c r="CZ13" s="162"/>
      <c r="DA13" s="43"/>
      <c r="DB13" s="6"/>
    </row>
    <row r="14" spans="1:106" ht="17" thickBot="1">
      <c r="A14" s="55" t="s">
        <v>319</v>
      </c>
      <c r="B14" s="17" t="s">
        <v>110</v>
      </c>
      <c r="C14" s="16" t="s">
        <v>95</v>
      </c>
      <c r="D14" s="1"/>
      <c r="E14" s="18">
        <v>1000</v>
      </c>
      <c r="F14" s="18"/>
      <c r="G14" s="16">
        <v>886</v>
      </c>
      <c r="H14" s="17">
        <v>1.06875753920386</v>
      </c>
      <c r="I14" s="18">
        <v>2</v>
      </c>
      <c r="J14" s="16">
        <v>0</v>
      </c>
      <c r="K14" s="1">
        <v>0</v>
      </c>
      <c r="L14" s="1">
        <v>0</v>
      </c>
      <c r="M14" s="1">
        <v>1</v>
      </c>
      <c r="N14" s="17">
        <v>0</v>
      </c>
      <c r="O14" s="16">
        <v>10</v>
      </c>
      <c r="P14" s="16">
        <v>1</v>
      </c>
      <c r="Q14" s="1">
        <v>0</v>
      </c>
      <c r="R14" s="1">
        <v>0</v>
      </c>
      <c r="S14" s="17">
        <v>0</v>
      </c>
      <c r="T14" s="16">
        <v>1000</v>
      </c>
      <c r="U14" s="16">
        <v>0</v>
      </c>
      <c r="V14" s="1">
        <v>1</v>
      </c>
      <c r="W14" s="1">
        <v>1</v>
      </c>
      <c r="X14" s="1">
        <v>1</v>
      </c>
      <c r="Y14" s="17">
        <v>0</v>
      </c>
      <c r="Z14" s="18">
        <v>1110</v>
      </c>
      <c r="AA14" s="18">
        <v>3</v>
      </c>
      <c r="AB14" s="18">
        <v>1</v>
      </c>
      <c r="AC14" s="16">
        <v>1</v>
      </c>
      <c r="AD14" s="17">
        <v>1</v>
      </c>
      <c r="AE14" s="16">
        <v>0</v>
      </c>
      <c r="AF14" s="1">
        <v>1</v>
      </c>
      <c r="AG14" s="1">
        <v>0</v>
      </c>
      <c r="AH14" s="18">
        <v>10</v>
      </c>
      <c r="AI14" s="16">
        <v>568</v>
      </c>
      <c r="AJ14" s="17">
        <v>833</v>
      </c>
      <c r="AK14" s="16">
        <v>15</v>
      </c>
      <c r="AL14" s="17">
        <v>1</v>
      </c>
      <c r="AM14" s="16">
        <v>0</v>
      </c>
      <c r="AN14" s="1">
        <v>0</v>
      </c>
      <c r="AO14" s="1">
        <v>0</v>
      </c>
      <c r="AP14" s="1">
        <v>0</v>
      </c>
      <c r="AQ14" s="1">
        <v>0</v>
      </c>
      <c r="AR14" s="1">
        <v>0</v>
      </c>
      <c r="AS14" s="1">
        <v>0</v>
      </c>
      <c r="AT14" s="1">
        <v>0</v>
      </c>
      <c r="AU14" s="1">
        <v>0</v>
      </c>
      <c r="AV14" s="1">
        <v>0</v>
      </c>
      <c r="AW14" s="1">
        <v>0</v>
      </c>
      <c r="AX14" s="17"/>
      <c r="AY14" s="16">
        <v>0</v>
      </c>
      <c r="AZ14" s="1">
        <v>0</v>
      </c>
      <c r="BA14" s="1">
        <v>0</v>
      </c>
      <c r="BB14" s="17">
        <v>0</v>
      </c>
      <c r="BC14" s="16">
        <v>0</v>
      </c>
      <c r="BD14" s="17">
        <v>0</v>
      </c>
      <c r="BE14" s="18">
        <v>55</v>
      </c>
      <c r="BF14" s="16">
        <v>0</v>
      </c>
      <c r="BG14" s="1">
        <v>0</v>
      </c>
      <c r="BH14" s="1">
        <v>0</v>
      </c>
      <c r="BI14" s="1">
        <v>0</v>
      </c>
      <c r="BJ14" s="16">
        <v>0</v>
      </c>
      <c r="BK14" s="1">
        <v>1</v>
      </c>
      <c r="BL14" s="16"/>
      <c r="BM14" s="1"/>
      <c r="BN14" s="1"/>
      <c r="BO14" s="1"/>
      <c r="BP14" s="1"/>
      <c r="BQ14" s="1"/>
      <c r="BR14" s="1"/>
      <c r="BS14" s="1"/>
      <c r="BT14" s="17"/>
      <c r="BU14" s="16"/>
      <c r="BV14" s="1"/>
      <c r="BW14" s="1"/>
      <c r="BX14" s="1"/>
      <c r="BY14" s="1"/>
      <c r="BZ14" s="1"/>
      <c r="CA14" s="1"/>
      <c r="CB14" s="17"/>
      <c r="CC14" s="16"/>
      <c r="CD14" s="1"/>
      <c r="CE14" s="17"/>
      <c r="CF14" s="16"/>
      <c r="CG14" s="1"/>
      <c r="CH14" s="17"/>
      <c r="CI14" s="16"/>
      <c r="CJ14" s="17"/>
      <c r="CK14" s="16"/>
      <c r="CL14" s="17"/>
      <c r="CM14" s="16"/>
      <c r="CN14" s="1"/>
      <c r="CO14" s="1"/>
      <c r="CP14" s="1"/>
      <c r="CQ14" s="1"/>
      <c r="CR14" s="17"/>
      <c r="CS14" s="16"/>
      <c r="CT14" s="1"/>
      <c r="CU14" s="1"/>
      <c r="CV14" s="17"/>
      <c r="CW14" s="16"/>
      <c r="CX14" s="1"/>
      <c r="CY14" s="1"/>
      <c r="CZ14" s="17"/>
      <c r="DA14" s="18"/>
      <c r="DB14" s="6"/>
    </row>
    <row r="15" spans="1:106">
      <c r="A15" s="42" t="s">
        <v>319</v>
      </c>
      <c r="B15" s="162" t="s">
        <v>115</v>
      </c>
      <c r="C15" s="160" t="s">
        <v>65</v>
      </c>
      <c r="D15" s="161"/>
      <c r="E15" s="43">
        <v>1000</v>
      </c>
      <c r="F15" s="43"/>
      <c r="G15" s="160">
        <v>1298</v>
      </c>
      <c r="H15" s="162">
        <v>1.4936708860759493</v>
      </c>
      <c r="I15" s="43">
        <v>2</v>
      </c>
      <c r="J15" s="160">
        <v>0</v>
      </c>
      <c r="K15" s="161">
        <v>0</v>
      </c>
      <c r="L15" s="161">
        <v>1</v>
      </c>
      <c r="M15" s="161">
        <v>0</v>
      </c>
      <c r="N15" s="162">
        <v>0</v>
      </c>
      <c r="O15" s="160">
        <v>100</v>
      </c>
      <c r="P15" s="160">
        <v>1</v>
      </c>
      <c r="Q15" s="161">
        <v>0</v>
      </c>
      <c r="R15" s="161">
        <v>0</v>
      </c>
      <c r="S15" s="162">
        <v>0</v>
      </c>
      <c r="T15" s="160">
        <v>1000</v>
      </c>
      <c r="U15" s="160">
        <v>0</v>
      </c>
      <c r="V15" s="161">
        <v>3</v>
      </c>
      <c r="W15" s="161">
        <v>1</v>
      </c>
      <c r="X15" s="161">
        <v>1</v>
      </c>
      <c r="Y15" s="162">
        <v>0</v>
      </c>
      <c r="Z15" s="43">
        <v>3110</v>
      </c>
      <c r="AA15" s="43">
        <v>5</v>
      </c>
      <c r="AB15" s="43">
        <v>3</v>
      </c>
      <c r="AC15" s="160">
        <v>1</v>
      </c>
      <c r="AD15" s="162">
        <v>2</v>
      </c>
      <c r="AE15" s="160">
        <v>0</v>
      </c>
      <c r="AF15" s="161">
        <v>0</v>
      </c>
      <c r="AG15" s="161">
        <v>1</v>
      </c>
      <c r="AH15" s="43">
        <v>1</v>
      </c>
      <c r="AI15" s="160">
        <v>927</v>
      </c>
      <c r="AJ15" s="162">
        <v>933</v>
      </c>
      <c r="AK15" s="160">
        <v>17</v>
      </c>
      <c r="AL15" s="162">
        <v>1</v>
      </c>
      <c r="AM15" s="160" t="s">
        <v>78</v>
      </c>
      <c r="AN15" s="161">
        <v>0</v>
      </c>
      <c r="AO15" s="161">
        <v>29</v>
      </c>
      <c r="AP15" s="161">
        <v>0</v>
      </c>
      <c r="AQ15" s="161">
        <v>0</v>
      </c>
      <c r="AR15" s="161">
        <v>0</v>
      </c>
      <c r="AS15" s="161">
        <v>0</v>
      </c>
      <c r="AT15" s="161">
        <v>0</v>
      </c>
      <c r="AU15" s="161">
        <v>0</v>
      </c>
      <c r="AV15" s="161">
        <v>0</v>
      </c>
      <c r="AW15" s="161">
        <v>0</v>
      </c>
      <c r="AX15" s="162"/>
      <c r="AY15" s="160">
        <v>0</v>
      </c>
      <c r="AZ15" s="161">
        <v>0</v>
      </c>
      <c r="BA15" s="161">
        <v>0</v>
      </c>
      <c r="BB15" s="162">
        <v>0</v>
      </c>
      <c r="BC15" s="160">
        <v>0</v>
      </c>
      <c r="BD15" s="162">
        <v>0</v>
      </c>
      <c r="BE15" s="43">
        <v>128</v>
      </c>
      <c r="BF15" s="160">
        <v>0</v>
      </c>
      <c r="BG15" s="161">
        <v>0</v>
      </c>
      <c r="BH15" s="161">
        <v>0</v>
      </c>
      <c r="BI15" s="161">
        <v>0</v>
      </c>
      <c r="BJ15" s="160">
        <v>0</v>
      </c>
      <c r="BK15" s="161">
        <v>1</v>
      </c>
      <c r="BL15" s="160">
        <v>80.27</v>
      </c>
      <c r="BM15" s="161"/>
      <c r="BN15" s="161"/>
      <c r="BO15" s="161"/>
      <c r="BP15" s="161"/>
      <c r="BQ15" s="161"/>
      <c r="BR15" s="161"/>
      <c r="BS15" s="161"/>
      <c r="BT15" s="162"/>
      <c r="BU15" s="160">
        <v>77.709999999999994</v>
      </c>
      <c r="BV15" s="161">
        <v>77.47</v>
      </c>
      <c r="BW15" s="161">
        <v>75.959999999999994</v>
      </c>
      <c r="BX15" s="161"/>
      <c r="BY15" s="161"/>
      <c r="BZ15" s="161"/>
      <c r="CA15" s="161"/>
      <c r="CB15" s="162"/>
      <c r="CC15" s="160"/>
      <c r="CD15" s="161"/>
      <c r="CE15" s="162"/>
      <c r="CF15" s="160">
        <v>65.67</v>
      </c>
      <c r="CG15" s="161"/>
      <c r="CH15" s="162"/>
      <c r="CI15" s="160"/>
      <c r="CJ15" s="162"/>
      <c r="CK15" s="160"/>
      <c r="CL15" s="162"/>
      <c r="CM15" s="160"/>
      <c r="CN15" s="161"/>
      <c r="CO15" s="161"/>
      <c r="CP15" s="161"/>
      <c r="CQ15" s="161"/>
      <c r="CR15" s="162"/>
      <c r="CS15" s="160"/>
      <c r="CT15" s="161"/>
      <c r="CU15" s="161"/>
      <c r="CV15" s="162"/>
      <c r="CW15" s="160"/>
      <c r="CX15" s="161"/>
      <c r="CY15" s="161"/>
      <c r="CZ15" s="162"/>
      <c r="DA15" s="43"/>
      <c r="DB15" s="6"/>
    </row>
    <row r="16" spans="1:106">
      <c r="A16" s="42" t="s">
        <v>319</v>
      </c>
      <c r="B16" s="17" t="s">
        <v>115</v>
      </c>
      <c r="C16" s="16" t="s">
        <v>69</v>
      </c>
      <c r="D16" s="1" t="s">
        <v>1</v>
      </c>
      <c r="E16" s="18">
        <v>1000</v>
      </c>
      <c r="F16" s="18"/>
      <c r="G16" s="16">
        <v>1014</v>
      </c>
      <c r="H16" s="17">
        <v>1.5968503937007874</v>
      </c>
      <c r="I16" s="18">
        <v>2</v>
      </c>
      <c r="J16" s="16">
        <v>0</v>
      </c>
      <c r="K16" s="1">
        <v>0</v>
      </c>
      <c r="L16" s="1">
        <v>0</v>
      </c>
      <c r="M16" s="1">
        <v>1</v>
      </c>
      <c r="N16" s="17">
        <v>0</v>
      </c>
      <c r="O16" s="16">
        <v>10</v>
      </c>
      <c r="P16" s="16">
        <v>1</v>
      </c>
      <c r="Q16" s="1">
        <v>0</v>
      </c>
      <c r="R16" s="1">
        <v>0</v>
      </c>
      <c r="S16" s="17">
        <v>0</v>
      </c>
      <c r="T16" s="16">
        <v>1000</v>
      </c>
      <c r="U16" s="16">
        <v>0</v>
      </c>
      <c r="V16" s="1">
        <v>0</v>
      </c>
      <c r="W16" s="1">
        <v>1</v>
      </c>
      <c r="X16" s="1">
        <v>1</v>
      </c>
      <c r="Y16" s="17">
        <v>0</v>
      </c>
      <c r="Z16" s="18">
        <v>110</v>
      </c>
      <c r="AA16" s="18">
        <v>2</v>
      </c>
      <c r="AB16" s="18">
        <v>1</v>
      </c>
      <c r="AC16" s="16">
        <v>1</v>
      </c>
      <c r="AD16" s="17">
        <v>2</v>
      </c>
      <c r="AE16" s="16">
        <v>0</v>
      </c>
      <c r="AF16" s="1">
        <v>1</v>
      </c>
      <c r="AG16" s="1">
        <v>0</v>
      </c>
      <c r="AH16" s="18">
        <v>10</v>
      </c>
      <c r="AI16" s="16">
        <v>575</v>
      </c>
      <c r="AJ16" s="17">
        <v>905</v>
      </c>
      <c r="AK16" s="16">
        <v>21</v>
      </c>
      <c r="AL16" s="17">
        <v>1</v>
      </c>
      <c r="AM16" s="16">
        <v>0</v>
      </c>
      <c r="AN16" s="1">
        <v>0</v>
      </c>
      <c r="AO16" s="1">
        <v>0</v>
      </c>
      <c r="AP16" s="1">
        <v>0</v>
      </c>
      <c r="AQ16" s="1">
        <v>0</v>
      </c>
      <c r="AR16" s="1">
        <v>0</v>
      </c>
      <c r="AS16" s="1">
        <v>0</v>
      </c>
      <c r="AT16" s="1">
        <v>0</v>
      </c>
      <c r="AU16" s="1">
        <v>0</v>
      </c>
      <c r="AV16" s="1">
        <v>0</v>
      </c>
      <c r="AW16" s="1">
        <v>0</v>
      </c>
      <c r="AX16" s="17"/>
      <c r="AY16" s="16">
        <v>0</v>
      </c>
      <c r="AZ16" s="1">
        <v>0</v>
      </c>
      <c r="BA16" s="1">
        <v>0</v>
      </c>
      <c r="BB16" s="17">
        <v>0</v>
      </c>
      <c r="BC16" s="16">
        <v>0</v>
      </c>
      <c r="BD16" s="17">
        <v>0</v>
      </c>
      <c r="BE16" s="18">
        <v>129</v>
      </c>
      <c r="BF16" s="16">
        <v>0</v>
      </c>
      <c r="BG16" s="1">
        <v>0</v>
      </c>
      <c r="BH16" s="1">
        <v>0</v>
      </c>
      <c r="BI16" s="1">
        <v>0</v>
      </c>
      <c r="BJ16" s="16">
        <v>0</v>
      </c>
      <c r="BK16" s="1">
        <v>1</v>
      </c>
      <c r="BL16" s="16"/>
      <c r="BM16" s="1"/>
      <c r="BN16" s="1"/>
      <c r="BO16" s="1"/>
      <c r="BP16" s="1"/>
      <c r="BQ16" s="1"/>
      <c r="BR16" s="1"/>
      <c r="BS16" s="1"/>
      <c r="BT16" s="17"/>
      <c r="BU16" s="16"/>
      <c r="BV16" s="1"/>
      <c r="BW16" s="1"/>
      <c r="BX16" s="1"/>
      <c r="BY16" s="1"/>
      <c r="BZ16" s="1"/>
      <c r="CA16" s="1"/>
      <c r="CB16" s="17"/>
      <c r="CC16" s="16"/>
      <c r="CD16" s="1"/>
      <c r="CE16" s="17"/>
      <c r="CF16" s="16"/>
      <c r="CG16" s="1"/>
      <c r="CH16" s="17"/>
      <c r="CI16" s="16"/>
      <c r="CJ16" s="17"/>
      <c r="CK16" s="16"/>
      <c r="CL16" s="17"/>
      <c r="CM16" s="16"/>
      <c r="CN16" s="1"/>
      <c r="CO16" s="1"/>
      <c r="CP16" s="1"/>
      <c r="CQ16" s="1"/>
      <c r="CR16" s="17"/>
      <c r="CS16" s="16"/>
      <c r="CT16" s="1"/>
      <c r="CU16" s="1"/>
      <c r="CV16" s="17"/>
      <c r="CW16" s="16"/>
      <c r="CX16" s="1"/>
      <c r="CY16" s="1"/>
      <c r="CZ16" s="17"/>
      <c r="DA16" s="18"/>
      <c r="DB16" s="6"/>
    </row>
    <row r="17" spans="1:106" ht="17" thickBot="1">
      <c r="A17" s="42" t="s">
        <v>319</v>
      </c>
      <c r="B17" s="38" t="s">
        <v>115</v>
      </c>
      <c r="C17" s="22" t="s">
        <v>92</v>
      </c>
      <c r="D17" s="37"/>
      <c r="E17" s="39">
        <v>1000</v>
      </c>
      <c r="F17" s="39"/>
      <c r="G17" s="22">
        <v>2420</v>
      </c>
      <c r="H17" s="38">
        <v>1.4846625766871167</v>
      </c>
      <c r="I17" s="39">
        <v>2</v>
      </c>
      <c r="J17" s="22">
        <v>0</v>
      </c>
      <c r="K17" s="37">
        <v>0</v>
      </c>
      <c r="L17" s="37">
        <v>1</v>
      </c>
      <c r="M17" s="37">
        <v>0</v>
      </c>
      <c r="N17" s="38">
        <v>0</v>
      </c>
      <c r="O17" s="22">
        <v>100</v>
      </c>
      <c r="P17" s="22">
        <v>1</v>
      </c>
      <c r="Q17" s="37">
        <v>0</v>
      </c>
      <c r="R17" s="37">
        <v>0</v>
      </c>
      <c r="S17" s="38">
        <v>0</v>
      </c>
      <c r="T17" s="22">
        <v>1000</v>
      </c>
      <c r="U17" s="22">
        <v>0</v>
      </c>
      <c r="V17" s="37">
        <v>4</v>
      </c>
      <c r="W17" s="37">
        <v>1</v>
      </c>
      <c r="X17" s="37">
        <v>1</v>
      </c>
      <c r="Y17" s="38">
        <v>0</v>
      </c>
      <c r="Z17" s="39">
        <v>4110</v>
      </c>
      <c r="AA17" s="39">
        <v>6</v>
      </c>
      <c r="AB17" s="39">
        <v>3</v>
      </c>
      <c r="AC17" s="22">
        <v>1</v>
      </c>
      <c r="AD17" s="38">
        <v>3</v>
      </c>
      <c r="AE17" s="22">
        <v>0</v>
      </c>
      <c r="AF17" s="37">
        <v>1</v>
      </c>
      <c r="AG17" s="37">
        <v>0</v>
      </c>
      <c r="AH17" s="39">
        <v>10</v>
      </c>
      <c r="AI17" s="22">
        <v>1869</v>
      </c>
      <c r="AJ17" s="38">
        <v>2047</v>
      </c>
      <c r="AK17" s="22">
        <v>18</v>
      </c>
      <c r="AL17" s="38">
        <v>1</v>
      </c>
      <c r="AM17" s="22">
        <v>2</v>
      </c>
      <c r="AN17" s="37">
        <v>10</v>
      </c>
      <c r="AO17" s="37">
        <v>70</v>
      </c>
      <c r="AP17" s="37">
        <v>0</v>
      </c>
      <c r="AQ17" s="37">
        <v>0</v>
      </c>
      <c r="AR17" s="37">
        <v>20</v>
      </c>
      <c r="AS17" s="37">
        <v>70</v>
      </c>
      <c r="AT17" s="37">
        <v>0</v>
      </c>
      <c r="AU17" s="37">
        <v>190</v>
      </c>
      <c r="AV17" s="37">
        <v>0</v>
      </c>
      <c r="AW17" s="37">
        <v>210</v>
      </c>
      <c r="AX17" s="38"/>
      <c r="AY17" s="22">
        <v>0</v>
      </c>
      <c r="AZ17" s="37">
        <v>0</v>
      </c>
      <c r="BA17" s="37">
        <v>0</v>
      </c>
      <c r="BB17" s="38">
        <v>0</v>
      </c>
      <c r="BC17" s="22">
        <v>0</v>
      </c>
      <c r="BD17" s="38">
        <v>0</v>
      </c>
      <c r="BE17" s="39">
        <v>154</v>
      </c>
      <c r="BF17" s="22">
        <v>0</v>
      </c>
      <c r="BG17" s="37">
        <v>0</v>
      </c>
      <c r="BH17" s="37">
        <v>0</v>
      </c>
      <c r="BI17" s="37">
        <v>0</v>
      </c>
      <c r="BJ17" s="22">
        <v>0</v>
      </c>
      <c r="BK17" s="37">
        <v>1</v>
      </c>
      <c r="BL17" s="22">
        <v>73.73</v>
      </c>
      <c r="BM17" s="37">
        <v>75.5</v>
      </c>
      <c r="BN17" s="37">
        <v>80.7</v>
      </c>
      <c r="BO17" s="37"/>
      <c r="BP17" s="37"/>
      <c r="BQ17" s="37"/>
      <c r="BR17" s="37"/>
      <c r="BS17" s="37"/>
      <c r="BT17" s="38"/>
      <c r="BU17" s="22">
        <v>78.67</v>
      </c>
      <c r="BV17" s="37">
        <v>78.459999999999994</v>
      </c>
      <c r="BW17" s="37">
        <v>78.03</v>
      </c>
      <c r="BX17" s="37"/>
      <c r="BY17" s="37">
        <v>73.650000000000006</v>
      </c>
      <c r="BZ17" s="37"/>
      <c r="CA17" s="37"/>
      <c r="CB17" s="38"/>
      <c r="CC17" s="22"/>
      <c r="CD17" s="37"/>
      <c r="CE17" s="38"/>
      <c r="CF17" s="22">
        <v>62.21</v>
      </c>
      <c r="CG17" s="37"/>
      <c r="CH17" s="38"/>
      <c r="CI17" s="22"/>
      <c r="CJ17" s="38"/>
      <c r="CK17" s="22"/>
      <c r="CL17" s="38"/>
      <c r="CM17" s="22"/>
      <c r="CN17" s="37"/>
      <c r="CO17" s="37"/>
      <c r="CP17" s="37"/>
      <c r="CQ17" s="37"/>
      <c r="CR17" s="38"/>
      <c r="CS17" s="22"/>
      <c r="CT17" s="37"/>
      <c r="CU17" s="37"/>
      <c r="CV17" s="38"/>
      <c r="CW17" s="22">
        <v>74.650000000000006</v>
      </c>
      <c r="CX17" s="37">
        <v>69.3</v>
      </c>
      <c r="CY17" s="37"/>
      <c r="CZ17" s="38"/>
      <c r="DA17" s="39"/>
      <c r="DB17" s="6"/>
    </row>
    <row r="18" spans="1:106" ht="17" thickBot="1">
      <c r="A18" s="88" t="s">
        <v>319</v>
      </c>
      <c r="B18" s="200" t="s">
        <v>123</v>
      </c>
      <c r="C18" s="201" t="s">
        <v>65</v>
      </c>
      <c r="D18" s="202"/>
      <c r="E18" s="46">
        <v>100</v>
      </c>
      <c r="F18" s="46"/>
      <c r="G18" s="201">
        <v>2640</v>
      </c>
      <c r="H18" s="200">
        <v>1.7032258064516128</v>
      </c>
      <c r="I18" s="46">
        <v>5</v>
      </c>
      <c r="J18" s="201">
        <v>0</v>
      </c>
      <c r="K18" s="202">
        <v>1</v>
      </c>
      <c r="L18" s="202">
        <v>0</v>
      </c>
      <c r="M18" s="202">
        <v>0</v>
      </c>
      <c r="N18" s="200">
        <v>0</v>
      </c>
      <c r="O18" s="201">
        <v>1000</v>
      </c>
      <c r="P18" s="201">
        <v>0</v>
      </c>
      <c r="Q18" s="202">
        <v>0</v>
      </c>
      <c r="R18" s="202">
        <v>0</v>
      </c>
      <c r="S18" s="200">
        <v>1</v>
      </c>
      <c r="T18" s="201">
        <v>100</v>
      </c>
      <c r="U18" s="201">
        <v>0</v>
      </c>
      <c r="V18" s="202">
        <v>2</v>
      </c>
      <c r="W18" s="202">
        <v>0</v>
      </c>
      <c r="X18" s="202">
        <v>0</v>
      </c>
      <c r="Y18" s="200">
        <v>0</v>
      </c>
      <c r="Z18" s="46">
        <v>2000</v>
      </c>
      <c r="AA18" s="46">
        <v>2</v>
      </c>
      <c r="AB18" s="46">
        <v>2</v>
      </c>
      <c r="AC18" s="201">
        <v>1</v>
      </c>
      <c r="AD18" s="200">
        <v>4</v>
      </c>
      <c r="AE18" s="201">
        <v>0</v>
      </c>
      <c r="AF18" s="202">
        <v>1</v>
      </c>
      <c r="AG18" s="202">
        <v>1</v>
      </c>
      <c r="AH18" s="46">
        <v>11</v>
      </c>
      <c r="AI18" s="201">
        <v>415</v>
      </c>
      <c r="AJ18" s="200">
        <v>1420</v>
      </c>
      <c r="AK18" s="201">
        <v>10</v>
      </c>
      <c r="AL18" s="200">
        <v>1</v>
      </c>
      <c r="AM18" s="201">
        <v>3</v>
      </c>
      <c r="AN18" s="202">
        <v>10</v>
      </c>
      <c r="AO18" s="202">
        <v>30</v>
      </c>
      <c r="AP18" s="202">
        <v>0</v>
      </c>
      <c r="AQ18" s="202">
        <v>0</v>
      </c>
      <c r="AR18" s="202">
        <v>30</v>
      </c>
      <c r="AS18" s="202">
        <v>100</v>
      </c>
      <c r="AT18" s="202">
        <v>30</v>
      </c>
      <c r="AU18" s="202">
        <v>130</v>
      </c>
      <c r="AV18" s="202">
        <v>0</v>
      </c>
      <c r="AW18" s="202">
        <v>0</v>
      </c>
      <c r="AX18" s="200"/>
      <c r="AY18" s="201">
        <v>0</v>
      </c>
      <c r="AZ18" s="202">
        <v>0</v>
      </c>
      <c r="BA18" s="202">
        <v>0</v>
      </c>
      <c r="BB18" s="200">
        <v>0</v>
      </c>
      <c r="BC18" s="201">
        <v>0</v>
      </c>
      <c r="BD18" s="200">
        <v>0</v>
      </c>
      <c r="BE18" s="46">
        <v>104</v>
      </c>
      <c r="BF18" s="201">
        <v>0</v>
      </c>
      <c r="BG18" s="202">
        <v>0</v>
      </c>
      <c r="BH18" s="202">
        <v>0</v>
      </c>
      <c r="BI18" s="202">
        <v>0</v>
      </c>
      <c r="BJ18" s="201">
        <v>0</v>
      </c>
      <c r="BK18" s="202">
        <v>1</v>
      </c>
      <c r="BL18" s="201"/>
      <c r="BM18" s="202"/>
      <c r="BN18" s="202"/>
      <c r="BO18" s="202"/>
      <c r="BP18" s="202"/>
      <c r="BQ18" s="202"/>
      <c r="BR18" s="202"/>
      <c r="BS18" s="202"/>
      <c r="BT18" s="200"/>
      <c r="BU18" s="201"/>
      <c r="BV18" s="202"/>
      <c r="BW18" s="202"/>
      <c r="BX18" s="202"/>
      <c r="BY18" s="202"/>
      <c r="BZ18" s="202"/>
      <c r="CA18" s="202"/>
      <c r="CB18" s="200"/>
      <c r="CC18" s="201"/>
      <c r="CD18" s="202"/>
      <c r="CE18" s="200"/>
      <c r="CF18" s="201"/>
      <c r="CG18" s="202"/>
      <c r="CH18" s="200"/>
      <c r="CI18" s="201"/>
      <c r="CJ18" s="200"/>
      <c r="CK18" s="201"/>
      <c r="CL18" s="200"/>
      <c r="CM18" s="201"/>
      <c r="CN18" s="202"/>
      <c r="CO18" s="202"/>
      <c r="CP18" s="202"/>
      <c r="CQ18" s="202"/>
      <c r="CR18" s="200"/>
      <c r="CS18" s="201"/>
      <c r="CT18" s="202"/>
      <c r="CU18" s="202"/>
      <c r="CV18" s="200"/>
      <c r="CW18" s="201"/>
      <c r="CX18" s="202"/>
      <c r="CY18" s="202"/>
      <c r="CZ18" s="200"/>
      <c r="DA18" s="46"/>
      <c r="DB18" s="6"/>
    </row>
    <row r="19" spans="1:106">
      <c r="A19" s="42" t="s">
        <v>319</v>
      </c>
      <c r="B19" s="162" t="s">
        <v>125</v>
      </c>
      <c r="C19" s="160" t="s">
        <v>93</v>
      </c>
      <c r="D19" s="161"/>
      <c r="E19" s="43">
        <v>1000</v>
      </c>
      <c r="F19" s="43"/>
      <c r="G19" s="160">
        <v>2350</v>
      </c>
      <c r="H19" s="162">
        <v>5</v>
      </c>
      <c r="I19" s="43">
        <v>4</v>
      </c>
      <c r="J19" s="160">
        <v>0</v>
      </c>
      <c r="K19" s="161">
        <v>0</v>
      </c>
      <c r="L19" s="161">
        <v>1</v>
      </c>
      <c r="M19" s="161">
        <v>0</v>
      </c>
      <c r="N19" s="162">
        <v>0</v>
      </c>
      <c r="O19" s="160">
        <v>100</v>
      </c>
      <c r="P19" s="160">
        <v>1</v>
      </c>
      <c r="Q19" s="161">
        <v>0</v>
      </c>
      <c r="R19" s="161">
        <v>0</v>
      </c>
      <c r="S19" s="162">
        <v>0</v>
      </c>
      <c r="T19" s="160">
        <v>1000</v>
      </c>
      <c r="U19" s="160">
        <v>1</v>
      </c>
      <c r="V19" s="161">
        <v>0</v>
      </c>
      <c r="W19" s="161">
        <v>0</v>
      </c>
      <c r="X19" s="161">
        <v>0</v>
      </c>
      <c r="Y19" s="162">
        <v>0</v>
      </c>
      <c r="Z19" s="43">
        <v>10000</v>
      </c>
      <c r="AA19" s="43">
        <v>1</v>
      </c>
      <c r="AB19" s="43">
        <v>2</v>
      </c>
      <c r="AC19" s="160">
        <v>1</v>
      </c>
      <c r="AD19" s="162">
        <v>1</v>
      </c>
      <c r="AE19" s="160">
        <v>0</v>
      </c>
      <c r="AF19" s="161">
        <v>1</v>
      </c>
      <c r="AG19" s="161">
        <v>1</v>
      </c>
      <c r="AH19" s="43">
        <v>11</v>
      </c>
      <c r="AI19" s="160">
        <v>309</v>
      </c>
      <c r="AJ19" s="162">
        <v>1481</v>
      </c>
      <c r="AK19" s="160"/>
      <c r="AL19" s="162"/>
      <c r="AM19" s="160">
        <v>0</v>
      </c>
      <c r="AN19" s="161">
        <v>0</v>
      </c>
      <c r="AO19" s="161">
        <v>0</v>
      </c>
      <c r="AP19" s="161">
        <v>0</v>
      </c>
      <c r="AQ19" s="161">
        <v>0</v>
      </c>
      <c r="AR19" s="161">
        <v>0</v>
      </c>
      <c r="AS19" s="161">
        <v>0</v>
      </c>
      <c r="AT19" s="161">
        <v>0</v>
      </c>
      <c r="AU19" s="161">
        <v>0</v>
      </c>
      <c r="AV19" s="161">
        <v>0</v>
      </c>
      <c r="AW19" s="161">
        <v>0</v>
      </c>
      <c r="AX19" s="162"/>
      <c r="AY19" s="160">
        <v>0</v>
      </c>
      <c r="AZ19" s="161">
        <v>0</v>
      </c>
      <c r="BA19" s="161">
        <v>0</v>
      </c>
      <c r="BB19" s="162">
        <v>0</v>
      </c>
      <c r="BC19" s="160">
        <v>0</v>
      </c>
      <c r="BD19" s="162">
        <v>0</v>
      </c>
      <c r="BE19" s="43">
        <v>138</v>
      </c>
      <c r="BF19" s="160">
        <v>0</v>
      </c>
      <c r="BG19" s="161">
        <v>0</v>
      </c>
      <c r="BH19" s="161">
        <v>0</v>
      </c>
      <c r="BI19" s="161">
        <v>0</v>
      </c>
      <c r="BJ19" s="160">
        <v>0</v>
      </c>
      <c r="BK19" s="161">
        <v>1</v>
      </c>
      <c r="BL19" s="160"/>
      <c r="BM19" s="161"/>
      <c r="BN19" s="161"/>
      <c r="BO19" s="161"/>
      <c r="BP19" s="161"/>
      <c r="BQ19" s="161"/>
      <c r="BR19" s="161"/>
      <c r="BS19" s="161"/>
      <c r="BT19" s="162"/>
      <c r="BU19" s="160">
        <v>68.39</v>
      </c>
      <c r="BV19" s="161">
        <v>67.59</v>
      </c>
      <c r="BW19" s="161">
        <v>65.86</v>
      </c>
      <c r="BX19" s="161"/>
      <c r="BY19" s="161"/>
      <c r="BZ19" s="161"/>
      <c r="CA19" s="161"/>
      <c r="CB19" s="162"/>
      <c r="CC19" s="160"/>
      <c r="CD19" s="161"/>
      <c r="CE19" s="162"/>
      <c r="CF19" s="160">
        <v>56.47</v>
      </c>
      <c r="CG19" s="161"/>
      <c r="CH19" s="162"/>
      <c r="CI19" s="160"/>
      <c r="CJ19" s="162"/>
      <c r="CK19" s="160"/>
      <c r="CL19" s="162"/>
      <c r="CM19" s="160"/>
      <c r="CN19" s="161"/>
      <c r="CO19" s="161"/>
      <c r="CP19" s="161"/>
      <c r="CQ19" s="161"/>
      <c r="CR19" s="162"/>
      <c r="CS19" s="160"/>
      <c r="CT19" s="161"/>
      <c r="CU19" s="161"/>
      <c r="CV19" s="162"/>
      <c r="CW19" s="160"/>
      <c r="CX19" s="161"/>
      <c r="CY19" s="161"/>
      <c r="CZ19" s="162"/>
      <c r="DA19" s="43"/>
      <c r="DB19" s="6"/>
    </row>
    <row r="20" spans="1:106">
      <c r="A20" s="42" t="s">
        <v>319</v>
      </c>
      <c r="B20" s="17" t="s">
        <v>125</v>
      </c>
      <c r="C20" s="16" t="s">
        <v>100</v>
      </c>
      <c r="D20" s="1"/>
      <c r="E20" s="18">
        <v>1100</v>
      </c>
      <c r="F20" s="18"/>
      <c r="G20" s="16">
        <v>4296</v>
      </c>
      <c r="H20" s="17">
        <v>1.9852125693160814</v>
      </c>
      <c r="I20" s="18">
        <v>2</v>
      </c>
      <c r="J20" s="16">
        <v>0</v>
      </c>
      <c r="K20" s="1">
        <v>0</v>
      </c>
      <c r="L20" s="1">
        <v>1</v>
      </c>
      <c r="M20" s="1">
        <v>0</v>
      </c>
      <c r="N20" s="17">
        <v>0</v>
      </c>
      <c r="O20" s="16">
        <v>100</v>
      </c>
      <c r="P20" s="16">
        <v>1</v>
      </c>
      <c r="Q20" s="1"/>
      <c r="R20" s="1">
        <v>0</v>
      </c>
      <c r="S20" s="17">
        <v>1</v>
      </c>
      <c r="T20" s="16">
        <v>1100</v>
      </c>
      <c r="U20" s="16">
        <v>1</v>
      </c>
      <c r="V20" s="1">
        <v>0</v>
      </c>
      <c r="W20" s="1">
        <v>0</v>
      </c>
      <c r="X20" s="1">
        <v>1</v>
      </c>
      <c r="Y20" s="17">
        <v>0</v>
      </c>
      <c r="Z20" s="18">
        <v>10010</v>
      </c>
      <c r="AA20" s="18">
        <v>2</v>
      </c>
      <c r="AB20" s="18">
        <v>1</v>
      </c>
      <c r="AC20" s="16">
        <v>1</v>
      </c>
      <c r="AD20" s="17">
        <v>2</v>
      </c>
      <c r="AE20" s="16">
        <v>0</v>
      </c>
      <c r="AF20" s="1">
        <v>0</v>
      </c>
      <c r="AG20" s="1">
        <v>1</v>
      </c>
      <c r="AH20" s="18">
        <v>1</v>
      </c>
      <c r="AI20" s="16">
        <v>2210</v>
      </c>
      <c r="AJ20" s="17">
        <v>3025</v>
      </c>
      <c r="AK20" s="16">
        <v>104</v>
      </c>
      <c r="AL20" s="17">
        <v>1</v>
      </c>
      <c r="AM20" s="16">
        <v>5</v>
      </c>
      <c r="AN20" s="1">
        <v>8</v>
      </c>
      <c r="AO20" s="1">
        <v>28</v>
      </c>
      <c r="AP20" s="1">
        <v>0</v>
      </c>
      <c r="AQ20" s="1">
        <v>0</v>
      </c>
      <c r="AR20" s="1">
        <v>15</v>
      </c>
      <c r="AS20" s="1">
        <v>113</v>
      </c>
      <c r="AT20" s="1">
        <v>12</v>
      </c>
      <c r="AU20" s="1">
        <v>183</v>
      </c>
      <c r="AV20" s="1">
        <v>24</v>
      </c>
      <c r="AW20" s="1">
        <v>265</v>
      </c>
      <c r="AX20" s="17">
        <v>0</v>
      </c>
      <c r="AY20" s="16">
        <v>0</v>
      </c>
      <c r="AZ20" s="1">
        <v>0</v>
      </c>
      <c r="BA20" s="1">
        <v>0</v>
      </c>
      <c r="BB20" s="17">
        <v>0</v>
      </c>
      <c r="BC20" s="16">
        <v>0</v>
      </c>
      <c r="BD20" s="17">
        <v>0</v>
      </c>
      <c r="BE20" s="18">
        <v>231</v>
      </c>
      <c r="BF20" s="16">
        <v>1</v>
      </c>
      <c r="BG20" s="1">
        <v>1</v>
      </c>
      <c r="BH20" s="1">
        <v>0</v>
      </c>
      <c r="BI20" s="1">
        <v>0</v>
      </c>
      <c r="BJ20" s="16">
        <v>0</v>
      </c>
      <c r="BK20" s="1">
        <v>1</v>
      </c>
      <c r="BL20" s="16">
        <v>82.28</v>
      </c>
      <c r="BM20" s="1"/>
      <c r="BN20" s="1"/>
      <c r="BO20" s="1"/>
      <c r="BP20" s="1"/>
      <c r="BQ20" s="1"/>
      <c r="BR20" s="1"/>
      <c r="BS20" s="1"/>
      <c r="BT20" s="17"/>
      <c r="BU20" s="16"/>
      <c r="BV20" s="1"/>
      <c r="BW20" s="1"/>
      <c r="BX20" s="1"/>
      <c r="BY20" s="1"/>
      <c r="BZ20" s="1"/>
      <c r="CA20" s="1"/>
      <c r="CB20" s="17"/>
      <c r="CC20" s="16">
        <v>69.569999999999993</v>
      </c>
      <c r="CD20" s="1">
        <v>69.58</v>
      </c>
      <c r="CE20" s="17"/>
      <c r="CF20" s="16">
        <v>56.98</v>
      </c>
      <c r="CG20" s="1"/>
      <c r="CH20" s="17"/>
      <c r="CI20" s="16"/>
      <c r="CJ20" s="17"/>
      <c r="CK20" s="16"/>
      <c r="CL20" s="17"/>
      <c r="CM20" s="16"/>
      <c r="CN20" s="1"/>
      <c r="CO20" s="1"/>
      <c r="CP20" s="1"/>
      <c r="CQ20" s="1"/>
      <c r="CR20" s="17"/>
      <c r="CS20" s="16"/>
      <c r="CT20" s="1"/>
      <c r="CU20" s="1"/>
      <c r="CV20" s="17"/>
      <c r="CW20" s="16"/>
      <c r="CX20" s="1"/>
      <c r="CY20" s="1"/>
      <c r="CZ20" s="17"/>
      <c r="DA20" s="18"/>
      <c r="DB20" s="6"/>
    </row>
    <row r="21" spans="1:106" ht="17" thickBot="1">
      <c r="A21" s="42" t="s">
        <v>319</v>
      </c>
      <c r="B21" s="17" t="s">
        <v>125</v>
      </c>
      <c r="C21" s="16" t="s">
        <v>104</v>
      </c>
      <c r="D21" s="1"/>
      <c r="E21" s="18">
        <v>100</v>
      </c>
      <c r="F21" s="18"/>
      <c r="G21" s="16">
        <v>1791</v>
      </c>
      <c r="H21" s="17">
        <v>1.3015988372093024</v>
      </c>
      <c r="I21" s="18">
        <v>3</v>
      </c>
      <c r="J21" s="16">
        <v>0</v>
      </c>
      <c r="K21" s="1">
        <v>1</v>
      </c>
      <c r="L21" s="1">
        <v>0</v>
      </c>
      <c r="M21" s="1">
        <v>0</v>
      </c>
      <c r="N21" s="17">
        <v>0</v>
      </c>
      <c r="O21" s="16">
        <v>1000</v>
      </c>
      <c r="P21" s="16">
        <v>0</v>
      </c>
      <c r="Q21" s="1">
        <v>0</v>
      </c>
      <c r="R21" s="1">
        <v>0</v>
      </c>
      <c r="S21" s="17">
        <v>1</v>
      </c>
      <c r="T21" s="16">
        <v>100</v>
      </c>
      <c r="U21" s="16">
        <v>0</v>
      </c>
      <c r="V21" s="1">
        <v>0</v>
      </c>
      <c r="W21" s="1">
        <v>0</v>
      </c>
      <c r="X21" s="1">
        <v>1</v>
      </c>
      <c r="Y21" s="17">
        <v>0</v>
      </c>
      <c r="Z21" s="18">
        <v>10</v>
      </c>
      <c r="AA21" s="18">
        <v>1</v>
      </c>
      <c r="AB21" s="18">
        <v>2</v>
      </c>
      <c r="AC21" s="16">
        <v>1</v>
      </c>
      <c r="AD21" s="17">
        <v>2</v>
      </c>
      <c r="AE21" s="16">
        <v>0</v>
      </c>
      <c r="AF21" s="1">
        <v>0</v>
      </c>
      <c r="AG21" s="1">
        <v>1</v>
      </c>
      <c r="AH21" s="18">
        <v>1</v>
      </c>
      <c r="AI21" s="16">
        <v>1060</v>
      </c>
      <c r="AJ21" s="17">
        <v>1731</v>
      </c>
      <c r="AK21" s="16">
        <v>20</v>
      </c>
      <c r="AL21" s="17">
        <v>1</v>
      </c>
      <c r="AM21" s="16">
        <v>3</v>
      </c>
      <c r="AN21" s="1">
        <v>8</v>
      </c>
      <c r="AO21" s="1">
        <v>35</v>
      </c>
      <c r="AP21" s="1">
        <v>0</v>
      </c>
      <c r="AQ21" s="1">
        <v>0</v>
      </c>
      <c r="AR21" s="1">
        <v>14</v>
      </c>
      <c r="AS21" s="1">
        <v>103</v>
      </c>
      <c r="AT21" s="1">
        <v>0</v>
      </c>
      <c r="AU21" s="1">
        <v>0</v>
      </c>
      <c r="AV21" s="1">
        <v>0</v>
      </c>
      <c r="AW21" s="1">
        <v>0</v>
      </c>
      <c r="AX21" s="17"/>
      <c r="AY21" s="16">
        <v>0</v>
      </c>
      <c r="AZ21" s="1">
        <v>0</v>
      </c>
      <c r="BA21" s="1">
        <v>0</v>
      </c>
      <c r="BB21" s="17">
        <v>0</v>
      </c>
      <c r="BC21" s="16">
        <v>0</v>
      </c>
      <c r="BD21" s="17">
        <v>0</v>
      </c>
      <c r="BE21" s="18">
        <v>120</v>
      </c>
      <c r="BF21" s="16">
        <v>0</v>
      </c>
      <c r="BG21" s="1">
        <v>0</v>
      </c>
      <c r="BH21" s="1">
        <v>0</v>
      </c>
      <c r="BI21" s="1">
        <v>0</v>
      </c>
      <c r="BJ21" s="16">
        <v>0</v>
      </c>
      <c r="BK21" s="1">
        <v>1</v>
      </c>
      <c r="BL21" s="16"/>
      <c r="BM21" s="1"/>
      <c r="BN21" s="1"/>
      <c r="BO21" s="1"/>
      <c r="BP21" s="1"/>
      <c r="BQ21" s="1"/>
      <c r="BR21" s="1"/>
      <c r="BS21" s="1"/>
      <c r="BT21" s="17"/>
      <c r="BU21" s="16"/>
      <c r="BV21" s="1"/>
      <c r="BW21" s="1"/>
      <c r="BX21" s="1"/>
      <c r="BY21" s="1"/>
      <c r="BZ21" s="1"/>
      <c r="CA21" s="1"/>
      <c r="CB21" s="17"/>
      <c r="CC21" s="16"/>
      <c r="CD21" s="1"/>
      <c r="CE21" s="17"/>
      <c r="CF21" s="16"/>
      <c r="CG21" s="1"/>
      <c r="CH21" s="17"/>
      <c r="CI21" s="16"/>
      <c r="CJ21" s="17"/>
      <c r="CK21" s="16"/>
      <c r="CL21" s="17"/>
      <c r="CM21" s="16"/>
      <c r="CN21" s="1"/>
      <c r="CO21" s="1"/>
      <c r="CP21" s="1"/>
      <c r="CQ21" s="1"/>
      <c r="CR21" s="17"/>
      <c r="CS21" s="16"/>
      <c r="CT21" s="1"/>
      <c r="CU21" s="1"/>
      <c r="CV21" s="17"/>
      <c r="CW21" s="16"/>
      <c r="CX21" s="1"/>
      <c r="CY21" s="1"/>
      <c r="CZ21" s="17"/>
      <c r="DA21" s="18"/>
      <c r="DB21" s="6"/>
    </row>
    <row r="22" spans="1:106">
      <c r="A22" s="87" t="s">
        <v>321</v>
      </c>
      <c r="B22" s="162" t="s">
        <v>246</v>
      </c>
      <c r="C22" s="160" t="s">
        <v>256</v>
      </c>
      <c r="D22" s="161"/>
      <c r="E22" s="43">
        <v>1100</v>
      </c>
      <c r="F22" s="43">
        <v>4331</v>
      </c>
      <c r="G22" s="160">
        <v>1650</v>
      </c>
      <c r="H22" s="162">
        <v>1.5363128491620113</v>
      </c>
      <c r="I22" s="43">
        <v>4</v>
      </c>
      <c r="J22" s="160">
        <v>0</v>
      </c>
      <c r="K22" s="161">
        <v>1</v>
      </c>
      <c r="L22" s="161">
        <v>1</v>
      </c>
      <c r="M22" s="161">
        <v>0</v>
      </c>
      <c r="N22" s="162">
        <v>0</v>
      </c>
      <c r="O22" s="160">
        <v>1100</v>
      </c>
      <c r="P22" s="160">
        <v>1</v>
      </c>
      <c r="Q22" s="161">
        <v>0</v>
      </c>
      <c r="R22" s="161">
        <v>0</v>
      </c>
      <c r="S22" s="162">
        <v>1</v>
      </c>
      <c r="T22" s="160">
        <v>1100</v>
      </c>
      <c r="U22" s="160">
        <v>0</v>
      </c>
      <c r="V22" s="161">
        <v>0</v>
      </c>
      <c r="W22" s="161">
        <v>0</v>
      </c>
      <c r="X22" s="161">
        <v>1</v>
      </c>
      <c r="Y22" s="162">
        <v>0</v>
      </c>
      <c r="Z22" s="43">
        <v>10</v>
      </c>
      <c r="AA22" s="43">
        <v>1</v>
      </c>
      <c r="AB22" s="43">
        <v>0</v>
      </c>
      <c r="AC22" s="160">
        <v>0</v>
      </c>
      <c r="AD22" s="162">
        <v>0</v>
      </c>
      <c r="AE22" s="160">
        <v>0</v>
      </c>
      <c r="AF22" s="161">
        <v>1</v>
      </c>
      <c r="AG22" s="161">
        <v>1</v>
      </c>
      <c r="AH22" s="43">
        <v>11</v>
      </c>
      <c r="AI22" s="160">
        <v>342</v>
      </c>
      <c r="AJ22" s="162">
        <v>1150</v>
      </c>
      <c r="AK22" s="160">
        <v>9</v>
      </c>
      <c r="AL22" s="162">
        <v>1</v>
      </c>
      <c r="AM22" s="160">
        <v>1</v>
      </c>
      <c r="AN22" s="161">
        <v>0</v>
      </c>
      <c r="AO22" s="161">
        <v>0</v>
      </c>
      <c r="AP22" s="161">
        <v>0</v>
      </c>
      <c r="AQ22" s="161">
        <v>0</v>
      </c>
      <c r="AR22" s="161">
        <v>0</v>
      </c>
      <c r="AS22" s="161">
        <v>0</v>
      </c>
      <c r="AT22" s="161">
        <v>0</v>
      </c>
      <c r="AU22" s="161">
        <v>0</v>
      </c>
      <c r="AV22" s="161">
        <v>21</v>
      </c>
      <c r="AW22" s="161">
        <v>208</v>
      </c>
      <c r="AX22" s="162">
        <v>0</v>
      </c>
      <c r="AY22" s="160">
        <v>0</v>
      </c>
      <c r="AZ22" s="161">
        <v>0</v>
      </c>
      <c r="BA22" s="161">
        <v>0</v>
      </c>
      <c r="BB22" s="162">
        <v>0</v>
      </c>
      <c r="BC22" s="160">
        <v>0</v>
      </c>
      <c r="BD22" s="162">
        <v>0</v>
      </c>
      <c r="BE22" s="43">
        <v>94</v>
      </c>
      <c r="BF22" s="160">
        <v>0</v>
      </c>
      <c r="BG22" s="161">
        <v>0</v>
      </c>
      <c r="BH22" s="161">
        <v>0</v>
      </c>
      <c r="BI22" s="161">
        <v>0</v>
      </c>
      <c r="BJ22" s="160">
        <v>0</v>
      </c>
      <c r="BK22" s="161">
        <v>1</v>
      </c>
      <c r="BL22" s="160"/>
      <c r="BM22" s="161"/>
      <c r="BN22" s="161"/>
      <c r="BO22" s="161"/>
      <c r="BP22" s="161"/>
      <c r="BQ22" s="161"/>
      <c r="BR22" s="161"/>
      <c r="BS22" s="161"/>
      <c r="BT22" s="162"/>
      <c r="BU22" s="160"/>
      <c r="BV22" s="161"/>
      <c r="BW22" s="161"/>
      <c r="BX22" s="161"/>
      <c r="BY22" s="161"/>
      <c r="BZ22" s="161"/>
      <c r="CA22" s="161"/>
      <c r="CB22" s="162"/>
      <c r="CC22" s="160"/>
      <c r="CD22" s="161"/>
      <c r="CE22" s="162"/>
      <c r="CF22" s="160"/>
      <c r="CG22" s="161"/>
      <c r="CH22" s="162"/>
      <c r="CI22" s="160"/>
      <c r="CJ22" s="162"/>
      <c r="CK22" s="160"/>
      <c r="CL22" s="162"/>
      <c r="CM22" s="160"/>
      <c r="CN22" s="161"/>
      <c r="CO22" s="161"/>
      <c r="CP22" s="161"/>
      <c r="CQ22" s="161"/>
      <c r="CR22" s="162"/>
      <c r="CS22" s="160"/>
      <c r="CT22" s="161"/>
      <c r="CU22" s="161"/>
      <c r="CV22" s="162"/>
      <c r="CW22" s="160"/>
      <c r="CX22" s="161"/>
      <c r="CY22" s="161"/>
      <c r="CZ22" s="162"/>
      <c r="DA22" s="43"/>
      <c r="DB22" s="6"/>
    </row>
    <row r="23" spans="1:106">
      <c r="A23" s="42" t="s">
        <v>321</v>
      </c>
      <c r="B23" s="17" t="s">
        <v>246</v>
      </c>
      <c r="C23" s="16" t="s">
        <v>241</v>
      </c>
      <c r="D23" s="1"/>
      <c r="E23" s="18">
        <v>1000</v>
      </c>
      <c r="F23" s="18">
        <v>4331</v>
      </c>
      <c r="G23" s="16">
        <v>1830</v>
      </c>
      <c r="H23" s="17">
        <v>1.3071428571428572</v>
      </c>
      <c r="I23" s="18">
        <v>3</v>
      </c>
      <c r="J23" s="16">
        <v>0</v>
      </c>
      <c r="K23" s="1">
        <v>0</v>
      </c>
      <c r="L23" s="1">
        <v>1</v>
      </c>
      <c r="M23" s="1">
        <v>0</v>
      </c>
      <c r="N23" s="17">
        <v>1</v>
      </c>
      <c r="O23" s="16">
        <v>101</v>
      </c>
      <c r="P23" s="16">
        <v>1</v>
      </c>
      <c r="Q23" s="1">
        <v>0</v>
      </c>
      <c r="R23" s="1">
        <v>0</v>
      </c>
      <c r="S23" s="17">
        <v>0</v>
      </c>
      <c r="T23" s="16">
        <v>1000</v>
      </c>
      <c r="U23" s="16">
        <v>0</v>
      </c>
      <c r="V23" s="1">
        <v>0</v>
      </c>
      <c r="W23" s="1">
        <v>1</v>
      </c>
      <c r="X23" s="1">
        <v>1</v>
      </c>
      <c r="Y23" s="17">
        <v>0</v>
      </c>
      <c r="Z23" s="18">
        <v>110</v>
      </c>
      <c r="AA23" s="18">
        <v>2</v>
      </c>
      <c r="AB23" s="18">
        <v>2</v>
      </c>
      <c r="AC23" s="16">
        <v>1</v>
      </c>
      <c r="AD23" s="17">
        <v>2</v>
      </c>
      <c r="AE23" s="16">
        <v>0</v>
      </c>
      <c r="AF23" s="1">
        <v>1</v>
      </c>
      <c r="AG23" s="1">
        <v>1</v>
      </c>
      <c r="AH23" s="18">
        <v>11</v>
      </c>
      <c r="AI23" s="16">
        <v>681</v>
      </c>
      <c r="AJ23" s="17">
        <v>1097</v>
      </c>
      <c r="AK23" s="16">
        <v>8</v>
      </c>
      <c r="AL23" s="17">
        <v>1</v>
      </c>
      <c r="AM23" s="16">
        <v>10</v>
      </c>
      <c r="AN23" s="1">
        <v>7</v>
      </c>
      <c r="AO23" s="1">
        <v>25</v>
      </c>
      <c r="AP23" s="1">
        <v>0</v>
      </c>
      <c r="AQ23" s="1">
        <v>0</v>
      </c>
      <c r="AR23" s="1">
        <v>16</v>
      </c>
      <c r="AS23" s="1">
        <v>70</v>
      </c>
      <c r="AT23" s="1">
        <v>21</v>
      </c>
      <c r="AU23" s="1">
        <v>36</v>
      </c>
      <c r="AV23" s="1">
        <v>188</v>
      </c>
      <c r="AW23" s="1">
        <v>280</v>
      </c>
      <c r="AX23" s="17">
        <v>0</v>
      </c>
      <c r="AY23" s="16">
        <v>0</v>
      </c>
      <c r="AZ23" s="1">
        <v>0</v>
      </c>
      <c r="BA23" s="1">
        <v>0</v>
      </c>
      <c r="BB23" s="17">
        <v>0</v>
      </c>
      <c r="BC23" s="16">
        <v>0</v>
      </c>
      <c r="BD23" s="17">
        <v>0</v>
      </c>
      <c r="BE23" s="18">
        <v>87</v>
      </c>
      <c r="BF23" s="16">
        <v>0</v>
      </c>
      <c r="BG23" s="1">
        <v>1</v>
      </c>
      <c r="BH23" s="1">
        <v>0</v>
      </c>
      <c r="BI23" s="1">
        <v>0</v>
      </c>
      <c r="BJ23" s="16">
        <v>0</v>
      </c>
      <c r="BK23" s="1">
        <v>1</v>
      </c>
      <c r="BL23" s="16"/>
      <c r="BM23" s="1"/>
      <c r="BN23" s="1"/>
      <c r="BO23" s="1"/>
      <c r="BP23" s="1"/>
      <c r="BQ23" s="1"/>
      <c r="BR23" s="1"/>
      <c r="BS23" s="1"/>
      <c r="BT23" s="17"/>
      <c r="BU23" s="16"/>
      <c r="BV23" s="1"/>
      <c r="BW23" s="1"/>
      <c r="BX23" s="1"/>
      <c r="BY23" s="1"/>
      <c r="BZ23" s="1"/>
      <c r="CA23" s="1"/>
      <c r="CB23" s="17"/>
      <c r="CC23" s="16"/>
      <c r="CD23" s="1"/>
      <c r="CE23" s="17"/>
      <c r="CF23" s="16"/>
      <c r="CG23" s="1"/>
      <c r="CH23" s="17"/>
      <c r="CI23" s="16"/>
      <c r="CJ23" s="17"/>
      <c r="CK23" s="16"/>
      <c r="CL23" s="17"/>
      <c r="CM23" s="16"/>
      <c r="CN23" s="1"/>
      <c r="CO23" s="1"/>
      <c r="CP23" s="1"/>
      <c r="CQ23" s="1"/>
      <c r="CR23" s="17"/>
      <c r="CS23" s="16"/>
      <c r="CT23" s="1"/>
      <c r="CU23" s="1"/>
      <c r="CV23" s="17"/>
      <c r="CW23" s="16"/>
      <c r="CX23" s="1"/>
      <c r="CY23" s="1"/>
      <c r="CZ23" s="17"/>
      <c r="DA23" s="18"/>
      <c r="DB23" s="6"/>
    </row>
    <row r="24" spans="1:106">
      <c r="A24" s="42" t="s">
        <v>321</v>
      </c>
      <c r="B24" s="17" t="s">
        <v>246</v>
      </c>
      <c r="C24" s="16" t="s">
        <v>245</v>
      </c>
      <c r="D24" s="1"/>
      <c r="E24" s="18">
        <v>1100</v>
      </c>
      <c r="F24" s="18">
        <v>4331</v>
      </c>
      <c r="G24" s="16">
        <v>3060</v>
      </c>
      <c r="H24" s="17">
        <v>2.2666666666666666</v>
      </c>
      <c r="I24" s="18">
        <v>2</v>
      </c>
      <c r="J24" s="16">
        <v>1</v>
      </c>
      <c r="K24" s="1">
        <v>0</v>
      </c>
      <c r="L24" s="1">
        <v>0</v>
      </c>
      <c r="M24" s="1">
        <v>1</v>
      </c>
      <c r="N24" s="17">
        <v>0</v>
      </c>
      <c r="O24" s="16">
        <v>10010</v>
      </c>
      <c r="P24" s="16">
        <v>1</v>
      </c>
      <c r="Q24" s="1">
        <v>0</v>
      </c>
      <c r="R24" s="1">
        <v>0</v>
      </c>
      <c r="S24" s="17">
        <v>1</v>
      </c>
      <c r="T24" s="16">
        <v>1100</v>
      </c>
      <c r="U24" s="16">
        <v>0</v>
      </c>
      <c r="V24" s="1">
        <v>2</v>
      </c>
      <c r="W24" s="1">
        <v>0</v>
      </c>
      <c r="X24" s="1">
        <v>1</v>
      </c>
      <c r="Y24" s="17">
        <v>0</v>
      </c>
      <c r="Z24" s="18">
        <v>2010</v>
      </c>
      <c r="AA24" s="18">
        <v>3</v>
      </c>
      <c r="AB24" s="18">
        <v>2</v>
      </c>
      <c r="AC24" s="16">
        <v>1</v>
      </c>
      <c r="AD24" s="17">
        <v>1</v>
      </c>
      <c r="AE24" s="16">
        <v>0</v>
      </c>
      <c r="AF24" s="1">
        <v>0</v>
      </c>
      <c r="AG24" s="1">
        <v>1</v>
      </c>
      <c r="AH24" s="18">
        <v>1</v>
      </c>
      <c r="AI24" s="16">
        <v>1944</v>
      </c>
      <c r="AJ24" s="17">
        <v>2106</v>
      </c>
      <c r="AK24" s="16">
        <v>16</v>
      </c>
      <c r="AL24" s="17">
        <v>1</v>
      </c>
      <c r="AM24" s="16">
        <v>3</v>
      </c>
      <c r="AN24" s="1">
        <v>10</v>
      </c>
      <c r="AO24" s="1">
        <v>50</v>
      </c>
      <c r="AP24" s="1">
        <v>0</v>
      </c>
      <c r="AQ24" s="1">
        <v>0</v>
      </c>
      <c r="AR24" s="1">
        <v>10</v>
      </c>
      <c r="AS24" s="1">
        <v>50</v>
      </c>
      <c r="AT24" s="1">
        <v>10</v>
      </c>
      <c r="AU24" s="1">
        <v>80</v>
      </c>
      <c r="AV24" s="1">
        <v>0</v>
      </c>
      <c r="AW24" s="1">
        <v>0</v>
      </c>
      <c r="AX24" s="17"/>
      <c r="AY24" s="16">
        <v>0</v>
      </c>
      <c r="AZ24" s="1">
        <v>0</v>
      </c>
      <c r="BA24" s="1">
        <v>0</v>
      </c>
      <c r="BB24" s="17">
        <v>0</v>
      </c>
      <c r="BC24" s="16">
        <v>0</v>
      </c>
      <c r="BD24" s="17">
        <v>0</v>
      </c>
      <c r="BE24" s="18">
        <v>106</v>
      </c>
      <c r="BF24" s="16">
        <v>0</v>
      </c>
      <c r="BG24" s="1">
        <v>1</v>
      </c>
      <c r="BH24" s="1">
        <v>0</v>
      </c>
      <c r="BI24" s="1">
        <v>0</v>
      </c>
      <c r="BJ24" s="16">
        <v>0</v>
      </c>
      <c r="BK24" s="1">
        <v>1</v>
      </c>
      <c r="BL24" s="16"/>
      <c r="BM24" s="1"/>
      <c r="BN24" s="1"/>
      <c r="BO24" s="1"/>
      <c r="BP24" s="1"/>
      <c r="BQ24" s="1"/>
      <c r="BR24" s="1"/>
      <c r="BS24" s="1"/>
      <c r="BT24" s="17"/>
      <c r="BU24" s="16"/>
      <c r="BV24" s="1"/>
      <c r="BW24" s="1"/>
      <c r="BX24" s="1"/>
      <c r="BY24" s="1"/>
      <c r="BZ24" s="1"/>
      <c r="CA24" s="1"/>
      <c r="CB24" s="17"/>
      <c r="CC24" s="16"/>
      <c r="CD24" s="1"/>
      <c r="CE24" s="17"/>
      <c r="CF24" s="16"/>
      <c r="CG24" s="1"/>
      <c r="CH24" s="17"/>
      <c r="CI24" s="16"/>
      <c r="CJ24" s="17"/>
      <c r="CK24" s="16"/>
      <c r="CL24" s="17"/>
      <c r="CM24" s="16"/>
      <c r="CN24" s="1"/>
      <c r="CO24" s="1"/>
      <c r="CP24" s="1"/>
      <c r="CQ24" s="1"/>
      <c r="CR24" s="17"/>
      <c r="CS24" s="16"/>
      <c r="CT24" s="1"/>
      <c r="CU24" s="1"/>
      <c r="CV24" s="17"/>
      <c r="CW24" s="16"/>
      <c r="CX24" s="1"/>
      <c r="CY24" s="1"/>
      <c r="CZ24" s="17"/>
      <c r="DA24" s="18"/>
      <c r="DB24" s="6"/>
    </row>
    <row r="25" spans="1:106">
      <c r="A25" s="42" t="s">
        <v>321</v>
      </c>
      <c r="B25" s="17" t="s">
        <v>246</v>
      </c>
      <c r="C25" s="16" t="s">
        <v>254</v>
      </c>
      <c r="D25" s="1"/>
      <c r="E25" s="18">
        <v>1100</v>
      </c>
      <c r="F25" s="18">
        <v>4331</v>
      </c>
      <c r="G25" s="16">
        <v>2046</v>
      </c>
      <c r="H25" s="17">
        <v>1.1806116560877091</v>
      </c>
      <c r="I25" s="18">
        <v>3</v>
      </c>
      <c r="J25" s="16">
        <v>0</v>
      </c>
      <c r="K25" s="1">
        <v>1</v>
      </c>
      <c r="L25" s="1">
        <v>0</v>
      </c>
      <c r="M25" s="1">
        <v>1</v>
      </c>
      <c r="N25" s="17">
        <v>0</v>
      </c>
      <c r="O25" s="16">
        <v>1010</v>
      </c>
      <c r="P25" s="16">
        <v>1</v>
      </c>
      <c r="Q25" s="1">
        <v>0</v>
      </c>
      <c r="R25" s="1">
        <v>0</v>
      </c>
      <c r="S25" s="17">
        <v>1</v>
      </c>
      <c r="T25" s="16">
        <v>1100</v>
      </c>
      <c r="U25" s="16">
        <v>0</v>
      </c>
      <c r="V25" s="1">
        <v>4</v>
      </c>
      <c r="W25" s="1">
        <v>1</v>
      </c>
      <c r="X25" s="1">
        <v>0</v>
      </c>
      <c r="Y25" s="17">
        <v>0</v>
      </c>
      <c r="Z25" s="18">
        <v>4100</v>
      </c>
      <c r="AA25" s="18">
        <v>5</v>
      </c>
      <c r="AB25" s="18">
        <v>2</v>
      </c>
      <c r="AC25" s="16">
        <v>1</v>
      </c>
      <c r="AD25" s="17">
        <v>3</v>
      </c>
      <c r="AE25" s="16">
        <v>0</v>
      </c>
      <c r="AF25" s="1">
        <v>0</v>
      </c>
      <c r="AG25" s="1">
        <v>1</v>
      </c>
      <c r="AH25" s="18">
        <v>1</v>
      </c>
      <c r="AI25" s="16">
        <v>788</v>
      </c>
      <c r="AJ25" s="17">
        <v>2046</v>
      </c>
      <c r="AK25" s="16">
        <v>10</v>
      </c>
      <c r="AL25" s="17">
        <v>1</v>
      </c>
      <c r="AM25" s="16">
        <v>15</v>
      </c>
      <c r="AN25" s="1">
        <v>20</v>
      </c>
      <c r="AO25" s="1">
        <v>50</v>
      </c>
      <c r="AP25" s="1">
        <v>0</v>
      </c>
      <c r="AQ25" s="1">
        <v>0</v>
      </c>
      <c r="AR25" s="1">
        <v>30</v>
      </c>
      <c r="AS25" s="1">
        <v>290</v>
      </c>
      <c r="AT25" s="1">
        <v>10</v>
      </c>
      <c r="AU25" s="1">
        <v>110</v>
      </c>
      <c r="AV25" s="1">
        <v>70</v>
      </c>
      <c r="AW25" s="1">
        <v>400</v>
      </c>
      <c r="AX25" s="17"/>
      <c r="AY25" s="16">
        <v>0</v>
      </c>
      <c r="AZ25" s="1">
        <v>0</v>
      </c>
      <c r="BA25" s="1">
        <v>0</v>
      </c>
      <c r="BB25" s="17">
        <v>0</v>
      </c>
      <c r="BC25" s="16">
        <v>0</v>
      </c>
      <c r="BD25" s="17">
        <v>0</v>
      </c>
      <c r="BE25" s="18">
        <v>116</v>
      </c>
      <c r="BF25" s="16">
        <v>0</v>
      </c>
      <c r="BG25" s="1">
        <v>1</v>
      </c>
      <c r="BH25" s="1">
        <v>0</v>
      </c>
      <c r="BI25" s="1">
        <v>0</v>
      </c>
      <c r="BJ25" s="16">
        <v>1</v>
      </c>
      <c r="BK25" s="1">
        <v>0</v>
      </c>
      <c r="BL25" s="16"/>
      <c r="BM25" s="1"/>
      <c r="BN25" s="1"/>
      <c r="BO25" s="1"/>
      <c r="BP25" s="1"/>
      <c r="BQ25" s="1"/>
      <c r="BR25" s="1"/>
      <c r="BS25" s="1"/>
      <c r="BT25" s="17"/>
      <c r="BU25" s="16"/>
      <c r="BV25" s="1"/>
      <c r="BW25" s="1"/>
      <c r="BX25" s="1"/>
      <c r="BY25" s="1"/>
      <c r="BZ25" s="1"/>
      <c r="CA25" s="1"/>
      <c r="CB25" s="17"/>
      <c r="CC25" s="16"/>
      <c r="CD25" s="1"/>
      <c r="CE25" s="17"/>
      <c r="CF25" s="16"/>
      <c r="CG25" s="1"/>
      <c r="CH25" s="17"/>
      <c r="CI25" s="16"/>
      <c r="CJ25" s="17"/>
      <c r="CK25" s="16"/>
      <c r="CL25" s="17"/>
      <c r="CM25" s="16"/>
      <c r="CN25" s="1"/>
      <c r="CO25" s="1"/>
      <c r="CP25" s="1"/>
      <c r="CQ25" s="1"/>
      <c r="CR25" s="17"/>
      <c r="CS25" s="16"/>
      <c r="CT25" s="1"/>
      <c r="CU25" s="1"/>
      <c r="CV25" s="17"/>
      <c r="CW25" s="16"/>
      <c r="CX25" s="1"/>
      <c r="CY25" s="1"/>
      <c r="CZ25" s="17"/>
      <c r="DA25" s="18"/>
      <c r="DB25" s="6"/>
    </row>
    <row r="26" spans="1:106" ht="17" thickBot="1">
      <c r="A26" s="55" t="s">
        <v>321</v>
      </c>
      <c r="B26" s="38" t="s">
        <v>246</v>
      </c>
      <c r="C26" s="22" t="s">
        <v>255</v>
      </c>
      <c r="D26" s="37"/>
      <c r="E26" s="39">
        <v>100</v>
      </c>
      <c r="F26" s="39">
        <v>4331</v>
      </c>
      <c r="G26" s="22">
        <v>1972</v>
      </c>
      <c r="H26" s="38">
        <v>1.0428344791115811</v>
      </c>
      <c r="I26" s="39">
        <v>2</v>
      </c>
      <c r="J26" s="22">
        <v>0</v>
      </c>
      <c r="K26" s="37">
        <v>1</v>
      </c>
      <c r="L26" s="37">
        <v>0</v>
      </c>
      <c r="M26" s="37">
        <v>0</v>
      </c>
      <c r="N26" s="38">
        <v>0</v>
      </c>
      <c r="O26" s="22">
        <v>1000</v>
      </c>
      <c r="P26" s="22">
        <v>0</v>
      </c>
      <c r="Q26" s="37">
        <v>0</v>
      </c>
      <c r="R26" s="37">
        <v>0</v>
      </c>
      <c r="S26" s="38">
        <v>1</v>
      </c>
      <c r="T26" s="22">
        <v>100</v>
      </c>
      <c r="U26" s="22">
        <v>0</v>
      </c>
      <c r="V26" s="37">
        <v>3</v>
      </c>
      <c r="W26" s="37">
        <v>1</v>
      </c>
      <c r="X26" s="37">
        <v>1</v>
      </c>
      <c r="Y26" s="38">
        <v>0</v>
      </c>
      <c r="Z26" s="39">
        <v>3110</v>
      </c>
      <c r="AA26" s="39">
        <v>5</v>
      </c>
      <c r="AB26" s="39">
        <v>1</v>
      </c>
      <c r="AC26" s="22">
        <v>1</v>
      </c>
      <c r="AD26" s="38">
        <v>4</v>
      </c>
      <c r="AE26" s="22">
        <v>0</v>
      </c>
      <c r="AF26" s="37">
        <v>1</v>
      </c>
      <c r="AG26" s="37">
        <v>0</v>
      </c>
      <c r="AH26" s="39">
        <v>10</v>
      </c>
      <c r="AI26" s="22">
        <v>1663</v>
      </c>
      <c r="AJ26" s="38">
        <v>1922</v>
      </c>
      <c r="AK26" s="22">
        <v>14</v>
      </c>
      <c r="AL26" s="38">
        <v>1</v>
      </c>
      <c r="AM26" s="22">
        <v>3</v>
      </c>
      <c r="AN26" s="37">
        <v>10</v>
      </c>
      <c r="AO26" s="37">
        <v>31</v>
      </c>
      <c r="AP26" s="37">
        <v>0</v>
      </c>
      <c r="AQ26" s="37">
        <v>0</v>
      </c>
      <c r="AR26" s="37">
        <v>13</v>
      </c>
      <c r="AS26" s="37">
        <v>100</v>
      </c>
      <c r="AT26" s="37">
        <v>25</v>
      </c>
      <c r="AU26" s="37">
        <v>32</v>
      </c>
      <c r="AV26" s="37">
        <v>156</v>
      </c>
      <c r="AW26" s="37">
        <v>292</v>
      </c>
      <c r="AX26" s="38"/>
      <c r="AY26" s="22">
        <v>0</v>
      </c>
      <c r="AZ26" s="37">
        <v>0</v>
      </c>
      <c r="BA26" s="37">
        <v>0</v>
      </c>
      <c r="BB26" s="38">
        <v>0</v>
      </c>
      <c r="BC26" s="22">
        <v>0</v>
      </c>
      <c r="BD26" s="38">
        <v>0</v>
      </c>
      <c r="BE26" s="39">
        <v>119</v>
      </c>
      <c r="BF26" s="22">
        <v>0</v>
      </c>
      <c r="BG26" s="37">
        <v>0</v>
      </c>
      <c r="BH26" s="37">
        <v>0</v>
      </c>
      <c r="BI26" s="37">
        <v>0</v>
      </c>
      <c r="BJ26" s="22">
        <v>0</v>
      </c>
      <c r="BK26" s="37">
        <v>1</v>
      </c>
      <c r="BL26" s="22"/>
      <c r="BM26" s="37"/>
      <c r="BN26" s="37"/>
      <c r="BO26" s="37"/>
      <c r="BP26" s="37"/>
      <c r="BQ26" s="37"/>
      <c r="BR26" s="37"/>
      <c r="BS26" s="37"/>
      <c r="BT26" s="38"/>
      <c r="BU26" s="22"/>
      <c r="BV26" s="37"/>
      <c r="BW26" s="37"/>
      <c r="BX26" s="37"/>
      <c r="BY26" s="37"/>
      <c r="BZ26" s="37"/>
      <c r="CA26" s="37"/>
      <c r="CB26" s="38"/>
      <c r="CC26" s="22"/>
      <c r="CD26" s="37"/>
      <c r="CE26" s="38"/>
      <c r="CF26" s="22"/>
      <c r="CG26" s="37"/>
      <c r="CH26" s="38"/>
      <c r="CI26" s="22"/>
      <c r="CJ26" s="38"/>
      <c r="CK26" s="22"/>
      <c r="CL26" s="38"/>
      <c r="CM26" s="22"/>
      <c r="CN26" s="37"/>
      <c r="CO26" s="37"/>
      <c r="CP26" s="37"/>
      <c r="CQ26" s="37"/>
      <c r="CR26" s="38"/>
      <c r="CS26" s="22"/>
      <c r="CT26" s="37"/>
      <c r="CU26" s="37"/>
      <c r="CV26" s="38"/>
      <c r="CW26" s="22"/>
      <c r="CX26" s="37"/>
      <c r="CY26" s="37"/>
      <c r="CZ26" s="38"/>
      <c r="DA26" s="39"/>
      <c r="DB26" s="6"/>
    </row>
    <row r="27" spans="1:106">
      <c r="A27" s="42" t="s">
        <v>321</v>
      </c>
      <c r="B27" s="162" t="s">
        <v>231</v>
      </c>
      <c r="C27" s="160" t="s">
        <v>253</v>
      </c>
      <c r="D27" s="161"/>
      <c r="E27" s="43">
        <v>1100</v>
      </c>
      <c r="F27" s="43">
        <v>4331</v>
      </c>
      <c r="G27" s="160">
        <v>1166</v>
      </c>
      <c r="H27" s="162">
        <v>1.2457264957264957</v>
      </c>
      <c r="I27" s="43">
        <v>3</v>
      </c>
      <c r="J27" s="160">
        <v>0</v>
      </c>
      <c r="K27" s="161">
        <v>0</v>
      </c>
      <c r="L27" s="161">
        <v>1</v>
      </c>
      <c r="M27" s="161">
        <v>0</v>
      </c>
      <c r="N27" s="162">
        <v>0</v>
      </c>
      <c r="O27" s="160">
        <v>100</v>
      </c>
      <c r="P27" s="160">
        <v>1</v>
      </c>
      <c r="Q27" s="161">
        <v>0</v>
      </c>
      <c r="R27" s="161">
        <v>0</v>
      </c>
      <c r="S27" s="162">
        <v>1</v>
      </c>
      <c r="T27" s="160">
        <v>1100</v>
      </c>
      <c r="U27" s="160">
        <v>0</v>
      </c>
      <c r="V27" s="161">
        <v>0</v>
      </c>
      <c r="W27" s="161">
        <v>1</v>
      </c>
      <c r="X27" s="161">
        <v>1</v>
      </c>
      <c r="Y27" s="162">
        <v>0</v>
      </c>
      <c r="Z27" s="43">
        <v>110</v>
      </c>
      <c r="AA27" s="43">
        <v>2</v>
      </c>
      <c r="AB27" s="43">
        <v>1</v>
      </c>
      <c r="AC27" s="160">
        <v>1</v>
      </c>
      <c r="AD27" s="162">
        <v>1</v>
      </c>
      <c r="AE27" s="160">
        <v>0</v>
      </c>
      <c r="AF27" s="161">
        <v>1</v>
      </c>
      <c r="AG27" s="161">
        <v>1</v>
      </c>
      <c r="AH27" s="43">
        <v>11</v>
      </c>
      <c r="AI27" s="160">
        <v>569</v>
      </c>
      <c r="AJ27" s="162">
        <v>907</v>
      </c>
      <c r="AK27" s="160">
        <v>5</v>
      </c>
      <c r="AL27" s="162">
        <v>1</v>
      </c>
      <c r="AM27" s="160" t="s">
        <v>78</v>
      </c>
      <c r="AN27" s="161">
        <v>0</v>
      </c>
      <c r="AO27" s="161">
        <v>0</v>
      </c>
      <c r="AP27" s="161">
        <v>0</v>
      </c>
      <c r="AQ27" s="161">
        <v>0</v>
      </c>
      <c r="AR27" s="161">
        <v>0</v>
      </c>
      <c r="AS27" s="161">
        <v>62</v>
      </c>
      <c r="AT27" s="161">
        <v>0</v>
      </c>
      <c r="AU27" s="161">
        <v>0</v>
      </c>
      <c r="AV27" s="161">
        <v>0</v>
      </c>
      <c r="AW27" s="161">
        <v>0</v>
      </c>
      <c r="AX27" s="162"/>
      <c r="AY27" s="160">
        <v>0</v>
      </c>
      <c r="AZ27" s="161">
        <v>0</v>
      </c>
      <c r="BA27" s="161">
        <v>0</v>
      </c>
      <c r="BB27" s="162">
        <v>0</v>
      </c>
      <c r="BC27" s="160">
        <v>0</v>
      </c>
      <c r="BD27" s="162">
        <v>0</v>
      </c>
      <c r="BE27" s="43">
        <v>84</v>
      </c>
      <c r="BF27" s="160">
        <v>0</v>
      </c>
      <c r="BG27" s="161">
        <v>0</v>
      </c>
      <c r="BH27" s="161"/>
      <c r="BI27" s="161">
        <v>0</v>
      </c>
      <c r="BJ27" s="160">
        <v>0</v>
      </c>
      <c r="BK27" s="161">
        <v>1</v>
      </c>
      <c r="BL27" s="160">
        <v>81.709999999999994</v>
      </c>
      <c r="BM27" s="161">
        <v>84.16</v>
      </c>
      <c r="BN27" s="161"/>
      <c r="BO27" s="161"/>
      <c r="BP27" s="161"/>
      <c r="BQ27" s="161"/>
      <c r="BR27" s="161"/>
      <c r="BS27" s="161"/>
      <c r="BT27" s="162"/>
      <c r="BU27" s="160">
        <v>80.62</v>
      </c>
      <c r="BV27" s="161">
        <v>81.400000000000006</v>
      </c>
      <c r="BW27" s="161"/>
      <c r="BX27" s="161"/>
      <c r="BY27" s="161"/>
      <c r="BZ27" s="161"/>
      <c r="CA27" s="161"/>
      <c r="CB27" s="162"/>
      <c r="CC27" s="160"/>
      <c r="CD27" s="161"/>
      <c r="CE27" s="162"/>
      <c r="CF27" s="160"/>
      <c r="CG27" s="161"/>
      <c r="CH27" s="162"/>
      <c r="CI27" s="160"/>
      <c r="CJ27" s="162"/>
      <c r="CK27" s="160"/>
      <c r="CL27" s="162"/>
      <c r="CM27" s="160"/>
      <c r="CN27" s="161"/>
      <c r="CO27" s="161"/>
      <c r="CP27" s="161"/>
      <c r="CQ27" s="161"/>
      <c r="CR27" s="162"/>
      <c r="CS27" s="160"/>
      <c r="CT27" s="161"/>
      <c r="CU27" s="161"/>
      <c r="CV27" s="162"/>
      <c r="CW27" s="160"/>
      <c r="CX27" s="161"/>
      <c r="CY27" s="161"/>
      <c r="CZ27" s="162"/>
      <c r="DA27" s="43"/>
      <c r="DB27" s="6"/>
    </row>
    <row r="28" spans="1:106">
      <c r="A28" s="42" t="s">
        <v>321</v>
      </c>
      <c r="B28" s="17" t="s">
        <v>231</v>
      </c>
      <c r="C28" s="16" t="s">
        <v>249</v>
      </c>
      <c r="D28" s="1"/>
      <c r="E28" s="18">
        <v>1100</v>
      </c>
      <c r="F28" s="18">
        <v>4331</v>
      </c>
      <c r="G28" s="16">
        <v>12430</v>
      </c>
      <c r="H28" s="17">
        <v>2.2878704214982513</v>
      </c>
      <c r="I28" s="18">
        <v>8</v>
      </c>
      <c r="J28" s="16">
        <v>0</v>
      </c>
      <c r="K28" s="1">
        <v>1</v>
      </c>
      <c r="L28" s="1">
        <v>1</v>
      </c>
      <c r="M28" s="1">
        <v>0</v>
      </c>
      <c r="N28" s="17">
        <v>0</v>
      </c>
      <c r="O28" s="16">
        <v>1100</v>
      </c>
      <c r="P28" s="16">
        <v>1</v>
      </c>
      <c r="Q28" s="1">
        <v>0</v>
      </c>
      <c r="R28" s="1">
        <v>0</v>
      </c>
      <c r="S28" s="17">
        <v>1</v>
      </c>
      <c r="T28" s="16">
        <v>1100</v>
      </c>
      <c r="U28" s="16">
        <v>0</v>
      </c>
      <c r="V28" s="1">
        <v>0</v>
      </c>
      <c r="W28" s="1">
        <v>1</v>
      </c>
      <c r="X28" s="1">
        <v>1</v>
      </c>
      <c r="Y28" s="17">
        <v>0</v>
      </c>
      <c r="Z28" s="18">
        <v>110</v>
      </c>
      <c r="AA28" s="18">
        <v>2</v>
      </c>
      <c r="AB28" s="18">
        <v>2</v>
      </c>
      <c r="AC28" s="16">
        <v>1</v>
      </c>
      <c r="AD28" s="17">
        <v>4</v>
      </c>
      <c r="AE28" s="16">
        <v>0</v>
      </c>
      <c r="AF28" s="1">
        <v>1</v>
      </c>
      <c r="AG28" s="1">
        <v>1</v>
      </c>
      <c r="AH28" s="18">
        <v>11</v>
      </c>
      <c r="AI28" s="16">
        <v>595</v>
      </c>
      <c r="AJ28" s="17">
        <v>12444</v>
      </c>
      <c r="AK28" s="16"/>
      <c r="AL28" s="17">
        <v>0</v>
      </c>
      <c r="AM28" s="16">
        <v>140</v>
      </c>
      <c r="AN28" s="1">
        <v>0</v>
      </c>
      <c r="AO28" s="1">
        <v>0</v>
      </c>
      <c r="AP28" s="1">
        <v>33</v>
      </c>
      <c r="AQ28" s="1">
        <v>176</v>
      </c>
      <c r="AR28" s="1">
        <v>14</v>
      </c>
      <c r="AS28" s="1">
        <v>77</v>
      </c>
      <c r="AT28" s="1">
        <v>31</v>
      </c>
      <c r="AU28" s="1">
        <v>688</v>
      </c>
      <c r="AV28" s="1"/>
      <c r="AW28" s="1">
        <v>0</v>
      </c>
      <c r="AX28" s="17">
        <v>0</v>
      </c>
      <c r="AY28" s="16">
        <v>0</v>
      </c>
      <c r="AZ28" s="1">
        <v>0</v>
      </c>
      <c r="BA28" s="1">
        <v>0</v>
      </c>
      <c r="BB28" s="17">
        <v>0</v>
      </c>
      <c r="BC28" s="16">
        <v>136</v>
      </c>
      <c r="BD28" s="17"/>
      <c r="BE28" s="18"/>
      <c r="BF28" s="16">
        <v>0</v>
      </c>
      <c r="BG28" s="1">
        <v>1</v>
      </c>
      <c r="BH28" s="1">
        <v>0</v>
      </c>
      <c r="BI28" s="1">
        <v>0</v>
      </c>
      <c r="BJ28" s="16">
        <v>0</v>
      </c>
      <c r="BK28" s="1">
        <v>1</v>
      </c>
      <c r="BL28" s="16"/>
      <c r="BM28" s="1"/>
      <c r="BN28" s="1"/>
      <c r="BO28" s="1"/>
      <c r="BP28" s="1"/>
      <c r="BQ28" s="1"/>
      <c r="BR28" s="1"/>
      <c r="BS28" s="1"/>
      <c r="BT28" s="17"/>
      <c r="BU28" s="16"/>
      <c r="BV28" s="1"/>
      <c r="BW28" s="1"/>
      <c r="BX28" s="1"/>
      <c r="BY28" s="1"/>
      <c r="BZ28" s="1"/>
      <c r="CA28" s="1"/>
      <c r="CB28" s="17"/>
      <c r="CC28" s="16"/>
      <c r="CD28" s="1"/>
      <c r="CE28" s="17"/>
      <c r="CF28" s="16"/>
      <c r="CG28" s="1"/>
      <c r="CH28" s="17"/>
      <c r="CI28" s="16"/>
      <c r="CJ28" s="17"/>
      <c r="CK28" s="16"/>
      <c r="CL28" s="17"/>
      <c r="CM28" s="16"/>
      <c r="CN28" s="1"/>
      <c r="CO28" s="1"/>
      <c r="CP28" s="1"/>
      <c r="CQ28" s="1"/>
      <c r="CR28" s="17"/>
      <c r="CS28" s="16"/>
      <c r="CT28" s="1"/>
      <c r="CU28" s="1"/>
      <c r="CV28" s="17"/>
      <c r="CW28" s="16"/>
      <c r="CX28" s="1"/>
      <c r="CY28" s="1"/>
      <c r="CZ28" s="17"/>
      <c r="DA28" s="18"/>
      <c r="DB28" s="6"/>
    </row>
    <row r="29" spans="1:106" ht="17" thickBot="1">
      <c r="A29" s="42" t="s">
        <v>321</v>
      </c>
      <c r="B29" s="17" t="s">
        <v>231</v>
      </c>
      <c r="C29" s="16" t="s">
        <v>351</v>
      </c>
      <c r="D29" s="1"/>
      <c r="E29" s="18">
        <v>1</v>
      </c>
      <c r="F29" s="18">
        <v>4331</v>
      </c>
      <c r="G29" s="16">
        <v>6687</v>
      </c>
      <c r="H29" s="17">
        <v>1.5660421545667447</v>
      </c>
      <c r="I29" s="18">
        <v>4</v>
      </c>
      <c r="J29" s="16">
        <v>1</v>
      </c>
      <c r="K29" s="1">
        <v>0</v>
      </c>
      <c r="L29" s="1">
        <v>1</v>
      </c>
      <c r="M29" s="1">
        <v>0</v>
      </c>
      <c r="N29" s="17">
        <v>0</v>
      </c>
      <c r="O29" s="16">
        <v>10100</v>
      </c>
      <c r="P29" s="16">
        <v>1</v>
      </c>
      <c r="Q29" s="1">
        <v>0</v>
      </c>
      <c r="R29" s="1">
        <v>0</v>
      </c>
      <c r="S29" s="17">
        <v>1</v>
      </c>
      <c r="T29" s="16">
        <v>1100</v>
      </c>
      <c r="U29" s="16">
        <v>1</v>
      </c>
      <c r="V29" s="1">
        <v>0</v>
      </c>
      <c r="W29" s="1">
        <v>1</v>
      </c>
      <c r="X29" s="1">
        <v>1</v>
      </c>
      <c r="Y29" s="17">
        <v>0</v>
      </c>
      <c r="Z29" s="18">
        <v>10110</v>
      </c>
      <c r="AA29" s="18">
        <v>3</v>
      </c>
      <c r="AB29" s="18">
        <v>2</v>
      </c>
      <c r="AC29" s="16">
        <v>1</v>
      </c>
      <c r="AD29" s="17">
        <v>4</v>
      </c>
      <c r="AE29" s="16">
        <v>1</v>
      </c>
      <c r="AF29" s="1">
        <v>0</v>
      </c>
      <c r="AG29" s="1">
        <v>1</v>
      </c>
      <c r="AH29" s="18">
        <v>101</v>
      </c>
      <c r="AI29" s="16">
        <v>3087</v>
      </c>
      <c r="AJ29" s="17">
        <v>4561</v>
      </c>
      <c r="AK29" s="16">
        <v>5</v>
      </c>
      <c r="AL29" s="17">
        <v>1</v>
      </c>
      <c r="AM29" s="16">
        <v>2</v>
      </c>
      <c r="AN29" s="1">
        <v>5</v>
      </c>
      <c r="AO29" s="1">
        <v>50</v>
      </c>
      <c r="AP29" s="1">
        <v>0</v>
      </c>
      <c r="AQ29" s="1">
        <v>0</v>
      </c>
      <c r="AR29" s="1">
        <v>48</v>
      </c>
      <c r="AS29" s="1">
        <v>114</v>
      </c>
      <c r="AT29" s="1">
        <v>0</v>
      </c>
      <c r="AU29" s="1">
        <v>0</v>
      </c>
      <c r="AV29" s="1">
        <v>84</v>
      </c>
      <c r="AW29" s="1">
        <v>687</v>
      </c>
      <c r="AX29" s="17"/>
      <c r="AY29" s="16">
        <v>0</v>
      </c>
      <c r="AZ29" s="1">
        <v>0</v>
      </c>
      <c r="BA29" s="1">
        <v>0</v>
      </c>
      <c r="BB29" s="17">
        <v>0</v>
      </c>
      <c r="BC29" s="16">
        <v>0</v>
      </c>
      <c r="BD29" s="17">
        <v>0</v>
      </c>
      <c r="BE29" s="18">
        <v>140</v>
      </c>
      <c r="BF29" s="16">
        <v>0</v>
      </c>
      <c r="BG29" s="1">
        <v>1</v>
      </c>
      <c r="BH29" s="1">
        <v>0</v>
      </c>
      <c r="BI29" s="1">
        <v>0</v>
      </c>
      <c r="BJ29" s="16">
        <v>0</v>
      </c>
      <c r="BK29" s="1">
        <v>1</v>
      </c>
      <c r="BL29" s="16">
        <v>82.07</v>
      </c>
      <c r="BM29" s="1">
        <v>82.66</v>
      </c>
      <c r="BN29" s="1">
        <v>82.15</v>
      </c>
      <c r="BO29" s="1">
        <v>83.26</v>
      </c>
      <c r="BP29" s="1"/>
      <c r="BQ29" s="1"/>
      <c r="BR29" s="1"/>
      <c r="BS29" s="1"/>
      <c r="BT29" s="17"/>
      <c r="BU29" s="16">
        <v>81.75</v>
      </c>
      <c r="BV29" s="1">
        <v>82.65</v>
      </c>
      <c r="BW29" s="1">
        <v>85.87</v>
      </c>
      <c r="BX29" s="1">
        <v>83.25</v>
      </c>
      <c r="BY29" s="1">
        <v>84.99</v>
      </c>
      <c r="BZ29" s="1">
        <v>82.95</v>
      </c>
      <c r="CA29" s="1">
        <v>85.35</v>
      </c>
      <c r="CB29" s="17">
        <v>84.97</v>
      </c>
      <c r="CC29" s="16">
        <v>80.650000000000006</v>
      </c>
      <c r="CD29" s="1"/>
      <c r="CE29" s="17"/>
      <c r="CF29" s="16"/>
      <c r="CG29" s="1"/>
      <c r="CH29" s="17"/>
      <c r="CI29" s="16"/>
      <c r="CJ29" s="17"/>
      <c r="CK29" s="16"/>
      <c r="CL29" s="17"/>
      <c r="CM29" s="16"/>
      <c r="CN29" s="1"/>
      <c r="CO29" s="1"/>
      <c r="CP29" s="1"/>
      <c r="CQ29" s="1"/>
      <c r="CR29" s="17"/>
      <c r="CS29" s="16"/>
      <c r="CT29" s="1"/>
      <c r="CU29" s="1"/>
      <c r="CV29" s="17"/>
      <c r="CW29" s="16"/>
      <c r="CX29" s="1"/>
      <c r="CY29" s="1"/>
      <c r="CZ29" s="17"/>
      <c r="DA29" s="18"/>
      <c r="DB29" s="6"/>
    </row>
    <row r="30" spans="1:106">
      <c r="A30" s="87" t="s">
        <v>321</v>
      </c>
      <c r="B30" s="162" t="s">
        <v>257</v>
      </c>
      <c r="C30" s="160" t="s">
        <v>73</v>
      </c>
      <c r="D30" s="161"/>
      <c r="E30" s="43">
        <v>1000</v>
      </c>
      <c r="F30" s="43">
        <v>4331</v>
      </c>
      <c r="G30" s="160">
        <v>765</v>
      </c>
      <c r="H30" s="162">
        <v>1.2479608482871125</v>
      </c>
      <c r="I30" s="43">
        <v>2</v>
      </c>
      <c r="J30" s="160">
        <v>0</v>
      </c>
      <c r="K30" s="161">
        <v>0</v>
      </c>
      <c r="L30" s="161">
        <v>0</v>
      </c>
      <c r="M30" s="161">
        <v>1</v>
      </c>
      <c r="N30" s="162">
        <v>1</v>
      </c>
      <c r="O30" s="160">
        <v>11</v>
      </c>
      <c r="P30" s="160">
        <v>1</v>
      </c>
      <c r="Q30" s="161">
        <v>0</v>
      </c>
      <c r="R30" s="161">
        <v>0</v>
      </c>
      <c r="S30" s="162">
        <v>0</v>
      </c>
      <c r="T30" s="160">
        <v>1000</v>
      </c>
      <c r="U30" s="160">
        <v>0</v>
      </c>
      <c r="V30" s="161">
        <v>1</v>
      </c>
      <c r="W30" s="161">
        <v>1</v>
      </c>
      <c r="X30" s="161">
        <v>1</v>
      </c>
      <c r="Y30" s="162">
        <v>0</v>
      </c>
      <c r="Z30" s="43">
        <v>1110</v>
      </c>
      <c r="AA30" s="43">
        <v>3</v>
      </c>
      <c r="AB30" s="43">
        <v>1</v>
      </c>
      <c r="AC30" s="160">
        <v>2</v>
      </c>
      <c r="AD30" s="162">
        <v>3</v>
      </c>
      <c r="AE30" s="160">
        <v>0</v>
      </c>
      <c r="AF30" s="161">
        <v>0</v>
      </c>
      <c r="AG30" s="161">
        <v>1</v>
      </c>
      <c r="AH30" s="43">
        <v>1</v>
      </c>
      <c r="AI30" s="160">
        <v>462</v>
      </c>
      <c r="AJ30" s="162">
        <v>485</v>
      </c>
      <c r="AK30" s="160"/>
      <c r="AL30" s="162">
        <v>1</v>
      </c>
      <c r="AM30" s="160">
        <v>1</v>
      </c>
      <c r="AN30" s="161">
        <v>10</v>
      </c>
      <c r="AO30" s="161">
        <v>14</v>
      </c>
      <c r="AP30" s="161">
        <v>0</v>
      </c>
      <c r="AQ30" s="161">
        <v>0</v>
      </c>
      <c r="AR30" s="161">
        <v>0</v>
      </c>
      <c r="AS30" s="161">
        <v>0</v>
      </c>
      <c r="AT30" s="161">
        <v>6</v>
      </c>
      <c r="AU30" s="161">
        <v>11</v>
      </c>
      <c r="AV30" s="161">
        <v>3</v>
      </c>
      <c r="AW30" s="161">
        <v>47</v>
      </c>
      <c r="AX30" s="162">
        <v>1</v>
      </c>
      <c r="AY30" s="160">
        <v>0</v>
      </c>
      <c r="AZ30" s="161">
        <v>0</v>
      </c>
      <c r="BA30" s="161">
        <v>0</v>
      </c>
      <c r="BB30" s="162">
        <v>0</v>
      </c>
      <c r="BC30" s="160">
        <v>0</v>
      </c>
      <c r="BD30" s="162">
        <v>0</v>
      </c>
      <c r="BE30" s="43">
        <v>78</v>
      </c>
      <c r="BF30" s="160">
        <v>1</v>
      </c>
      <c r="BG30" s="161">
        <v>1</v>
      </c>
      <c r="BH30" s="161">
        <v>0</v>
      </c>
      <c r="BI30" s="161">
        <v>0</v>
      </c>
      <c r="BJ30" s="160">
        <v>0</v>
      </c>
      <c r="BK30" s="161">
        <v>1</v>
      </c>
      <c r="BL30" s="160">
        <v>81.239999999999995</v>
      </c>
      <c r="BM30" s="161">
        <v>81.239999999999995</v>
      </c>
      <c r="BN30" s="161"/>
      <c r="BO30" s="161"/>
      <c r="BP30" s="161"/>
      <c r="BQ30" s="161"/>
      <c r="BR30" s="161"/>
      <c r="BS30" s="161"/>
      <c r="BT30" s="162"/>
      <c r="BU30" s="160">
        <v>80.36</v>
      </c>
      <c r="BV30" s="161">
        <v>77.91</v>
      </c>
      <c r="BW30" s="161"/>
      <c r="BX30" s="161"/>
      <c r="BY30" s="161"/>
      <c r="BZ30" s="161"/>
      <c r="CA30" s="161"/>
      <c r="CB30" s="162"/>
      <c r="CC30" s="160"/>
      <c r="CD30" s="161"/>
      <c r="CE30" s="162"/>
      <c r="CF30" s="160"/>
      <c r="CG30" s="161"/>
      <c r="CH30" s="162"/>
      <c r="CI30" s="160"/>
      <c r="CJ30" s="162"/>
      <c r="CK30" s="160"/>
      <c r="CL30" s="162"/>
      <c r="CM30" s="160"/>
      <c r="CN30" s="161"/>
      <c r="CO30" s="161"/>
      <c r="CP30" s="161"/>
      <c r="CQ30" s="161"/>
      <c r="CR30" s="162"/>
      <c r="CS30" s="160"/>
      <c r="CT30" s="161"/>
      <c r="CU30" s="161"/>
      <c r="CV30" s="162"/>
      <c r="CW30" s="160"/>
      <c r="CX30" s="161"/>
      <c r="CY30" s="161"/>
      <c r="CZ30" s="162"/>
      <c r="DA30" s="43"/>
      <c r="DB30" s="6"/>
    </row>
    <row r="31" spans="1:106">
      <c r="A31" s="42" t="s">
        <v>321</v>
      </c>
      <c r="B31" s="17" t="s">
        <v>257</v>
      </c>
      <c r="C31" s="16" t="s">
        <v>97</v>
      </c>
      <c r="D31" s="1"/>
      <c r="E31" s="18">
        <v>100</v>
      </c>
      <c r="F31" s="18">
        <v>4331</v>
      </c>
      <c r="G31" s="16">
        <v>3100</v>
      </c>
      <c r="H31" s="17">
        <v>3.5632183908045976</v>
      </c>
      <c r="I31" s="18">
        <v>2</v>
      </c>
      <c r="J31" s="16">
        <v>0</v>
      </c>
      <c r="K31" s="1">
        <v>1</v>
      </c>
      <c r="L31" s="1">
        <v>0</v>
      </c>
      <c r="M31" s="1">
        <v>0</v>
      </c>
      <c r="N31" s="17">
        <v>0</v>
      </c>
      <c r="O31" s="16">
        <v>1000</v>
      </c>
      <c r="P31" s="16">
        <v>0</v>
      </c>
      <c r="Q31" s="1">
        <v>0</v>
      </c>
      <c r="R31" s="1">
        <v>0</v>
      </c>
      <c r="S31" s="17">
        <v>1</v>
      </c>
      <c r="T31" s="16">
        <v>100</v>
      </c>
      <c r="U31" s="16">
        <v>0</v>
      </c>
      <c r="V31" s="1">
        <v>0</v>
      </c>
      <c r="W31" s="1">
        <v>0</v>
      </c>
      <c r="X31" s="1">
        <v>0</v>
      </c>
      <c r="Y31" s="17">
        <v>0</v>
      </c>
      <c r="Z31" s="18">
        <v>0</v>
      </c>
      <c r="AA31" s="18">
        <v>0</v>
      </c>
      <c r="AB31" s="18">
        <v>2</v>
      </c>
      <c r="AC31" s="16">
        <v>1</v>
      </c>
      <c r="AD31" s="17">
        <v>4</v>
      </c>
      <c r="AE31" s="16">
        <v>0</v>
      </c>
      <c r="AF31" s="1">
        <v>1</v>
      </c>
      <c r="AG31" s="1">
        <v>0</v>
      </c>
      <c r="AH31" s="18">
        <v>10</v>
      </c>
      <c r="AI31" s="16">
        <v>1561</v>
      </c>
      <c r="AJ31" s="17">
        <v>1544</v>
      </c>
      <c r="AK31" s="16">
        <v>7</v>
      </c>
      <c r="AL31" s="17">
        <v>1</v>
      </c>
      <c r="AM31" s="16">
        <v>5</v>
      </c>
      <c r="AN31" s="1">
        <v>10</v>
      </c>
      <c r="AO31" s="1">
        <v>150</v>
      </c>
      <c r="AP31" s="1">
        <v>0</v>
      </c>
      <c r="AQ31" s="1">
        <v>0</v>
      </c>
      <c r="AR31" s="1">
        <v>0</v>
      </c>
      <c r="AS31" s="1">
        <v>0</v>
      </c>
      <c r="AT31" s="1">
        <v>20</v>
      </c>
      <c r="AU31" s="1">
        <v>40</v>
      </c>
      <c r="AV31" s="1">
        <v>20</v>
      </c>
      <c r="AW31" s="1">
        <v>110</v>
      </c>
      <c r="AX31" s="17">
        <v>1</v>
      </c>
      <c r="AY31" s="16">
        <v>0</v>
      </c>
      <c r="AZ31" s="1">
        <v>0</v>
      </c>
      <c r="BA31" s="1">
        <v>0</v>
      </c>
      <c r="BB31" s="17">
        <v>0</v>
      </c>
      <c r="BC31" s="16">
        <v>0</v>
      </c>
      <c r="BD31" s="17">
        <v>0</v>
      </c>
      <c r="BE31" s="18">
        <v>100</v>
      </c>
      <c r="BF31" s="16">
        <v>0</v>
      </c>
      <c r="BG31" s="1">
        <v>0</v>
      </c>
      <c r="BH31" s="1">
        <v>0</v>
      </c>
      <c r="BI31" s="1">
        <v>0</v>
      </c>
      <c r="BJ31" s="16">
        <v>0</v>
      </c>
      <c r="BK31" s="1">
        <v>1</v>
      </c>
      <c r="BL31" s="16"/>
      <c r="BM31" s="1"/>
      <c r="BN31" s="1"/>
      <c r="BO31" s="1"/>
      <c r="BP31" s="1"/>
      <c r="BQ31" s="1"/>
      <c r="BR31" s="1"/>
      <c r="BS31" s="1"/>
      <c r="BT31" s="17"/>
      <c r="BU31" s="16"/>
      <c r="BV31" s="1"/>
      <c r="BW31" s="1"/>
      <c r="BX31" s="1"/>
      <c r="BY31" s="1"/>
      <c r="BZ31" s="1"/>
      <c r="CA31" s="1"/>
      <c r="CB31" s="17"/>
      <c r="CC31" s="16"/>
      <c r="CD31" s="1"/>
      <c r="CE31" s="17"/>
      <c r="CF31" s="16"/>
      <c r="CG31" s="1"/>
      <c r="CH31" s="17"/>
      <c r="CI31" s="16"/>
      <c r="CJ31" s="17"/>
      <c r="CK31" s="16"/>
      <c r="CL31" s="17"/>
      <c r="CM31" s="16"/>
      <c r="CN31" s="1"/>
      <c r="CO31" s="1"/>
      <c r="CP31" s="1"/>
      <c r="CQ31" s="1"/>
      <c r="CR31" s="17"/>
      <c r="CS31" s="16"/>
      <c r="CT31" s="1"/>
      <c r="CU31" s="1"/>
      <c r="CV31" s="17"/>
      <c r="CW31" s="16"/>
      <c r="CX31" s="1"/>
      <c r="CY31" s="1"/>
      <c r="CZ31" s="17"/>
      <c r="DA31" s="18"/>
      <c r="DB31" s="6"/>
    </row>
    <row r="32" spans="1:106" ht="17" thickBot="1">
      <c r="A32" s="55" t="s">
        <v>321</v>
      </c>
      <c r="B32" s="38" t="s">
        <v>257</v>
      </c>
      <c r="C32" s="22" t="s">
        <v>108</v>
      </c>
      <c r="D32" s="37"/>
      <c r="E32" s="39">
        <v>1000</v>
      </c>
      <c r="F32" s="39">
        <v>4331</v>
      </c>
      <c r="G32" s="22">
        <v>720</v>
      </c>
      <c r="H32" s="38">
        <v>1.0843373493975903</v>
      </c>
      <c r="I32" s="39">
        <v>2</v>
      </c>
      <c r="J32" s="22">
        <v>0</v>
      </c>
      <c r="K32" s="37">
        <v>0</v>
      </c>
      <c r="L32" s="37">
        <v>1</v>
      </c>
      <c r="M32" s="37">
        <v>0</v>
      </c>
      <c r="N32" s="38">
        <v>0</v>
      </c>
      <c r="O32" s="22">
        <v>100</v>
      </c>
      <c r="P32" s="22">
        <v>1</v>
      </c>
      <c r="Q32" s="37">
        <v>0</v>
      </c>
      <c r="R32" s="37">
        <v>0</v>
      </c>
      <c r="S32" s="38">
        <v>0</v>
      </c>
      <c r="T32" s="22">
        <v>1000</v>
      </c>
      <c r="U32" s="22">
        <v>0</v>
      </c>
      <c r="V32" s="37">
        <v>1</v>
      </c>
      <c r="W32" s="37">
        <v>0</v>
      </c>
      <c r="X32" s="37">
        <v>0</v>
      </c>
      <c r="Y32" s="38">
        <v>0</v>
      </c>
      <c r="Z32" s="39">
        <v>1000</v>
      </c>
      <c r="AA32" s="39">
        <v>1</v>
      </c>
      <c r="AB32" s="39">
        <v>2</v>
      </c>
      <c r="AC32" s="22">
        <v>1</v>
      </c>
      <c r="AD32" s="38">
        <v>1</v>
      </c>
      <c r="AE32" s="22">
        <v>0</v>
      </c>
      <c r="AF32" s="37">
        <v>0</v>
      </c>
      <c r="AG32" s="37">
        <v>1</v>
      </c>
      <c r="AH32" s="39">
        <v>1</v>
      </c>
      <c r="AI32" s="22">
        <v>586</v>
      </c>
      <c r="AJ32" s="38">
        <v>666</v>
      </c>
      <c r="AK32" s="22">
        <v>2</v>
      </c>
      <c r="AL32" s="38">
        <v>1</v>
      </c>
      <c r="AM32" s="22">
        <v>2</v>
      </c>
      <c r="AN32" s="37">
        <v>2</v>
      </c>
      <c r="AO32" s="37">
        <v>32</v>
      </c>
      <c r="AP32" s="37">
        <v>0</v>
      </c>
      <c r="AQ32" s="37">
        <v>0</v>
      </c>
      <c r="AR32" s="37">
        <v>15</v>
      </c>
      <c r="AS32" s="37">
        <v>43</v>
      </c>
      <c r="AT32" s="37">
        <v>5</v>
      </c>
      <c r="AU32" s="37">
        <v>6</v>
      </c>
      <c r="AV32" s="37">
        <v>0</v>
      </c>
      <c r="AW32" s="37">
        <v>0</v>
      </c>
      <c r="AX32" s="38">
        <v>1</v>
      </c>
      <c r="AY32" s="22">
        <v>0</v>
      </c>
      <c r="AZ32" s="37">
        <v>0</v>
      </c>
      <c r="BA32" s="37">
        <v>0</v>
      </c>
      <c r="BB32" s="38">
        <v>0</v>
      </c>
      <c r="BC32" s="22">
        <v>0</v>
      </c>
      <c r="BD32" s="38">
        <v>0</v>
      </c>
      <c r="BE32" s="39">
        <v>61</v>
      </c>
      <c r="BF32" s="22">
        <v>0</v>
      </c>
      <c r="BG32" s="37">
        <v>0</v>
      </c>
      <c r="BH32" s="37">
        <v>0</v>
      </c>
      <c r="BI32" s="37">
        <v>0</v>
      </c>
      <c r="BJ32" s="22">
        <v>0</v>
      </c>
      <c r="BK32" s="37">
        <v>1</v>
      </c>
      <c r="BL32" s="22"/>
      <c r="BM32" s="37"/>
      <c r="BN32" s="37"/>
      <c r="BO32" s="37"/>
      <c r="BP32" s="37"/>
      <c r="BQ32" s="37"/>
      <c r="BR32" s="37"/>
      <c r="BS32" s="37"/>
      <c r="BT32" s="38"/>
      <c r="BU32" s="22"/>
      <c r="BV32" s="37"/>
      <c r="BW32" s="37"/>
      <c r="BX32" s="37"/>
      <c r="BY32" s="37"/>
      <c r="BZ32" s="37"/>
      <c r="CA32" s="37"/>
      <c r="CB32" s="38"/>
      <c r="CC32" s="22"/>
      <c r="CD32" s="37"/>
      <c r="CE32" s="38"/>
      <c r="CF32" s="22"/>
      <c r="CG32" s="37"/>
      <c r="CH32" s="38"/>
      <c r="CI32" s="22"/>
      <c r="CJ32" s="38"/>
      <c r="CK32" s="22"/>
      <c r="CL32" s="38"/>
      <c r="CM32" s="22"/>
      <c r="CN32" s="37"/>
      <c r="CO32" s="37"/>
      <c r="CP32" s="37"/>
      <c r="CQ32" s="37"/>
      <c r="CR32" s="38"/>
      <c r="CS32" s="22"/>
      <c r="CT32" s="37"/>
      <c r="CU32" s="37"/>
      <c r="CV32" s="38"/>
      <c r="CW32" s="22"/>
      <c r="CX32" s="37"/>
      <c r="CY32" s="37"/>
      <c r="CZ32" s="38"/>
      <c r="DA32" s="39"/>
      <c r="DB32" s="6"/>
    </row>
    <row r="33" spans="1:106">
      <c r="A33" s="42" t="s">
        <v>321</v>
      </c>
      <c r="B33" s="162" t="s">
        <v>223</v>
      </c>
      <c r="C33" s="160" t="s">
        <v>94</v>
      </c>
      <c r="D33" s="161"/>
      <c r="E33" s="43">
        <v>1000</v>
      </c>
      <c r="F33" s="43">
        <v>4331</v>
      </c>
      <c r="G33" s="160">
        <v>3166</v>
      </c>
      <c r="H33" s="162">
        <v>2.2646638054363377</v>
      </c>
      <c r="I33" s="43">
        <v>4</v>
      </c>
      <c r="J33" s="160">
        <v>0</v>
      </c>
      <c r="K33" s="161">
        <v>0</v>
      </c>
      <c r="L33" s="161">
        <v>1</v>
      </c>
      <c r="M33" s="161">
        <v>1</v>
      </c>
      <c r="N33" s="162">
        <v>0</v>
      </c>
      <c r="O33" s="160">
        <v>110</v>
      </c>
      <c r="P33" s="160">
        <v>1</v>
      </c>
      <c r="Q33" s="161">
        <v>0</v>
      </c>
      <c r="R33" s="161">
        <v>0</v>
      </c>
      <c r="S33" s="162">
        <v>0</v>
      </c>
      <c r="T33" s="160">
        <v>1000</v>
      </c>
      <c r="U33" s="160">
        <v>0</v>
      </c>
      <c r="V33" s="161">
        <v>0</v>
      </c>
      <c r="W33" s="161">
        <v>0</v>
      </c>
      <c r="X33" s="161">
        <v>1</v>
      </c>
      <c r="Y33" s="162">
        <v>0</v>
      </c>
      <c r="Z33" s="43">
        <v>10</v>
      </c>
      <c r="AA33" s="43">
        <v>1</v>
      </c>
      <c r="AB33" s="43">
        <v>1</v>
      </c>
      <c r="AC33" s="160">
        <v>1</v>
      </c>
      <c r="AD33" s="162">
        <v>2</v>
      </c>
      <c r="AE33" s="160">
        <v>0</v>
      </c>
      <c r="AF33" s="161">
        <v>1</v>
      </c>
      <c r="AG33" s="161">
        <v>1</v>
      </c>
      <c r="AH33" s="43">
        <v>11</v>
      </c>
      <c r="AI33" s="160">
        <v>861</v>
      </c>
      <c r="AJ33" s="162">
        <v>1407</v>
      </c>
      <c r="AK33" s="160">
        <v>5</v>
      </c>
      <c r="AL33" s="162">
        <v>1</v>
      </c>
      <c r="AM33" s="160">
        <v>2</v>
      </c>
      <c r="AN33" s="161">
        <v>7</v>
      </c>
      <c r="AO33" s="161">
        <v>75</v>
      </c>
      <c r="AP33" s="161">
        <v>0</v>
      </c>
      <c r="AQ33" s="161">
        <v>0</v>
      </c>
      <c r="AR33" s="161">
        <v>10</v>
      </c>
      <c r="AS33" s="161">
        <v>43</v>
      </c>
      <c r="AT33" s="161">
        <v>0</v>
      </c>
      <c r="AU33" s="161">
        <v>0</v>
      </c>
      <c r="AV33" s="161">
        <v>0</v>
      </c>
      <c r="AW33" s="161">
        <v>0</v>
      </c>
      <c r="AX33" s="162"/>
      <c r="AY33" s="160">
        <v>0</v>
      </c>
      <c r="AZ33" s="161">
        <v>0</v>
      </c>
      <c r="BA33" s="161">
        <v>0</v>
      </c>
      <c r="BB33" s="162">
        <v>0</v>
      </c>
      <c r="BC33" s="160">
        <v>0</v>
      </c>
      <c r="BD33" s="162">
        <v>0</v>
      </c>
      <c r="BE33" s="43">
        <v>84</v>
      </c>
      <c r="BF33" s="160">
        <v>0</v>
      </c>
      <c r="BG33" s="161">
        <v>0</v>
      </c>
      <c r="BH33" s="161">
        <v>0</v>
      </c>
      <c r="BI33" s="161">
        <v>0</v>
      </c>
      <c r="BJ33" s="160">
        <v>0</v>
      </c>
      <c r="BK33" s="161">
        <v>1</v>
      </c>
      <c r="BL33" s="160"/>
      <c r="BM33" s="161"/>
      <c r="BN33" s="161"/>
      <c r="BO33" s="161"/>
      <c r="BP33" s="161"/>
      <c r="BQ33" s="161"/>
      <c r="BR33" s="161"/>
      <c r="BS33" s="161"/>
      <c r="BT33" s="162"/>
      <c r="BU33" s="160"/>
      <c r="BV33" s="161"/>
      <c r="BW33" s="161"/>
      <c r="BX33" s="161"/>
      <c r="BY33" s="161"/>
      <c r="BZ33" s="161"/>
      <c r="CA33" s="161"/>
      <c r="CB33" s="162"/>
      <c r="CC33" s="160"/>
      <c r="CD33" s="161"/>
      <c r="CE33" s="162"/>
      <c r="CF33" s="160"/>
      <c r="CG33" s="161"/>
      <c r="CH33" s="162"/>
      <c r="CI33" s="160"/>
      <c r="CJ33" s="162"/>
      <c r="CK33" s="160"/>
      <c r="CL33" s="162"/>
      <c r="CM33" s="160"/>
      <c r="CN33" s="161"/>
      <c r="CO33" s="161"/>
      <c r="CP33" s="161"/>
      <c r="CQ33" s="161"/>
      <c r="CR33" s="162"/>
      <c r="CS33" s="160"/>
      <c r="CT33" s="161"/>
      <c r="CU33" s="161"/>
      <c r="CV33" s="162"/>
      <c r="CW33" s="160"/>
      <c r="CX33" s="161"/>
      <c r="CY33" s="161"/>
      <c r="CZ33" s="162"/>
      <c r="DA33" s="43"/>
      <c r="DB33" s="6"/>
    </row>
    <row r="34" spans="1:106">
      <c r="A34" s="42" t="s">
        <v>321</v>
      </c>
      <c r="B34" s="17" t="s">
        <v>223</v>
      </c>
      <c r="C34" s="16" t="s">
        <v>120</v>
      </c>
      <c r="D34" s="1" t="s">
        <v>2</v>
      </c>
      <c r="E34" s="18">
        <v>1000</v>
      </c>
      <c r="F34" s="18">
        <v>4331</v>
      </c>
      <c r="G34" s="16">
        <v>657</v>
      </c>
      <c r="H34" s="17">
        <v>1.2658959537572254</v>
      </c>
      <c r="I34" s="18">
        <v>3</v>
      </c>
      <c r="J34" s="16">
        <v>0</v>
      </c>
      <c r="K34" s="1">
        <v>1</v>
      </c>
      <c r="L34" s="1">
        <v>1</v>
      </c>
      <c r="M34" s="1">
        <v>0</v>
      </c>
      <c r="N34" s="17">
        <v>0</v>
      </c>
      <c r="O34" s="16">
        <v>1100</v>
      </c>
      <c r="P34" s="16">
        <v>1</v>
      </c>
      <c r="Q34" s="1">
        <v>0</v>
      </c>
      <c r="R34" s="1">
        <v>0</v>
      </c>
      <c r="S34" s="17">
        <v>0</v>
      </c>
      <c r="T34" s="16">
        <v>1000</v>
      </c>
      <c r="U34" s="16">
        <v>0</v>
      </c>
      <c r="V34" s="1">
        <v>1</v>
      </c>
      <c r="W34" s="1">
        <v>0</v>
      </c>
      <c r="X34" s="1">
        <v>0</v>
      </c>
      <c r="Y34" s="17">
        <v>0</v>
      </c>
      <c r="Z34" s="18">
        <v>1000</v>
      </c>
      <c r="AA34" s="18">
        <v>1</v>
      </c>
      <c r="AB34" s="18">
        <v>2</v>
      </c>
      <c r="AC34" s="16">
        <v>1</v>
      </c>
      <c r="AD34" s="17">
        <v>2</v>
      </c>
      <c r="AE34" s="16">
        <v>0</v>
      </c>
      <c r="AF34" s="1">
        <v>0</v>
      </c>
      <c r="AG34" s="1">
        <v>1</v>
      </c>
      <c r="AH34" s="18">
        <v>1</v>
      </c>
      <c r="AI34" s="16">
        <v>189</v>
      </c>
      <c r="AJ34" s="17">
        <v>536</v>
      </c>
      <c r="AK34" s="16"/>
      <c r="AL34" s="17">
        <v>1</v>
      </c>
      <c r="AM34" s="16">
        <v>0</v>
      </c>
      <c r="AN34" s="1">
        <v>0</v>
      </c>
      <c r="AO34" s="1">
        <v>0</v>
      </c>
      <c r="AP34" s="1">
        <v>0</v>
      </c>
      <c r="AQ34" s="1">
        <v>0</v>
      </c>
      <c r="AR34" s="1">
        <v>0</v>
      </c>
      <c r="AS34" s="1">
        <v>0</v>
      </c>
      <c r="AT34" s="1">
        <v>0</v>
      </c>
      <c r="AU34" s="1">
        <v>0</v>
      </c>
      <c r="AV34" s="1">
        <v>0</v>
      </c>
      <c r="AW34" s="1">
        <v>0</v>
      </c>
      <c r="AX34" s="17">
        <v>0</v>
      </c>
      <c r="AY34" s="16">
        <v>0</v>
      </c>
      <c r="AZ34" s="1">
        <v>0</v>
      </c>
      <c r="BA34" s="1">
        <v>0</v>
      </c>
      <c r="BB34" s="17">
        <v>0</v>
      </c>
      <c r="BC34" s="16">
        <v>0</v>
      </c>
      <c r="BD34" s="17">
        <v>0</v>
      </c>
      <c r="BE34" s="18">
        <v>137</v>
      </c>
      <c r="BF34" s="16">
        <v>0</v>
      </c>
      <c r="BG34" s="1">
        <v>0</v>
      </c>
      <c r="BH34" s="1">
        <v>0</v>
      </c>
      <c r="BI34" s="1">
        <v>0</v>
      </c>
      <c r="BJ34" s="16">
        <v>0</v>
      </c>
      <c r="BK34" s="1">
        <v>1</v>
      </c>
      <c r="BL34" s="16"/>
      <c r="BM34" s="1"/>
      <c r="BN34" s="1"/>
      <c r="BO34" s="1"/>
      <c r="BP34" s="1"/>
      <c r="BQ34" s="1"/>
      <c r="BR34" s="1"/>
      <c r="BS34" s="1"/>
      <c r="BT34" s="17"/>
      <c r="BU34" s="16"/>
      <c r="BV34" s="1"/>
      <c r="BW34" s="1"/>
      <c r="BX34" s="1"/>
      <c r="BY34" s="1"/>
      <c r="BZ34" s="1"/>
      <c r="CA34" s="1"/>
      <c r="CB34" s="17"/>
      <c r="CC34" s="16"/>
      <c r="CD34" s="1"/>
      <c r="CE34" s="17"/>
      <c r="CF34" s="16"/>
      <c r="CG34" s="1"/>
      <c r="CH34" s="17"/>
      <c r="CI34" s="16"/>
      <c r="CJ34" s="17"/>
      <c r="CK34" s="16"/>
      <c r="CL34" s="17"/>
      <c r="CM34" s="16"/>
      <c r="CN34" s="1"/>
      <c r="CO34" s="1"/>
      <c r="CP34" s="1"/>
      <c r="CQ34" s="1"/>
      <c r="CR34" s="17"/>
      <c r="CS34" s="16"/>
      <c r="CT34" s="1"/>
      <c r="CU34" s="1"/>
      <c r="CV34" s="17"/>
      <c r="CW34" s="16"/>
      <c r="CX34" s="1"/>
      <c r="CY34" s="1"/>
      <c r="CZ34" s="17"/>
      <c r="DA34" s="18"/>
      <c r="DB34" s="6"/>
    </row>
    <row r="35" spans="1:106">
      <c r="A35" s="42" t="s">
        <v>321</v>
      </c>
      <c r="B35" s="17" t="s">
        <v>223</v>
      </c>
      <c r="C35" s="16" t="s">
        <v>106</v>
      </c>
      <c r="D35" s="1"/>
      <c r="E35" s="18">
        <v>1100</v>
      </c>
      <c r="F35" s="18">
        <v>4331</v>
      </c>
      <c r="G35" s="16">
        <v>3192</v>
      </c>
      <c r="H35" s="17">
        <v>1.5127962085308058</v>
      </c>
      <c r="I35" s="18">
        <v>4</v>
      </c>
      <c r="J35" s="16">
        <v>0</v>
      </c>
      <c r="K35" s="1">
        <v>1</v>
      </c>
      <c r="L35" s="1">
        <v>1</v>
      </c>
      <c r="M35" s="1">
        <v>1</v>
      </c>
      <c r="N35" s="17">
        <v>0</v>
      </c>
      <c r="O35" s="16">
        <v>1110</v>
      </c>
      <c r="P35" s="16">
        <v>1</v>
      </c>
      <c r="Q35" s="1">
        <v>0</v>
      </c>
      <c r="R35" s="1">
        <v>0</v>
      </c>
      <c r="S35" s="17">
        <v>1</v>
      </c>
      <c r="T35" s="16">
        <v>1100</v>
      </c>
      <c r="U35" s="16">
        <v>0</v>
      </c>
      <c r="V35" s="1">
        <v>0</v>
      </c>
      <c r="W35" s="1">
        <v>1</v>
      </c>
      <c r="X35" s="1">
        <v>1</v>
      </c>
      <c r="Y35" s="17">
        <v>0</v>
      </c>
      <c r="Z35" s="18">
        <v>110</v>
      </c>
      <c r="AA35" s="18">
        <v>2</v>
      </c>
      <c r="AB35" s="18">
        <v>1</v>
      </c>
      <c r="AC35" s="16">
        <v>1</v>
      </c>
      <c r="AD35" s="17">
        <v>1</v>
      </c>
      <c r="AE35" s="16">
        <v>0</v>
      </c>
      <c r="AF35" s="1">
        <v>1</v>
      </c>
      <c r="AG35" s="1">
        <v>1</v>
      </c>
      <c r="AH35" s="18">
        <v>11</v>
      </c>
      <c r="AI35" s="16">
        <v>1086</v>
      </c>
      <c r="AJ35" s="17">
        <v>1694</v>
      </c>
      <c r="AK35" s="16">
        <v>6</v>
      </c>
      <c r="AL35" s="17">
        <v>1</v>
      </c>
      <c r="AM35" s="16">
        <v>5</v>
      </c>
      <c r="AN35" s="1">
        <v>8</v>
      </c>
      <c r="AO35" s="1">
        <v>51</v>
      </c>
      <c r="AP35" s="1">
        <v>0</v>
      </c>
      <c r="AQ35" s="1">
        <v>0</v>
      </c>
      <c r="AR35" s="1">
        <v>9</v>
      </c>
      <c r="AS35" s="1">
        <v>244</v>
      </c>
      <c r="AT35" s="1">
        <v>6</v>
      </c>
      <c r="AU35" s="1">
        <v>131</v>
      </c>
      <c r="AV35" s="1">
        <v>24</v>
      </c>
      <c r="AW35" s="1">
        <v>374</v>
      </c>
      <c r="AX35" s="17"/>
      <c r="AY35" s="16">
        <v>0</v>
      </c>
      <c r="AZ35" s="1">
        <v>0</v>
      </c>
      <c r="BA35" s="1">
        <v>0</v>
      </c>
      <c r="BB35" s="17">
        <v>0</v>
      </c>
      <c r="BC35" s="16">
        <v>0</v>
      </c>
      <c r="BD35" s="17">
        <v>0</v>
      </c>
      <c r="BE35" s="18">
        <v>113</v>
      </c>
      <c r="BF35" s="16">
        <v>0</v>
      </c>
      <c r="BG35" s="1">
        <v>1</v>
      </c>
      <c r="BH35" s="1">
        <v>0</v>
      </c>
      <c r="BI35" s="1">
        <v>0</v>
      </c>
      <c r="BJ35" s="16">
        <v>0</v>
      </c>
      <c r="BK35" s="1">
        <v>1</v>
      </c>
      <c r="BL35" s="16">
        <v>80.95</v>
      </c>
      <c r="BM35" s="1">
        <v>83.18</v>
      </c>
      <c r="BN35" s="1">
        <v>80.56</v>
      </c>
      <c r="BO35" s="1"/>
      <c r="BP35" s="1"/>
      <c r="BQ35" s="1"/>
      <c r="BR35" s="1"/>
      <c r="BS35" s="1"/>
      <c r="BT35" s="17"/>
      <c r="BU35" s="16">
        <v>86.13</v>
      </c>
      <c r="BV35" s="1">
        <v>80.92</v>
      </c>
      <c r="BW35" s="1"/>
      <c r="BX35" s="1"/>
      <c r="BY35" s="1"/>
      <c r="BZ35" s="1"/>
      <c r="CA35" s="1"/>
      <c r="CB35" s="17"/>
      <c r="CC35" s="16"/>
      <c r="CD35" s="1"/>
      <c r="CE35" s="17"/>
      <c r="CF35" s="16"/>
      <c r="CG35" s="1"/>
      <c r="CH35" s="17"/>
      <c r="CI35" s="16"/>
      <c r="CJ35" s="17"/>
      <c r="CK35" s="16"/>
      <c r="CL35" s="17"/>
      <c r="CM35" s="16">
        <v>81.13</v>
      </c>
      <c r="CN35" s="1">
        <v>80.349999999999994</v>
      </c>
      <c r="CO35" s="1">
        <v>82.2</v>
      </c>
      <c r="CP35" s="1">
        <v>81.226666666666674</v>
      </c>
      <c r="CQ35" s="1"/>
      <c r="CR35" s="17"/>
      <c r="CS35" s="16"/>
      <c r="CT35" s="1"/>
      <c r="CU35" s="1"/>
      <c r="CV35" s="17"/>
      <c r="CW35" s="16"/>
      <c r="CX35" s="1"/>
      <c r="CY35" s="1"/>
      <c r="CZ35" s="17"/>
      <c r="DA35" s="18"/>
      <c r="DB35" s="6"/>
    </row>
    <row r="36" spans="1:106">
      <c r="A36" s="42" t="s">
        <v>321</v>
      </c>
      <c r="B36" s="17" t="s">
        <v>223</v>
      </c>
      <c r="C36" s="16" t="s">
        <v>150</v>
      </c>
      <c r="D36" s="1" t="s">
        <v>0</v>
      </c>
      <c r="E36" s="18">
        <v>1100</v>
      </c>
      <c r="F36" s="18">
        <v>4331</v>
      </c>
      <c r="G36" s="16">
        <v>2458</v>
      </c>
      <c r="H36" s="17">
        <v>1.2637532133676093</v>
      </c>
      <c r="I36" s="18">
        <v>5</v>
      </c>
      <c r="J36" s="16">
        <v>0</v>
      </c>
      <c r="K36" s="1">
        <v>1</v>
      </c>
      <c r="L36" s="1">
        <v>1</v>
      </c>
      <c r="M36" s="1">
        <v>1</v>
      </c>
      <c r="N36" s="17">
        <v>0</v>
      </c>
      <c r="O36" s="16">
        <v>1110</v>
      </c>
      <c r="P36" s="16">
        <v>1</v>
      </c>
      <c r="Q36" s="1">
        <v>0</v>
      </c>
      <c r="R36" s="1">
        <v>0</v>
      </c>
      <c r="S36" s="17">
        <v>1</v>
      </c>
      <c r="T36" s="16">
        <v>1100</v>
      </c>
      <c r="U36" s="16">
        <v>0</v>
      </c>
      <c r="V36" s="1">
        <v>0</v>
      </c>
      <c r="W36" s="1">
        <v>1</v>
      </c>
      <c r="X36" s="1">
        <v>0</v>
      </c>
      <c r="Y36" s="17">
        <v>0</v>
      </c>
      <c r="Z36" s="18">
        <v>100</v>
      </c>
      <c r="AA36" s="18">
        <v>1</v>
      </c>
      <c r="AB36" s="18">
        <v>2</v>
      </c>
      <c r="AC36" s="16">
        <v>1</v>
      </c>
      <c r="AD36" s="17">
        <v>2</v>
      </c>
      <c r="AE36" s="16">
        <v>1</v>
      </c>
      <c r="AF36" s="1">
        <v>1</v>
      </c>
      <c r="AG36" s="1">
        <v>1</v>
      </c>
      <c r="AH36" s="18">
        <v>111</v>
      </c>
      <c r="AI36" s="16">
        <v>678</v>
      </c>
      <c r="AJ36" s="17">
        <v>1217</v>
      </c>
      <c r="AK36" s="16">
        <v>6</v>
      </c>
      <c r="AL36" s="17">
        <v>1</v>
      </c>
      <c r="AM36" s="16">
        <v>2</v>
      </c>
      <c r="AN36" s="1">
        <v>3</v>
      </c>
      <c r="AO36" s="1">
        <v>21</v>
      </c>
      <c r="AP36" s="1">
        <v>0</v>
      </c>
      <c r="AQ36" s="1">
        <v>0</v>
      </c>
      <c r="AR36" s="1">
        <v>10</v>
      </c>
      <c r="AS36" s="1">
        <v>64</v>
      </c>
      <c r="AT36" s="1">
        <v>7</v>
      </c>
      <c r="AU36" s="1">
        <v>142</v>
      </c>
      <c r="AV36" s="1">
        <v>23</v>
      </c>
      <c r="AW36" s="1">
        <v>133</v>
      </c>
      <c r="AX36" s="17"/>
      <c r="AY36" s="16">
        <v>0</v>
      </c>
      <c r="AZ36" s="1">
        <v>0</v>
      </c>
      <c r="BA36" s="1">
        <v>0</v>
      </c>
      <c r="BB36" s="17">
        <v>0</v>
      </c>
      <c r="BC36" s="16">
        <v>0</v>
      </c>
      <c r="BD36" s="17">
        <v>0</v>
      </c>
      <c r="BE36" s="18">
        <v>135</v>
      </c>
      <c r="BF36" s="16">
        <v>0</v>
      </c>
      <c r="BG36" s="1">
        <v>1</v>
      </c>
      <c r="BH36" s="1">
        <v>0</v>
      </c>
      <c r="BI36" s="1">
        <v>0</v>
      </c>
      <c r="BJ36" s="16">
        <v>0</v>
      </c>
      <c r="BK36" s="1">
        <v>1</v>
      </c>
      <c r="BL36" s="16">
        <v>82.19</v>
      </c>
      <c r="BM36" s="1">
        <v>82.43</v>
      </c>
      <c r="BN36" s="1"/>
      <c r="BO36" s="1"/>
      <c r="BP36" s="1"/>
      <c r="BQ36" s="1"/>
      <c r="BR36" s="1"/>
      <c r="BS36" s="1"/>
      <c r="BT36" s="17"/>
      <c r="BU36" s="16">
        <v>82.41</v>
      </c>
      <c r="BV36" s="1"/>
      <c r="BW36" s="1"/>
      <c r="BX36" s="1"/>
      <c r="BY36" s="1"/>
      <c r="BZ36" s="1"/>
      <c r="CA36" s="1"/>
      <c r="CB36" s="17"/>
      <c r="CC36" s="16">
        <v>82</v>
      </c>
      <c r="CD36" s="1"/>
      <c r="CE36" s="17"/>
      <c r="CF36" s="16">
        <v>78.849999999999994</v>
      </c>
      <c r="CG36" s="1"/>
      <c r="CH36" s="17"/>
      <c r="CI36" s="16"/>
      <c r="CJ36" s="17"/>
      <c r="CK36" s="16"/>
      <c r="CL36" s="17"/>
      <c r="CM36" s="16"/>
      <c r="CN36" s="1"/>
      <c r="CO36" s="1"/>
      <c r="CP36" s="1"/>
      <c r="CQ36" s="1"/>
      <c r="CR36" s="17"/>
      <c r="CS36" s="16"/>
      <c r="CT36" s="1"/>
      <c r="CU36" s="1"/>
      <c r="CV36" s="17"/>
      <c r="CW36" s="16"/>
      <c r="CX36" s="1"/>
      <c r="CY36" s="1"/>
      <c r="CZ36" s="17"/>
      <c r="DA36" s="18"/>
      <c r="DB36" s="6"/>
    </row>
    <row r="37" spans="1:106">
      <c r="A37" s="42" t="s">
        <v>321</v>
      </c>
      <c r="B37" s="17" t="s">
        <v>223</v>
      </c>
      <c r="C37" s="16" t="s">
        <v>152</v>
      </c>
      <c r="D37" s="1"/>
      <c r="E37" s="18">
        <v>1000</v>
      </c>
      <c r="F37" s="18">
        <v>4331</v>
      </c>
      <c r="G37" s="16">
        <v>1180</v>
      </c>
      <c r="H37" s="17">
        <v>1.0630630630630631</v>
      </c>
      <c r="I37" s="18">
        <v>2</v>
      </c>
      <c r="J37" s="16">
        <v>0</v>
      </c>
      <c r="K37" s="1">
        <v>0</v>
      </c>
      <c r="L37" s="1">
        <v>1</v>
      </c>
      <c r="M37" s="1">
        <v>0</v>
      </c>
      <c r="N37" s="17">
        <v>0</v>
      </c>
      <c r="O37" s="16">
        <v>100</v>
      </c>
      <c r="P37" s="16">
        <v>1</v>
      </c>
      <c r="Q37" s="1">
        <v>0</v>
      </c>
      <c r="R37" s="1">
        <v>0</v>
      </c>
      <c r="S37" s="17">
        <v>0</v>
      </c>
      <c r="T37" s="16">
        <v>1000</v>
      </c>
      <c r="U37" s="16">
        <v>0</v>
      </c>
      <c r="V37" s="1">
        <v>1</v>
      </c>
      <c r="W37" s="1">
        <v>0</v>
      </c>
      <c r="X37" s="1">
        <v>0</v>
      </c>
      <c r="Y37" s="17">
        <v>0</v>
      </c>
      <c r="Z37" s="18">
        <v>1000</v>
      </c>
      <c r="AA37" s="18">
        <v>1</v>
      </c>
      <c r="AB37" s="18">
        <v>0</v>
      </c>
      <c r="AC37" s="16">
        <v>0</v>
      </c>
      <c r="AD37" s="17">
        <v>0</v>
      </c>
      <c r="AE37" s="16">
        <v>0</v>
      </c>
      <c r="AF37" s="1">
        <v>0</v>
      </c>
      <c r="AG37" s="1">
        <v>1</v>
      </c>
      <c r="AH37" s="18">
        <v>1</v>
      </c>
      <c r="AI37" s="16">
        <v>693</v>
      </c>
      <c r="AJ37" s="17">
        <v>977</v>
      </c>
      <c r="AK37" s="16">
        <v>4</v>
      </c>
      <c r="AL37" s="17">
        <v>1</v>
      </c>
      <c r="AM37" s="16">
        <v>0</v>
      </c>
      <c r="AN37" s="1">
        <v>0</v>
      </c>
      <c r="AO37" s="1">
        <v>0</v>
      </c>
      <c r="AP37" s="1">
        <v>0</v>
      </c>
      <c r="AQ37" s="1">
        <v>0</v>
      </c>
      <c r="AR37" s="1">
        <v>0</v>
      </c>
      <c r="AS37" s="1">
        <v>0</v>
      </c>
      <c r="AT37" s="1">
        <v>0</v>
      </c>
      <c r="AU37" s="1">
        <v>0</v>
      </c>
      <c r="AV37" s="1">
        <v>0</v>
      </c>
      <c r="AW37" s="1">
        <v>0</v>
      </c>
      <c r="AX37" s="17"/>
      <c r="AY37" s="16">
        <v>0</v>
      </c>
      <c r="AZ37" s="1">
        <v>0</v>
      </c>
      <c r="BA37" s="1">
        <v>0</v>
      </c>
      <c r="BB37" s="17">
        <v>0</v>
      </c>
      <c r="BC37" s="16">
        <v>0</v>
      </c>
      <c r="BD37" s="17">
        <v>0</v>
      </c>
      <c r="BE37" s="18">
        <v>133</v>
      </c>
      <c r="BF37" s="16">
        <v>0</v>
      </c>
      <c r="BG37" s="1">
        <v>0</v>
      </c>
      <c r="BH37" s="1">
        <v>0</v>
      </c>
      <c r="BI37" s="1">
        <v>0</v>
      </c>
      <c r="BJ37" s="16">
        <v>0</v>
      </c>
      <c r="BK37" s="1">
        <v>1</v>
      </c>
      <c r="BL37" s="16">
        <v>82.43</v>
      </c>
      <c r="BM37" s="1"/>
      <c r="BN37" s="1"/>
      <c r="BO37" s="1"/>
      <c r="BP37" s="1"/>
      <c r="BQ37" s="1"/>
      <c r="BR37" s="1"/>
      <c r="BS37" s="1"/>
      <c r="BT37" s="17"/>
      <c r="BU37" s="16">
        <v>82.43</v>
      </c>
      <c r="BV37" s="1">
        <v>84.32</v>
      </c>
      <c r="BW37" s="1"/>
      <c r="BX37" s="1"/>
      <c r="BY37" s="1"/>
      <c r="BZ37" s="1"/>
      <c r="CA37" s="1"/>
      <c r="CB37" s="17"/>
      <c r="CC37" s="16"/>
      <c r="CD37" s="1"/>
      <c r="CE37" s="17"/>
      <c r="CF37" s="16">
        <v>65.08</v>
      </c>
      <c r="CG37" s="1"/>
      <c r="CH37" s="17"/>
      <c r="CI37" s="16"/>
      <c r="CJ37" s="17"/>
      <c r="CK37" s="16"/>
      <c r="CL37" s="17"/>
      <c r="CM37" s="16"/>
      <c r="CN37" s="1"/>
      <c r="CO37" s="1"/>
      <c r="CP37" s="1"/>
      <c r="CQ37" s="1"/>
      <c r="CR37" s="17"/>
      <c r="CS37" s="16"/>
      <c r="CT37" s="1"/>
      <c r="CU37" s="1"/>
      <c r="CV37" s="17"/>
      <c r="CW37" s="16"/>
      <c r="CX37" s="1"/>
      <c r="CY37" s="1"/>
      <c r="CZ37" s="17"/>
      <c r="DA37" s="18"/>
      <c r="DB37" s="6"/>
    </row>
    <row r="38" spans="1:106">
      <c r="A38" s="42" t="s">
        <v>321</v>
      </c>
      <c r="B38" s="17" t="s">
        <v>223</v>
      </c>
      <c r="C38" s="16" t="s">
        <v>156</v>
      </c>
      <c r="D38" s="1"/>
      <c r="E38" s="18">
        <v>100</v>
      </c>
      <c r="F38" s="18">
        <v>4331</v>
      </c>
      <c r="G38" s="16">
        <v>2477</v>
      </c>
      <c r="H38" s="17">
        <v>1.1857348013403541</v>
      </c>
      <c r="I38" s="18">
        <v>2</v>
      </c>
      <c r="J38" s="16">
        <v>0</v>
      </c>
      <c r="K38" s="1">
        <v>1</v>
      </c>
      <c r="L38" s="1">
        <v>0</v>
      </c>
      <c r="M38" s="1">
        <v>0</v>
      </c>
      <c r="N38" s="17">
        <v>0</v>
      </c>
      <c r="O38" s="16">
        <v>1000</v>
      </c>
      <c r="P38" s="16">
        <v>0</v>
      </c>
      <c r="Q38" s="1">
        <v>0</v>
      </c>
      <c r="R38" s="1">
        <v>0</v>
      </c>
      <c r="S38" s="17">
        <v>1</v>
      </c>
      <c r="T38" s="16">
        <v>100</v>
      </c>
      <c r="U38" s="16">
        <v>1</v>
      </c>
      <c r="V38" s="1">
        <v>1</v>
      </c>
      <c r="W38" s="1">
        <v>1</v>
      </c>
      <c r="X38" s="1">
        <v>1</v>
      </c>
      <c r="Y38" s="17">
        <v>0</v>
      </c>
      <c r="Z38" s="18">
        <v>11110</v>
      </c>
      <c r="AA38" s="18">
        <v>4</v>
      </c>
      <c r="AB38" s="18">
        <v>3</v>
      </c>
      <c r="AC38" s="16">
        <v>1</v>
      </c>
      <c r="AD38" s="17">
        <v>3</v>
      </c>
      <c r="AE38" s="16">
        <v>0</v>
      </c>
      <c r="AF38" s="1">
        <v>1</v>
      </c>
      <c r="AG38" s="1">
        <v>1</v>
      </c>
      <c r="AH38" s="18">
        <v>11</v>
      </c>
      <c r="AI38" s="16">
        <v>1679</v>
      </c>
      <c r="AJ38" s="17">
        <v>2477</v>
      </c>
      <c r="AK38" s="16">
        <v>4</v>
      </c>
      <c r="AL38" s="17">
        <v>1</v>
      </c>
      <c r="AM38" s="16">
        <v>5</v>
      </c>
      <c r="AN38" s="1">
        <v>4</v>
      </c>
      <c r="AO38" s="1">
        <v>12</v>
      </c>
      <c r="AP38" s="1">
        <v>0</v>
      </c>
      <c r="AQ38" s="1">
        <v>0</v>
      </c>
      <c r="AR38" s="1">
        <v>17</v>
      </c>
      <c r="AS38" s="1">
        <v>257</v>
      </c>
      <c r="AT38" s="1">
        <v>5</v>
      </c>
      <c r="AU38" s="1">
        <v>230</v>
      </c>
      <c r="AV38" s="1">
        <v>37</v>
      </c>
      <c r="AW38" s="1">
        <v>242</v>
      </c>
      <c r="AX38" s="17"/>
      <c r="AY38" s="16">
        <v>0</v>
      </c>
      <c r="AZ38" s="1">
        <v>0</v>
      </c>
      <c r="BA38" s="1">
        <v>0</v>
      </c>
      <c r="BB38" s="17">
        <v>0</v>
      </c>
      <c r="BC38" s="16">
        <v>0</v>
      </c>
      <c r="BD38" s="17">
        <v>0</v>
      </c>
      <c r="BE38" s="18">
        <v>150</v>
      </c>
      <c r="BF38" s="16">
        <v>0</v>
      </c>
      <c r="BG38" s="1">
        <v>1</v>
      </c>
      <c r="BH38" s="1">
        <v>0</v>
      </c>
      <c r="BI38" s="1">
        <v>0</v>
      </c>
      <c r="BJ38" s="16">
        <v>0</v>
      </c>
      <c r="BK38" s="1">
        <v>1</v>
      </c>
      <c r="BL38" s="16">
        <v>76.11</v>
      </c>
      <c r="BM38" s="1"/>
      <c r="BN38" s="1"/>
      <c r="BO38" s="1"/>
      <c r="BP38" s="1"/>
      <c r="BQ38" s="1"/>
      <c r="BR38" s="1"/>
      <c r="BS38" s="1"/>
      <c r="BT38" s="17"/>
      <c r="BU38" s="16">
        <v>81.709999999999994</v>
      </c>
      <c r="BV38" s="1">
        <v>82.14</v>
      </c>
      <c r="BW38" s="1">
        <v>80.959999999999994</v>
      </c>
      <c r="BX38" s="1">
        <v>80.849999999999994</v>
      </c>
      <c r="BY38" s="1">
        <v>81.52</v>
      </c>
      <c r="BZ38" s="1"/>
      <c r="CA38" s="1"/>
      <c r="CB38" s="17"/>
      <c r="CC38" s="16"/>
      <c r="CD38" s="1"/>
      <c r="CE38" s="17"/>
      <c r="CF38" s="16"/>
      <c r="CG38" s="1"/>
      <c r="CH38" s="17"/>
      <c r="CI38" s="16"/>
      <c r="CJ38" s="17"/>
      <c r="CK38" s="16"/>
      <c r="CL38" s="17"/>
      <c r="CM38" s="16"/>
      <c r="CN38" s="1"/>
      <c r="CO38" s="1"/>
      <c r="CP38" s="1"/>
      <c r="CQ38" s="1"/>
      <c r="CR38" s="17"/>
      <c r="CS38" s="16">
        <v>76.180000000000007</v>
      </c>
      <c r="CT38" s="1"/>
      <c r="CU38" s="1"/>
      <c r="CV38" s="17"/>
      <c r="CW38" s="16"/>
      <c r="CX38" s="1"/>
      <c r="CY38" s="1"/>
      <c r="CZ38" s="17"/>
      <c r="DA38" s="18"/>
      <c r="DB38" s="6"/>
    </row>
    <row r="39" spans="1:106">
      <c r="A39" s="42" t="s">
        <v>321</v>
      </c>
      <c r="B39" s="17" t="s">
        <v>223</v>
      </c>
      <c r="C39" s="16" t="s">
        <v>162</v>
      </c>
      <c r="D39" s="1" t="s">
        <v>1</v>
      </c>
      <c r="E39" s="18">
        <v>1100</v>
      </c>
      <c r="F39" s="18">
        <v>4331</v>
      </c>
      <c r="G39" s="16">
        <v>1321</v>
      </c>
      <c r="H39" s="17">
        <v>1.5896510228640193</v>
      </c>
      <c r="I39" s="18">
        <v>2</v>
      </c>
      <c r="J39" s="16">
        <v>0</v>
      </c>
      <c r="K39" s="1">
        <v>1</v>
      </c>
      <c r="L39" s="1">
        <v>0</v>
      </c>
      <c r="M39" s="1">
        <v>1</v>
      </c>
      <c r="N39" s="17">
        <v>0</v>
      </c>
      <c r="O39" s="16">
        <v>1010</v>
      </c>
      <c r="P39" s="16">
        <v>1</v>
      </c>
      <c r="Q39" s="1">
        <v>0</v>
      </c>
      <c r="R39" s="1">
        <v>0</v>
      </c>
      <c r="S39" s="17">
        <v>1</v>
      </c>
      <c r="T39" s="16">
        <v>1100</v>
      </c>
      <c r="U39" s="16">
        <v>0</v>
      </c>
      <c r="V39" s="1">
        <v>0</v>
      </c>
      <c r="W39" s="1">
        <v>1</v>
      </c>
      <c r="X39" s="1">
        <v>0</v>
      </c>
      <c r="Y39" s="17">
        <v>0</v>
      </c>
      <c r="Z39" s="18">
        <v>100</v>
      </c>
      <c r="AA39" s="18">
        <v>1</v>
      </c>
      <c r="AB39" s="18">
        <v>1</v>
      </c>
      <c r="AC39" s="16">
        <v>1</v>
      </c>
      <c r="AD39" s="17">
        <v>3</v>
      </c>
      <c r="AE39" s="16">
        <v>1</v>
      </c>
      <c r="AF39" s="1">
        <v>0</v>
      </c>
      <c r="AG39" s="1">
        <v>0</v>
      </c>
      <c r="AH39" s="18">
        <v>100</v>
      </c>
      <c r="AI39" s="16">
        <v>602</v>
      </c>
      <c r="AJ39" s="17">
        <v>1145</v>
      </c>
      <c r="AK39" s="16"/>
      <c r="AL39" s="17">
        <v>1</v>
      </c>
      <c r="AM39" s="16">
        <v>1</v>
      </c>
      <c r="AN39" s="1">
        <v>0</v>
      </c>
      <c r="AO39" s="1">
        <v>0</v>
      </c>
      <c r="AP39" s="1">
        <v>0</v>
      </c>
      <c r="AQ39" s="1">
        <v>0</v>
      </c>
      <c r="AR39" s="1">
        <v>18</v>
      </c>
      <c r="AS39" s="1">
        <v>43</v>
      </c>
      <c r="AT39" s="1">
        <v>0</v>
      </c>
      <c r="AU39" s="1">
        <v>0</v>
      </c>
      <c r="AV39" s="1">
        <v>29</v>
      </c>
      <c r="AW39" s="1">
        <v>31</v>
      </c>
      <c r="AX39" s="17">
        <v>0</v>
      </c>
      <c r="AY39" s="16">
        <v>0</v>
      </c>
      <c r="AZ39" s="1">
        <v>0</v>
      </c>
      <c r="BA39" s="1">
        <v>0</v>
      </c>
      <c r="BB39" s="17">
        <v>0</v>
      </c>
      <c r="BC39" s="16">
        <v>0</v>
      </c>
      <c r="BD39" s="17">
        <v>0</v>
      </c>
      <c r="BE39" s="18">
        <v>129</v>
      </c>
      <c r="BF39" s="16">
        <v>0</v>
      </c>
      <c r="BG39" s="1">
        <v>1</v>
      </c>
      <c r="BH39" s="1">
        <v>0</v>
      </c>
      <c r="BI39" s="1">
        <v>0</v>
      </c>
      <c r="BJ39" s="16">
        <v>0</v>
      </c>
      <c r="BK39" s="1">
        <v>1</v>
      </c>
      <c r="BL39" s="16">
        <v>85.22</v>
      </c>
      <c r="BM39" s="1"/>
      <c r="BN39" s="1"/>
      <c r="BO39" s="1"/>
      <c r="BP39" s="1"/>
      <c r="BQ39" s="1"/>
      <c r="BR39" s="1"/>
      <c r="BS39" s="1"/>
      <c r="BT39" s="17"/>
      <c r="BU39" s="16"/>
      <c r="BV39" s="1"/>
      <c r="BW39" s="1"/>
      <c r="BX39" s="1"/>
      <c r="BY39" s="1"/>
      <c r="BZ39" s="1"/>
      <c r="CA39" s="1"/>
      <c r="CB39" s="17"/>
      <c r="CC39" s="16">
        <v>76.08</v>
      </c>
      <c r="CD39" s="1"/>
      <c r="CE39" s="17"/>
      <c r="CF39" s="16"/>
      <c r="CG39" s="1"/>
      <c r="CH39" s="17"/>
      <c r="CI39" s="16"/>
      <c r="CJ39" s="17"/>
      <c r="CK39" s="16"/>
      <c r="CL39" s="17"/>
      <c r="CM39" s="16"/>
      <c r="CN39" s="1"/>
      <c r="CO39" s="1"/>
      <c r="CP39" s="1"/>
      <c r="CQ39" s="1"/>
      <c r="CR39" s="17"/>
      <c r="CS39" s="16"/>
      <c r="CT39" s="1"/>
      <c r="CU39" s="1"/>
      <c r="CV39" s="17"/>
      <c r="CW39" s="16"/>
      <c r="CX39" s="1"/>
      <c r="CY39" s="1"/>
      <c r="CZ39" s="17"/>
      <c r="DA39" s="18"/>
      <c r="DB39" s="6"/>
    </row>
    <row r="40" spans="1:106">
      <c r="A40" s="42" t="s">
        <v>321</v>
      </c>
      <c r="B40" s="17" t="s">
        <v>223</v>
      </c>
      <c r="C40" s="16" t="s">
        <v>166</v>
      </c>
      <c r="D40" s="1"/>
      <c r="E40" s="18">
        <v>1100</v>
      </c>
      <c r="F40" s="18">
        <v>4331</v>
      </c>
      <c r="G40" s="16">
        <v>3114</v>
      </c>
      <c r="H40" s="17">
        <v>1.1344262295081968</v>
      </c>
      <c r="I40" s="18">
        <v>3</v>
      </c>
      <c r="J40" s="16">
        <v>0</v>
      </c>
      <c r="K40" s="1">
        <v>1</v>
      </c>
      <c r="L40" s="1">
        <v>1</v>
      </c>
      <c r="M40" s="1">
        <v>1</v>
      </c>
      <c r="N40" s="17">
        <v>0</v>
      </c>
      <c r="O40" s="16">
        <v>1110</v>
      </c>
      <c r="P40" s="16">
        <v>1</v>
      </c>
      <c r="Q40" s="1">
        <v>0</v>
      </c>
      <c r="R40" s="1">
        <v>0</v>
      </c>
      <c r="S40" s="17">
        <v>1</v>
      </c>
      <c r="T40" s="16">
        <v>1100</v>
      </c>
      <c r="U40" s="16">
        <v>0</v>
      </c>
      <c r="V40" s="1">
        <v>0</v>
      </c>
      <c r="W40" s="1">
        <v>1</v>
      </c>
      <c r="X40" s="1">
        <v>1</v>
      </c>
      <c r="Y40" s="17">
        <v>0</v>
      </c>
      <c r="Z40" s="18">
        <v>110</v>
      </c>
      <c r="AA40" s="18">
        <v>2</v>
      </c>
      <c r="AB40" s="18">
        <v>1</v>
      </c>
      <c r="AC40" s="16">
        <v>0</v>
      </c>
      <c r="AD40" s="17">
        <v>0</v>
      </c>
      <c r="AE40" s="16">
        <v>1</v>
      </c>
      <c r="AF40" s="1">
        <v>1</v>
      </c>
      <c r="AG40" s="1">
        <v>1</v>
      </c>
      <c r="AH40" s="18">
        <v>111</v>
      </c>
      <c r="AI40" s="16">
        <v>1153</v>
      </c>
      <c r="AJ40" s="17">
        <v>2177</v>
      </c>
      <c r="AK40" s="16">
        <v>4</v>
      </c>
      <c r="AL40" s="17">
        <v>1</v>
      </c>
      <c r="AM40" s="16">
        <v>4</v>
      </c>
      <c r="AN40" s="1">
        <v>8</v>
      </c>
      <c r="AO40" s="1">
        <v>49</v>
      </c>
      <c r="AP40" s="1">
        <v>0</v>
      </c>
      <c r="AQ40" s="1">
        <v>0</v>
      </c>
      <c r="AR40" s="1">
        <v>23</v>
      </c>
      <c r="AS40" s="1">
        <v>135</v>
      </c>
      <c r="AT40" s="1">
        <v>11</v>
      </c>
      <c r="AU40" s="1">
        <v>27</v>
      </c>
      <c r="AV40" s="1">
        <v>134</v>
      </c>
      <c r="AW40" s="1">
        <v>372</v>
      </c>
      <c r="AX40" s="17"/>
      <c r="AY40" s="16">
        <v>0</v>
      </c>
      <c r="AZ40" s="1">
        <v>0</v>
      </c>
      <c r="BA40" s="1">
        <v>0</v>
      </c>
      <c r="BB40" s="17">
        <v>0</v>
      </c>
      <c r="BC40" s="16">
        <v>0</v>
      </c>
      <c r="BD40" s="17">
        <v>0</v>
      </c>
      <c r="BE40" s="18">
        <v>140</v>
      </c>
      <c r="BF40" s="16">
        <v>0</v>
      </c>
      <c r="BG40" s="1">
        <v>1</v>
      </c>
      <c r="BH40" s="1">
        <v>0</v>
      </c>
      <c r="BI40" s="1">
        <v>0</v>
      </c>
      <c r="BJ40" s="16">
        <v>0</v>
      </c>
      <c r="BK40" s="1">
        <v>1</v>
      </c>
      <c r="BL40" s="16">
        <v>82.19</v>
      </c>
      <c r="BM40" s="1">
        <v>81.67</v>
      </c>
      <c r="BN40" s="1">
        <v>79.56</v>
      </c>
      <c r="BO40" s="1">
        <v>81.569999999999993</v>
      </c>
      <c r="BP40" s="1"/>
      <c r="BQ40" s="1"/>
      <c r="BR40" s="1"/>
      <c r="BS40" s="1"/>
      <c r="BT40" s="17"/>
      <c r="BU40" s="16">
        <v>84.11</v>
      </c>
      <c r="BV40" s="1">
        <v>83.37</v>
      </c>
      <c r="BW40" s="1">
        <v>83.38</v>
      </c>
      <c r="BX40" s="1"/>
      <c r="BY40" s="1"/>
      <c r="BZ40" s="1"/>
      <c r="CA40" s="1"/>
      <c r="CB40" s="17"/>
      <c r="CC40" s="16"/>
      <c r="CD40" s="1"/>
      <c r="CE40" s="17"/>
      <c r="CF40" s="16">
        <v>76.12</v>
      </c>
      <c r="CG40" s="1"/>
      <c r="CH40" s="17"/>
      <c r="CI40" s="16"/>
      <c r="CJ40" s="17"/>
      <c r="CK40" s="16">
        <v>83.13</v>
      </c>
      <c r="CL40" s="17"/>
      <c r="CM40" s="16"/>
      <c r="CN40" s="1"/>
      <c r="CO40" s="1"/>
      <c r="CP40" s="1"/>
      <c r="CQ40" s="1"/>
      <c r="CR40" s="17"/>
      <c r="CS40" s="16"/>
      <c r="CT40" s="1"/>
      <c r="CU40" s="1"/>
      <c r="CV40" s="17"/>
      <c r="CW40" s="16"/>
      <c r="CX40" s="1"/>
      <c r="CY40" s="1"/>
      <c r="CZ40" s="17"/>
      <c r="DA40" s="18"/>
      <c r="DB40" s="6"/>
    </row>
    <row r="41" spans="1:106" ht="17" thickBot="1">
      <c r="A41" s="42" t="s">
        <v>321</v>
      </c>
      <c r="B41" s="38" t="s">
        <v>223</v>
      </c>
      <c r="C41" s="22" t="s">
        <v>352</v>
      </c>
      <c r="D41" s="37"/>
      <c r="E41" s="39">
        <v>1000</v>
      </c>
      <c r="F41" s="39">
        <v>4331</v>
      </c>
      <c r="G41" s="22">
        <v>7906</v>
      </c>
      <c r="H41" s="38">
        <v>2.5066582117945466</v>
      </c>
      <c r="I41" s="39">
        <v>2</v>
      </c>
      <c r="J41" s="22">
        <v>0</v>
      </c>
      <c r="K41" s="37">
        <v>1</v>
      </c>
      <c r="L41" s="37">
        <v>1</v>
      </c>
      <c r="M41" s="37">
        <v>0</v>
      </c>
      <c r="N41" s="38">
        <v>0</v>
      </c>
      <c r="O41" s="22">
        <v>1100</v>
      </c>
      <c r="P41" s="22">
        <v>1</v>
      </c>
      <c r="Q41" s="37">
        <v>0</v>
      </c>
      <c r="R41" s="37">
        <v>0</v>
      </c>
      <c r="S41" s="38">
        <v>0</v>
      </c>
      <c r="T41" s="22">
        <v>1000</v>
      </c>
      <c r="U41" s="22">
        <v>0</v>
      </c>
      <c r="V41" s="37">
        <v>0</v>
      </c>
      <c r="W41" s="37">
        <v>1</v>
      </c>
      <c r="X41" s="37">
        <v>1</v>
      </c>
      <c r="Y41" s="38">
        <v>0</v>
      </c>
      <c r="Z41" s="39">
        <v>110</v>
      </c>
      <c r="AA41" s="39">
        <v>2</v>
      </c>
      <c r="AB41" s="39">
        <v>1</v>
      </c>
      <c r="AC41" s="22">
        <v>1</v>
      </c>
      <c r="AD41" s="38">
        <v>3</v>
      </c>
      <c r="AE41" s="22">
        <v>0</v>
      </c>
      <c r="AF41" s="37">
        <v>0</v>
      </c>
      <c r="AG41" s="37">
        <v>1</v>
      </c>
      <c r="AH41" s="39">
        <v>1</v>
      </c>
      <c r="AI41" s="22">
        <v>4203</v>
      </c>
      <c r="AJ41" s="38">
        <v>6060</v>
      </c>
      <c r="AK41" s="22">
        <v>5</v>
      </c>
      <c r="AL41" s="38">
        <v>1</v>
      </c>
      <c r="AM41" s="22">
        <v>2</v>
      </c>
      <c r="AN41" s="37">
        <v>13</v>
      </c>
      <c r="AO41" s="37">
        <v>141</v>
      </c>
      <c r="AP41" s="37">
        <v>0</v>
      </c>
      <c r="AQ41" s="37">
        <v>0</v>
      </c>
      <c r="AR41" s="37">
        <v>20</v>
      </c>
      <c r="AS41" s="37">
        <v>176</v>
      </c>
      <c r="AT41" s="37">
        <v>5</v>
      </c>
      <c r="AU41" s="37">
        <v>138</v>
      </c>
      <c r="AV41" s="37">
        <v>37</v>
      </c>
      <c r="AW41" s="37">
        <v>379</v>
      </c>
      <c r="AX41" s="38"/>
      <c r="AY41" s="22">
        <v>0</v>
      </c>
      <c r="AZ41" s="37">
        <v>0</v>
      </c>
      <c r="BA41" s="37">
        <v>0</v>
      </c>
      <c r="BB41" s="38">
        <v>0</v>
      </c>
      <c r="BC41" s="22">
        <v>0</v>
      </c>
      <c r="BD41" s="38">
        <v>0</v>
      </c>
      <c r="BE41" s="39">
        <v>175</v>
      </c>
      <c r="BF41" s="22">
        <v>0</v>
      </c>
      <c r="BG41" s="37">
        <v>0</v>
      </c>
      <c r="BH41" s="37">
        <v>0</v>
      </c>
      <c r="BI41" s="37">
        <v>0</v>
      </c>
      <c r="BJ41" s="22">
        <v>0</v>
      </c>
      <c r="BK41" s="37">
        <v>1</v>
      </c>
      <c r="BL41" s="22">
        <v>81.14</v>
      </c>
      <c r="BM41" s="37"/>
      <c r="BN41" s="37"/>
      <c r="BO41" s="37"/>
      <c r="BP41" s="37"/>
      <c r="BQ41" s="37"/>
      <c r="BR41" s="37"/>
      <c r="BS41" s="37"/>
      <c r="BT41" s="38"/>
      <c r="BU41" s="22"/>
      <c r="BV41" s="37"/>
      <c r="BW41" s="37"/>
      <c r="BX41" s="37"/>
      <c r="BY41" s="37"/>
      <c r="BZ41" s="37"/>
      <c r="CA41" s="37"/>
      <c r="CB41" s="38"/>
      <c r="CC41" s="22"/>
      <c r="CD41" s="37"/>
      <c r="CE41" s="38"/>
      <c r="CF41" s="22"/>
      <c r="CG41" s="37"/>
      <c r="CH41" s="38"/>
      <c r="CI41" s="22"/>
      <c r="CJ41" s="38"/>
      <c r="CK41" s="22"/>
      <c r="CL41" s="38"/>
      <c r="CM41" s="22"/>
      <c r="CN41" s="37"/>
      <c r="CO41" s="37"/>
      <c r="CP41" s="37"/>
      <c r="CQ41" s="37"/>
      <c r="CR41" s="38"/>
      <c r="CS41" s="22"/>
      <c r="CT41" s="37"/>
      <c r="CU41" s="37"/>
      <c r="CV41" s="38"/>
      <c r="CW41" s="22"/>
      <c r="CX41" s="37"/>
      <c r="CY41" s="37"/>
      <c r="CZ41" s="38"/>
      <c r="DA41" s="39"/>
      <c r="DB41" s="6"/>
    </row>
    <row r="42" spans="1:106">
      <c r="A42" s="87" t="s">
        <v>323</v>
      </c>
      <c r="B42" s="162" t="s">
        <v>220</v>
      </c>
      <c r="C42" s="160" t="s">
        <v>112</v>
      </c>
      <c r="D42" s="161"/>
      <c r="E42" s="43">
        <v>101</v>
      </c>
      <c r="F42" s="43">
        <v>4764</v>
      </c>
      <c r="G42" s="160">
        <v>1915</v>
      </c>
      <c r="H42" s="162">
        <v>8.3624454148471621</v>
      </c>
      <c r="I42" s="43">
        <v>4</v>
      </c>
      <c r="J42" s="160">
        <v>0</v>
      </c>
      <c r="K42" s="161">
        <v>1</v>
      </c>
      <c r="L42" s="161">
        <v>0</v>
      </c>
      <c r="M42" s="161">
        <v>1</v>
      </c>
      <c r="N42" s="162">
        <v>0</v>
      </c>
      <c r="O42" s="160">
        <v>1010</v>
      </c>
      <c r="P42" s="160">
        <v>0</v>
      </c>
      <c r="Q42" s="161">
        <v>0</v>
      </c>
      <c r="R42" s="161">
        <v>1</v>
      </c>
      <c r="S42" s="162">
        <v>1</v>
      </c>
      <c r="T42" s="160">
        <v>101</v>
      </c>
      <c r="U42" s="160">
        <v>0</v>
      </c>
      <c r="V42" s="161">
        <v>0</v>
      </c>
      <c r="W42" s="161">
        <v>1</v>
      </c>
      <c r="X42" s="161">
        <v>1</v>
      </c>
      <c r="Y42" s="162">
        <v>0</v>
      </c>
      <c r="Z42" s="43">
        <v>110</v>
      </c>
      <c r="AA42" s="43">
        <v>2</v>
      </c>
      <c r="AB42" s="43">
        <v>2</v>
      </c>
      <c r="AC42" s="160">
        <v>1</v>
      </c>
      <c r="AD42" s="162">
        <v>2</v>
      </c>
      <c r="AE42" s="160">
        <v>1</v>
      </c>
      <c r="AF42" s="161">
        <v>0</v>
      </c>
      <c r="AG42" s="161">
        <v>1</v>
      </c>
      <c r="AH42" s="43">
        <v>101</v>
      </c>
      <c r="AI42" s="160">
        <v>369</v>
      </c>
      <c r="AJ42" s="162">
        <v>1107</v>
      </c>
      <c r="AK42" s="160">
        <v>7</v>
      </c>
      <c r="AL42" s="162">
        <v>1</v>
      </c>
      <c r="AM42" s="160">
        <v>1</v>
      </c>
      <c r="AN42" s="161">
        <v>0</v>
      </c>
      <c r="AO42" s="161">
        <v>0</v>
      </c>
      <c r="AP42" s="161">
        <v>0</v>
      </c>
      <c r="AQ42" s="161">
        <v>0</v>
      </c>
      <c r="AR42" s="161">
        <v>3</v>
      </c>
      <c r="AS42" s="161">
        <v>75</v>
      </c>
      <c r="AT42" s="161">
        <v>0</v>
      </c>
      <c r="AU42" s="161">
        <v>0</v>
      </c>
      <c r="AV42" s="161">
        <v>0</v>
      </c>
      <c r="AW42" s="161">
        <v>0</v>
      </c>
      <c r="AX42" s="162">
        <v>0</v>
      </c>
      <c r="AY42" s="160">
        <v>0</v>
      </c>
      <c r="AZ42" s="161">
        <v>0</v>
      </c>
      <c r="BA42" s="161">
        <v>0</v>
      </c>
      <c r="BB42" s="162">
        <v>0</v>
      </c>
      <c r="BC42" s="160">
        <v>0</v>
      </c>
      <c r="BD42" s="162">
        <v>0</v>
      </c>
      <c r="BE42" s="43">
        <v>92</v>
      </c>
      <c r="BF42" s="160">
        <v>0</v>
      </c>
      <c r="BG42" s="161">
        <v>0</v>
      </c>
      <c r="BH42" s="161">
        <v>0</v>
      </c>
      <c r="BI42" s="161">
        <v>0</v>
      </c>
      <c r="BJ42" s="160">
        <v>0</v>
      </c>
      <c r="BK42" s="161">
        <v>1</v>
      </c>
      <c r="BL42" s="160"/>
      <c r="BM42" s="161"/>
      <c r="BN42" s="161"/>
      <c r="BO42" s="161"/>
      <c r="BP42" s="161"/>
      <c r="BQ42" s="161"/>
      <c r="BR42" s="161"/>
      <c r="BS42" s="161"/>
      <c r="BT42" s="162"/>
      <c r="BU42" s="160"/>
      <c r="BV42" s="161"/>
      <c r="BW42" s="161"/>
      <c r="BX42" s="161"/>
      <c r="BY42" s="161"/>
      <c r="BZ42" s="161"/>
      <c r="CA42" s="161"/>
      <c r="CB42" s="162"/>
      <c r="CC42" s="160"/>
      <c r="CD42" s="161"/>
      <c r="CE42" s="162"/>
      <c r="CF42" s="160"/>
      <c r="CG42" s="161"/>
      <c r="CH42" s="162"/>
      <c r="CI42" s="160"/>
      <c r="CJ42" s="162"/>
      <c r="CK42" s="160"/>
      <c r="CL42" s="162"/>
      <c r="CM42" s="160"/>
      <c r="CN42" s="161"/>
      <c r="CO42" s="161"/>
      <c r="CP42" s="161"/>
      <c r="CQ42" s="161"/>
      <c r="CR42" s="162"/>
      <c r="CS42" s="160"/>
      <c r="CT42" s="161"/>
      <c r="CU42" s="161"/>
      <c r="CV42" s="162"/>
      <c r="CW42" s="160"/>
      <c r="CX42" s="161"/>
      <c r="CY42" s="161"/>
      <c r="CZ42" s="162"/>
      <c r="DA42" s="43"/>
      <c r="DB42" s="6"/>
    </row>
    <row r="43" spans="1:106" ht="17" thickBot="1">
      <c r="A43" s="55" t="s">
        <v>323</v>
      </c>
      <c r="B43" s="38" t="s">
        <v>220</v>
      </c>
      <c r="C43" s="22" t="s">
        <v>111</v>
      </c>
      <c r="D43" s="37"/>
      <c r="E43" s="39">
        <v>1100</v>
      </c>
      <c r="F43" s="39">
        <v>4764</v>
      </c>
      <c r="G43" s="22">
        <v>2796</v>
      </c>
      <c r="H43" s="38">
        <v>2.5098743267504489</v>
      </c>
      <c r="I43" s="39">
        <v>2</v>
      </c>
      <c r="J43" s="22">
        <v>0</v>
      </c>
      <c r="K43" s="37">
        <v>0</v>
      </c>
      <c r="L43" s="37">
        <v>1</v>
      </c>
      <c r="M43" s="37">
        <v>0</v>
      </c>
      <c r="N43" s="38">
        <v>0</v>
      </c>
      <c r="O43" s="22">
        <v>100</v>
      </c>
      <c r="P43" s="22">
        <v>1</v>
      </c>
      <c r="Q43" s="37">
        <v>0</v>
      </c>
      <c r="R43" s="37">
        <v>0</v>
      </c>
      <c r="S43" s="38">
        <v>1</v>
      </c>
      <c r="T43" s="22">
        <v>1100</v>
      </c>
      <c r="U43" s="22">
        <v>0</v>
      </c>
      <c r="V43" s="37">
        <v>4</v>
      </c>
      <c r="W43" s="37">
        <v>0</v>
      </c>
      <c r="X43" s="37">
        <v>0</v>
      </c>
      <c r="Y43" s="38">
        <v>0</v>
      </c>
      <c r="Z43" s="39">
        <v>4000</v>
      </c>
      <c r="AA43" s="39">
        <v>4</v>
      </c>
      <c r="AB43" s="39">
        <v>2</v>
      </c>
      <c r="AC43" s="22">
        <v>1</v>
      </c>
      <c r="AD43" s="38">
        <v>3</v>
      </c>
      <c r="AE43" s="22">
        <v>0</v>
      </c>
      <c r="AF43" s="37">
        <v>0</v>
      </c>
      <c r="AG43" s="37">
        <v>1</v>
      </c>
      <c r="AH43" s="39">
        <v>1</v>
      </c>
      <c r="AI43" s="22">
        <v>1758</v>
      </c>
      <c r="AJ43" s="38">
        <v>1865</v>
      </c>
      <c r="AK43" s="22">
        <v>6</v>
      </c>
      <c r="AL43" s="38">
        <v>1</v>
      </c>
      <c r="AM43" s="22">
        <v>10</v>
      </c>
      <c r="AN43" s="37">
        <v>32</v>
      </c>
      <c r="AO43" s="37">
        <v>64</v>
      </c>
      <c r="AP43" s="37">
        <v>0</v>
      </c>
      <c r="AQ43" s="37">
        <v>0</v>
      </c>
      <c r="AR43" s="37">
        <v>20</v>
      </c>
      <c r="AS43" s="37">
        <v>60</v>
      </c>
      <c r="AT43" s="37">
        <v>21</v>
      </c>
      <c r="AU43" s="37">
        <v>252</v>
      </c>
      <c r="AV43" s="37">
        <v>0</v>
      </c>
      <c r="AW43" s="37">
        <v>0</v>
      </c>
      <c r="AX43" s="38"/>
      <c r="AY43" s="22">
        <v>0</v>
      </c>
      <c r="AZ43" s="37">
        <v>0</v>
      </c>
      <c r="BA43" s="37">
        <v>0</v>
      </c>
      <c r="BB43" s="38">
        <v>0</v>
      </c>
      <c r="BC43" s="22">
        <v>0</v>
      </c>
      <c r="BD43" s="38">
        <v>0</v>
      </c>
      <c r="BE43" s="39">
        <v>126</v>
      </c>
      <c r="BF43" s="22">
        <v>0</v>
      </c>
      <c r="BG43" s="37">
        <v>1</v>
      </c>
      <c r="BH43" s="37">
        <v>0</v>
      </c>
      <c r="BI43" s="37">
        <v>0</v>
      </c>
      <c r="BJ43" s="22">
        <v>0</v>
      </c>
      <c r="BK43" s="37">
        <v>1</v>
      </c>
      <c r="BL43" s="22"/>
      <c r="BM43" s="37"/>
      <c r="BN43" s="37"/>
      <c r="BO43" s="37"/>
      <c r="BP43" s="37"/>
      <c r="BQ43" s="37"/>
      <c r="BR43" s="37"/>
      <c r="BS43" s="37"/>
      <c r="BT43" s="38"/>
      <c r="BU43" s="22"/>
      <c r="BV43" s="37"/>
      <c r="BW43" s="37"/>
      <c r="BX43" s="37"/>
      <c r="BY43" s="37"/>
      <c r="BZ43" s="37"/>
      <c r="CA43" s="37"/>
      <c r="CB43" s="38"/>
      <c r="CC43" s="22"/>
      <c r="CD43" s="37"/>
      <c r="CE43" s="38"/>
      <c r="CF43" s="22"/>
      <c r="CG43" s="37"/>
      <c r="CH43" s="38"/>
      <c r="CI43" s="22"/>
      <c r="CJ43" s="38"/>
      <c r="CK43" s="22"/>
      <c r="CL43" s="38"/>
      <c r="CM43" s="22"/>
      <c r="CN43" s="37"/>
      <c r="CO43" s="37"/>
      <c r="CP43" s="37"/>
      <c r="CQ43" s="37"/>
      <c r="CR43" s="38"/>
      <c r="CS43" s="22">
        <v>70.87</v>
      </c>
      <c r="CT43" s="37">
        <v>72.94</v>
      </c>
      <c r="CU43" s="37">
        <v>75.55</v>
      </c>
      <c r="CV43" s="38"/>
      <c r="CW43" s="22">
        <v>70.239999999999995</v>
      </c>
      <c r="CX43" s="37">
        <v>66.86</v>
      </c>
      <c r="CY43" s="37">
        <v>69.62</v>
      </c>
      <c r="CZ43" s="38"/>
      <c r="DA43" s="39"/>
      <c r="DB43" s="6"/>
    </row>
    <row r="44" spans="1:106" ht="17" thickBot="1">
      <c r="A44" s="42" t="s">
        <v>327</v>
      </c>
      <c r="B44" s="200" t="s">
        <v>184</v>
      </c>
      <c r="C44" s="201" t="s">
        <v>67</v>
      </c>
      <c r="D44" s="202"/>
      <c r="E44" s="46">
        <v>1100</v>
      </c>
      <c r="F44" s="46">
        <v>4089</v>
      </c>
      <c r="G44" s="201">
        <v>592</v>
      </c>
      <c r="H44" s="200">
        <v>1.1887550200803212</v>
      </c>
      <c r="I44" s="46">
        <v>2</v>
      </c>
      <c r="J44" s="201">
        <v>0</v>
      </c>
      <c r="K44" s="202">
        <v>0</v>
      </c>
      <c r="L44" s="202">
        <v>1</v>
      </c>
      <c r="M44" s="202">
        <v>1</v>
      </c>
      <c r="N44" s="200">
        <v>0</v>
      </c>
      <c r="O44" s="201">
        <v>110</v>
      </c>
      <c r="P44" s="201">
        <v>1</v>
      </c>
      <c r="Q44" s="202">
        <v>0</v>
      </c>
      <c r="R44" s="202">
        <v>0</v>
      </c>
      <c r="S44" s="200">
        <v>1</v>
      </c>
      <c r="T44" s="201">
        <v>1100</v>
      </c>
      <c r="U44" s="201">
        <v>1</v>
      </c>
      <c r="V44" s="202">
        <v>0</v>
      </c>
      <c r="W44" s="202">
        <v>1</v>
      </c>
      <c r="X44" s="202">
        <v>0</v>
      </c>
      <c r="Y44" s="200">
        <v>0</v>
      </c>
      <c r="Z44" s="46">
        <v>10100</v>
      </c>
      <c r="AA44" s="46">
        <v>2</v>
      </c>
      <c r="AB44" s="46">
        <v>1</v>
      </c>
      <c r="AC44" s="201">
        <v>1</v>
      </c>
      <c r="AD44" s="200">
        <v>3</v>
      </c>
      <c r="AE44" s="201">
        <v>0</v>
      </c>
      <c r="AF44" s="202">
        <v>0</v>
      </c>
      <c r="AG44" s="202">
        <v>1</v>
      </c>
      <c r="AH44" s="46">
        <v>1</v>
      </c>
      <c r="AI44" s="201">
        <v>302</v>
      </c>
      <c r="AJ44" s="200">
        <v>474</v>
      </c>
      <c r="AK44" s="201"/>
      <c r="AL44" s="200">
        <v>1</v>
      </c>
      <c r="AM44" s="201">
        <v>1</v>
      </c>
      <c r="AN44" s="202">
        <v>0</v>
      </c>
      <c r="AO44" s="202">
        <v>0</v>
      </c>
      <c r="AP44" s="202">
        <v>0</v>
      </c>
      <c r="AQ44" s="202">
        <v>0</v>
      </c>
      <c r="AR44" s="202">
        <v>7</v>
      </c>
      <c r="AS44" s="202">
        <v>23</v>
      </c>
      <c r="AT44" s="202">
        <v>0</v>
      </c>
      <c r="AU44" s="202">
        <v>0</v>
      </c>
      <c r="AV44" s="202">
        <v>0</v>
      </c>
      <c r="AW44" s="202">
        <v>0</v>
      </c>
      <c r="AX44" s="200"/>
      <c r="AY44" s="201">
        <v>0</v>
      </c>
      <c r="AZ44" s="202">
        <v>0</v>
      </c>
      <c r="BA44" s="202">
        <v>0</v>
      </c>
      <c r="BB44" s="200">
        <v>0</v>
      </c>
      <c r="BC44" s="201">
        <v>0</v>
      </c>
      <c r="BD44" s="200">
        <v>0</v>
      </c>
      <c r="BE44" s="46">
        <v>107</v>
      </c>
      <c r="BF44" s="201">
        <v>0</v>
      </c>
      <c r="BG44" s="202">
        <v>0</v>
      </c>
      <c r="BH44" s="202"/>
      <c r="BI44" s="202">
        <v>0</v>
      </c>
      <c r="BJ44" s="201">
        <v>0</v>
      </c>
      <c r="BK44" s="202">
        <v>1</v>
      </c>
      <c r="BL44" s="201"/>
      <c r="BM44" s="202"/>
      <c r="BN44" s="202"/>
      <c r="BO44" s="202"/>
      <c r="BP44" s="202"/>
      <c r="BQ44" s="202"/>
      <c r="BR44" s="202"/>
      <c r="BS44" s="202"/>
      <c r="BT44" s="200"/>
      <c r="BU44" s="201"/>
      <c r="BV44" s="202"/>
      <c r="BW44" s="202"/>
      <c r="BX44" s="202"/>
      <c r="BY44" s="202"/>
      <c r="BZ44" s="202"/>
      <c r="CA44" s="202"/>
      <c r="CB44" s="200"/>
      <c r="CC44" s="201"/>
      <c r="CD44" s="202"/>
      <c r="CE44" s="200"/>
      <c r="CF44" s="201"/>
      <c r="CG44" s="202"/>
      <c r="CH44" s="200"/>
      <c r="CI44" s="201"/>
      <c r="CJ44" s="200"/>
      <c r="CK44" s="201"/>
      <c r="CL44" s="200"/>
      <c r="CM44" s="201"/>
      <c r="CN44" s="202"/>
      <c r="CO44" s="202"/>
      <c r="CP44" s="202"/>
      <c r="CQ44" s="202"/>
      <c r="CR44" s="200"/>
      <c r="CS44" s="201"/>
      <c r="CT44" s="202"/>
      <c r="CU44" s="202"/>
      <c r="CV44" s="200"/>
      <c r="CW44" s="201"/>
      <c r="CX44" s="202"/>
      <c r="CY44" s="202"/>
      <c r="CZ44" s="200"/>
      <c r="DA44" s="46"/>
      <c r="DB44" s="6"/>
    </row>
    <row r="45" spans="1:106">
      <c r="A45" s="87" t="s">
        <v>327</v>
      </c>
      <c r="B45" s="162" t="s">
        <v>186</v>
      </c>
      <c r="C45" s="160" t="s">
        <v>67</v>
      </c>
      <c r="D45" s="161"/>
      <c r="E45" s="43">
        <v>1000</v>
      </c>
      <c r="F45" s="43">
        <v>3423</v>
      </c>
      <c r="G45" s="160">
        <v>1335</v>
      </c>
      <c r="H45" s="162">
        <v>1.0654429369513168</v>
      </c>
      <c r="I45" s="43">
        <v>4</v>
      </c>
      <c r="J45" s="160">
        <v>0</v>
      </c>
      <c r="K45" s="161">
        <v>0</v>
      </c>
      <c r="L45" s="161">
        <v>1</v>
      </c>
      <c r="M45" s="161">
        <v>1</v>
      </c>
      <c r="N45" s="162">
        <v>0</v>
      </c>
      <c r="O45" s="160">
        <v>110</v>
      </c>
      <c r="P45" s="160">
        <v>1</v>
      </c>
      <c r="Q45" s="161">
        <v>0</v>
      </c>
      <c r="R45" s="161">
        <v>0</v>
      </c>
      <c r="S45" s="162">
        <v>0</v>
      </c>
      <c r="T45" s="160">
        <v>1000</v>
      </c>
      <c r="U45" s="160">
        <v>0</v>
      </c>
      <c r="V45" s="161">
        <v>1</v>
      </c>
      <c r="W45" s="161">
        <v>1</v>
      </c>
      <c r="X45" s="161">
        <v>1</v>
      </c>
      <c r="Y45" s="162">
        <v>0</v>
      </c>
      <c r="Z45" s="43">
        <v>1110</v>
      </c>
      <c r="AA45" s="43">
        <v>3</v>
      </c>
      <c r="AB45" s="43">
        <v>3</v>
      </c>
      <c r="AC45" s="160">
        <v>1</v>
      </c>
      <c r="AD45" s="162">
        <v>3</v>
      </c>
      <c r="AE45" s="160">
        <v>0</v>
      </c>
      <c r="AF45" s="161">
        <v>1</v>
      </c>
      <c r="AG45" s="161">
        <v>1</v>
      </c>
      <c r="AH45" s="43">
        <v>11</v>
      </c>
      <c r="AI45" s="160">
        <v>290</v>
      </c>
      <c r="AJ45" s="162">
        <v>970</v>
      </c>
      <c r="AK45" s="160"/>
      <c r="AL45" s="162">
        <v>1</v>
      </c>
      <c r="AM45" s="160">
        <v>3</v>
      </c>
      <c r="AN45" s="161">
        <v>5</v>
      </c>
      <c r="AO45" s="161">
        <v>7</v>
      </c>
      <c r="AP45" s="161">
        <v>0</v>
      </c>
      <c r="AQ45" s="161">
        <v>0</v>
      </c>
      <c r="AR45" s="161">
        <v>3</v>
      </c>
      <c r="AS45" s="161">
        <v>56</v>
      </c>
      <c r="AT45" s="161">
        <v>3</v>
      </c>
      <c r="AU45" s="161">
        <v>25</v>
      </c>
      <c r="AV45" s="161">
        <v>14</v>
      </c>
      <c r="AW45" s="161">
        <v>133</v>
      </c>
      <c r="AX45" s="162"/>
      <c r="AY45" s="160">
        <v>0</v>
      </c>
      <c r="AZ45" s="161">
        <v>0</v>
      </c>
      <c r="BA45" s="161">
        <v>0</v>
      </c>
      <c r="BB45" s="162">
        <v>0</v>
      </c>
      <c r="BC45" s="160">
        <v>0</v>
      </c>
      <c r="BD45" s="162">
        <v>0</v>
      </c>
      <c r="BE45" s="43">
        <v>114</v>
      </c>
      <c r="BF45" s="160">
        <v>0</v>
      </c>
      <c r="BG45" s="161">
        <v>0</v>
      </c>
      <c r="BH45" s="161">
        <v>0</v>
      </c>
      <c r="BI45" s="161">
        <v>0</v>
      </c>
      <c r="BJ45" s="160">
        <v>0</v>
      </c>
      <c r="BK45" s="161">
        <v>1</v>
      </c>
      <c r="BL45" s="160">
        <v>79.39</v>
      </c>
      <c r="BM45" s="161">
        <v>77.23</v>
      </c>
      <c r="BN45" s="161"/>
      <c r="BO45" s="161"/>
      <c r="BP45" s="161"/>
      <c r="BQ45" s="161"/>
      <c r="BR45" s="161"/>
      <c r="BS45" s="161"/>
      <c r="BT45" s="162"/>
      <c r="BU45" s="160"/>
      <c r="BV45" s="161"/>
      <c r="BW45" s="161"/>
      <c r="BX45" s="161"/>
      <c r="BY45" s="161"/>
      <c r="BZ45" s="161"/>
      <c r="CA45" s="161"/>
      <c r="CB45" s="162"/>
      <c r="CC45" s="160"/>
      <c r="CD45" s="161"/>
      <c r="CE45" s="162"/>
      <c r="CF45" s="160">
        <v>64.45</v>
      </c>
      <c r="CG45" s="161"/>
      <c r="CH45" s="162"/>
      <c r="CI45" s="160"/>
      <c r="CJ45" s="162"/>
      <c r="CK45" s="160"/>
      <c r="CL45" s="162"/>
      <c r="CM45" s="160"/>
      <c r="CN45" s="161"/>
      <c r="CO45" s="161"/>
      <c r="CP45" s="161"/>
      <c r="CQ45" s="161"/>
      <c r="CR45" s="162"/>
      <c r="CS45" s="160"/>
      <c r="CT45" s="161"/>
      <c r="CU45" s="161"/>
      <c r="CV45" s="162"/>
      <c r="CW45" s="160"/>
      <c r="CX45" s="161"/>
      <c r="CY45" s="161"/>
      <c r="CZ45" s="162"/>
      <c r="DA45" s="43"/>
      <c r="DB45" s="6">
        <v>68</v>
      </c>
    </row>
    <row r="46" spans="1:106">
      <c r="A46" s="42" t="s">
        <v>327</v>
      </c>
      <c r="B46" s="17" t="s">
        <v>186</v>
      </c>
      <c r="C46" s="16" t="s">
        <v>69</v>
      </c>
      <c r="D46" s="1" t="s">
        <v>0</v>
      </c>
      <c r="E46" s="18">
        <v>1100</v>
      </c>
      <c r="F46" s="18">
        <v>3423</v>
      </c>
      <c r="G46" s="16">
        <v>799</v>
      </c>
      <c r="H46" s="17">
        <v>1.661122661122661</v>
      </c>
      <c r="I46" s="18">
        <v>3</v>
      </c>
      <c r="J46" s="16">
        <v>0</v>
      </c>
      <c r="K46" s="1">
        <v>0</v>
      </c>
      <c r="L46" s="1">
        <v>1</v>
      </c>
      <c r="M46" s="1">
        <v>1</v>
      </c>
      <c r="N46" s="17">
        <v>0</v>
      </c>
      <c r="O46" s="16">
        <v>110</v>
      </c>
      <c r="P46" s="16">
        <v>1</v>
      </c>
      <c r="Q46" s="1">
        <v>0</v>
      </c>
      <c r="R46" s="1">
        <v>0</v>
      </c>
      <c r="S46" s="17">
        <v>1</v>
      </c>
      <c r="T46" s="16">
        <v>1100</v>
      </c>
      <c r="U46" s="16">
        <v>0</v>
      </c>
      <c r="V46" s="1">
        <v>1</v>
      </c>
      <c r="W46" s="1">
        <v>0</v>
      </c>
      <c r="X46" s="1">
        <v>0</v>
      </c>
      <c r="Y46" s="17">
        <v>0</v>
      </c>
      <c r="Z46" s="18">
        <v>1000</v>
      </c>
      <c r="AA46" s="18">
        <v>1</v>
      </c>
      <c r="AB46" s="18">
        <v>2</v>
      </c>
      <c r="AC46" s="16">
        <v>1</v>
      </c>
      <c r="AD46" s="17">
        <v>3</v>
      </c>
      <c r="AE46" s="16">
        <v>0</v>
      </c>
      <c r="AF46" s="1">
        <v>1</v>
      </c>
      <c r="AG46" s="1">
        <v>0</v>
      </c>
      <c r="AH46" s="18">
        <v>10</v>
      </c>
      <c r="AI46" s="16">
        <v>614</v>
      </c>
      <c r="AJ46" s="17">
        <v>799</v>
      </c>
      <c r="AK46" s="16"/>
      <c r="AL46" s="17">
        <v>1</v>
      </c>
      <c r="AM46" s="16">
        <v>10</v>
      </c>
      <c r="AN46" s="1">
        <v>0</v>
      </c>
      <c r="AO46" s="1">
        <v>19</v>
      </c>
      <c r="AP46" s="1">
        <v>0</v>
      </c>
      <c r="AQ46" s="1">
        <v>0</v>
      </c>
      <c r="AR46" s="1">
        <v>4</v>
      </c>
      <c r="AS46" s="1">
        <v>21</v>
      </c>
      <c r="AT46" s="1">
        <v>24</v>
      </c>
      <c r="AU46" s="1">
        <v>193</v>
      </c>
      <c r="AV46" s="1">
        <v>18</v>
      </c>
      <c r="AW46" s="1">
        <v>147</v>
      </c>
      <c r="AX46" s="17"/>
      <c r="AY46" s="16">
        <v>0</v>
      </c>
      <c r="AZ46" s="1">
        <v>0</v>
      </c>
      <c r="BA46" s="1">
        <v>0</v>
      </c>
      <c r="BB46" s="17">
        <v>0</v>
      </c>
      <c r="BC46" s="16">
        <v>0</v>
      </c>
      <c r="BD46" s="17">
        <v>0</v>
      </c>
      <c r="BE46" s="18">
        <v>133</v>
      </c>
      <c r="BF46" s="16">
        <v>0</v>
      </c>
      <c r="BG46" s="1">
        <v>0</v>
      </c>
      <c r="BH46" s="1">
        <v>0</v>
      </c>
      <c r="BI46" s="1">
        <v>0</v>
      </c>
      <c r="BJ46" s="16">
        <v>0</v>
      </c>
      <c r="BK46" s="1">
        <v>1</v>
      </c>
      <c r="BL46" s="16"/>
      <c r="BM46" s="1"/>
      <c r="BN46" s="1"/>
      <c r="BO46" s="1"/>
      <c r="BP46" s="1"/>
      <c r="BQ46" s="1"/>
      <c r="BR46" s="1"/>
      <c r="BS46" s="1"/>
      <c r="BT46" s="17"/>
      <c r="BU46" s="16"/>
      <c r="BV46" s="1"/>
      <c r="BW46" s="1"/>
      <c r="BX46" s="1"/>
      <c r="BY46" s="1"/>
      <c r="BZ46" s="1"/>
      <c r="CA46" s="1"/>
      <c r="CB46" s="17"/>
      <c r="CC46" s="16"/>
      <c r="CD46" s="1"/>
      <c r="CE46" s="17"/>
      <c r="CF46" s="16"/>
      <c r="CG46" s="1"/>
      <c r="CH46" s="17"/>
      <c r="CI46" s="16"/>
      <c r="CJ46" s="17"/>
      <c r="CK46" s="16"/>
      <c r="CL46" s="17"/>
      <c r="CM46" s="16"/>
      <c r="CN46" s="1"/>
      <c r="CO46" s="1"/>
      <c r="CP46" s="1"/>
      <c r="CQ46" s="1"/>
      <c r="CR46" s="17"/>
      <c r="CS46" s="16"/>
      <c r="CT46" s="1"/>
      <c r="CU46" s="1"/>
      <c r="CV46" s="17"/>
      <c r="CW46" s="16"/>
      <c r="CX46" s="1"/>
      <c r="CY46" s="1"/>
      <c r="CZ46" s="17"/>
      <c r="DA46" s="18"/>
      <c r="DB46" s="6">
        <v>68</v>
      </c>
    </row>
    <row r="47" spans="1:106">
      <c r="A47" s="42" t="s">
        <v>327</v>
      </c>
      <c r="B47" s="17" t="s">
        <v>186</v>
      </c>
      <c r="C47" s="16" t="s">
        <v>69</v>
      </c>
      <c r="D47" s="1" t="s">
        <v>1</v>
      </c>
      <c r="E47" s="18">
        <v>1000</v>
      </c>
      <c r="F47" s="18">
        <v>3423</v>
      </c>
      <c r="G47" s="16">
        <v>2136</v>
      </c>
      <c r="H47" s="17">
        <v>1.6367816091954024</v>
      </c>
      <c r="I47" s="18">
        <v>5</v>
      </c>
      <c r="J47" s="16">
        <v>0</v>
      </c>
      <c r="K47" s="1">
        <v>0</v>
      </c>
      <c r="L47" s="1">
        <v>1</v>
      </c>
      <c r="M47" s="1">
        <v>0</v>
      </c>
      <c r="N47" s="17">
        <v>1</v>
      </c>
      <c r="O47" s="16">
        <v>101</v>
      </c>
      <c r="P47" s="16">
        <v>1</v>
      </c>
      <c r="Q47" s="1">
        <v>0</v>
      </c>
      <c r="R47" s="1">
        <v>0</v>
      </c>
      <c r="S47" s="17">
        <v>0</v>
      </c>
      <c r="T47" s="16">
        <v>1000</v>
      </c>
      <c r="U47" s="16">
        <v>1</v>
      </c>
      <c r="V47" s="1">
        <v>2</v>
      </c>
      <c r="W47" s="1">
        <v>0</v>
      </c>
      <c r="X47" s="1">
        <v>0</v>
      </c>
      <c r="Y47" s="17">
        <v>0</v>
      </c>
      <c r="Z47" s="18">
        <v>12000</v>
      </c>
      <c r="AA47" s="18">
        <v>3</v>
      </c>
      <c r="AB47" s="18">
        <v>2</v>
      </c>
      <c r="AC47" s="16">
        <v>1</v>
      </c>
      <c r="AD47" s="17">
        <v>1</v>
      </c>
      <c r="AE47" s="16">
        <v>1</v>
      </c>
      <c r="AF47" s="1">
        <v>1</v>
      </c>
      <c r="AG47" s="1">
        <v>0</v>
      </c>
      <c r="AH47" s="18">
        <v>110</v>
      </c>
      <c r="AI47" s="16">
        <v>430</v>
      </c>
      <c r="AJ47" s="17">
        <v>1298</v>
      </c>
      <c r="AK47" s="16"/>
      <c r="AL47" s="17">
        <v>1</v>
      </c>
      <c r="AM47" s="16">
        <v>5</v>
      </c>
      <c r="AN47" s="1">
        <v>4</v>
      </c>
      <c r="AO47" s="1">
        <v>19</v>
      </c>
      <c r="AP47" s="1">
        <v>0</v>
      </c>
      <c r="AQ47" s="1">
        <v>0</v>
      </c>
      <c r="AR47" s="1">
        <v>15</v>
      </c>
      <c r="AS47" s="1">
        <v>30</v>
      </c>
      <c r="AT47" s="1">
        <v>258</v>
      </c>
      <c r="AU47" s="1">
        <v>755</v>
      </c>
      <c r="AV47" s="1">
        <v>13</v>
      </c>
      <c r="AW47" s="1">
        <v>50</v>
      </c>
      <c r="AX47" s="17"/>
      <c r="AY47" s="16">
        <v>0</v>
      </c>
      <c r="AZ47" s="1">
        <v>0</v>
      </c>
      <c r="BA47" s="1">
        <v>0</v>
      </c>
      <c r="BB47" s="17">
        <v>0</v>
      </c>
      <c r="BC47" s="16">
        <v>0</v>
      </c>
      <c r="BD47" s="17">
        <v>0</v>
      </c>
      <c r="BE47" s="18">
        <v>133</v>
      </c>
      <c r="BF47" s="16">
        <v>0</v>
      </c>
      <c r="BG47" s="1">
        <v>0</v>
      </c>
      <c r="BH47" s="1">
        <v>0</v>
      </c>
      <c r="BI47" s="1">
        <v>0</v>
      </c>
      <c r="BJ47" s="16">
        <v>0</v>
      </c>
      <c r="BK47" s="1">
        <v>1</v>
      </c>
      <c r="BL47" s="16"/>
      <c r="BM47" s="1"/>
      <c r="BN47" s="1"/>
      <c r="BO47" s="1"/>
      <c r="BP47" s="1"/>
      <c r="BQ47" s="1"/>
      <c r="BR47" s="1"/>
      <c r="BS47" s="1"/>
      <c r="BT47" s="17"/>
      <c r="BU47" s="16"/>
      <c r="BV47" s="1"/>
      <c r="BW47" s="1"/>
      <c r="BX47" s="1"/>
      <c r="BY47" s="1"/>
      <c r="BZ47" s="1"/>
      <c r="CA47" s="1"/>
      <c r="CB47" s="17"/>
      <c r="CC47" s="16"/>
      <c r="CD47" s="1"/>
      <c r="CE47" s="17"/>
      <c r="CF47" s="16"/>
      <c r="CG47" s="1"/>
      <c r="CH47" s="17"/>
      <c r="CI47" s="16"/>
      <c r="CJ47" s="17"/>
      <c r="CK47" s="16"/>
      <c r="CL47" s="17"/>
      <c r="CM47" s="16"/>
      <c r="CN47" s="1"/>
      <c r="CO47" s="1"/>
      <c r="CP47" s="1"/>
      <c r="CQ47" s="1"/>
      <c r="CR47" s="17"/>
      <c r="CS47" s="16"/>
      <c r="CT47" s="1"/>
      <c r="CU47" s="1"/>
      <c r="CV47" s="17"/>
      <c r="CW47" s="16"/>
      <c r="CX47" s="1"/>
      <c r="CY47" s="1"/>
      <c r="CZ47" s="17"/>
      <c r="DA47" s="18"/>
      <c r="DB47" s="6">
        <v>68</v>
      </c>
    </row>
    <row r="48" spans="1:106">
      <c r="A48" s="42" t="s">
        <v>327</v>
      </c>
      <c r="B48" s="17" t="s">
        <v>186</v>
      </c>
      <c r="C48" s="16" t="s">
        <v>149</v>
      </c>
      <c r="D48" s="1" t="s">
        <v>0</v>
      </c>
      <c r="E48" s="18">
        <v>1100</v>
      </c>
      <c r="F48" s="18">
        <v>3423</v>
      </c>
      <c r="G48" s="16">
        <v>5142</v>
      </c>
      <c r="H48" s="17">
        <v>3.1069486404833837</v>
      </c>
      <c r="I48" s="18">
        <v>7</v>
      </c>
      <c r="J48" s="16">
        <v>0</v>
      </c>
      <c r="K48" s="1">
        <v>0</v>
      </c>
      <c r="L48" s="1">
        <v>1</v>
      </c>
      <c r="M48" s="1">
        <v>1</v>
      </c>
      <c r="N48" s="17">
        <v>0</v>
      </c>
      <c r="O48" s="16">
        <v>110</v>
      </c>
      <c r="P48" s="16">
        <v>1</v>
      </c>
      <c r="Q48" s="1">
        <v>0</v>
      </c>
      <c r="R48" s="1">
        <v>0</v>
      </c>
      <c r="S48" s="17">
        <v>1</v>
      </c>
      <c r="T48" s="16">
        <v>1100</v>
      </c>
      <c r="U48" s="16">
        <v>0</v>
      </c>
      <c r="V48" s="1">
        <v>2</v>
      </c>
      <c r="W48" s="1">
        <v>1</v>
      </c>
      <c r="X48" s="1">
        <v>1</v>
      </c>
      <c r="Y48" s="17">
        <v>0</v>
      </c>
      <c r="Z48" s="18">
        <v>2110</v>
      </c>
      <c r="AA48" s="18">
        <v>4</v>
      </c>
      <c r="AB48" s="18">
        <v>1</v>
      </c>
      <c r="AC48" s="16">
        <v>2</v>
      </c>
      <c r="AD48" s="17">
        <v>3</v>
      </c>
      <c r="AE48" s="16">
        <v>1</v>
      </c>
      <c r="AF48" s="1">
        <v>1</v>
      </c>
      <c r="AG48" s="1">
        <v>1</v>
      </c>
      <c r="AH48" s="18">
        <v>111</v>
      </c>
      <c r="AI48" s="16">
        <v>834</v>
      </c>
      <c r="AJ48" s="17">
        <v>4688</v>
      </c>
      <c r="AK48" s="16"/>
      <c r="AL48" s="17">
        <v>1</v>
      </c>
      <c r="AM48" s="16">
        <v>5</v>
      </c>
      <c r="AN48" s="1">
        <v>4</v>
      </c>
      <c r="AO48" s="1">
        <v>40</v>
      </c>
      <c r="AP48" s="1">
        <v>0</v>
      </c>
      <c r="AQ48" s="1">
        <v>0</v>
      </c>
      <c r="AR48" s="1">
        <v>4</v>
      </c>
      <c r="AS48" s="1">
        <v>77</v>
      </c>
      <c r="AT48" s="1">
        <v>11</v>
      </c>
      <c r="AU48" s="1">
        <v>38</v>
      </c>
      <c r="AV48" s="1">
        <v>18</v>
      </c>
      <c r="AW48" s="1">
        <v>442</v>
      </c>
      <c r="AX48" s="17"/>
      <c r="AY48" s="16">
        <v>0</v>
      </c>
      <c r="AZ48" s="1">
        <v>0</v>
      </c>
      <c r="BA48" s="1">
        <v>0</v>
      </c>
      <c r="BB48" s="17">
        <v>0</v>
      </c>
      <c r="BC48" s="16">
        <v>0</v>
      </c>
      <c r="BD48" s="17">
        <v>0</v>
      </c>
      <c r="BE48" s="18">
        <v>120</v>
      </c>
      <c r="BF48" s="16">
        <v>0</v>
      </c>
      <c r="BG48" s="1">
        <v>0</v>
      </c>
      <c r="BH48" s="1">
        <v>1</v>
      </c>
      <c r="BI48" s="1">
        <v>0</v>
      </c>
      <c r="BJ48" s="16">
        <v>0</v>
      </c>
      <c r="BK48" s="1">
        <v>1</v>
      </c>
      <c r="BL48" s="16">
        <v>63.26</v>
      </c>
      <c r="BM48" s="1">
        <v>75.55</v>
      </c>
      <c r="BN48" s="1"/>
      <c r="BO48" s="1"/>
      <c r="BP48" s="1"/>
      <c r="BQ48" s="1"/>
      <c r="BR48" s="1"/>
      <c r="BS48" s="1"/>
      <c r="BT48" s="17"/>
      <c r="BU48" s="16">
        <v>67.040000000000006</v>
      </c>
      <c r="BV48" s="1">
        <v>63.22</v>
      </c>
      <c r="BW48" s="1">
        <v>70.930000000000007</v>
      </c>
      <c r="BX48" s="1">
        <v>77.349999999999994</v>
      </c>
      <c r="BY48" s="1"/>
      <c r="BZ48" s="1"/>
      <c r="CA48" s="1"/>
      <c r="CB48" s="17"/>
      <c r="CC48" s="16">
        <v>63.57</v>
      </c>
      <c r="CD48" s="1">
        <v>67.91</v>
      </c>
      <c r="CE48" s="17"/>
      <c r="CF48" s="16"/>
      <c r="CG48" s="1"/>
      <c r="CH48" s="17"/>
      <c r="CI48" s="16"/>
      <c r="CJ48" s="17"/>
      <c r="CK48" s="16"/>
      <c r="CL48" s="17"/>
      <c r="CM48" s="16"/>
      <c r="CN48" s="1"/>
      <c r="CO48" s="1"/>
      <c r="CP48" s="1"/>
      <c r="CQ48" s="1"/>
      <c r="CR48" s="17"/>
      <c r="CS48" s="16"/>
      <c r="CT48" s="1"/>
      <c r="CU48" s="1"/>
      <c r="CV48" s="17"/>
      <c r="CW48" s="16"/>
      <c r="CX48" s="1"/>
      <c r="CY48" s="1"/>
      <c r="CZ48" s="17"/>
      <c r="DA48" s="18"/>
      <c r="DB48" s="6">
        <v>68</v>
      </c>
    </row>
    <row r="49" spans="1:106">
      <c r="A49" s="42" t="s">
        <v>327</v>
      </c>
      <c r="B49" s="17" t="s">
        <v>186</v>
      </c>
      <c r="C49" s="16" t="s">
        <v>93</v>
      </c>
      <c r="D49" s="1"/>
      <c r="E49" s="18">
        <v>1000</v>
      </c>
      <c r="F49" s="18">
        <v>3423</v>
      </c>
      <c r="G49" s="16">
        <v>771</v>
      </c>
      <c r="H49" s="17">
        <v>1.2160883280757098</v>
      </c>
      <c r="I49" s="18">
        <v>4</v>
      </c>
      <c r="J49" s="16">
        <v>0</v>
      </c>
      <c r="K49" s="1">
        <v>0</v>
      </c>
      <c r="L49" s="1">
        <v>0</v>
      </c>
      <c r="M49" s="1">
        <v>1</v>
      </c>
      <c r="N49" s="17">
        <v>1</v>
      </c>
      <c r="O49" s="16">
        <v>11</v>
      </c>
      <c r="P49" s="16">
        <v>1</v>
      </c>
      <c r="Q49" s="1">
        <v>0</v>
      </c>
      <c r="R49" s="1">
        <v>0</v>
      </c>
      <c r="S49" s="17">
        <v>0</v>
      </c>
      <c r="T49" s="16">
        <v>1000</v>
      </c>
      <c r="U49" s="16">
        <v>1</v>
      </c>
      <c r="V49" s="1">
        <v>1</v>
      </c>
      <c r="W49" s="1">
        <v>1</v>
      </c>
      <c r="X49" s="1">
        <v>1</v>
      </c>
      <c r="Y49" s="17">
        <v>0</v>
      </c>
      <c r="Z49" s="18">
        <v>11110</v>
      </c>
      <c r="AA49" s="18">
        <v>4</v>
      </c>
      <c r="AB49" s="18">
        <v>1</v>
      </c>
      <c r="AC49" s="16">
        <v>1</v>
      </c>
      <c r="AD49" s="17">
        <v>1</v>
      </c>
      <c r="AE49" s="16">
        <v>0</v>
      </c>
      <c r="AF49" s="1">
        <v>1</v>
      </c>
      <c r="AG49" s="1">
        <v>1</v>
      </c>
      <c r="AH49" s="18">
        <v>11</v>
      </c>
      <c r="AI49" s="16">
        <v>281</v>
      </c>
      <c r="AJ49" s="17">
        <v>790</v>
      </c>
      <c r="AK49" s="16"/>
      <c r="AL49" s="17">
        <v>1</v>
      </c>
      <c r="AM49" s="16">
        <v>3</v>
      </c>
      <c r="AN49" s="1">
        <v>2</v>
      </c>
      <c r="AO49" s="1">
        <v>16</v>
      </c>
      <c r="AP49" s="1">
        <v>0</v>
      </c>
      <c r="AQ49" s="1">
        <v>0</v>
      </c>
      <c r="AR49" s="1">
        <v>5</v>
      </c>
      <c r="AS49" s="1">
        <v>32</v>
      </c>
      <c r="AT49" s="1">
        <v>3</v>
      </c>
      <c r="AU49" s="1">
        <v>53</v>
      </c>
      <c r="AV49" s="1">
        <v>0</v>
      </c>
      <c r="AW49" s="1">
        <v>0</v>
      </c>
      <c r="AX49" s="17"/>
      <c r="AY49" s="16">
        <v>0</v>
      </c>
      <c r="AZ49" s="1">
        <v>0</v>
      </c>
      <c r="BA49" s="1">
        <v>0</v>
      </c>
      <c r="BB49" s="17">
        <v>0</v>
      </c>
      <c r="BC49" s="16">
        <v>0</v>
      </c>
      <c r="BD49" s="17">
        <v>0</v>
      </c>
      <c r="BE49" s="18">
        <v>86</v>
      </c>
      <c r="BF49" s="16">
        <v>0</v>
      </c>
      <c r="BG49" s="1">
        <v>1</v>
      </c>
      <c r="BH49" s="1">
        <v>0</v>
      </c>
      <c r="BI49" s="1">
        <v>0</v>
      </c>
      <c r="BJ49" s="16">
        <v>0</v>
      </c>
      <c r="BK49" s="1">
        <v>1</v>
      </c>
      <c r="BL49" s="16"/>
      <c r="BM49" s="1"/>
      <c r="BN49" s="1"/>
      <c r="BO49" s="1"/>
      <c r="BP49" s="1"/>
      <c r="BQ49" s="1"/>
      <c r="BR49" s="1"/>
      <c r="BS49" s="1"/>
      <c r="BT49" s="17"/>
      <c r="BU49" s="16"/>
      <c r="BV49" s="1"/>
      <c r="BW49" s="1"/>
      <c r="BX49" s="1"/>
      <c r="BY49" s="1"/>
      <c r="BZ49" s="1"/>
      <c r="CA49" s="1"/>
      <c r="CB49" s="17"/>
      <c r="CC49" s="16"/>
      <c r="CD49" s="1"/>
      <c r="CE49" s="17"/>
      <c r="CF49" s="16"/>
      <c r="CG49" s="1"/>
      <c r="CH49" s="17"/>
      <c r="CI49" s="16"/>
      <c r="CJ49" s="17"/>
      <c r="CK49" s="16"/>
      <c r="CL49" s="17"/>
      <c r="CM49" s="16"/>
      <c r="CN49" s="1"/>
      <c r="CO49" s="1"/>
      <c r="CP49" s="1"/>
      <c r="CQ49" s="1"/>
      <c r="CR49" s="17"/>
      <c r="CS49" s="16"/>
      <c r="CT49" s="1"/>
      <c r="CU49" s="1"/>
      <c r="CV49" s="17"/>
      <c r="CW49" s="16"/>
      <c r="CX49" s="1"/>
      <c r="CY49" s="1"/>
      <c r="CZ49" s="17"/>
      <c r="DA49" s="18"/>
      <c r="DB49" s="6">
        <v>68</v>
      </c>
    </row>
    <row r="50" spans="1:106">
      <c r="A50" s="42" t="s">
        <v>327</v>
      </c>
      <c r="B50" s="17" t="s">
        <v>186</v>
      </c>
      <c r="C50" s="16" t="s">
        <v>112</v>
      </c>
      <c r="D50" s="1"/>
      <c r="E50" s="18">
        <v>1100</v>
      </c>
      <c r="F50" s="18">
        <v>3423</v>
      </c>
      <c r="G50" s="16">
        <v>1595</v>
      </c>
      <c r="H50" s="17">
        <v>1.6701570680628273</v>
      </c>
      <c r="I50" s="18">
        <v>3</v>
      </c>
      <c r="J50" s="16">
        <v>0</v>
      </c>
      <c r="K50" s="1">
        <v>0</v>
      </c>
      <c r="L50" s="1">
        <v>1</v>
      </c>
      <c r="M50" s="1">
        <v>1</v>
      </c>
      <c r="N50" s="17">
        <v>0</v>
      </c>
      <c r="O50" s="16">
        <v>110</v>
      </c>
      <c r="P50" s="16">
        <v>1</v>
      </c>
      <c r="Q50" s="1">
        <v>0</v>
      </c>
      <c r="R50" s="1">
        <v>0</v>
      </c>
      <c r="S50" s="17">
        <v>1</v>
      </c>
      <c r="T50" s="16">
        <v>1100</v>
      </c>
      <c r="U50" s="16">
        <v>1</v>
      </c>
      <c r="V50" s="1">
        <v>3</v>
      </c>
      <c r="W50" s="1">
        <v>1</v>
      </c>
      <c r="X50" s="1">
        <v>1</v>
      </c>
      <c r="Y50" s="17">
        <v>0</v>
      </c>
      <c r="Z50" s="18">
        <v>13110</v>
      </c>
      <c r="AA50" s="18">
        <v>6</v>
      </c>
      <c r="AB50" s="18">
        <v>1</v>
      </c>
      <c r="AC50" s="16">
        <v>1</v>
      </c>
      <c r="AD50" s="17">
        <v>3</v>
      </c>
      <c r="AE50" s="16">
        <v>0</v>
      </c>
      <c r="AF50" s="1">
        <v>1</v>
      </c>
      <c r="AG50" s="1">
        <v>1</v>
      </c>
      <c r="AH50" s="18">
        <v>11</v>
      </c>
      <c r="AI50" s="16">
        <v>574</v>
      </c>
      <c r="AJ50" s="17">
        <v>1312</v>
      </c>
      <c r="AK50" s="16"/>
      <c r="AL50" s="17">
        <v>1</v>
      </c>
      <c r="AM50" s="16">
        <v>2</v>
      </c>
      <c r="AN50" s="1">
        <v>12</v>
      </c>
      <c r="AO50" s="1">
        <v>13</v>
      </c>
      <c r="AP50" s="1">
        <v>0</v>
      </c>
      <c r="AQ50" s="1">
        <v>0</v>
      </c>
      <c r="AR50" s="1">
        <v>22</v>
      </c>
      <c r="AS50" s="1">
        <v>36</v>
      </c>
      <c r="AT50" s="1">
        <v>28</v>
      </c>
      <c r="AU50" s="1">
        <v>123</v>
      </c>
      <c r="AV50" s="1">
        <v>0</v>
      </c>
      <c r="AW50" s="1">
        <v>50</v>
      </c>
      <c r="AX50" s="17"/>
      <c r="AY50" s="16">
        <v>0</v>
      </c>
      <c r="AZ50" s="1">
        <v>0</v>
      </c>
      <c r="BA50" s="1">
        <v>0</v>
      </c>
      <c r="BB50" s="17">
        <v>0</v>
      </c>
      <c r="BC50" s="16">
        <v>0</v>
      </c>
      <c r="BD50" s="17">
        <v>0</v>
      </c>
      <c r="BE50" s="18">
        <v>135</v>
      </c>
      <c r="BF50" s="16">
        <v>0</v>
      </c>
      <c r="BG50" s="1">
        <v>1</v>
      </c>
      <c r="BH50" s="1">
        <v>0</v>
      </c>
      <c r="BI50" s="1">
        <v>0</v>
      </c>
      <c r="BJ50" s="16">
        <v>0</v>
      </c>
      <c r="BK50" s="1">
        <v>1</v>
      </c>
      <c r="BL50" s="16">
        <v>75.64</v>
      </c>
      <c r="BM50" s="1">
        <v>77.48</v>
      </c>
      <c r="BN50" s="1">
        <v>77.45</v>
      </c>
      <c r="BO50" s="1"/>
      <c r="BP50" s="1"/>
      <c r="BQ50" s="1"/>
      <c r="BR50" s="1"/>
      <c r="BS50" s="1"/>
      <c r="BT50" s="17"/>
      <c r="BU50" s="16">
        <v>76.900000000000006</v>
      </c>
      <c r="BV50" s="1"/>
      <c r="BW50" s="1"/>
      <c r="BX50" s="1"/>
      <c r="BY50" s="1"/>
      <c r="BZ50" s="1"/>
      <c r="CA50" s="1"/>
      <c r="CB50" s="17"/>
      <c r="CC50" s="16">
        <v>64.53</v>
      </c>
      <c r="CD50" s="1"/>
      <c r="CE50" s="17"/>
      <c r="CF50" s="16"/>
      <c r="CG50" s="1"/>
      <c r="CH50" s="17"/>
      <c r="CI50" s="16"/>
      <c r="CJ50" s="17"/>
      <c r="CK50" s="16"/>
      <c r="CL50" s="17"/>
      <c r="CM50" s="16"/>
      <c r="CN50" s="1"/>
      <c r="CO50" s="1"/>
      <c r="CP50" s="1"/>
      <c r="CQ50" s="1"/>
      <c r="CR50" s="17"/>
      <c r="CS50" s="16"/>
      <c r="CT50" s="1"/>
      <c r="CU50" s="1"/>
      <c r="CV50" s="17"/>
      <c r="CW50" s="16">
        <v>76.41</v>
      </c>
      <c r="CX50" s="1"/>
      <c r="CY50" s="1"/>
      <c r="CZ50" s="17"/>
      <c r="DA50" s="18"/>
      <c r="DB50" s="6">
        <v>68</v>
      </c>
    </row>
    <row r="51" spans="1:106">
      <c r="A51" s="42" t="s">
        <v>327</v>
      </c>
      <c r="B51" s="17" t="s">
        <v>186</v>
      </c>
      <c r="C51" s="16" t="s">
        <v>94</v>
      </c>
      <c r="D51" s="1" t="s">
        <v>0</v>
      </c>
      <c r="E51" s="18">
        <v>1000</v>
      </c>
      <c r="F51" s="18">
        <v>3423</v>
      </c>
      <c r="G51" s="16">
        <v>2348</v>
      </c>
      <c r="H51" s="17">
        <v>2.8119760479041918</v>
      </c>
      <c r="I51" s="18">
        <v>4</v>
      </c>
      <c r="J51" s="16">
        <v>0</v>
      </c>
      <c r="K51" s="1">
        <v>1</v>
      </c>
      <c r="L51" s="1">
        <v>0</v>
      </c>
      <c r="M51" s="1">
        <v>1</v>
      </c>
      <c r="N51" s="17">
        <v>0</v>
      </c>
      <c r="O51" s="16">
        <v>1010</v>
      </c>
      <c r="P51" s="16">
        <v>1</v>
      </c>
      <c r="Q51" s="1">
        <v>0</v>
      </c>
      <c r="R51" s="1">
        <v>0</v>
      </c>
      <c r="S51" s="17">
        <v>0</v>
      </c>
      <c r="T51" s="16">
        <v>1000</v>
      </c>
      <c r="U51" s="16">
        <v>0</v>
      </c>
      <c r="V51" s="1">
        <v>1</v>
      </c>
      <c r="W51" s="1">
        <v>0</v>
      </c>
      <c r="X51" s="1">
        <v>1</v>
      </c>
      <c r="Y51" s="17">
        <v>0</v>
      </c>
      <c r="Z51" s="18">
        <v>1010</v>
      </c>
      <c r="AA51" s="18">
        <v>2</v>
      </c>
      <c r="AB51" s="18">
        <v>1</v>
      </c>
      <c r="AC51" s="16">
        <v>1</v>
      </c>
      <c r="AD51" s="17">
        <v>3</v>
      </c>
      <c r="AE51" s="16">
        <v>1</v>
      </c>
      <c r="AF51" s="1">
        <v>1</v>
      </c>
      <c r="AG51" s="1">
        <v>0</v>
      </c>
      <c r="AH51" s="18">
        <v>110</v>
      </c>
      <c r="AI51" s="16">
        <v>291</v>
      </c>
      <c r="AJ51" s="17">
        <v>2009</v>
      </c>
      <c r="AK51" s="16"/>
      <c r="AL51" s="17">
        <v>1</v>
      </c>
      <c r="AM51" s="16">
        <v>1</v>
      </c>
      <c r="AN51" s="1">
        <v>0</v>
      </c>
      <c r="AO51" s="1">
        <v>0</v>
      </c>
      <c r="AP51" s="1">
        <v>0</v>
      </c>
      <c r="AQ51" s="1">
        <v>0</v>
      </c>
      <c r="AR51" s="1">
        <v>13</v>
      </c>
      <c r="AS51" s="1">
        <v>18</v>
      </c>
      <c r="AT51" s="1">
        <v>0</v>
      </c>
      <c r="AU51" s="1">
        <v>112</v>
      </c>
      <c r="AV51" s="1">
        <v>0</v>
      </c>
      <c r="AW51" s="1">
        <v>0</v>
      </c>
      <c r="AX51" s="17"/>
      <c r="AY51" s="16">
        <v>0</v>
      </c>
      <c r="AZ51" s="1">
        <v>0</v>
      </c>
      <c r="BA51" s="1">
        <v>0</v>
      </c>
      <c r="BB51" s="17">
        <v>0</v>
      </c>
      <c r="BC51" s="16">
        <v>0</v>
      </c>
      <c r="BD51" s="17">
        <v>0</v>
      </c>
      <c r="BE51" s="18">
        <v>115</v>
      </c>
      <c r="BF51" s="16">
        <v>0</v>
      </c>
      <c r="BG51" s="1">
        <v>0</v>
      </c>
      <c r="BH51" s="1">
        <v>0</v>
      </c>
      <c r="BI51" s="1">
        <v>0</v>
      </c>
      <c r="BJ51" s="16">
        <v>0</v>
      </c>
      <c r="BK51" s="1">
        <v>1</v>
      </c>
      <c r="BL51" s="16"/>
      <c r="BM51" s="1"/>
      <c r="BN51" s="1"/>
      <c r="BO51" s="1"/>
      <c r="BP51" s="1"/>
      <c r="BQ51" s="1"/>
      <c r="BR51" s="1"/>
      <c r="BS51" s="1"/>
      <c r="BT51" s="17"/>
      <c r="BU51" s="16"/>
      <c r="BV51" s="1"/>
      <c r="BW51" s="1"/>
      <c r="BX51" s="1"/>
      <c r="BY51" s="1"/>
      <c r="BZ51" s="1"/>
      <c r="CA51" s="1"/>
      <c r="CB51" s="17"/>
      <c r="CC51" s="16"/>
      <c r="CD51" s="1"/>
      <c r="CE51" s="17"/>
      <c r="CF51" s="16"/>
      <c r="CG51" s="1"/>
      <c r="CH51" s="17"/>
      <c r="CI51" s="16"/>
      <c r="CJ51" s="17"/>
      <c r="CK51" s="16"/>
      <c r="CL51" s="17"/>
      <c r="CM51" s="16"/>
      <c r="CN51" s="1"/>
      <c r="CO51" s="1"/>
      <c r="CP51" s="1"/>
      <c r="CQ51" s="1"/>
      <c r="CR51" s="17"/>
      <c r="CS51" s="16"/>
      <c r="CT51" s="1"/>
      <c r="CU51" s="1"/>
      <c r="CV51" s="17"/>
      <c r="CW51" s="16"/>
      <c r="CX51" s="1"/>
      <c r="CY51" s="1"/>
      <c r="CZ51" s="17"/>
      <c r="DA51" s="18"/>
      <c r="DB51" s="6">
        <v>68</v>
      </c>
    </row>
    <row r="52" spans="1:106">
      <c r="A52" s="42" t="s">
        <v>327</v>
      </c>
      <c r="B52" s="17" t="s">
        <v>186</v>
      </c>
      <c r="C52" s="16" t="s">
        <v>94</v>
      </c>
      <c r="D52" s="1" t="s">
        <v>1</v>
      </c>
      <c r="E52" s="18">
        <v>1100</v>
      </c>
      <c r="F52" s="18">
        <v>3423</v>
      </c>
      <c r="G52" s="16">
        <v>595</v>
      </c>
      <c r="H52" s="17">
        <v>1.3615560640732265</v>
      </c>
      <c r="I52" s="18">
        <v>3</v>
      </c>
      <c r="J52" s="16">
        <v>0</v>
      </c>
      <c r="K52" s="1">
        <v>1</v>
      </c>
      <c r="L52" s="1">
        <v>0</v>
      </c>
      <c r="M52" s="1">
        <v>1</v>
      </c>
      <c r="N52" s="17">
        <v>0</v>
      </c>
      <c r="O52" s="16">
        <v>1010</v>
      </c>
      <c r="P52" s="16">
        <v>1</v>
      </c>
      <c r="Q52" s="1">
        <v>0</v>
      </c>
      <c r="R52" s="1">
        <v>0</v>
      </c>
      <c r="S52" s="17">
        <v>1</v>
      </c>
      <c r="T52" s="16">
        <v>1100</v>
      </c>
      <c r="U52" s="16">
        <v>0</v>
      </c>
      <c r="V52" s="1">
        <v>2</v>
      </c>
      <c r="W52" s="1">
        <v>1</v>
      </c>
      <c r="X52" s="1">
        <v>1</v>
      </c>
      <c r="Y52" s="17">
        <v>0</v>
      </c>
      <c r="Z52" s="18">
        <v>2110</v>
      </c>
      <c r="AA52" s="18">
        <v>4</v>
      </c>
      <c r="AB52" s="18">
        <v>1</v>
      </c>
      <c r="AC52" s="16">
        <v>1</v>
      </c>
      <c r="AD52" s="17">
        <v>2</v>
      </c>
      <c r="AE52" s="16">
        <v>0</v>
      </c>
      <c r="AF52" s="1">
        <v>1</v>
      </c>
      <c r="AG52" s="1">
        <v>1</v>
      </c>
      <c r="AH52" s="18">
        <v>11</v>
      </c>
      <c r="AI52" s="16">
        <v>167</v>
      </c>
      <c r="AJ52" s="17">
        <v>417</v>
      </c>
      <c r="AK52" s="16"/>
      <c r="AL52" s="17">
        <v>1</v>
      </c>
      <c r="AM52" s="16">
        <v>0</v>
      </c>
      <c r="AN52" s="1">
        <v>0</v>
      </c>
      <c r="AO52" s="1">
        <v>0</v>
      </c>
      <c r="AP52" s="1">
        <v>0</v>
      </c>
      <c r="AQ52" s="1">
        <v>0</v>
      </c>
      <c r="AR52" s="1">
        <v>0</v>
      </c>
      <c r="AS52" s="1">
        <v>0</v>
      </c>
      <c r="AT52" s="1">
        <v>0</v>
      </c>
      <c r="AU52" s="1">
        <v>0</v>
      </c>
      <c r="AV52" s="1">
        <v>0</v>
      </c>
      <c r="AW52" s="1">
        <v>0</v>
      </c>
      <c r="AX52" s="17"/>
      <c r="AY52" s="16">
        <v>0</v>
      </c>
      <c r="AZ52" s="1">
        <v>0</v>
      </c>
      <c r="BA52" s="1">
        <v>0</v>
      </c>
      <c r="BB52" s="17">
        <v>0</v>
      </c>
      <c r="BC52" s="16">
        <v>0</v>
      </c>
      <c r="BD52" s="17">
        <v>0</v>
      </c>
      <c r="BE52" s="18">
        <v>115</v>
      </c>
      <c r="BF52" s="16">
        <v>0</v>
      </c>
      <c r="BG52" s="1">
        <v>0</v>
      </c>
      <c r="BH52" s="1">
        <v>0</v>
      </c>
      <c r="BI52" s="1">
        <v>0</v>
      </c>
      <c r="BJ52" s="16">
        <v>0</v>
      </c>
      <c r="BK52" s="1">
        <v>1</v>
      </c>
      <c r="BL52" s="16"/>
      <c r="BM52" s="1"/>
      <c r="BN52" s="1"/>
      <c r="BO52" s="1"/>
      <c r="BP52" s="1"/>
      <c r="BQ52" s="1"/>
      <c r="BR52" s="1"/>
      <c r="BS52" s="1"/>
      <c r="BT52" s="17"/>
      <c r="BU52" s="16"/>
      <c r="BV52" s="1"/>
      <c r="BW52" s="1"/>
      <c r="BX52" s="1"/>
      <c r="BY52" s="1"/>
      <c r="BZ52" s="1"/>
      <c r="CA52" s="1"/>
      <c r="CB52" s="17"/>
      <c r="CC52" s="16"/>
      <c r="CD52" s="1"/>
      <c r="CE52" s="17"/>
      <c r="CF52" s="16"/>
      <c r="CG52" s="1"/>
      <c r="CH52" s="17"/>
      <c r="CI52" s="16"/>
      <c r="CJ52" s="17"/>
      <c r="CK52" s="16"/>
      <c r="CL52" s="17"/>
      <c r="CM52" s="16"/>
      <c r="CN52" s="1"/>
      <c r="CO52" s="1"/>
      <c r="CP52" s="1"/>
      <c r="CQ52" s="1"/>
      <c r="CR52" s="17"/>
      <c r="CS52" s="16"/>
      <c r="CT52" s="1"/>
      <c r="CU52" s="1"/>
      <c r="CV52" s="17"/>
      <c r="CW52" s="16"/>
      <c r="CX52" s="1"/>
      <c r="CY52" s="1"/>
      <c r="CZ52" s="17"/>
      <c r="DA52" s="18"/>
      <c r="DB52" s="6">
        <v>68</v>
      </c>
    </row>
    <row r="53" spans="1:106">
      <c r="A53" s="42" t="s">
        <v>327</v>
      </c>
      <c r="B53" s="17" t="s">
        <v>186</v>
      </c>
      <c r="C53" s="16" t="s">
        <v>187</v>
      </c>
      <c r="D53" s="1" t="s">
        <v>0</v>
      </c>
      <c r="E53" s="18">
        <v>1100</v>
      </c>
      <c r="F53" s="18">
        <v>3423</v>
      </c>
      <c r="G53" s="16">
        <v>1699</v>
      </c>
      <c r="H53" s="17">
        <v>1.665686274509804</v>
      </c>
      <c r="I53" s="18">
        <v>5</v>
      </c>
      <c r="J53" s="16">
        <v>1</v>
      </c>
      <c r="K53" s="1">
        <v>0</v>
      </c>
      <c r="L53" s="1">
        <v>0</v>
      </c>
      <c r="M53" s="1">
        <v>1</v>
      </c>
      <c r="N53" s="17">
        <v>0</v>
      </c>
      <c r="O53" s="16">
        <v>10010</v>
      </c>
      <c r="P53" s="16">
        <v>1</v>
      </c>
      <c r="Q53" s="1">
        <v>0</v>
      </c>
      <c r="R53" s="1">
        <v>0</v>
      </c>
      <c r="S53" s="17">
        <v>1</v>
      </c>
      <c r="T53" s="16">
        <v>1100</v>
      </c>
      <c r="U53" s="16">
        <v>0</v>
      </c>
      <c r="V53" s="1">
        <v>3</v>
      </c>
      <c r="W53" s="1">
        <v>1</v>
      </c>
      <c r="X53" s="1">
        <v>1</v>
      </c>
      <c r="Y53" s="17">
        <v>0</v>
      </c>
      <c r="Z53" s="18">
        <v>3110</v>
      </c>
      <c r="AA53" s="18">
        <v>5</v>
      </c>
      <c r="AB53" s="18">
        <v>1</v>
      </c>
      <c r="AC53" s="16">
        <v>1</v>
      </c>
      <c r="AD53" s="17">
        <v>4</v>
      </c>
      <c r="AE53" s="16">
        <v>1</v>
      </c>
      <c r="AF53" s="1">
        <v>1</v>
      </c>
      <c r="AG53" s="1">
        <v>1</v>
      </c>
      <c r="AH53" s="18">
        <v>111</v>
      </c>
      <c r="AI53" s="16">
        <v>274</v>
      </c>
      <c r="AJ53" s="17">
        <v>1065</v>
      </c>
      <c r="AK53" s="16"/>
      <c r="AL53" s="17">
        <v>1</v>
      </c>
      <c r="AM53" s="16">
        <v>2</v>
      </c>
      <c r="AN53" s="1">
        <v>0</v>
      </c>
      <c r="AO53" s="1">
        <v>0</v>
      </c>
      <c r="AP53" s="1">
        <v>0</v>
      </c>
      <c r="AQ53" s="1">
        <v>0</v>
      </c>
      <c r="AR53" s="1">
        <v>8</v>
      </c>
      <c r="AS53" s="1">
        <v>96</v>
      </c>
      <c r="AT53" s="1">
        <v>143</v>
      </c>
      <c r="AU53" s="1">
        <v>232</v>
      </c>
      <c r="AV53" s="1">
        <v>0</v>
      </c>
      <c r="AW53" s="1">
        <v>0</v>
      </c>
      <c r="AX53" s="17"/>
      <c r="AY53" s="16">
        <v>0</v>
      </c>
      <c r="AZ53" s="1">
        <v>0</v>
      </c>
      <c r="BA53" s="1">
        <v>0</v>
      </c>
      <c r="BB53" s="17">
        <v>0</v>
      </c>
      <c r="BC53" s="16">
        <v>0</v>
      </c>
      <c r="BD53" s="17">
        <v>0</v>
      </c>
      <c r="BE53" s="18">
        <v>162</v>
      </c>
      <c r="BF53" s="16">
        <v>0</v>
      </c>
      <c r="BG53" s="1">
        <v>0</v>
      </c>
      <c r="BH53" s="1">
        <v>0</v>
      </c>
      <c r="BI53" s="1">
        <v>0</v>
      </c>
      <c r="BJ53" s="16">
        <v>0</v>
      </c>
      <c r="BK53" s="1">
        <v>1</v>
      </c>
      <c r="BL53" s="16"/>
      <c r="BM53" s="1"/>
      <c r="BN53" s="1"/>
      <c r="BO53" s="1"/>
      <c r="BP53" s="1"/>
      <c r="BQ53" s="1"/>
      <c r="BR53" s="1"/>
      <c r="BS53" s="1"/>
      <c r="BT53" s="17"/>
      <c r="BU53" s="16">
        <v>78.81</v>
      </c>
      <c r="BV53" s="1"/>
      <c r="BW53" s="1"/>
      <c r="BX53" s="1"/>
      <c r="BY53" s="1"/>
      <c r="BZ53" s="1"/>
      <c r="CA53" s="1"/>
      <c r="CB53" s="17"/>
      <c r="CC53" s="16">
        <v>64.3</v>
      </c>
      <c r="CD53" s="1"/>
      <c r="CE53" s="17"/>
      <c r="CF53" s="16"/>
      <c r="CG53" s="1"/>
      <c r="CH53" s="17"/>
      <c r="CI53" s="16"/>
      <c r="CJ53" s="17"/>
      <c r="CK53" s="16"/>
      <c r="CL53" s="17"/>
      <c r="CM53" s="16"/>
      <c r="CN53" s="1"/>
      <c r="CO53" s="1"/>
      <c r="CP53" s="1"/>
      <c r="CQ53" s="1"/>
      <c r="CR53" s="17"/>
      <c r="CS53" s="16"/>
      <c r="CT53" s="1"/>
      <c r="CU53" s="1"/>
      <c r="CV53" s="17"/>
      <c r="CW53" s="16">
        <v>74.959999999999994</v>
      </c>
      <c r="CX53" s="1"/>
      <c r="CY53" s="1"/>
      <c r="CZ53" s="17"/>
      <c r="DA53" s="18"/>
      <c r="DB53" s="6">
        <v>68</v>
      </c>
    </row>
    <row r="54" spans="1:106">
      <c r="A54" s="42" t="s">
        <v>327</v>
      </c>
      <c r="B54" s="17" t="s">
        <v>186</v>
      </c>
      <c r="C54" s="16" t="s">
        <v>119</v>
      </c>
      <c r="D54" s="1" t="s">
        <v>1</v>
      </c>
      <c r="E54" s="18">
        <v>1000</v>
      </c>
      <c r="F54" s="18">
        <v>3423</v>
      </c>
      <c r="G54" s="16">
        <v>1432</v>
      </c>
      <c r="H54" s="17">
        <v>2.0486409155937051</v>
      </c>
      <c r="I54" s="18">
        <v>4</v>
      </c>
      <c r="J54" s="16">
        <v>0</v>
      </c>
      <c r="K54" s="1">
        <v>0</v>
      </c>
      <c r="L54" s="1">
        <v>0</v>
      </c>
      <c r="M54" s="1">
        <v>0</v>
      </c>
      <c r="N54" s="17">
        <v>1</v>
      </c>
      <c r="O54" s="16">
        <v>1</v>
      </c>
      <c r="P54" s="16">
        <v>1</v>
      </c>
      <c r="Q54" s="1">
        <v>0</v>
      </c>
      <c r="R54" s="1">
        <v>0</v>
      </c>
      <c r="S54" s="17">
        <v>0</v>
      </c>
      <c r="T54" s="16">
        <v>1000</v>
      </c>
      <c r="U54" s="16">
        <v>1</v>
      </c>
      <c r="V54" s="1">
        <v>2</v>
      </c>
      <c r="W54" s="1">
        <v>1</v>
      </c>
      <c r="X54" s="1">
        <v>0</v>
      </c>
      <c r="Y54" s="17">
        <v>0</v>
      </c>
      <c r="Z54" s="18">
        <v>12100</v>
      </c>
      <c r="AA54" s="18">
        <v>4</v>
      </c>
      <c r="AB54" s="18">
        <v>1</v>
      </c>
      <c r="AC54" s="16">
        <v>1</v>
      </c>
      <c r="AD54" s="17">
        <v>1</v>
      </c>
      <c r="AE54" s="16">
        <v>0</v>
      </c>
      <c r="AF54" s="1">
        <v>1</v>
      </c>
      <c r="AG54" s="1">
        <v>0</v>
      </c>
      <c r="AH54" s="18">
        <v>10</v>
      </c>
      <c r="AI54" s="16">
        <v>360</v>
      </c>
      <c r="AJ54" s="17">
        <v>1236</v>
      </c>
      <c r="AK54" s="16"/>
      <c r="AL54" s="17">
        <v>1</v>
      </c>
      <c r="AM54" s="16">
        <v>1</v>
      </c>
      <c r="AN54" s="1">
        <v>0</v>
      </c>
      <c r="AO54" s="1">
        <v>5</v>
      </c>
      <c r="AP54" s="1">
        <v>0</v>
      </c>
      <c r="AQ54" s="1">
        <v>0</v>
      </c>
      <c r="AR54" s="1">
        <v>4</v>
      </c>
      <c r="AS54" s="1">
        <v>12</v>
      </c>
      <c r="AT54" s="1">
        <v>0</v>
      </c>
      <c r="AU54" s="1">
        <v>0</v>
      </c>
      <c r="AV54" s="1">
        <v>10</v>
      </c>
      <c r="AW54" s="1">
        <v>34</v>
      </c>
      <c r="AX54" s="17"/>
      <c r="AY54" s="16">
        <v>0</v>
      </c>
      <c r="AZ54" s="1">
        <v>0</v>
      </c>
      <c r="BA54" s="1">
        <v>0</v>
      </c>
      <c r="BB54" s="17">
        <v>0</v>
      </c>
      <c r="BC54" s="16">
        <v>0</v>
      </c>
      <c r="BD54" s="17">
        <v>0</v>
      </c>
      <c r="BE54" s="18">
        <v>115</v>
      </c>
      <c r="BF54" s="16">
        <v>0</v>
      </c>
      <c r="BG54" s="1">
        <v>0</v>
      </c>
      <c r="BH54" s="1">
        <v>0</v>
      </c>
      <c r="BI54" s="1">
        <v>0</v>
      </c>
      <c r="BJ54" s="16">
        <v>0</v>
      </c>
      <c r="BK54" s="1">
        <v>1</v>
      </c>
      <c r="BL54" s="16">
        <v>76.150000000000006</v>
      </c>
      <c r="BM54" s="1">
        <v>76.709999999999994</v>
      </c>
      <c r="BN54" s="1"/>
      <c r="BO54" s="1"/>
      <c r="BP54" s="1"/>
      <c r="BQ54" s="1"/>
      <c r="BR54" s="1"/>
      <c r="BS54" s="1"/>
      <c r="BT54" s="17"/>
      <c r="BU54" s="16"/>
      <c r="BV54" s="1"/>
      <c r="BW54" s="1"/>
      <c r="BX54" s="1"/>
      <c r="BY54" s="1"/>
      <c r="BZ54" s="1"/>
      <c r="CA54" s="1"/>
      <c r="CB54" s="17"/>
      <c r="CC54" s="16">
        <v>62.87</v>
      </c>
      <c r="CD54" s="1"/>
      <c r="CE54" s="17"/>
      <c r="CF54" s="16"/>
      <c r="CG54" s="1"/>
      <c r="CH54" s="17"/>
      <c r="CI54" s="16"/>
      <c r="CJ54" s="17"/>
      <c r="CK54" s="16"/>
      <c r="CL54" s="17"/>
      <c r="CM54" s="16"/>
      <c r="CN54" s="1"/>
      <c r="CO54" s="1"/>
      <c r="CP54" s="1"/>
      <c r="CQ54" s="1"/>
      <c r="CR54" s="17"/>
      <c r="CS54" s="16"/>
      <c r="CT54" s="1"/>
      <c r="CU54" s="1"/>
      <c r="CV54" s="17"/>
      <c r="CW54" s="16">
        <v>72.13</v>
      </c>
      <c r="CX54" s="1"/>
      <c r="CY54" s="1"/>
      <c r="CZ54" s="17"/>
      <c r="DA54" s="18"/>
      <c r="DB54" s="6">
        <v>68</v>
      </c>
    </row>
    <row r="55" spans="1:106">
      <c r="A55" s="42" t="s">
        <v>327</v>
      </c>
      <c r="B55" s="17" t="s">
        <v>186</v>
      </c>
      <c r="C55" s="16" t="s">
        <v>120</v>
      </c>
      <c r="D55" s="1"/>
      <c r="E55" s="18">
        <v>1000</v>
      </c>
      <c r="F55" s="18">
        <v>3423</v>
      </c>
      <c r="G55" s="16">
        <v>1481</v>
      </c>
      <c r="H55" s="17">
        <v>1.1753968253968254</v>
      </c>
      <c r="I55" s="18">
        <v>2</v>
      </c>
      <c r="J55" s="16">
        <v>0</v>
      </c>
      <c r="K55" s="1">
        <v>0</v>
      </c>
      <c r="L55" s="1">
        <v>0</v>
      </c>
      <c r="M55" s="1">
        <v>1</v>
      </c>
      <c r="N55" s="17">
        <v>0</v>
      </c>
      <c r="O55" s="16">
        <v>10</v>
      </c>
      <c r="P55" s="16">
        <v>1</v>
      </c>
      <c r="Q55" s="1">
        <v>0</v>
      </c>
      <c r="R55" s="1">
        <v>0</v>
      </c>
      <c r="S55" s="17">
        <v>0</v>
      </c>
      <c r="T55" s="16">
        <v>1000</v>
      </c>
      <c r="U55" s="16">
        <v>1</v>
      </c>
      <c r="V55" s="1">
        <v>0</v>
      </c>
      <c r="W55" s="1">
        <v>0</v>
      </c>
      <c r="X55" s="1">
        <v>1</v>
      </c>
      <c r="Y55" s="17">
        <v>0</v>
      </c>
      <c r="Z55" s="18">
        <v>10010</v>
      </c>
      <c r="AA55" s="18">
        <v>2</v>
      </c>
      <c r="AB55" s="18">
        <v>1</v>
      </c>
      <c r="AC55" s="16">
        <v>1</v>
      </c>
      <c r="AD55" s="17">
        <v>2</v>
      </c>
      <c r="AE55" s="16">
        <v>0</v>
      </c>
      <c r="AF55" s="1">
        <v>1</v>
      </c>
      <c r="AG55" s="1">
        <v>0</v>
      </c>
      <c r="AH55" s="18">
        <v>10</v>
      </c>
      <c r="AI55" s="16">
        <v>824</v>
      </c>
      <c r="AJ55" s="17">
        <v>923</v>
      </c>
      <c r="AK55" s="16"/>
      <c r="AL55" s="17"/>
      <c r="AM55" s="16">
        <v>2</v>
      </c>
      <c r="AN55" s="1">
        <v>0</v>
      </c>
      <c r="AO55" s="1">
        <v>7</v>
      </c>
      <c r="AP55" s="1">
        <v>0</v>
      </c>
      <c r="AQ55" s="1">
        <v>0</v>
      </c>
      <c r="AR55" s="1">
        <v>0</v>
      </c>
      <c r="AS55" s="1">
        <v>0</v>
      </c>
      <c r="AT55" s="1">
        <v>18</v>
      </c>
      <c r="AU55" s="1">
        <v>141</v>
      </c>
      <c r="AV55" s="1">
        <v>0</v>
      </c>
      <c r="AW55" s="1">
        <v>0</v>
      </c>
      <c r="AX55" s="17"/>
      <c r="AY55" s="16">
        <v>0</v>
      </c>
      <c r="AZ55" s="1">
        <v>0</v>
      </c>
      <c r="BA55" s="1">
        <v>0</v>
      </c>
      <c r="BB55" s="17">
        <v>0</v>
      </c>
      <c r="BC55" s="16">
        <v>0</v>
      </c>
      <c r="BD55" s="17">
        <v>0</v>
      </c>
      <c r="BE55" s="18">
        <v>96</v>
      </c>
      <c r="BF55" s="16">
        <v>0</v>
      </c>
      <c r="BG55" s="1">
        <v>0</v>
      </c>
      <c r="BH55" s="1">
        <v>1</v>
      </c>
      <c r="BI55" s="1">
        <v>0</v>
      </c>
      <c r="BJ55" s="16">
        <v>0</v>
      </c>
      <c r="BK55" s="1">
        <v>1</v>
      </c>
      <c r="BL55" s="16">
        <v>72.66</v>
      </c>
      <c r="BM55" s="1">
        <v>72.92</v>
      </c>
      <c r="BN55" s="1">
        <v>69.97</v>
      </c>
      <c r="BO55" s="1"/>
      <c r="BP55" s="1"/>
      <c r="BQ55" s="1"/>
      <c r="BR55" s="1"/>
      <c r="BS55" s="1"/>
      <c r="BT55" s="17"/>
      <c r="BU55" s="16">
        <v>77.08</v>
      </c>
      <c r="BV55" s="1">
        <v>78.67</v>
      </c>
      <c r="BW55" s="1">
        <v>73.459999999999994</v>
      </c>
      <c r="BX55" s="1"/>
      <c r="BY55" s="1"/>
      <c r="BZ55" s="1"/>
      <c r="CA55" s="1"/>
      <c r="CB55" s="17"/>
      <c r="CC55" s="16">
        <v>60.83</v>
      </c>
      <c r="CD55" s="1">
        <v>62.91</v>
      </c>
      <c r="CE55" s="17"/>
      <c r="CF55" s="16"/>
      <c r="CG55" s="1"/>
      <c r="CH55" s="17"/>
      <c r="CI55" s="16"/>
      <c r="CJ55" s="17"/>
      <c r="CK55" s="16"/>
      <c r="CL55" s="17"/>
      <c r="CM55" s="16"/>
      <c r="CN55" s="1"/>
      <c r="CO55" s="1"/>
      <c r="CP55" s="1"/>
      <c r="CQ55" s="1"/>
      <c r="CR55" s="17"/>
      <c r="CS55" s="16"/>
      <c r="CT55" s="1"/>
      <c r="CU55" s="1"/>
      <c r="CV55" s="17"/>
      <c r="CW55" s="16"/>
      <c r="CX55" s="1"/>
      <c r="CY55" s="1"/>
      <c r="CZ55" s="17"/>
      <c r="DA55" s="18"/>
      <c r="DB55" s="6">
        <v>68</v>
      </c>
    </row>
    <row r="56" spans="1:106" ht="17" thickBot="1">
      <c r="A56" s="55" t="s">
        <v>327</v>
      </c>
      <c r="B56" s="38" t="s">
        <v>186</v>
      </c>
      <c r="C56" s="22" t="s">
        <v>102</v>
      </c>
      <c r="D56" s="37"/>
      <c r="E56" s="39">
        <v>1100</v>
      </c>
      <c r="F56" s="39">
        <v>3423</v>
      </c>
      <c r="G56" s="22">
        <v>1484</v>
      </c>
      <c r="H56" s="38">
        <v>1.1787132644956315</v>
      </c>
      <c r="I56" s="39">
        <v>5</v>
      </c>
      <c r="J56" s="22">
        <v>0</v>
      </c>
      <c r="K56" s="37">
        <v>0</v>
      </c>
      <c r="L56" s="37">
        <v>1</v>
      </c>
      <c r="M56" s="37">
        <v>0</v>
      </c>
      <c r="N56" s="38">
        <v>1</v>
      </c>
      <c r="O56" s="22">
        <v>101</v>
      </c>
      <c r="P56" s="22">
        <v>1</v>
      </c>
      <c r="Q56" s="37">
        <v>0</v>
      </c>
      <c r="R56" s="37">
        <v>0</v>
      </c>
      <c r="S56" s="38">
        <v>1</v>
      </c>
      <c r="T56" s="22">
        <v>1100</v>
      </c>
      <c r="U56" s="22">
        <v>0</v>
      </c>
      <c r="V56" s="37">
        <v>2</v>
      </c>
      <c r="W56" s="37">
        <v>1</v>
      </c>
      <c r="X56" s="37">
        <v>0</v>
      </c>
      <c r="Y56" s="38">
        <v>0</v>
      </c>
      <c r="Z56" s="39">
        <v>2100</v>
      </c>
      <c r="AA56" s="39">
        <v>3</v>
      </c>
      <c r="AB56" s="39">
        <v>1</v>
      </c>
      <c r="AC56" s="22">
        <v>1</v>
      </c>
      <c r="AD56" s="38">
        <v>2</v>
      </c>
      <c r="AE56" s="22">
        <v>0</v>
      </c>
      <c r="AF56" s="37">
        <v>1</v>
      </c>
      <c r="AG56" s="37">
        <v>0</v>
      </c>
      <c r="AH56" s="39">
        <v>10</v>
      </c>
      <c r="AI56" s="22">
        <v>119</v>
      </c>
      <c r="AJ56" s="38">
        <v>919</v>
      </c>
      <c r="AK56" s="22"/>
      <c r="AL56" s="38">
        <v>1</v>
      </c>
      <c r="AM56" s="22">
        <v>1</v>
      </c>
      <c r="AN56" s="37">
        <v>5</v>
      </c>
      <c r="AO56" s="37">
        <v>9</v>
      </c>
      <c r="AP56" s="37">
        <v>0</v>
      </c>
      <c r="AQ56" s="37">
        <v>0</v>
      </c>
      <c r="AR56" s="37">
        <v>10</v>
      </c>
      <c r="AS56" s="37">
        <v>33</v>
      </c>
      <c r="AT56" s="37">
        <v>0</v>
      </c>
      <c r="AU56" s="37">
        <v>0</v>
      </c>
      <c r="AV56" s="37">
        <v>19</v>
      </c>
      <c r="AW56" s="37">
        <v>78</v>
      </c>
      <c r="AX56" s="38"/>
      <c r="AY56" s="22">
        <v>0</v>
      </c>
      <c r="AZ56" s="37">
        <v>0</v>
      </c>
      <c r="BA56" s="37">
        <v>0</v>
      </c>
      <c r="BB56" s="38">
        <v>0</v>
      </c>
      <c r="BC56" s="22">
        <v>0</v>
      </c>
      <c r="BD56" s="38">
        <v>0</v>
      </c>
      <c r="BE56" s="39">
        <v>150</v>
      </c>
      <c r="BF56" s="22">
        <v>0</v>
      </c>
      <c r="BG56" s="37">
        <v>0</v>
      </c>
      <c r="BH56" s="37">
        <v>0</v>
      </c>
      <c r="BI56" s="37">
        <v>0</v>
      </c>
      <c r="BJ56" s="22">
        <v>0</v>
      </c>
      <c r="BK56" s="37">
        <v>1</v>
      </c>
      <c r="BL56" s="22"/>
      <c r="BM56" s="37"/>
      <c r="BN56" s="37"/>
      <c r="BO56" s="37"/>
      <c r="BP56" s="37"/>
      <c r="BQ56" s="37"/>
      <c r="BR56" s="37"/>
      <c r="BS56" s="37"/>
      <c r="BT56" s="38"/>
      <c r="BU56" s="22"/>
      <c r="BV56" s="37"/>
      <c r="BW56" s="37"/>
      <c r="BX56" s="37"/>
      <c r="BY56" s="37"/>
      <c r="BZ56" s="37"/>
      <c r="CA56" s="37"/>
      <c r="CB56" s="38"/>
      <c r="CC56" s="22"/>
      <c r="CD56" s="37"/>
      <c r="CE56" s="38"/>
      <c r="CF56" s="22"/>
      <c r="CG56" s="37"/>
      <c r="CH56" s="38"/>
      <c r="CI56" s="22"/>
      <c r="CJ56" s="38"/>
      <c r="CK56" s="22"/>
      <c r="CL56" s="38"/>
      <c r="CM56" s="22"/>
      <c r="CN56" s="37"/>
      <c r="CO56" s="37"/>
      <c r="CP56" s="37"/>
      <c r="CQ56" s="37"/>
      <c r="CR56" s="38"/>
      <c r="CS56" s="22"/>
      <c r="CT56" s="37"/>
      <c r="CU56" s="37"/>
      <c r="CV56" s="38"/>
      <c r="CW56" s="22"/>
      <c r="CX56" s="37"/>
      <c r="CY56" s="37"/>
      <c r="CZ56" s="38"/>
      <c r="DA56" s="39"/>
      <c r="DB56" s="6">
        <v>68</v>
      </c>
    </row>
    <row r="57" spans="1:106">
      <c r="A57" s="42" t="s">
        <v>325</v>
      </c>
      <c r="B57" s="162" t="s">
        <v>141</v>
      </c>
      <c r="C57" s="160" t="s">
        <v>119</v>
      </c>
      <c r="D57" s="161"/>
      <c r="E57" s="43">
        <v>1000</v>
      </c>
      <c r="F57" s="43">
        <v>4098</v>
      </c>
      <c r="G57" s="160">
        <v>5872</v>
      </c>
      <c r="H57" s="162">
        <v>9.7845466815523308E-2</v>
      </c>
      <c r="I57" s="43">
        <v>5</v>
      </c>
      <c r="J57" s="160">
        <v>0</v>
      </c>
      <c r="K57" s="161">
        <v>0</v>
      </c>
      <c r="L57" s="161">
        <v>1</v>
      </c>
      <c r="M57" s="161">
        <v>0</v>
      </c>
      <c r="N57" s="162">
        <v>1</v>
      </c>
      <c r="O57" s="160">
        <v>101</v>
      </c>
      <c r="P57" s="160">
        <v>1</v>
      </c>
      <c r="Q57" s="161">
        <v>0</v>
      </c>
      <c r="R57" s="161">
        <v>0</v>
      </c>
      <c r="S57" s="162">
        <v>0</v>
      </c>
      <c r="T57" s="160">
        <v>1000</v>
      </c>
      <c r="U57" s="160">
        <v>0</v>
      </c>
      <c r="V57" s="161">
        <v>4</v>
      </c>
      <c r="W57" s="161">
        <v>1</v>
      </c>
      <c r="X57" s="161">
        <v>1</v>
      </c>
      <c r="Y57" s="162">
        <v>0</v>
      </c>
      <c r="Z57" s="43">
        <v>4110</v>
      </c>
      <c r="AA57" s="43">
        <v>6</v>
      </c>
      <c r="AB57" s="43">
        <v>2</v>
      </c>
      <c r="AC57" s="160">
        <v>1</v>
      </c>
      <c r="AD57" s="162">
        <v>1</v>
      </c>
      <c r="AE57" s="160">
        <v>1</v>
      </c>
      <c r="AF57" s="161">
        <v>1</v>
      </c>
      <c r="AG57" s="161">
        <v>1</v>
      </c>
      <c r="AH57" s="43">
        <v>111</v>
      </c>
      <c r="AI57" s="160">
        <v>1956</v>
      </c>
      <c r="AJ57" s="162">
        <v>3086</v>
      </c>
      <c r="AK57" s="160"/>
      <c r="AL57" s="162">
        <v>1</v>
      </c>
      <c r="AM57" s="160">
        <v>5</v>
      </c>
      <c r="AN57" s="161">
        <v>5</v>
      </c>
      <c r="AO57" s="161">
        <v>28</v>
      </c>
      <c r="AP57" s="161">
        <v>0</v>
      </c>
      <c r="AQ57" s="161">
        <v>0</v>
      </c>
      <c r="AR57" s="161">
        <v>14</v>
      </c>
      <c r="AS57" s="161">
        <v>321</v>
      </c>
      <c r="AT57" s="161">
        <v>16</v>
      </c>
      <c r="AU57" s="161">
        <v>187</v>
      </c>
      <c r="AV57" s="161">
        <v>0</v>
      </c>
      <c r="AW57" s="161">
        <v>0</v>
      </c>
      <c r="AX57" s="162"/>
      <c r="AY57" s="160">
        <v>0</v>
      </c>
      <c r="AZ57" s="161">
        <v>0</v>
      </c>
      <c r="BA57" s="161">
        <v>0</v>
      </c>
      <c r="BB57" s="162">
        <v>0</v>
      </c>
      <c r="BC57" s="160">
        <v>0</v>
      </c>
      <c r="BD57" s="162">
        <v>0</v>
      </c>
      <c r="BE57" s="43">
        <v>135</v>
      </c>
      <c r="BF57" s="160">
        <v>0</v>
      </c>
      <c r="BG57" s="161">
        <v>1</v>
      </c>
      <c r="BH57" s="161">
        <v>0</v>
      </c>
      <c r="BI57" s="161">
        <v>0</v>
      </c>
      <c r="BJ57" s="160">
        <v>0</v>
      </c>
      <c r="BK57" s="161">
        <v>1</v>
      </c>
      <c r="BL57" s="160"/>
      <c r="BM57" s="161"/>
      <c r="BN57" s="161"/>
      <c r="BO57" s="161"/>
      <c r="BP57" s="161"/>
      <c r="BQ57" s="161"/>
      <c r="BR57" s="161"/>
      <c r="BS57" s="161"/>
      <c r="BT57" s="162"/>
      <c r="BU57" s="160"/>
      <c r="BV57" s="161"/>
      <c r="BW57" s="161"/>
      <c r="BX57" s="161"/>
      <c r="BY57" s="161"/>
      <c r="BZ57" s="161"/>
      <c r="CA57" s="161"/>
      <c r="CB57" s="162"/>
      <c r="CC57" s="160"/>
      <c r="CD57" s="161"/>
      <c r="CE57" s="162"/>
      <c r="CF57" s="160"/>
      <c r="CG57" s="161"/>
      <c r="CH57" s="162"/>
      <c r="CI57" s="160"/>
      <c r="CJ57" s="162"/>
      <c r="CK57" s="160"/>
      <c r="CL57" s="162"/>
      <c r="CM57" s="160"/>
      <c r="CN57" s="161"/>
      <c r="CO57" s="161"/>
      <c r="CP57" s="161"/>
      <c r="CQ57" s="161"/>
      <c r="CR57" s="162"/>
      <c r="CS57" s="160"/>
      <c r="CT57" s="161"/>
      <c r="CU57" s="161"/>
      <c r="CV57" s="162"/>
      <c r="CW57" s="160"/>
      <c r="CX57" s="161"/>
      <c r="CY57" s="161"/>
      <c r="CZ57" s="162"/>
      <c r="DA57" s="43"/>
      <c r="DB57" s="6"/>
    </row>
    <row r="58" spans="1:106" ht="17" thickBot="1">
      <c r="A58" s="42" t="s">
        <v>325</v>
      </c>
      <c r="B58" s="38" t="s">
        <v>139</v>
      </c>
      <c r="C58" s="22" t="s">
        <v>69</v>
      </c>
      <c r="D58" s="37"/>
      <c r="E58" s="39">
        <v>100</v>
      </c>
      <c r="F58" s="39"/>
      <c r="G58" s="22">
        <v>1641</v>
      </c>
      <c r="H58" s="38">
        <v>1.7147335423197492</v>
      </c>
      <c r="I58" s="39">
        <v>2</v>
      </c>
      <c r="J58" s="22">
        <v>1</v>
      </c>
      <c r="K58" s="37">
        <v>0</v>
      </c>
      <c r="L58" s="37">
        <v>0</v>
      </c>
      <c r="M58" s="37">
        <v>0</v>
      </c>
      <c r="N58" s="38">
        <v>0</v>
      </c>
      <c r="O58" s="22">
        <v>10000</v>
      </c>
      <c r="P58" s="22">
        <v>0</v>
      </c>
      <c r="Q58" s="37">
        <v>0</v>
      </c>
      <c r="R58" s="37">
        <v>0</v>
      </c>
      <c r="S58" s="38">
        <v>1</v>
      </c>
      <c r="T58" s="22">
        <v>100</v>
      </c>
      <c r="U58" s="22">
        <v>0</v>
      </c>
      <c r="V58" s="37">
        <v>1</v>
      </c>
      <c r="W58" s="37">
        <v>0</v>
      </c>
      <c r="X58" s="37">
        <v>0</v>
      </c>
      <c r="Y58" s="38">
        <v>0</v>
      </c>
      <c r="Z58" s="39">
        <v>1000</v>
      </c>
      <c r="AA58" s="39">
        <v>1</v>
      </c>
      <c r="AB58" s="39">
        <v>2</v>
      </c>
      <c r="AC58" s="22">
        <v>1</v>
      </c>
      <c r="AD58" s="38">
        <v>4</v>
      </c>
      <c r="AE58" s="22">
        <v>0</v>
      </c>
      <c r="AF58" s="37">
        <v>0</v>
      </c>
      <c r="AG58" s="37">
        <v>1</v>
      </c>
      <c r="AH58" s="39">
        <v>1</v>
      </c>
      <c r="AI58" s="22">
        <v>1133</v>
      </c>
      <c r="AJ58" s="38">
        <v>1689</v>
      </c>
      <c r="AK58" s="22"/>
      <c r="AL58" s="38">
        <v>1</v>
      </c>
      <c r="AM58" s="22">
        <v>5</v>
      </c>
      <c r="AN58" s="37">
        <v>0</v>
      </c>
      <c r="AO58" s="37">
        <v>0</v>
      </c>
      <c r="AP58" s="37">
        <v>0</v>
      </c>
      <c r="AQ58" s="37">
        <v>0</v>
      </c>
      <c r="AR58" s="37">
        <v>7</v>
      </c>
      <c r="AS58" s="37">
        <v>253</v>
      </c>
      <c r="AT58" s="37">
        <v>5</v>
      </c>
      <c r="AU58" s="37">
        <v>306</v>
      </c>
      <c r="AV58" s="37">
        <v>10</v>
      </c>
      <c r="AW58" s="37">
        <v>40</v>
      </c>
      <c r="AX58" s="38">
        <v>1</v>
      </c>
      <c r="AY58" s="22">
        <v>0</v>
      </c>
      <c r="AZ58" s="37">
        <v>0</v>
      </c>
      <c r="BA58" s="37">
        <v>0</v>
      </c>
      <c r="BB58" s="38">
        <v>0</v>
      </c>
      <c r="BC58" s="22">
        <v>0</v>
      </c>
      <c r="BD58" s="38">
        <v>0</v>
      </c>
      <c r="BE58" s="39" t="s">
        <v>353</v>
      </c>
      <c r="BF58" s="22">
        <v>0</v>
      </c>
      <c r="BG58" s="37">
        <v>0</v>
      </c>
      <c r="BH58" s="37">
        <v>0</v>
      </c>
      <c r="BI58" s="37">
        <v>0</v>
      </c>
      <c r="BJ58" s="22">
        <v>0</v>
      </c>
      <c r="BK58" s="37">
        <v>1</v>
      </c>
      <c r="BL58" s="22">
        <v>80.12</v>
      </c>
      <c r="BM58" s="37">
        <v>80.27</v>
      </c>
      <c r="BN58" s="37">
        <v>80.2</v>
      </c>
      <c r="BO58" s="37">
        <v>80.31</v>
      </c>
      <c r="BP58" s="37"/>
      <c r="BQ58" s="37"/>
      <c r="BR58" s="37"/>
      <c r="BS58" s="37"/>
      <c r="BT58" s="38"/>
      <c r="BU58" s="22"/>
      <c r="BV58" s="37"/>
      <c r="BW58" s="37"/>
      <c r="BX58" s="37"/>
      <c r="BY58" s="37"/>
      <c r="BZ58" s="37"/>
      <c r="CA58" s="37"/>
      <c r="CB58" s="38"/>
      <c r="CC58" s="22"/>
      <c r="CD58" s="37"/>
      <c r="CE58" s="38"/>
      <c r="CF58" s="22">
        <v>65.239999999999995</v>
      </c>
      <c r="CG58" s="37"/>
      <c r="CH58" s="38"/>
      <c r="CI58" s="22"/>
      <c r="CJ58" s="38"/>
      <c r="CK58" s="22"/>
      <c r="CL58" s="38"/>
      <c r="CM58" s="22"/>
      <c r="CN58" s="37"/>
      <c r="CO58" s="37"/>
      <c r="CP58" s="37"/>
      <c r="CQ58" s="37"/>
      <c r="CR58" s="38"/>
      <c r="CS58" s="22"/>
      <c r="CT58" s="37"/>
      <c r="CU58" s="37"/>
      <c r="CV58" s="38"/>
      <c r="CW58" s="22">
        <v>76.66</v>
      </c>
      <c r="CX58" s="37"/>
      <c r="CY58" s="37"/>
      <c r="CZ58" s="38"/>
      <c r="DA58" s="39"/>
      <c r="DB58" s="6"/>
    </row>
    <row r="59" spans="1:106">
      <c r="A59" s="87" t="s">
        <v>325</v>
      </c>
      <c r="B59" s="17" t="s">
        <v>146</v>
      </c>
      <c r="C59" s="16" t="s">
        <v>67</v>
      </c>
      <c r="D59" s="1" t="s">
        <v>0</v>
      </c>
      <c r="E59" s="18">
        <v>1000</v>
      </c>
      <c r="F59" s="18"/>
      <c r="G59" s="16">
        <v>1901</v>
      </c>
      <c r="H59" s="17">
        <v>2.0890109890109891</v>
      </c>
      <c r="I59" s="18">
        <v>2</v>
      </c>
      <c r="J59" s="16">
        <v>0</v>
      </c>
      <c r="K59" s="1">
        <v>0</v>
      </c>
      <c r="L59" s="1">
        <v>0</v>
      </c>
      <c r="M59" s="1">
        <v>1</v>
      </c>
      <c r="N59" s="17">
        <v>0</v>
      </c>
      <c r="O59" s="16">
        <v>10</v>
      </c>
      <c r="P59" s="16">
        <v>1</v>
      </c>
      <c r="Q59" s="1">
        <v>0</v>
      </c>
      <c r="R59" s="1">
        <v>0</v>
      </c>
      <c r="S59" s="17">
        <v>0</v>
      </c>
      <c r="T59" s="16">
        <v>1000</v>
      </c>
      <c r="U59" s="16">
        <v>0</v>
      </c>
      <c r="V59" s="1">
        <v>1</v>
      </c>
      <c r="W59" s="1">
        <v>0</v>
      </c>
      <c r="X59" s="1">
        <v>1</v>
      </c>
      <c r="Y59" s="17">
        <v>0</v>
      </c>
      <c r="Z59" s="18">
        <v>1010</v>
      </c>
      <c r="AA59" s="18">
        <v>2</v>
      </c>
      <c r="AB59" s="18">
        <v>3</v>
      </c>
      <c r="AC59" s="16">
        <v>2</v>
      </c>
      <c r="AD59" s="17">
        <v>2</v>
      </c>
      <c r="AE59" s="16">
        <v>0</v>
      </c>
      <c r="AF59" s="1">
        <v>1</v>
      </c>
      <c r="AG59" s="1">
        <v>0</v>
      </c>
      <c r="AH59" s="18">
        <v>10</v>
      </c>
      <c r="AI59" s="16">
        <v>1100</v>
      </c>
      <c r="AJ59" s="17">
        <v>1175</v>
      </c>
      <c r="AK59" s="16"/>
      <c r="AL59" s="17">
        <v>1</v>
      </c>
      <c r="AM59" s="16">
        <v>2</v>
      </c>
      <c r="AN59" s="1">
        <v>9</v>
      </c>
      <c r="AO59" s="1">
        <v>16</v>
      </c>
      <c r="AP59" s="1">
        <v>0</v>
      </c>
      <c r="AQ59" s="1">
        <v>0</v>
      </c>
      <c r="AR59" s="1">
        <v>10</v>
      </c>
      <c r="AS59" s="1">
        <v>45</v>
      </c>
      <c r="AT59" s="1">
        <v>29</v>
      </c>
      <c r="AU59" s="1">
        <v>83</v>
      </c>
      <c r="AV59" s="1">
        <v>0</v>
      </c>
      <c r="AW59" s="1">
        <v>0</v>
      </c>
      <c r="AX59" s="17"/>
      <c r="AY59" s="16">
        <v>0</v>
      </c>
      <c r="AZ59" s="1">
        <v>0</v>
      </c>
      <c r="BA59" s="1">
        <v>0</v>
      </c>
      <c r="BB59" s="17">
        <v>0</v>
      </c>
      <c r="BC59" s="16">
        <v>0</v>
      </c>
      <c r="BD59" s="17">
        <v>0</v>
      </c>
      <c r="BE59" s="18">
        <v>207</v>
      </c>
      <c r="BF59" s="16">
        <v>0</v>
      </c>
      <c r="BG59" s="1">
        <v>1</v>
      </c>
      <c r="BH59" s="1">
        <v>0</v>
      </c>
      <c r="BI59" s="1">
        <v>0</v>
      </c>
      <c r="BJ59" s="16">
        <v>0</v>
      </c>
      <c r="BK59" s="1">
        <v>1</v>
      </c>
      <c r="BL59" s="16"/>
      <c r="BM59" s="1"/>
      <c r="BN59" s="1"/>
      <c r="BO59" s="1"/>
      <c r="BP59" s="1"/>
      <c r="BQ59" s="1"/>
      <c r="BR59" s="1"/>
      <c r="BS59" s="1"/>
      <c r="BT59" s="17"/>
      <c r="BU59" s="16">
        <v>80.05</v>
      </c>
      <c r="BV59" s="1"/>
      <c r="BW59" s="1"/>
      <c r="BX59" s="1"/>
      <c r="BY59" s="1"/>
      <c r="BZ59" s="1"/>
      <c r="CA59" s="1"/>
      <c r="CB59" s="17"/>
      <c r="CC59" s="16"/>
      <c r="CD59" s="1"/>
      <c r="CE59" s="17"/>
      <c r="CF59" s="16"/>
      <c r="CG59" s="1"/>
      <c r="CH59" s="17"/>
      <c r="CI59" s="16"/>
      <c r="CJ59" s="17"/>
      <c r="CK59" s="16"/>
      <c r="CL59" s="17"/>
      <c r="CM59" s="16">
        <v>77.459999999999994</v>
      </c>
      <c r="CN59" s="1">
        <v>78.739999999999995</v>
      </c>
      <c r="CO59" s="1">
        <v>78.319999999999993</v>
      </c>
      <c r="CP59" s="1"/>
      <c r="CQ59" s="1"/>
      <c r="CR59" s="17"/>
      <c r="CS59" s="16"/>
      <c r="CT59" s="1"/>
      <c r="CU59" s="1"/>
      <c r="CV59" s="17"/>
      <c r="CW59" s="16"/>
      <c r="CX59" s="1"/>
      <c r="CY59" s="1"/>
      <c r="CZ59" s="17"/>
      <c r="DA59" s="18"/>
      <c r="DB59" s="6"/>
    </row>
    <row r="60" spans="1:106">
      <c r="A60" s="42" t="s">
        <v>325</v>
      </c>
      <c r="B60" s="17" t="s">
        <v>146</v>
      </c>
      <c r="C60" s="16" t="s">
        <v>102</v>
      </c>
      <c r="D60" s="1"/>
      <c r="E60" s="18">
        <v>1000</v>
      </c>
      <c r="F60" s="18"/>
      <c r="G60" s="16">
        <v>1822</v>
      </c>
      <c r="H60" s="17">
        <v>2.4822888283378748</v>
      </c>
      <c r="I60" s="18">
        <v>2</v>
      </c>
      <c r="J60" s="16">
        <v>0</v>
      </c>
      <c r="K60" s="1">
        <v>0</v>
      </c>
      <c r="L60" s="1">
        <v>0</v>
      </c>
      <c r="M60" s="1">
        <v>1</v>
      </c>
      <c r="N60" s="17">
        <v>0</v>
      </c>
      <c r="O60" s="16">
        <v>10</v>
      </c>
      <c r="P60" s="16">
        <v>1</v>
      </c>
      <c r="Q60" s="1">
        <v>0</v>
      </c>
      <c r="R60" s="1">
        <v>0</v>
      </c>
      <c r="S60" s="17">
        <v>0</v>
      </c>
      <c r="T60" s="16">
        <v>1000</v>
      </c>
      <c r="U60" s="16">
        <v>0</v>
      </c>
      <c r="V60" s="1">
        <v>0</v>
      </c>
      <c r="W60" s="1">
        <v>1</v>
      </c>
      <c r="X60" s="1">
        <v>1</v>
      </c>
      <c r="Y60" s="17">
        <v>0</v>
      </c>
      <c r="Z60" s="18">
        <v>110</v>
      </c>
      <c r="AA60" s="18">
        <v>2</v>
      </c>
      <c r="AB60" s="18">
        <v>3</v>
      </c>
      <c r="AC60" s="16">
        <v>2</v>
      </c>
      <c r="AD60" s="17">
        <v>2</v>
      </c>
      <c r="AE60" s="16">
        <v>1</v>
      </c>
      <c r="AF60" s="1">
        <v>1</v>
      </c>
      <c r="AG60" s="1">
        <v>0</v>
      </c>
      <c r="AH60" s="18">
        <v>110</v>
      </c>
      <c r="AI60" s="16">
        <v>975</v>
      </c>
      <c r="AJ60" s="17">
        <v>979</v>
      </c>
      <c r="AK60" s="16"/>
      <c r="AL60" s="17">
        <v>1</v>
      </c>
      <c r="AM60" s="16">
        <v>2</v>
      </c>
      <c r="AN60" s="1">
        <v>3</v>
      </c>
      <c r="AO60" s="1">
        <v>9</v>
      </c>
      <c r="AP60" s="1">
        <v>0</v>
      </c>
      <c r="AQ60" s="1">
        <v>0</v>
      </c>
      <c r="AR60" s="1">
        <v>7</v>
      </c>
      <c r="AS60" s="1">
        <v>8</v>
      </c>
      <c r="AT60" s="1">
        <v>12</v>
      </c>
      <c r="AU60" s="1">
        <v>101</v>
      </c>
      <c r="AV60" s="1">
        <v>0</v>
      </c>
      <c r="AW60" s="1">
        <v>0</v>
      </c>
      <c r="AX60" s="17"/>
      <c r="AY60" s="16">
        <v>0</v>
      </c>
      <c r="AZ60" s="1">
        <v>0</v>
      </c>
      <c r="BA60" s="1">
        <v>0</v>
      </c>
      <c r="BB60" s="17">
        <v>0</v>
      </c>
      <c r="BC60" s="16">
        <v>0</v>
      </c>
      <c r="BD60" s="17">
        <v>0</v>
      </c>
      <c r="BE60" s="18">
        <v>167</v>
      </c>
      <c r="BF60" s="16">
        <v>0</v>
      </c>
      <c r="BG60" s="1">
        <v>1</v>
      </c>
      <c r="BH60" s="1">
        <v>0</v>
      </c>
      <c r="BI60" s="1">
        <v>0</v>
      </c>
      <c r="BJ60" s="16">
        <v>0</v>
      </c>
      <c r="BK60" s="1">
        <v>1</v>
      </c>
      <c r="BL60" s="16">
        <v>79.59</v>
      </c>
      <c r="BM60" s="1"/>
      <c r="BN60" s="1"/>
      <c r="BO60" s="1"/>
      <c r="BP60" s="1"/>
      <c r="BQ60" s="1"/>
      <c r="BR60" s="1"/>
      <c r="BS60" s="1"/>
      <c r="BT60" s="17"/>
      <c r="BU60" s="16">
        <v>78.040000000000006</v>
      </c>
      <c r="BV60" s="1"/>
      <c r="BW60" s="1"/>
      <c r="BX60" s="1"/>
      <c r="BY60" s="1"/>
      <c r="BZ60" s="1"/>
      <c r="CA60" s="1"/>
      <c r="CB60" s="17"/>
      <c r="CC60" s="16">
        <v>64.88</v>
      </c>
      <c r="CD60" s="1"/>
      <c r="CE60" s="17"/>
      <c r="CF60" s="16"/>
      <c r="CG60" s="1"/>
      <c r="CH60" s="17"/>
      <c r="CI60" s="16"/>
      <c r="CJ60" s="17"/>
      <c r="CK60" s="16"/>
      <c r="CL60" s="17"/>
      <c r="CM60" s="16"/>
      <c r="CN60" s="1"/>
      <c r="CO60" s="1"/>
      <c r="CP60" s="1"/>
      <c r="CQ60" s="1"/>
      <c r="CR60" s="17"/>
      <c r="CS60" s="16"/>
      <c r="CT60" s="1"/>
      <c r="CU60" s="1"/>
      <c r="CV60" s="17"/>
      <c r="CW60" s="16"/>
      <c r="CX60" s="1"/>
      <c r="CY60" s="1"/>
      <c r="CZ60" s="17"/>
      <c r="DA60" s="18"/>
      <c r="DB60" s="6"/>
    </row>
    <row r="61" spans="1:106">
      <c r="A61" s="42" t="s">
        <v>325</v>
      </c>
      <c r="B61" s="17" t="s">
        <v>146</v>
      </c>
      <c r="C61" s="16" t="s">
        <v>105</v>
      </c>
      <c r="D61" s="1"/>
      <c r="E61" s="18">
        <v>1000</v>
      </c>
      <c r="F61" s="18"/>
      <c r="G61" s="16">
        <v>1612</v>
      </c>
      <c r="H61" s="17">
        <v>1.2343032159264931</v>
      </c>
      <c r="I61" s="18">
        <v>3</v>
      </c>
      <c r="J61" s="16">
        <v>0</v>
      </c>
      <c r="K61" s="1">
        <v>1</v>
      </c>
      <c r="L61" s="1">
        <v>0</v>
      </c>
      <c r="M61" s="1">
        <v>1</v>
      </c>
      <c r="N61" s="17">
        <v>0</v>
      </c>
      <c r="O61" s="16">
        <v>1010</v>
      </c>
      <c r="P61" s="16">
        <v>1</v>
      </c>
      <c r="Q61" s="1">
        <v>0</v>
      </c>
      <c r="R61" s="1">
        <v>0</v>
      </c>
      <c r="S61" s="17">
        <v>0</v>
      </c>
      <c r="T61" s="16">
        <v>1000</v>
      </c>
      <c r="U61" s="16">
        <v>0</v>
      </c>
      <c r="V61" s="1">
        <v>0</v>
      </c>
      <c r="W61" s="1">
        <v>1</v>
      </c>
      <c r="X61" s="1">
        <v>1</v>
      </c>
      <c r="Y61" s="17">
        <v>0</v>
      </c>
      <c r="Z61" s="18">
        <v>110</v>
      </c>
      <c r="AA61" s="18">
        <v>2</v>
      </c>
      <c r="AB61" s="18">
        <v>1</v>
      </c>
      <c r="AC61" s="16">
        <v>1</v>
      </c>
      <c r="AD61" s="17">
        <v>3</v>
      </c>
      <c r="AE61" s="16">
        <v>0</v>
      </c>
      <c r="AF61" s="1">
        <v>1</v>
      </c>
      <c r="AG61" s="1">
        <v>0</v>
      </c>
      <c r="AH61" s="18">
        <v>10</v>
      </c>
      <c r="AI61" s="16">
        <v>942</v>
      </c>
      <c r="AJ61" s="17">
        <v>1070</v>
      </c>
      <c r="AK61" s="16"/>
      <c r="AL61" s="17">
        <v>1</v>
      </c>
      <c r="AM61" s="16">
        <v>5</v>
      </c>
      <c r="AN61" s="1">
        <v>0</v>
      </c>
      <c r="AO61" s="1">
        <v>0</v>
      </c>
      <c r="AP61" s="1">
        <v>0</v>
      </c>
      <c r="AQ61" s="1">
        <v>0</v>
      </c>
      <c r="AR61" s="1">
        <v>0</v>
      </c>
      <c r="AS61" s="1">
        <v>12</v>
      </c>
      <c r="AT61" s="1">
        <v>0</v>
      </c>
      <c r="AU61" s="1">
        <v>40</v>
      </c>
      <c r="AV61" s="1">
        <v>22</v>
      </c>
      <c r="AW61" s="1">
        <v>268</v>
      </c>
      <c r="AX61" s="17"/>
      <c r="AY61" s="16">
        <v>0</v>
      </c>
      <c r="AZ61" s="1">
        <v>0</v>
      </c>
      <c r="BA61" s="1">
        <v>0</v>
      </c>
      <c r="BB61" s="17">
        <v>0</v>
      </c>
      <c r="BC61" s="16">
        <v>0</v>
      </c>
      <c r="BD61" s="17">
        <v>0</v>
      </c>
      <c r="BE61" s="18">
        <v>117</v>
      </c>
      <c r="BF61" s="16">
        <v>0</v>
      </c>
      <c r="BG61" s="1">
        <v>0</v>
      </c>
      <c r="BH61" s="1">
        <v>0</v>
      </c>
      <c r="BI61" s="1">
        <v>0</v>
      </c>
      <c r="BJ61" s="16">
        <v>0</v>
      </c>
      <c r="BK61" s="1">
        <v>1</v>
      </c>
      <c r="BL61" s="16"/>
      <c r="BM61" s="1"/>
      <c r="BN61" s="1"/>
      <c r="BO61" s="1"/>
      <c r="BP61" s="1"/>
      <c r="BQ61" s="1"/>
      <c r="BR61" s="1"/>
      <c r="BS61" s="1"/>
      <c r="BT61" s="17"/>
      <c r="BU61" s="16"/>
      <c r="BV61" s="1"/>
      <c r="BW61" s="1"/>
      <c r="BX61" s="1"/>
      <c r="BY61" s="1"/>
      <c r="BZ61" s="1"/>
      <c r="CA61" s="1"/>
      <c r="CB61" s="17"/>
      <c r="CC61" s="16">
        <v>65.790000000000006</v>
      </c>
      <c r="CD61" s="1"/>
      <c r="CE61" s="17"/>
      <c r="CF61" s="16"/>
      <c r="CG61" s="1"/>
      <c r="CH61" s="17"/>
      <c r="CI61" s="16"/>
      <c r="CJ61" s="17"/>
      <c r="CK61" s="16"/>
      <c r="CL61" s="17"/>
      <c r="CM61" s="16">
        <v>79.94</v>
      </c>
      <c r="CN61" s="1">
        <v>79.8</v>
      </c>
      <c r="CO61" s="1">
        <v>79.430000000000007</v>
      </c>
      <c r="CP61" s="1"/>
      <c r="CQ61" s="1"/>
      <c r="CR61" s="17"/>
      <c r="CS61" s="16"/>
      <c r="CT61" s="1"/>
      <c r="CU61" s="1"/>
      <c r="CV61" s="17"/>
      <c r="CW61" s="16"/>
      <c r="CX61" s="1"/>
      <c r="CY61" s="1"/>
      <c r="CZ61" s="17"/>
      <c r="DA61" s="18"/>
      <c r="DB61" s="6"/>
    </row>
    <row r="62" spans="1:106">
      <c r="A62" s="42" t="s">
        <v>325</v>
      </c>
      <c r="B62" s="17" t="s">
        <v>146</v>
      </c>
      <c r="C62" s="16" t="s">
        <v>151</v>
      </c>
      <c r="D62" s="1" t="s">
        <v>0</v>
      </c>
      <c r="E62" s="18">
        <v>1100</v>
      </c>
      <c r="F62" s="18"/>
      <c r="G62" s="16">
        <v>1743</v>
      </c>
      <c r="H62" s="17">
        <v>1.5759493670886076</v>
      </c>
      <c r="I62" s="18">
        <v>2</v>
      </c>
      <c r="J62" s="16">
        <v>0</v>
      </c>
      <c r="K62" s="1">
        <v>1</v>
      </c>
      <c r="L62" s="1">
        <v>0</v>
      </c>
      <c r="M62" s="1">
        <v>1</v>
      </c>
      <c r="N62" s="17">
        <v>0</v>
      </c>
      <c r="O62" s="16">
        <v>1010</v>
      </c>
      <c r="P62" s="16">
        <v>1</v>
      </c>
      <c r="Q62" s="1">
        <v>0</v>
      </c>
      <c r="R62" s="1">
        <v>0</v>
      </c>
      <c r="S62" s="17">
        <v>1</v>
      </c>
      <c r="T62" s="16">
        <v>1100</v>
      </c>
      <c r="U62" s="16">
        <v>0</v>
      </c>
      <c r="V62" s="1">
        <v>0</v>
      </c>
      <c r="W62" s="1">
        <v>1</v>
      </c>
      <c r="X62" s="1">
        <v>0</v>
      </c>
      <c r="Y62" s="17">
        <v>0</v>
      </c>
      <c r="Z62" s="18">
        <v>100</v>
      </c>
      <c r="AA62" s="18">
        <v>1</v>
      </c>
      <c r="AB62" s="18">
        <v>1</v>
      </c>
      <c r="AC62" s="16">
        <v>1</v>
      </c>
      <c r="AD62" s="17">
        <v>3</v>
      </c>
      <c r="AE62" s="16">
        <v>0</v>
      </c>
      <c r="AF62" s="1">
        <v>1</v>
      </c>
      <c r="AG62" s="1">
        <v>0</v>
      </c>
      <c r="AH62" s="18">
        <v>10</v>
      </c>
      <c r="AI62" s="16">
        <v>1169</v>
      </c>
      <c r="AJ62" s="17">
        <v>1327</v>
      </c>
      <c r="AK62" s="16">
        <v>8</v>
      </c>
      <c r="AL62" s="17">
        <v>1</v>
      </c>
      <c r="AM62" s="16">
        <v>1</v>
      </c>
      <c r="AN62" s="1">
        <v>0</v>
      </c>
      <c r="AO62" s="1">
        <v>0</v>
      </c>
      <c r="AP62" s="1">
        <v>0</v>
      </c>
      <c r="AQ62" s="1">
        <v>0</v>
      </c>
      <c r="AR62" s="1">
        <v>7</v>
      </c>
      <c r="AS62" s="1">
        <v>14</v>
      </c>
      <c r="AT62" s="1">
        <v>0</v>
      </c>
      <c r="AU62" s="1">
        <v>0</v>
      </c>
      <c r="AV62" s="1">
        <v>12</v>
      </c>
      <c r="AW62" s="1">
        <v>57</v>
      </c>
      <c r="AX62" s="17">
        <v>0</v>
      </c>
      <c r="AY62" s="16">
        <v>0</v>
      </c>
      <c r="AZ62" s="1">
        <v>0</v>
      </c>
      <c r="BA62" s="1">
        <v>0</v>
      </c>
      <c r="BB62" s="17">
        <v>0</v>
      </c>
      <c r="BC62" s="16">
        <v>0</v>
      </c>
      <c r="BD62" s="17">
        <v>0</v>
      </c>
      <c r="BE62" s="18">
        <v>132</v>
      </c>
      <c r="BF62" s="16">
        <v>1</v>
      </c>
      <c r="BG62" s="1">
        <v>0</v>
      </c>
      <c r="BH62" s="1">
        <v>0</v>
      </c>
      <c r="BI62" s="1">
        <v>0</v>
      </c>
      <c r="BJ62" s="16">
        <v>0</v>
      </c>
      <c r="BK62" s="1">
        <v>1</v>
      </c>
      <c r="BL62" s="16">
        <v>79.58</v>
      </c>
      <c r="BM62" s="1"/>
      <c r="BN62" s="1"/>
      <c r="BO62" s="1"/>
      <c r="BP62" s="1"/>
      <c r="BQ62" s="1"/>
      <c r="BR62" s="1"/>
      <c r="BS62" s="1"/>
      <c r="BT62" s="17"/>
      <c r="BU62" s="16"/>
      <c r="BV62" s="1"/>
      <c r="BW62" s="1"/>
      <c r="BX62" s="1"/>
      <c r="BY62" s="1"/>
      <c r="BZ62" s="1"/>
      <c r="CA62" s="1"/>
      <c r="CB62" s="17"/>
      <c r="CC62" s="16">
        <v>64.92</v>
      </c>
      <c r="CD62" s="1">
        <v>65.38</v>
      </c>
      <c r="CE62" s="17"/>
      <c r="CF62" s="16">
        <v>55.5</v>
      </c>
      <c r="CG62" s="1"/>
      <c r="CH62" s="17"/>
      <c r="CI62" s="16"/>
      <c r="CJ62" s="17"/>
      <c r="CK62" s="16"/>
      <c r="CL62" s="17"/>
      <c r="CM62" s="16"/>
      <c r="CN62" s="1"/>
      <c r="CO62" s="1"/>
      <c r="CP62" s="1"/>
      <c r="CQ62" s="1"/>
      <c r="CR62" s="17"/>
      <c r="CS62" s="16"/>
      <c r="CT62" s="1"/>
      <c r="CU62" s="1"/>
      <c r="CV62" s="17"/>
      <c r="CW62" s="16"/>
      <c r="CX62" s="1"/>
      <c r="CY62" s="1"/>
      <c r="CZ62" s="17"/>
      <c r="DA62" s="18"/>
      <c r="DB62" s="6"/>
    </row>
    <row r="63" spans="1:106">
      <c r="A63" s="42" t="s">
        <v>325</v>
      </c>
      <c r="B63" s="17" t="s">
        <v>146</v>
      </c>
      <c r="C63" s="16" t="s">
        <v>182</v>
      </c>
      <c r="D63" s="1"/>
      <c r="E63" s="18">
        <v>1000</v>
      </c>
      <c r="F63" s="18"/>
      <c r="G63" s="16">
        <v>2022</v>
      </c>
      <c r="H63" s="17">
        <v>1.2978177150192554</v>
      </c>
      <c r="I63" s="18">
        <v>2</v>
      </c>
      <c r="J63" s="16">
        <v>0</v>
      </c>
      <c r="K63" s="1">
        <v>0</v>
      </c>
      <c r="L63" s="1">
        <v>1</v>
      </c>
      <c r="M63" s="1">
        <v>0</v>
      </c>
      <c r="N63" s="17">
        <v>0</v>
      </c>
      <c r="O63" s="16">
        <v>100</v>
      </c>
      <c r="P63" s="16">
        <v>1</v>
      </c>
      <c r="Q63" s="1">
        <v>0</v>
      </c>
      <c r="R63" s="1">
        <v>0</v>
      </c>
      <c r="S63" s="17">
        <v>0</v>
      </c>
      <c r="T63" s="16">
        <v>1000</v>
      </c>
      <c r="U63" s="16">
        <v>0</v>
      </c>
      <c r="V63" s="1">
        <v>1</v>
      </c>
      <c r="W63" s="1">
        <v>1</v>
      </c>
      <c r="X63" s="1">
        <v>1</v>
      </c>
      <c r="Y63" s="17">
        <v>0</v>
      </c>
      <c r="Z63" s="18">
        <v>1110</v>
      </c>
      <c r="AA63" s="18">
        <v>3</v>
      </c>
      <c r="AB63" s="18">
        <v>0</v>
      </c>
      <c r="AC63" s="16">
        <v>0</v>
      </c>
      <c r="AD63" s="17">
        <v>0</v>
      </c>
      <c r="AE63" s="16">
        <v>0</v>
      </c>
      <c r="AF63" s="1">
        <v>1</v>
      </c>
      <c r="AG63" s="1">
        <v>1</v>
      </c>
      <c r="AH63" s="18">
        <v>11</v>
      </c>
      <c r="AI63" s="16">
        <v>1149</v>
      </c>
      <c r="AJ63" s="17">
        <v>1572</v>
      </c>
      <c r="AK63" s="16"/>
      <c r="AL63" s="17">
        <v>1</v>
      </c>
      <c r="AM63" s="16">
        <v>3</v>
      </c>
      <c r="AN63" s="1">
        <v>0</v>
      </c>
      <c r="AO63" s="1">
        <v>126</v>
      </c>
      <c r="AP63" s="1">
        <v>0</v>
      </c>
      <c r="AQ63" s="1">
        <v>0</v>
      </c>
      <c r="AR63" s="1">
        <v>0</v>
      </c>
      <c r="AS63" s="1">
        <v>0</v>
      </c>
      <c r="AT63" s="1">
        <v>13</v>
      </c>
      <c r="AU63" s="1">
        <v>112</v>
      </c>
      <c r="AV63" s="1">
        <v>0</v>
      </c>
      <c r="AW63" s="1">
        <v>179</v>
      </c>
      <c r="AX63" s="17">
        <v>0</v>
      </c>
      <c r="AY63" s="16">
        <v>0</v>
      </c>
      <c r="AZ63" s="1">
        <v>0</v>
      </c>
      <c r="BA63" s="1">
        <v>0</v>
      </c>
      <c r="BB63" s="17">
        <v>0</v>
      </c>
      <c r="BC63" s="16">
        <v>0</v>
      </c>
      <c r="BD63" s="17">
        <v>0</v>
      </c>
      <c r="BE63" s="18">
        <v>195</v>
      </c>
      <c r="BF63" s="16">
        <v>0</v>
      </c>
      <c r="BG63" s="1">
        <v>1</v>
      </c>
      <c r="BH63" s="1">
        <v>0</v>
      </c>
      <c r="BI63" s="1">
        <v>0</v>
      </c>
      <c r="BJ63" s="16">
        <v>0</v>
      </c>
      <c r="BK63" s="1">
        <v>1</v>
      </c>
      <c r="BL63" s="16"/>
      <c r="BM63" s="1"/>
      <c r="BN63" s="1"/>
      <c r="BO63" s="1"/>
      <c r="BP63" s="1"/>
      <c r="BQ63" s="1"/>
      <c r="BR63" s="1"/>
      <c r="BS63" s="1"/>
      <c r="BT63" s="17"/>
      <c r="BU63" s="16"/>
      <c r="BV63" s="1"/>
      <c r="BW63" s="1"/>
      <c r="BX63" s="1"/>
      <c r="BY63" s="1"/>
      <c r="BZ63" s="1"/>
      <c r="CA63" s="1"/>
      <c r="CB63" s="17"/>
      <c r="CC63" s="16"/>
      <c r="CD63" s="1"/>
      <c r="CE63" s="17"/>
      <c r="CF63" s="16"/>
      <c r="CG63" s="1"/>
      <c r="CH63" s="17"/>
      <c r="CI63" s="16"/>
      <c r="CJ63" s="17"/>
      <c r="CK63" s="16"/>
      <c r="CL63" s="17"/>
      <c r="CM63" s="16"/>
      <c r="CN63" s="1"/>
      <c r="CO63" s="1"/>
      <c r="CP63" s="1"/>
      <c r="CQ63" s="1"/>
      <c r="CR63" s="17"/>
      <c r="CS63" s="16"/>
      <c r="CT63" s="1"/>
      <c r="CU63" s="1"/>
      <c r="CV63" s="17"/>
      <c r="CW63" s="16"/>
      <c r="CX63" s="1"/>
      <c r="CY63" s="1"/>
      <c r="CZ63" s="17"/>
      <c r="DA63" s="18"/>
      <c r="DB63" s="6"/>
    </row>
    <row r="64" spans="1:106">
      <c r="A64" s="42" t="s">
        <v>325</v>
      </c>
      <c r="B64" s="17" t="s">
        <v>146</v>
      </c>
      <c r="C64" s="16" t="s">
        <v>92</v>
      </c>
      <c r="D64" s="1"/>
      <c r="E64" s="18">
        <v>100</v>
      </c>
      <c r="F64" s="18"/>
      <c r="G64" s="16">
        <v>1760</v>
      </c>
      <c r="H64" s="17">
        <v>1.1473272490221642</v>
      </c>
      <c r="I64" s="18">
        <v>2</v>
      </c>
      <c r="J64" s="16">
        <v>0</v>
      </c>
      <c r="K64" s="1">
        <v>1</v>
      </c>
      <c r="L64" s="1">
        <v>1</v>
      </c>
      <c r="M64" s="1">
        <v>0</v>
      </c>
      <c r="N64" s="17">
        <v>0</v>
      </c>
      <c r="O64" s="16">
        <v>1100</v>
      </c>
      <c r="P64" s="16">
        <v>0</v>
      </c>
      <c r="Q64" s="1">
        <v>0</v>
      </c>
      <c r="R64" s="1">
        <v>0</v>
      </c>
      <c r="S64" s="17">
        <v>1</v>
      </c>
      <c r="T64" s="16">
        <v>100</v>
      </c>
      <c r="U64" s="16">
        <v>0</v>
      </c>
      <c r="V64" s="1">
        <v>0</v>
      </c>
      <c r="W64" s="1">
        <v>1</v>
      </c>
      <c r="X64" s="1">
        <v>1</v>
      </c>
      <c r="Y64" s="17">
        <v>0</v>
      </c>
      <c r="Z64" s="18">
        <v>110</v>
      </c>
      <c r="AA64" s="18">
        <v>2</v>
      </c>
      <c r="AB64" s="18">
        <v>1</v>
      </c>
      <c r="AC64" s="16">
        <v>2</v>
      </c>
      <c r="AD64" s="17">
        <v>3</v>
      </c>
      <c r="AE64" s="16">
        <v>0</v>
      </c>
      <c r="AF64" s="1">
        <v>0</v>
      </c>
      <c r="AG64" s="1">
        <v>1</v>
      </c>
      <c r="AH64" s="18">
        <v>1</v>
      </c>
      <c r="AI64" s="16">
        <v>1010</v>
      </c>
      <c r="AJ64" s="17">
        <v>1649</v>
      </c>
      <c r="AK64" s="16"/>
      <c r="AL64" s="17">
        <v>1</v>
      </c>
      <c r="AM64" s="16">
        <v>1</v>
      </c>
      <c r="AN64" s="1">
        <v>0</v>
      </c>
      <c r="AO64" s="1">
        <v>0</v>
      </c>
      <c r="AP64" s="1">
        <v>0</v>
      </c>
      <c r="AQ64" s="1">
        <v>0</v>
      </c>
      <c r="AR64" s="1">
        <v>71</v>
      </c>
      <c r="AS64" s="1">
        <v>97</v>
      </c>
      <c r="AT64" s="1">
        <v>0</v>
      </c>
      <c r="AU64" s="1">
        <v>0</v>
      </c>
      <c r="AV64" s="1">
        <v>0</v>
      </c>
      <c r="AW64" s="1">
        <v>0</v>
      </c>
      <c r="AX64" s="17"/>
      <c r="AY64" s="16">
        <v>0</v>
      </c>
      <c r="AZ64" s="1">
        <v>1</v>
      </c>
      <c r="BA64" s="1">
        <v>0</v>
      </c>
      <c r="BB64" s="17">
        <v>0</v>
      </c>
      <c r="BC64" s="16">
        <v>1</v>
      </c>
      <c r="BD64" s="17">
        <v>100</v>
      </c>
      <c r="BE64" s="18">
        <v>151</v>
      </c>
      <c r="BF64" s="16">
        <v>1</v>
      </c>
      <c r="BG64" s="1">
        <v>0</v>
      </c>
      <c r="BH64" s="1">
        <v>0</v>
      </c>
      <c r="BI64" s="1">
        <v>0</v>
      </c>
      <c r="BJ64" s="16">
        <v>0</v>
      </c>
      <c r="BK64" s="1">
        <v>1</v>
      </c>
      <c r="BL64" s="16"/>
      <c r="BM64" s="1"/>
      <c r="BN64" s="1"/>
      <c r="BO64" s="1"/>
      <c r="BP64" s="1"/>
      <c r="BQ64" s="1"/>
      <c r="BR64" s="1"/>
      <c r="BS64" s="1"/>
      <c r="BT64" s="17"/>
      <c r="BU64" s="16"/>
      <c r="BV64" s="1"/>
      <c r="BW64" s="1"/>
      <c r="BX64" s="1"/>
      <c r="BY64" s="1"/>
      <c r="BZ64" s="1"/>
      <c r="CA64" s="1"/>
      <c r="CB64" s="17"/>
      <c r="CC64" s="16"/>
      <c r="CD64" s="1"/>
      <c r="CE64" s="17"/>
      <c r="CF64" s="16"/>
      <c r="CG64" s="1"/>
      <c r="CH64" s="17"/>
      <c r="CI64" s="16"/>
      <c r="CJ64" s="17"/>
      <c r="CK64" s="16"/>
      <c r="CL64" s="17"/>
      <c r="CM64" s="16"/>
      <c r="CN64" s="1"/>
      <c r="CO64" s="1"/>
      <c r="CP64" s="1"/>
      <c r="CQ64" s="1"/>
      <c r="CR64" s="17"/>
      <c r="CS64" s="16"/>
      <c r="CT64" s="1"/>
      <c r="CU64" s="1"/>
      <c r="CV64" s="17"/>
      <c r="CW64" s="16"/>
      <c r="CX64" s="1"/>
      <c r="CY64" s="1"/>
      <c r="CZ64" s="17"/>
      <c r="DA64" s="18"/>
      <c r="DB64" s="6"/>
    </row>
    <row r="65" spans="1:106">
      <c r="A65" s="42" t="s">
        <v>325</v>
      </c>
      <c r="B65" s="17" t="s">
        <v>146</v>
      </c>
      <c r="C65" s="16" t="s">
        <v>100</v>
      </c>
      <c r="D65" s="1"/>
      <c r="E65" s="18">
        <v>100</v>
      </c>
      <c r="F65" s="18"/>
      <c r="G65" s="16">
        <v>2261</v>
      </c>
      <c r="H65" s="17">
        <v>1.1582991803278688</v>
      </c>
      <c r="I65" s="18">
        <v>2</v>
      </c>
      <c r="J65" s="16">
        <v>0</v>
      </c>
      <c r="K65" s="1">
        <v>1</v>
      </c>
      <c r="L65" s="1">
        <v>0</v>
      </c>
      <c r="M65" s="1">
        <v>0</v>
      </c>
      <c r="N65" s="17">
        <v>0</v>
      </c>
      <c r="O65" s="16">
        <v>1000</v>
      </c>
      <c r="P65" s="16">
        <v>0</v>
      </c>
      <c r="Q65" s="1">
        <v>0</v>
      </c>
      <c r="R65" s="1">
        <v>0</v>
      </c>
      <c r="S65" s="17">
        <v>1</v>
      </c>
      <c r="T65" s="16">
        <v>100</v>
      </c>
      <c r="U65" s="16">
        <v>0</v>
      </c>
      <c r="V65" s="1">
        <v>0</v>
      </c>
      <c r="W65" s="1">
        <v>0</v>
      </c>
      <c r="X65" s="1">
        <v>1</v>
      </c>
      <c r="Y65" s="17">
        <v>0</v>
      </c>
      <c r="Z65" s="18">
        <v>10</v>
      </c>
      <c r="AA65" s="18">
        <v>1</v>
      </c>
      <c r="AB65" s="18">
        <v>2</v>
      </c>
      <c r="AC65" s="16">
        <v>1</v>
      </c>
      <c r="AD65" s="17">
        <v>3</v>
      </c>
      <c r="AE65" s="16">
        <v>0</v>
      </c>
      <c r="AF65" s="1">
        <v>1</v>
      </c>
      <c r="AG65" s="1">
        <v>0</v>
      </c>
      <c r="AH65" s="18">
        <v>10</v>
      </c>
      <c r="AI65" s="16">
        <v>1690</v>
      </c>
      <c r="AJ65" s="17">
        <v>1952</v>
      </c>
      <c r="AK65" s="16"/>
      <c r="AL65" s="17">
        <v>1</v>
      </c>
      <c r="AM65" s="16">
        <v>0</v>
      </c>
      <c r="AN65" s="1">
        <v>0</v>
      </c>
      <c r="AO65" s="1">
        <v>0</v>
      </c>
      <c r="AP65" s="1">
        <v>0</v>
      </c>
      <c r="AQ65" s="1">
        <v>0</v>
      </c>
      <c r="AR65" s="1">
        <v>0</v>
      </c>
      <c r="AS65" s="1">
        <v>0</v>
      </c>
      <c r="AT65" s="1">
        <v>0</v>
      </c>
      <c r="AU65" s="1">
        <v>0</v>
      </c>
      <c r="AV65" s="1">
        <v>0</v>
      </c>
      <c r="AW65" s="1">
        <v>0</v>
      </c>
      <c r="AX65" s="17"/>
      <c r="AY65" s="16">
        <v>0</v>
      </c>
      <c r="AZ65" s="1">
        <v>0</v>
      </c>
      <c r="BA65" s="1">
        <v>0</v>
      </c>
      <c r="BB65" s="17">
        <v>0</v>
      </c>
      <c r="BC65" s="16">
        <v>0</v>
      </c>
      <c r="BD65" s="17">
        <v>0</v>
      </c>
      <c r="BE65" s="18">
        <v>145</v>
      </c>
      <c r="BF65" s="16">
        <v>1</v>
      </c>
      <c r="BG65" s="1">
        <v>0</v>
      </c>
      <c r="BH65" s="1">
        <v>0</v>
      </c>
      <c r="BI65" s="1">
        <v>0</v>
      </c>
      <c r="BJ65" s="16">
        <v>0</v>
      </c>
      <c r="BK65" s="1">
        <v>1</v>
      </c>
      <c r="BL65" s="16"/>
      <c r="BM65" s="1"/>
      <c r="BN65" s="1"/>
      <c r="BO65" s="1"/>
      <c r="BP65" s="1"/>
      <c r="BQ65" s="1"/>
      <c r="BR65" s="1"/>
      <c r="BS65" s="1"/>
      <c r="BT65" s="17"/>
      <c r="BU65" s="16"/>
      <c r="BV65" s="1"/>
      <c r="BW65" s="1"/>
      <c r="BX65" s="1"/>
      <c r="BY65" s="1"/>
      <c r="BZ65" s="1"/>
      <c r="CA65" s="1"/>
      <c r="CB65" s="17"/>
      <c r="CC65" s="16"/>
      <c r="CD65" s="1"/>
      <c r="CE65" s="17"/>
      <c r="CF65" s="16"/>
      <c r="CG65" s="1"/>
      <c r="CH65" s="17"/>
      <c r="CI65" s="16"/>
      <c r="CJ65" s="17"/>
      <c r="CK65" s="16"/>
      <c r="CL65" s="17"/>
      <c r="CM65" s="16"/>
      <c r="CN65" s="1"/>
      <c r="CO65" s="1"/>
      <c r="CP65" s="1"/>
      <c r="CQ65" s="1"/>
      <c r="CR65" s="17"/>
      <c r="CS65" s="16"/>
      <c r="CT65" s="1"/>
      <c r="CU65" s="1"/>
      <c r="CV65" s="17"/>
      <c r="CW65" s="16"/>
      <c r="CX65" s="1"/>
      <c r="CY65" s="1"/>
      <c r="CZ65" s="17"/>
      <c r="DA65" s="18"/>
      <c r="DB65" s="6"/>
    </row>
    <row r="66" spans="1:106" ht="17" thickBot="1">
      <c r="A66" s="55" t="s">
        <v>325</v>
      </c>
      <c r="B66" s="17" t="s">
        <v>146</v>
      </c>
      <c r="C66" s="16" t="s">
        <v>226</v>
      </c>
      <c r="D66" s="1"/>
      <c r="E66" s="18">
        <v>1000</v>
      </c>
      <c r="F66" s="18"/>
      <c r="G66" s="16">
        <v>5186</v>
      </c>
      <c r="H66" s="17">
        <v>2.8261580381471392</v>
      </c>
      <c r="I66" s="18">
        <v>3</v>
      </c>
      <c r="J66" s="16">
        <v>0</v>
      </c>
      <c r="K66" s="1">
        <v>0</v>
      </c>
      <c r="L66" s="1">
        <v>1</v>
      </c>
      <c r="M66" s="1">
        <v>1</v>
      </c>
      <c r="N66" s="17">
        <v>0</v>
      </c>
      <c r="O66" s="16">
        <v>110</v>
      </c>
      <c r="P66" s="16">
        <v>1</v>
      </c>
      <c r="Q66" s="1">
        <v>0</v>
      </c>
      <c r="R66" s="1"/>
      <c r="S66" s="17">
        <v>0</v>
      </c>
      <c r="T66" s="16">
        <v>1000</v>
      </c>
      <c r="U66" s="16">
        <v>0</v>
      </c>
      <c r="V66" s="1">
        <v>0</v>
      </c>
      <c r="W66" s="1">
        <v>0</v>
      </c>
      <c r="X66" s="1">
        <v>1</v>
      </c>
      <c r="Y66" s="17">
        <v>0</v>
      </c>
      <c r="Z66" s="18">
        <v>10</v>
      </c>
      <c r="AA66" s="18">
        <v>1</v>
      </c>
      <c r="AB66" s="18">
        <v>3</v>
      </c>
      <c r="AC66" s="16">
        <v>2</v>
      </c>
      <c r="AD66" s="17">
        <v>3</v>
      </c>
      <c r="AE66" s="16">
        <v>1</v>
      </c>
      <c r="AF66" s="1">
        <v>1</v>
      </c>
      <c r="AG66" s="1">
        <v>0</v>
      </c>
      <c r="AH66" s="18">
        <v>110</v>
      </c>
      <c r="AI66" s="16">
        <v>2455</v>
      </c>
      <c r="AJ66" s="17">
        <v>2825</v>
      </c>
      <c r="AK66" s="16"/>
      <c r="AL66" s="17">
        <v>1</v>
      </c>
      <c r="AM66" s="16">
        <v>5</v>
      </c>
      <c r="AN66" s="1">
        <v>7</v>
      </c>
      <c r="AO66" s="1">
        <v>22</v>
      </c>
      <c r="AP66" s="1">
        <v>0</v>
      </c>
      <c r="AQ66" s="1">
        <v>0</v>
      </c>
      <c r="AR66" s="1">
        <v>9</v>
      </c>
      <c r="AS66" s="1">
        <v>336</v>
      </c>
      <c r="AT66" s="1">
        <v>0</v>
      </c>
      <c r="AU66" s="1">
        <v>0</v>
      </c>
      <c r="AV66" s="1">
        <v>0</v>
      </c>
      <c r="AW66" s="1">
        <v>0</v>
      </c>
      <c r="AX66" s="17">
        <v>0</v>
      </c>
      <c r="AY66" s="16">
        <v>0</v>
      </c>
      <c r="AZ66" s="1">
        <v>0</v>
      </c>
      <c r="BA66" s="1">
        <v>0</v>
      </c>
      <c r="BB66" s="17">
        <v>0</v>
      </c>
      <c r="BC66" s="16">
        <v>0</v>
      </c>
      <c r="BD66" s="17">
        <v>0</v>
      </c>
      <c r="BE66" s="18">
        <v>137</v>
      </c>
      <c r="BF66" s="16">
        <v>1</v>
      </c>
      <c r="BG66" s="1">
        <v>1</v>
      </c>
      <c r="BH66" s="1">
        <v>0</v>
      </c>
      <c r="BI66" s="1">
        <v>0</v>
      </c>
      <c r="BJ66" s="16">
        <v>0</v>
      </c>
      <c r="BK66" s="1">
        <v>1</v>
      </c>
      <c r="BL66" s="16"/>
      <c r="BM66" s="1"/>
      <c r="BN66" s="1"/>
      <c r="BO66" s="1"/>
      <c r="BP66" s="1"/>
      <c r="BQ66" s="1"/>
      <c r="BR66" s="1"/>
      <c r="BS66" s="1"/>
      <c r="BT66" s="17"/>
      <c r="BU66" s="16"/>
      <c r="BV66" s="1"/>
      <c r="BW66" s="1"/>
      <c r="BX66" s="1"/>
      <c r="BY66" s="1"/>
      <c r="BZ66" s="1"/>
      <c r="CA66" s="1"/>
      <c r="CB66" s="17"/>
      <c r="CC66" s="16"/>
      <c r="CD66" s="1"/>
      <c r="CE66" s="17"/>
      <c r="CF66" s="16"/>
      <c r="CG66" s="1"/>
      <c r="CH66" s="17"/>
      <c r="CI66" s="16"/>
      <c r="CJ66" s="17"/>
      <c r="CK66" s="16"/>
      <c r="CL66" s="17"/>
      <c r="CM66" s="16"/>
      <c r="CN66" s="1"/>
      <c r="CO66" s="1"/>
      <c r="CP66" s="1"/>
      <c r="CQ66" s="1"/>
      <c r="CR66" s="17"/>
      <c r="CS66" s="16"/>
      <c r="CT66" s="1"/>
      <c r="CU66" s="1"/>
      <c r="CV66" s="17"/>
      <c r="CW66" s="16"/>
      <c r="CX66" s="1"/>
      <c r="CY66" s="1"/>
      <c r="CZ66" s="17"/>
      <c r="DA66" s="18"/>
      <c r="DB66" s="6"/>
    </row>
    <row r="67" spans="1:106">
      <c r="A67" s="42" t="s">
        <v>325</v>
      </c>
      <c r="B67" s="162" t="s">
        <v>183</v>
      </c>
      <c r="C67" s="160" t="s">
        <v>92</v>
      </c>
      <c r="D67" s="161"/>
      <c r="E67" s="43">
        <v>1000</v>
      </c>
      <c r="F67" s="43">
        <v>4533</v>
      </c>
      <c r="G67" s="160">
        <v>2298</v>
      </c>
      <c r="H67" s="162">
        <v>1.0065703022339028</v>
      </c>
      <c r="I67" s="43">
        <v>2</v>
      </c>
      <c r="J67" s="160">
        <v>0</v>
      </c>
      <c r="K67" s="161">
        <v>0</v>
      </c>
      <c r="L67" s="161">
        <v>1</v>
      </c>
      <c r="M67" s="161">
        <v>0</v>
      </c>
      <c r="N67" s="162">
        <v>0</v>
      </c>
      <c r="O67" s="160">
        <v>100</v>
      </c>
      <c r="P67" s="160">
        <v>1</v>
      </c>
      <c r="Q67" s="161">
        <v>0</v>
      </c>
      <c r="R67" s="161">
        <v>0</v>
      </c>
      <c r="S67" s="162">
        <v>0</v>
      </c>
      <c r="T67" s="160">
        <v>1000</v>
      </c>
      <c r="U67" s="160">
        <v>0</v>
      </c>
      <c r="V67" s="161">
        <v>0</v>
      </c>
      <c r="W67" s="161">
        <v>1</v>
      </c>
      <c r="X67" s="161">
        <v>1</v>
      </c>
      <c r="Y67" s="162">
        <v>0</v>
      </c>
      <c r="Z67" s="43">
        <v>110</v>
      </c>
      <c r="AA67" s="43">
        <v>2</v>
      </c>
      <c r="AB67" s="43">
        <v>1</v>
      </c>
      <c r="AC67" s="160">
        <v>1</v>
      </c>
      <c r="AD67" s="162">
        <v>2</v>
      </c>
      <c r="AE67" s="160">
        <v>0</v>
      </c>
      <c r="AF67" s="161">
        <v>1</v>
      </c>
      <c r="AG67" s="161">
        <v>0</v>
      </c>
      <c r="AH67" s="43">
        <v>10</v>
      </c>
      <c r="AI67" s="160">
        <v>1413</v>
      </c>
      <c r="AJ67" s="162">
        <v>2283</v>
      </c>
      <c r="AK67" s="160"/>
      <c r="AL67" s="162">
        <v>1</v>
      </c>
      <c r="AM67" s="160">
        <v>2</v>
      </c>
      <c r="AN67" s="161">
        <v>24</v>
      </c>
      <c r="AO67" s="161">
        <v>155</v>
      </c>
      <c r="AP67" s="161">
        <v>0</v>
      </c>
      <c r="AQ67" s="161">
        <v>0</v>
      </c>
      <c r="AR67" s="161">
        <v>18</v>
      </c>
      <c r="AS67" s="161">
        <v>117</v>
      </c>
      <c r="AT67" s="161">
        <v>0</v>
      </c>
      <c r="AU67" s="161">
        <v>0</v>
      </c>
      <c r="AV67" s="161">
        <v>0</v>
      </c>
      <c r="AW67" s="161">
        <v>0</v>
      </c>
      <c r="AX67" s="162"/>
      <c r="AY67" s="160">
        <v>0</v>
      </c>
      <c r="AZ67" s="161">
        <v>0</v>
      </c>
      <c r="BA67" s="161">
        <v>0</v>
      </c>
      <c r="BB67" s="162">
        <v>0</v>
      </c>
      <c r="BC67" s="160">
        <v>0</v>
      </c>
      <c r="BD67" s="162">
        <v>0</v>
      </c>
      <c r="BE67" s="43">
        <v>161</v>
      </c>
      <c r="BF67" s="160">
        <v>0</v>
      </c>
      <c r="BG67" s="161">
        <v>0</v>
      </c>
      <c r="BH67" s="161">
        <v>0</v>
      </c>
      <c r="BI67" s="161">
        <v>0</v>
      </c>
      <c r="BJ67" s="160">
        <v>0</v>
      </c>
      <c r="BK67" s="161">
        <v>1</v>
      </c>
      <c r="BL67" s="160"/>
      <c r="BM67" s="161"/>
      <c r="BN67" s="161"/>
      <c r="BO67" s="161"/>
      <c r="BP67" s="161"/>
      <c r="BQ67" s="161"/>
      <c r="BR67" s="161"/>
      <c r="BS67" s="161"/>
      <c r="BT67" s="162"/>
      <c r="BU67" s="160"/>
      <c r="BV67" s="161"/>
      <c r="BW67" s="161"/>
      <c r="BX67" s="161"/>
      <c r="BY67" s="161"/>
      <c r="BZ67" s="161"/>
      <c r="CA67" s="161"/>
      <c r="CB67" s="162"/>
      <c r="CC67" s="160"/>
      <c r="CD67" s="161"/>
      <c r="CE67" s="162"/>
      <c r="CF67" s="160"/>
      <c r="CG67" s="161"/>
      <c r="CH67" s="162"/>
      <c r="CI67" s="160"/>
      <c r="CJ67" s="162"/>
      <c r="CK67" s="160"/>
      <c r="CL67" s="162"/>
      <c r="CM67" s="160"/>
      <c r="CN67" s="161"/>
      <c r="CO67" s="161"/>
      <c r="CP67" s="161"/>
      <c r="CQ67" s="161"/>
      <c r="CR67" s="162"/>
      <c r="CS67" s="160"/>
      <c r="CT67" s="161"/>
      <c r="CU67" s="161"/>
      <c r="CV67" s="162"/>
      <c r="CW67" s="160"/>
      <c r="CX67" s="161"/>
      <c r="CY67" s="161"/>
      <c r="CZ67" s="162"/>
      <c r="DA67" s="43"/>
      <c r="DB67" s="6"/>
    </row>
    <row r="68" spans="1:106">
      <c r="A68" s="42" t="s">
        <v>325</v>
      </c>
      <c r="B68" s="17" t="s">
        <v>183</v>
      </c>
      <c r="C68" s="16" t="s">
        <v>112</v>
      </c>
      <c r="D68" s="1"/>
      <c r="E68" s="18">
        <v>1000</v>
      </c>
      <c r="F68" s="18">
        <v>4533</v>
      </c>
      <c r="G68" s="16">
        <v>1106</v>
      </c>
      <c r="H68" s="17">
        <v>1.0573613766730401</v>
      </c>
      <c r="I68" s="18">
        <v>4</v>
      </c>
      <c r="J68" s="16">
        <v>0</v>
      </c>
      <c r="K68" s="1">
        <v>0</v>
      </c>
      <c r="L68" s="1">
        <v>1</v>
      </c>
      <c r="M68" s="1">
        <v>1</v>
      </c>
      <c r="N68" s="17">
        <v>0</v>
      </c>
      <c r="O68" s="16">
        <v>110</v>
      </c>
      <c r="P68" s="16">
        <v>1</v>
      </c>
      <c r="Q68" s="1">
        <v>0</v>
      </c>
      <c r="R68" s="1">
        <v>0</v>
      </c>
      <c r="S68" s="17">
        <v>0</v>
      </c>
      <c r="T68" s="16">
        <v>1000</v>
      </c>
      <c r="U68" s="16">
        <v>0</v>
      </c>
      <c r="V68" s="1">
        <v>0</v>
      </c>
      <c r="W68" s="1">
        <v>1</v>
      </c>
      <c r="X68" s="1">
        <v>1</v>
      </c>
      <c r="Y68" s="17">
        <v>0</v>
      </c>
      <c r="Z68" s="18">
        <v>110</v>
      </c>
      <c r="AA68" s="18">
        <v>2</v>
      </c>
      <c r="AB68" s="18">
        <v>1</v>
      </c>
      <c r="AC68" s="16">
        <v>1</v>
      </c>
      <c r="AD68" s="17">
        <v>3</v>
      </c>
      <c r="AE68" s="16">
        <v>0</v>
      </c>
      <c r="AF68" s="1">
        <v>0</v>
      </c>
      <c r="AG68" s="1">
        <v>1</v>
      </c>
      <c r="AH68" s="18">
        <v>1</v>
      </c>
      <c r="AI68" s="16">
        <v>601</v>
      </c>
      <c r="AJ68" s="17">
        <v>689</v>
      </c>
      <c r="AK68" s="16"/>
      <c r="AL68" s="17">
        <v>1</v>
      </c>
      <c r="AM68" s="16">
        <v>1</v>
      </c>
      <c r="AN68" s="1">
        <v>0</v>
      </c>
      <c r="AO68" s="1">
        <v>0</v>
      </c>
      <c r="AP68" s="1">
        <v>0</v>
      </c>
      <c r="AQ68" s="1">
        <v>0</v>
      </c>
      <c r="AR68" s="1">
        <v>0</v>
      </c>
      <c r="AS68" s="1">
        <v>0</v>
      </c>
      <c r="AT68" s="1">
        <v>42</v>
      </c>
      <c r="AU68" s="1">
        <v>77</v>
      </c>
      <c r="AV68" s="1">
        <v>0</v>
      </c>
      <c r="AW68" s="1">
        <v>0</v>
      </c>
      <c r="AX68" s="17"/>
      <c r="AY68" s="16">
        <v>0</v>
      </c>
      <c r="AZ68" s="1">
        <v>0</v>
      </c>
      <c r="BA68" s="1">
        <v>0</v>
      </c>
      <c r="BB68" s="17">
        <v>0</v>
      </c>
      <c r="BC68" s="16">
        <v>0</v>
      </c>
      <c r="BD68" s="17">
        <v>0</v>
      </c>
      <c r="BE68" s="18">
        <v>122</v>
      </c>
      <c r="BF68" s="16">
        <v>0</v>
      </c>
      <c r="BG68" s="1">
        <v>1</v>
      </c>
      <c r="BH68" s="1">
        <v>0</v>
      </c>
      <c r="BI68" s="1">
        <v>0</v>
      </c>
      <c r="BJ68" s="16">
        <v>0</v>
      </c>
      <c r="BK68" s="1">
        <v>1</v>
      </c>
      <c r="BL68" s="16">
        <v>79.66</v>
      </c>
      <c r="BM68" s="1">
        <v>78.709999999999994</v>
      </c>
      <c r="BN68" s="1"/>
      <c r="BO68" s="1"/>
      <c r="BP68" s="1"/>
      <c r="BQ68" s="1"/>
      <c r="BR68" s="1"/>
      <c r="BS68" s="1"/>
      <c r="BT68" s="17"/>
      <c r="BU68" s="16">
        <v>72.2</v>
      </c>
      <c r="BV68" s="1"/>
      <c r="BW68" s="1"/>
      <c r="BX68" s="1"/>
      <c r="BY68" s="1"/>
      <c r="BZ68" s="1"/>
      <c r="CA68" s="1"/>
      <c r="CB68" s="17"/>
      <c r="CC68" s="16">
        <v>74.069999999999993</v>
      </c>
      <c r="CD68" s="1"/>
      <c r="CE68" s="17"/>
      <c r="CF68" s="16">
        <v>71.650000000000006</v>
      </c>
      <c r="CG68" s="1"/>
      <c r="CH68" s="17"/>
      <c r="CI68" s="16"/>
      <c r="CJ68" s="17"/>
      <c r="CK68" s="16"/>
      <c r="CL68" s="17"/>
      <c r="CM68" s="16"/>
      <c r="CN68" s="1"/>
      <c r="CO68" s="1"/>
      <c r="CP68" s="1"/>
      <c r="CQ68" s="1"/>
      <c r="CR68" s="17"/>
      <c r="CS68" s="16"/>
      <c r="CT68" s="1"/>
      <c r="CU68" s="1"/>
      <c r="CV68" s="17"/>
      <c r="CW68" s="16"/>
      <c r="CX68" s="1"/>
      <c r="CY68" s="1"/>
      <c r="CZ68" s="17"/>
      <c r="DA68" s="18"/>
      <c r="DB68" s="6"/>
    </row>
    <row r="69" spans="1:106">
      <c r="A69" s="42" t="s">
        <v>325</v>
      </c>
      <c r="B69" s="17" t="s">
        <v>183</v>
      </c>
      <c r="C69" s="16" t="s">
        <v>148</v>
      </c>
      <c r="D69" s="1"/>
      <c r="E69" s="18">
        <v>1000</v>
      </c>
      <c r="F69" s="18">
        <v>4533</v>
      </c>
      <c r="G69" s="16">
        <v>2581</v>
      </c>
      <c r="H69" s="17">
        <v>1.5757020757020757</v>
      </c>
      <c r="I69" s="18">
        <v>2</v>
      </c>
      <c r="J69" s="16">
        <v>0</v>
      </c>
      <c r="K69" s="1">
        <v>0</v>
      </c>
      <c r="L69" s="1">
        <v>0</v>
      </c>
      <c r="M69" s="1">
        <v>0</v>
      </c>
      <c r="N69" s="17">
        <v>1</v>
      </c>
      <c r="O69" s="16">
        <v>1</v>
      </c>
      <c r="P69" s="16">
        <v>1</v>
      </c>
      <c r="Q69" s="1">
        <v>0</v>
      </c>
      <c r="R69" s="1">
        <v>0</v>
      </c>
      <c r="S69" s="17">
        <v>0</v>
      </c>
      <c r="T69" s="16">
        <v>1000</v>
      </c>
      <c r="U69" s="16">
        <v>0</v>
      </c>
      <c r="V69" s="1">
        <v>0</v>
      </c>
      <c r="W69" s="1">
        <v>0</v>
      </c>
      <c r="X69" s="1">
        <v>1</v>
      </c>
      <c r="Y69" s="17">
        <v>0</v>
      </c>
      <c r="Z69" s="18">
        <v>10</v>
      </c>
      <c r="AA69" s="18">
        <v>1</v>
      </c>
      <c r="AB69" s="18">
        <v>3</v>
      </c>
      <c r="AC69" s="16">
        <v>2</v>
      </c>
      <c r="AD69" s="17">
        <v>3</v>
      </c>
      <c r="AE69" s="16">
        <v>0</v>
      </c>
      <c r="AF69" s="1">
        <v>1</v>
      </c>
      <c r="AG69" s="1">
        <v>0</v>
      </c>
      <c r="AH69" s="18">
        <v>10</v>
      </c>
      <c r="AI69" s="16">
        <v>1638</v>
      </c>
      <c r="AJ69" s="17">
        <v>2056</v>
      </c>
      <c r="AK69" s="16">
        <v>32</v>
      </c>
      <c r="AL69" s="17">
        <v>1</v>
      </c>
      <c r="AM69" s="16">
        <v>1</v>
      </c>
      <c r="AN69" s="1">
        <v>13</v>
      </c>
      <c r="AO69" s="1">
        <v>31</v>
      </c>
      <c r="AP69" s="1">
        <v>0</v>
      </c>
      <c r="AQ69" s="1">
        <v>0</v>
      </c>
      <c r="AR69" s="1">
        <v>6</v>
      </c>
      <c r="AS69" s="1">
        <v>61</v>
      </c>
      <c r="AT69" s="1">
        <v>11</v>
      </c>
      <c r="AU69" s="1">
        <v>181</v>
      </c>
      <c r="AV69" s="1">
        <v>0</v>
      </c>
      <c r="AW69" s="1">
        <v>0</v>
      </c>
      <c r="AX69" s="17">
        <v>1</v>
      </c>
      <c r="AY69" s="16">
        <v>0</v>
      </c>
      <c r="AZ69" s="1">
        <v>0</v>
      </c>
      <c r="BA69" s="1">
        <v>0</v>
      </c>
      <c r="BB69" s="17">
        <v>0</v>
      </c>
      <c r="BC69" s="16">
        <v>0</v>
      </c>
      <c r="BD69" s="17">
        <v>0</v>
      </c>
      <c r="BE69" s="18" t="s">
        <v>331</v>
      </c>
      <c r="BF69" s="16">
        <v>1</v>
      </c>
      <c r="BG69" s="1">
        <v>0</v>
      </c>
      <c r="BH69" s="1">
        <v>0</v>
      </c>
      <c r="BI69" s="1">
        <v>0</v>
      </c>
      <c r="BJ69" s="16">
        <v>0</v>
      </c>
      <c r="BK69" s="1">
        <v>1</v>
      </c>
      <c r="BL69" s="16">
        <v>77.25</v>
      </c>
      <c r="BM69" s="1"/>
      <c r="BN69" s="1"/>
      <c r="BO69" s="1"/>
      <c r="BP69" s="1"/>
      <c r="BQ69" s="1"/>
      <c r="BR69" s="1"/>
      <c r="BS69" s="1"/>
      <c r="BT69" s="17"/>
      <c r="BU69" s="16">
        <v>79.48</v>
      </c>
      <c r="BV69" s="1"/>
      <c r="BW69" s="1"/>
      <c r="BX69" s="1"/>
      <c r="BY69" s="1"/>
      <c r="BZ69" s="1"/>
      <c r="CA69" s="1"/>
      <c r="CB69" s="17"/>
      <c r="CC69" s="16"/>
      <c r="CD69" s="1"/>
      <c r="CE69" s="17"/>
      <c r="CF69" s="16">
        <v>70.17</v>
      </c>
      <c r="CG69" s="1"/>
      <c r="CH69" s="17"/>
      <c r="CI69" s="16"/>
      <c r="CJ69" s="17"/>
      <c r="CK69" s="16"/>
      <c r="CL69" s="17"/>
      <c r="CM69" s="16"/>
      <c r="CN69" s="1"/>
      <c r="CO69" s="1"/>
      <c r="CP69" s="1"/>
      <c r="CQ69" s="1"/>
      <c r="CR69" s="17"/>
      <c r="CS69" s="16"/>
      <c r="CT69" s="1"/>
      <c r="CU69" s="1"/>
      <c r="CV69" s="17"/>
      <c r="CW69" s="16"/>
      <c r="CX69" s="1"/>
      <c r="CY69" s="1"/>
      <c r="CZ69" s="17"/>
      <c r="DA69" s="18"/>
      <c r="DB69" s="6"/>
    </row>
    <row r="70" spans="1:106" ht="17" thickBot="1">
      <c r="A70" s="42" t="s">
        <v>325</v>
      </c>
      <c r="B70" s="38" t="s">
        <v>183</v>
      </c>
      <c r="C70" s="22" t="s">
        <v>147</v>
      </c>
      <c r="D70" s="37" t="s">
        <v>1</v>
      </c>
      <c r="E70" s="39">
        <v>100</v>
      </c>
      <c r="F70" s="39">
        <v>4533</v>
      </c>
      <c r="G70" s="22">
        <v>6708</v>
      </c>
      <c r="H70" s="38">
        <v>1.9522700814901048</v>
      </c>
      <c r="I70" s="39">
        <v>3</v>
      </c>
      <c r="J70" s="22">
        <v>0</v>
      </c>
      <c r="K70" s="37">
        <v>1</v>
      </c>
      <c r="L70" s="37">
        <v>0</v>
      </c>
      <c r="M70" s="37">
        <v>0</v>
      </c>
      <c r="N70" s="38">
        <v>0</v>
      </c>
      <c r="O70" s="22">
        <v>1000</v>
      </c>
      <c r="P70" s="22">
        <v>0</v>
      </c>
      <c r="Q70" s="37">
        <v>0</v>
      </c>
      <c r="R70" s="37">
        <v>0</v>
      </c>
      <c r="S70" s="38">
        <v>1</v>
      </c>
      <c r="T70" s="22">
        <v>100</v>
      </c>
      <c r="U70" s="22">
        <v>0</v>
      </c>
      <c r="V70" s="37">
        <v>1</v>
      </c>
      <c r="W70" s="37">
        <v>1</v>
      </c>
      <c r="X70" s="37">
        <v>1</v>
      </c>
      <c r="Y70" s="38">
        <v>0</v>
      </c>
      <c r="Z70" s="39">
        <v>1110</v>
      </c>
      <c r="AA70" s="39">
        <v>3</v>
      </c>
      <c r="AB70" s="39">
        <v>2</v>
      </c>
      <c r="AC70" s="22">
        <v>1</v>
      </c>
      <c r="AD70" s="38">
        <v>3</v>
      </c>
      <c r="AE70" s="22">
        <v>0</v>
      </c>
      <c r="AF70" s="37">
        <v>0</v>
      </c>
      <c r="AG70" s="37">
        <v>1</v>
      </c>
      <c r="AH70" s="39">
        <v>1</v>
      </c>
      <c r="AI70" s="22">
        <v>1645</v>
      </c>
      <c r="AJ70" s="38">
        <v>4621</v>
      </c>
      <c r="AK70" s="22"/>
      <c r="AL70" s="38"/>
      <c r="AM70" s="22">
        <v>3</v>
      </c>
      <c r="AN70" s="37">
        <v>24</v>
      </c>
      <c r="AO70" s="37">
        <v>176</v>
      </c>
      <c r="AP70" s="37">
        <v>0</v>
      </c>
      <c r="AQ70" s="37">
        <v>0</v>
      </c>
      <c r="AR70" s="37">
        <v>29</v>
      </c>
      <c r="AS70" s="37">
        <v>310</v>
      </c>
      <c r="AT70" s="37">
        <v>10</v>
      </c>
      <c r="AU70" s="37">
        <v>204</v>
      </c>
      <c r="AV70" s="37">
        <v>27</v>
      </c>
      <c r="AW70" s="37">
        <v>720</v>
      </c>
      <c r="AX70" s="38"/>
      <c r="AY70" s="22">
        <v>0</v>
      </c>
      <c r="AZ70" s="37">
        <v>0</v>
      </c>
      <c r="BA70" s="37">
        <v>0</v>
      </c>
      <c r="BB70" s="38">
        <v>0</v>
      </c>
      <c r="BC70" s="22">
        <v>0</v>
      </c>
      <c r="BD70" s="38">
        <v>0</v>
      </c>
      <c r="BE70" s="39">
        <v>170</v>
      </c>
      <c r="BF70" s="22"/>
      <c r="BG70" s="37"/>
      <c r="BH70" s="37"/>
      <c r="BI70" s="37"/>
      <c r="BJ70" s="22"/>
      <c r="BK70" s="37"/>
      <c r="BL70" s="22"/>
      <c r="BM70" s="37"/>
      <c r="BN70" s="37"/>
      <c r="BO70" s="37"/>
      <c r="BP70" s="37"/>
      <c r="BQ70" s="37"/>
      <c r="BR70" s="37"/>
      <c r="BS70" s="37"/>
      <c r="BT70" s="38"/>
      <c r="BU70" s="22"/>
      <c r="BV70" s="37"/>
      <c r="BW70" s="37"/>
      <c r="BX70" s="37"/>
      <c r="BY70" s="37"/>
      <c r="BZ70" s="37"/>
      <c r="CA70" s="37"/>
      <c r="CB70" s="38"/>
      <c r="CC70" s="22"/>
      <c r="CD70" s="37"/>
      <c r="CE70" s="38"/>
      <c r="CF70" s="22"/>
      <c r="CG70" s="37"/>
      <c r="CH70" s="38"/>
      <c r="CI70" s="22"/>
      <c r="CJ70" s="38"/>
      <c r="CK70" s="22"/>
      <c r="CL70" s="38"/>
      <c r="CM70" s="22"/>
      <c r="CN70" s="37"/>
      <c r="CO70" s="37"/>
      <c r="CP70" s="37"/>
      <c r="CQ70" s="37"/>
      <c r="CR70" s="38"/>
      <c r="CS70" s="22"/>
      <c r="CT70" s="37"/>
      <c r="CU70" s="37"/>
      <c r="CV70" s="38"/>
      <c r="CW70" s="22"/>
      <c r="CX70" s="37"/>
      <c r="CY70" s="37"/>
      <c r="CZ70" s="38"/>
      <c r="DA70" s="39"/>
      <c r="DB70" s="6"/>
    </row>
    <row r="71" spans="1:106">
      <c r="A71" s="87" t="s">
        <v>325</v>
      </c>
      <c r="B71" s="162" t="s">
        <v>293</v>
      </c>
      <c r="C71" s="160" t="s">
        <v>74</v>
      </c>
      <c r="D71" s="161"/>
      <c r="E71" s="43">
        <v>1000</v>
      </c>
      <c r="F71" s="43"/>
      <c r="G71" s="160">
        <v>8133</v>
      </c>
      <c r="H71" s="162">
        <v>1.596270853778214</v>
      </c>
      <c r="I71" s="43">
        <v>2</v>
      </c>
      <c r="J71" s="160">
        <v>0</v>
      </c>
      <c r="K71" s="161">
        <v>0</v>
      </c>
      <c r="L71" s="161">
        <v>1</v>
      </c>
      <c r="M71" s="161">
        <v>0</v>
      </c>
      <c r="N71" s="162">
        <v>0</v>
      </c>
      <c r="O71" s="160">
        <v>100</v>
      </c>
      <c r="P71" s="160">
        <v>1</v>
      </c>
      <c r="Q71" s="161">
        <v>0</v>
      </c>
      <c r="R71" s="161">
        <v>0</v>
      </c>
      <c r="S71" s="162">
        <v>0</v>
      </c>
      <c r="T71" s="160">
        <v>1000</v>
      </c>
      <c r="U71" s="160">
        <v>0</v>
      </c>
      <c r="V71" s="161">
        <v>1</v>
      </c>
      <c r="W71" s="161">
        <v>1</v>
      </c>
      <c r="X71" s="161">
        <v>1</v>
      </c>
      <c r="Y71" s="162">
        <v>0</v>
      </c>
      <c r="Z71" s="43">
        <v>1110</v>
      </c>
      <c r="AA71" s="43">
        <v>3</v>
      </c>
      <c r="AB71" s="43">
        <v>1</v>
      </c>
      <c r="AC71" s="160">
        <v>1</v>
      </c>
      <c r="AD71" s="162">
        <v>3</v>
      </c>
      <c r="AE71" s="160">
        <v>0</v>
      </c>
      <c r="AF71" s="161">
        <v>0</v>
      </c>
      <c r="AG71" s="161">
        <v>1</v>
      </c>
      <c r="AH71" s="43">
        <v>1</v>
      </c>
      <c r="AI71" s="160">
        <v>3714</v>
      </c>
      <c r="AJ71" s="162">
        <v>5095</v>
      </c>
      <c r="AK71" s="160">
        <v>21</v>
      </c>
      <c r="AL71" s="162">
        <v>1</v>
      </c>
      <c r="AM71" s="160">
        <v>2</v>
      </c>
      <c r="AN71" s="161">
        <v>9</v>
      </c>
      <c r="AO71" s="161">
        <v>22</v>
      </c>
      <c r="AP71" s="161">
        <v>0</v>
      </c>
      <c r="AQ71" s="161">
        <v>0</v>
      </c>
      <c r="AR71" s="161">
        <v>9</v>
      </c>
      <c r="AS71" s="161">
        <v>293</v>
      </c>
      <c r="AT71" s="161">
        <v>9</v>
      </c>
      <c r="AU71" s="161">
        <v>320</v>
      </c>
      <c r="AV71" s="161">
        <v>13</v>
      </c>
      <c r="AW71" s="161">
        <v>1648</v>
      </c>
      <c r="AX71" s="162">
        <v>0</v>
      </c>
      <c r="AY71" s="160">
        <v>0</v>
      </c>
      <c r="AZ71" s="161">
        <v>0</v>
      </c>
      <c r="BA71" s="161">
        <v>0</v>
      </c>
      <c r="BB71" s="162">
        <v>1</v>
      </c>
      <c r="BC71" s="160">
        <v>3</v>
      </c>
      <c r="BD71" s="162">
        <v>1</v>
      </c>
      <c r="BE71" s="43">
        <v>133</v>
      </c>
      <c r="BF71" s="160">
        <v>0</v>
      </c>
      <c r="BG71" s="161">
        <v>1</v>
      </c>
      <c r="BH71" s="161"/>
      <c r="BI71" s="161">
        <v>0</v>
      </c>
      <c r="BJ71" s="160">
        <v>0</v>
      </c>
      <c r="BK71" s="161">
        <v>1</v>
      </c>
      <c r="BL71" s="160">
        <v>78.56</v>
      </c>
      <c r="BM71" s="161"/>
      <c r="BN71" s="161"/>
      <c r="BO71" s="161"/>
      <c r="BP71" s="161"/>
      <c r="BQ71" s="161"/>
      <c r="BR71" s="161"/>
      <c r="BS71" s="161"/>
      <c r="BT71" s="162"/>
      <c r="BU71" s="160">
        <v>77.489999999999995</v>
      </c>
      <c r="BV71" s="161">
        <v>78.83</v>
      </c>
      <c r="BW71" s="161">
        <v>73.989999999999995</v>
      </c>
      <c r="BX71" s="161">
        <v>77.92</v>
      </c>
      <c r="BY71" s="161"/>
      <c r="BZ71" s="161"/>
      <c r="CA71" s="161"/>
      <c r="CB71" s="162"/>
      <c r="CC71" s="160">
        <v>71.05</v>
      </c>
      <c r="CD71" s="161">
        <v>72.099999999999994</v>
      </c>
      <c r="CE71" s="162"/>
      <c r="CF71" s="160"/>
      <c r="CG71" s="161"/>
      <c r="CH71" s="162"/>
      <c r="CI71" s="160"/>
      <c r="CJ71" s="162"/>
      <c r="CK71" s="160"/>
      <c r="CL71" s="162"/>
      <c r="CM71" s="160"/>
      <c r="CN71" s="161"/>
      <c r="CO71" s="161"/>
      <c r="CP71" s="161"/>
      <c r="CQ71" s="161"/>
      <c r="CR71" s="162"/>
      <c r="CS71" s="160"/>
      <c r="CT71" s="161"/>
      <c r="CU71" s="161"/>
      <c r="CV71" s="162"/>
      <c r="CW71" s="160"/>
      <c r="CX71" s="161"/>
      <c r="CY71" s="161"/>
      <c r="CZ71" s="162"/>
      <c r="DA71" s="43"/>
      <c r="DB71" s="6"/>
    </row>
    <row r="72" spans="1:106">
      <c r="A72" s="42" t="s">
        <v>325</v>
      </c>
      <c r="B72" s="17" t="s">
        <v>293</v>
      </c>
      <c r="C72" s="16" t="s">
        <v>73</v>
      </c>
      <c r="D72" s="1"/>
      <c r="E72" s="18">
        <v>100</v>
      </c>
      <c r="F72" s="18"/>
      <c r="G72" s="16">
        <v>4085</v>
      </c>
      <c r="H72" s="17">
        <v>2.2594026548672566</v>
      </c>
      <c r="I72" s="18">
        <v>2</v>
      </c>
      <c r="J72" s="16">
        <v>0</v>
      </c>
      <c r="K72" s="1">
        <v>1</v>
      </c>
      <c r="L72" s="1">
        <v>0</v>
      </c>
      <c r="M72" s="1">
        <v>0</v>
      </c>
      <c r="N72" s="17">
        <v>0</v>
      </c>
      <c r="O72" s="16">
        <v>1000</v>
      </c>
      <c r="P72" s="16">
        <v>0</v>
      </c>
      <c r="Q72" s="1">
        <v>0</v>
      </c>
      <c r="R72" s="1">
        <v>0</v>
      </c>
      <c r="S72" s="17">
        <v>1</v>
      </c>
      <c r="T72" s="16">
        <v>100</v>
      </c>
      <c r="U72" s="16">
        <v>0</v>
      </c>
      <c r="V72" s="1">
        <v>3</v>
      </c>
      <c r="W72" s="1">
        <v>1</v>
      </c>
      <c r="X72" s="1">
        <v>1</v>
      </c>
      <c r="Y72" s="17">
        <v>0</v>
      </c>
      <c r="Z72" s="18">
        <v>3110</v>
      </c>
      <c r="AA72" s="18">
        <v>5</v>
      </c>
      <c r="AB72" s="18">
        <v>3</v>
      </c>
      <c r="AC72" s="16">
        <v>2</v>
      </c>
      <c r="AD72" s="17">
        <v>4</v>
      </c>
      <c r="AE72" s="16">
        <v>0</v>
      </c>
      <c r="AF72" s="1">
        <v>0</v>
      </c>
      <c r="AG72" s="1">
        <v>1</v>
      </c>
      <c r="AH72" s="18">
        <v>1</v>
      </c>
      <c r="AI72" s="16">
        <v>1864</v>
      </c>
      <c r="AJ72" s="17">
        <v>2889</v>
      </c>
      <c r="AK72" s="16">
        <v>41</v>
      </c>
      <c r="AL72" s="17">
        <v>1</v>
      </c>
      <c r="AM72" s="16">
        <v>2</v>
      </c>
      <c r="AN72" s="1">
        <v>8</v>
      </c>
      <c r="AO72" s="1">
        <v>21</v>
      </c>
      <c r="AP72" s="1">
        <v>0</v>
      </c>
      <c r="AQ72" s="1">
        <v>0</v>
      </c>
      <c r="AR72" s="1">
        <v>10</v>
      </c>
      <c r="AS72" s="1">
        <v>318</v>
      </c>
      <c r="AT72" s="1">
        <v>28</v>
      </c>
      <c r="AU72" s="1">
        <v>109</v>
      </c>
      <c r="AV72" s="1">
        <v>8</v>
      </c>
      <c r="AW72" s="1">
        <v>60</v>
      </c>
      <c r="AX72" s="17">
        <v>0</v>
      </c>
      <c r="AY72" s="16">
        <v>0</v>
      </c>
      <c r="AZ72" s="1">
        <v>0</v>
      </c>
      <c r="BA72" s="1">
        <v>0</v>
      </c>
      <c r="BB72" s="17">
        <v>0</v>
      </c>
      <c r="BC72" s="16">
        <v>0</v>
      </c>
      <c r="BD72" s="17">
        <v>0</v>
      </c>
      <c r="BE72" s="18">
        <v>134</v>
      </c>
      <c r="BF72" s="16">
        <v>0</v>
      </c>
      <c r="BG72" s="1">
        <v>0</v>
      </c>
      <c r="BH72" s="1"/>
      <c r="BI72" s="1">
        <v>0</v>
      </c>
      <c r="BJ72" s="16">
        <v>0</v>
      </c>
      <c r="BK72" s="1">
        <v>1</v>
      </c>
      <c r="BL72" s="16"/>
      <c r="BM72" s="1"/>
      <c r="BN72" s="1"/>
      <c r="BO72" s="1"/>
      <c r="BP72" s="1"/>
      <c r="BQ72" s="1"/>
      <c r="BR72" s="1"/>
      <c r="BS72" s="1"/>
      <c r="BT72" s="17"/>
      <c r="BU72" s="16">
        <v>80.02</v>
      </c>
      <c r="BV72" s="1"/>
      <c r="BW72" s="1"/>
      <c r="BX72" s="1"/>
      <c r="BY72" s="1"/>
      <c r="BZ72" s="1"/>
      <c r="CA72" s="1"/>
      <c r="CB72" s="17"/>
      <c r="CC72" s="16">
        <v>70.59</v>
      </c>
      <c r="CD72" s="1">
        <v>71.349999999999994</v>
      </c>
      <c r="CE72" s="17"/>
      <c r="CF72" s="16"/>
      <c r="CG72" s="1"/>
      <c r="CH72" s="17"/>
      <c r="CI72" s="16"/>
      <c r="CJ72" s="17"/>
      <c r="CK72" s="16"/>
      <c r="CL72" s="17"/>
      <c r="CM72" s="16">
        <v>78.459999999999994</v>
      </c>
      <c r="CN72" s="1">
        <v>79.2</v>
      </c>
      <c r="CO72" s="1"/>
      <c r="CP72" s="1"/>
      <c r="CQ72" s="1"/>
      <c r="CR72" s="17"/>
      <c r="CS72" s="16"/>
      <c r="CT72" s="1"/>
      <c r="CU72" s="1"/>
      <c r="CV72" s="17"/>
      <c r="CW72" s="16"/>
      <c r="CX72" s="1"/>
      <c r="CY72" s="1"/>
      <c r="CZ72" s="17"/>
      <c r="DA72" s="18"/>
      <c r="DB72" s="6"/>
    </row>
    <row r="73" spans="1:106" ht="17" thickBot="1">
      <c r="A73" s="55" t="s">
        <v>325</v>
      </c>
      <c r="B73" s="38" t="s">
        <v>293</v>
      </c>
      <c r="C73" s="22" t="s">
        <v>111</v>
      </c>
      <c r="D73" s="37"/>
      <c r="E73" s="39">
        <v>1100</v>
      </c>
      <c r="F73" s="39"/>
      <c r="G73" s="22">
        <v>7197</v>
      </c>
      <c r="H73" s="38">
        <v>1.9258763714209259</v>
      </c>
      <c r="I73" s="39">
        <v>9</v>
      </c>
      <c r="J73" s="22">
        <v>1</v>
      </c>
      <c r="K73" s="37">
        <v>0</v>
      </c>
      <c r="L73" s="37">
        <v>0</v>
      </c>
      <c r="M73" s="37">
        <v>1</v>
      </c>
      <c r="N73" s="38">
        <v>0</v>
      </c>
      <c r="O73" s="22">
        <v>10010</v>
      </c>
      <c r="P73" s="22">
        <v>1</v>
      </c>
      <c r="Q73" s="37">
        <v>0</v>
      </c>
      <c r="R73" s="37">
        <v>0</v>
      </c>
      <c r="S73" s="38">
        <v>1</v>
      </c>
      <c r="T73" s="22">
        <v>1100</v>
      </c>
      <c r="U73" s="22">
        <v>0</v>
      </c>
      <c r="V73" s="37">
        <v>2</v>
      </c>
      <c r="W73" s="37">
        <v>1</v>
      </c>
      <c r="X73" s="37">
        <v>1</v>
      </c>
      <c r="Y73" s="38">
        <v>0</v>
      </c>
      <c r="Z73" s="39">
        <v>2110</v>
      </c>
      <c r="AA73" s="39">
        <v>4</v>
      </c>
      <c r="AB73" s="39">
        <v>1</v>
      </c>
      <c r="AC73" s="22">
        <v>1</v>
      </c>
      <c r="AD73" s="38">
        <v>4</v>
      </c>
      <c r="AE73" s="22">
        <v>1</v>
      </c>
      <c r="AF73" s="37">
        <v>1</v>
      </c>
      <c r="AG73" s="37">
        <v>1</v>
      </c>
      <c r="AH73" s="39">
        <v>111</v>
      </c>
      <c r="AI73" s="22">
        <v>960</v>
      </c>
      <c r="AJ73" s="38">
        <v>4111</v>
      </c>
      <c r="AK73" s="22">
        <v>17</v>
      </c>
      <c r="AL73" s="38">
        <v>1</v>
      </c>
      <c r="AM73" s="22">
        <v>5</v>
      </c>
      <c r="AN73" s="37">
        <v>10</v>
      </c>
      <c r="AO73" s="37">
        <v>19</v>
      </c>
      <c r="AP73" s="37">
        <v>0</v>
      </c>
      <c r="AQ73" s="37">
        <v>0</v>
      </c>
      <c r="AR73" s="37">
        <v>13</v>
      </c>
      <c r="AS73" s="37">
        <v>376</v>
      </c>
      <c r="AT73" s="37">
        <v>7</v>
      </c>
      <c r="AU73" s="37">
        <v>845</v>
      </c>
      <c r="AV73" s="37">
        <v>27</v>
      </c>
      <c r="AW73" s="37">
        <v>1461</v>
      </c>
      <c r="AX73" s="38">
        <v>1</v>
      </c>
      <c r="AY73" s="22">
        <v>0</v>
      </c>
      <c r="AZ73" s="37">
        <v>1</v>
      </c>
      <c r="BA73" s="37">
        <v>0</v>
      </c>
      <c r="BB73" s="38">
        <v>1</v>
      </c>
      <c r="BC73" s="22">
        <v>3</v>
      </c>
      <c r="BD73" s="38">
        <v>101</v>
      </c>
      <c r="BE73" s="39">
        <v>131</v>
      </c>
      <c r="BF73" s="22">
        <v>1</v>
      </c>
      <c r="BG73" s="37">
        <v>1</v>
      </c>
      <c r="BH73" s="37"/>
      <c r="BI73" s="37">
        <v>0</v>
      </c>
      <c r="BJ73" s="22">
        <v>1</v>
      </c>
      <c r="BK73" s="37">
        <v>0</v>
      </c>
      <c r="BL73" s="22"/>
      <c r="BM73" s="37"/>
      <c r="BN73" s="37"/>
      <c r="BO73" s="37"/>
      <c r="BP73" s="37"/>
      <c r="BQ73" s="37"/>
      <c r="BR73" s="37"/>
      <c r="BS73" s="37"/>
      <c r="BT73" s="38"/>
      <c r="BU73" s="22">
        <v>80.45</v>
      </c>
      <c r="BV73" s="37"/>
      <c r="BW73" s="37"/>
      <c r="BX73" s="37"/>
      <c r="BY73" s="37"/>
      <c r="BZ73" s="37"/>
      <c r="CA73" s="37"/>
      <c r="CB73" s="38"/>
      <c r="CC73" s="22"/>
      <c r="CD73" s="37"/>
      <c r="CE73" s="38"/>
      <c r="CF73" s="22">
        <v>69.95</v>
      </c>
      <c r="CG73" s="37"/>
      <c r="CH73" s="38"/>
      <c r="CI73" s="22"/>
      <c r="CJ73" s="38"/>
      <c r="CK73" s="22"/>
      <c r="CL73" s="38"/>
      <c r="CM73" s="22">
        <v>77.61</v>
      </c>
      <c r="CN73" s="37">
        <v>78.790000000000006</v>
      </c>
      <c r="CO73" s="37"/>
      <c r="CP73" s="37"/>
      <c r="CQ73" s="37"/>
      <c r="CR73" s="38"/>
      <c r="CS73" s="22"/>
      <c r="CT73" s="37"/>
      <c r="CU73" s="37"/>
      <c r="CV73" s="38"/>
      <c r="CW73" s="22">
        <v>71.12</v>
      </c>
      <c r="CX73" s="37">
        <v>77.180000000000007</v>
      </c>
      <c r="CY73" s="37">
        <v>71.64</v>
      </c>
      <c r="CZ73" s="38"/>
      <c r="DA73" s="39"/>
      <c r="DB73" s="6"/>
    </row>
    <row r="74" spans="1:106">
      <c r="A74" s="42" t="s">
        <v>325</v>
      </c>
      <c r="B74" s="162" t="s">
        <v>294</v>
      </c>
      <c r="C74" s="160" t="s">
        <v>354</v>
      </c>
      <c r="D74" s="161"/>
      <c r="E74" s="43">
        <v>1100</v>
      </c>
      <c r="F74" s="43"/>
      <c r="G74" s="160">
        <v>1847</v>
      </c>
      <c r="H74" s="162">
        <v>1.6806187443130118</v>
      </c>
      <c r="I74" s="43">
        <v>2</v>
      </c>
      <c r="J74" s="160">
        <v>0</v>
      </c>
      <c r="K74" s="161">
        <v>1</v>
      </c>
      <c r="L74" s="161">
        <v>0</v>
      </c>
      <c r="M74" s="161">
        <v>1</v>
      </c>
      <c r="N74" s="162">
        <v>0</v>
      </c>
      <c r="O74" s="160">
        <v>1010</v>
      </c>
      <c r="P74" s="160">
        <v>1</v>
      </c>
      <c r="Q74" s="161">
        <v>0</v>
      </c>
      <c r="R74" s="161">
        <v>0</v>
      </c>
      <c r="S74" s="162">
        <v>1</v>
      </c>
      <c r="T74" s="160">
        <v>1100</v>
      </c>
      <c r="U74" s="160">
        <v>0</v>
      </c>
      <c r="V74" s="161">
        <v>0</v>
      </c>
      <c r="W74" s="161">
        <v>0</v>
      </c>
      <c r="X74" s="161">
        <v>1</v>
      </c>
      <c r="Y74" s="162">
        <v>0</v>
      </c>
      <c r="Z74" s="43">
        <v>10</v>
      </c>
      <c r="AA74" s="43">
        <v>1</v>
      </c>
      <c r="AB74" s="43">
        <v>2</v>
      </c>
      <c r="AC74" s="160">
        <v>1</v>
      </c>
      <c r="AD74" s="162">
        <v>3</v>
      </c>
      <c r="AE74" s="160">
        <v>0</v>
      </c>
      <c r="AF74" s="161">
        <v>1</v>
      </c>
      <c r="AG74" s="161">
        <v>1</v>
      </c>
      <c r="AH74" s="43">
        <v>11</v>
      </c>
      <c r="AI74" s="160">
        <v>1027</v>
      </c>
      <c r="AJ74" s="162">
        <v>1243</v>
      </c>
      <c r="AK74" s="160"/>
      <c r="AL74" s="162">
        <v>1</v>
      </c>
      <c r="AM74" s="160">
        <v>1</v>
      </c>
      <c r="AN74" s="161">
        <v>0</v>
      </c>
      <c r="AO74" s="161">
        <v>0</v>
      </c>
      <c r="AP74" s="161">
        <v>0</v>
      </c>
      <c r="AQ74" s="161">
        <v>0</v>
      </c>
      <c r="AR74" s="161">
        <v>0</v>
      </c>
      <c r="AS74" s="161">
        <v>0</v>
      </c>
      <c r="AT74" s="161">
        <v>32</v>
      </c>
      <c r="AU74" s="161">
        <v>35</v>
      </c>
      <c r="AV74" s="161">
        <v>26</v>
      </c>
      <c r="AW74" s="161">
        <v>50</v>
      </c>
      <c r="AX74" s="162">
        <v>0</v>
      </c>
      <c r="AY74" s="160">
        <v>0</v>
      </c>
      <c r="AZ74" s="161">
        <v>0</v>
      </c>
      <c r="BA74" s="161">
        <v>0</v>
      </c>
      <c r="BB74" s="162">
        <v>0</v>
      </c>
      <c r="BC74" s="160">
        <v>0</v>
      </c>
      <c r="BD74" s="162">
        <v>0</v>
      </c>
      <c r="BE74" s="43">
        <v>126</v>
      </c>
      <c r="BF74" s="160">
        <v>1</v>
      </c>
      <c r="BG74" s="161">
        <v>0</v>
      </c>
      <c r="BH74" s="161"/>
      <c r="BI74" s="161">
        <v>0</v>
      </c>
      <c r="BJ74" s="160">
        <v>0</v>
      </c>
      <c r="BK74" s="161">
        <v>1</v>
      </c>
      <c r="BL74" s="160"/>
      <c r="BM74" s="161"/>
      <c r="BN74" s="161"/>
      <c r="BO74" s="161"/>
      <c r="BP74" s="161"/>
      <c r="BQ74" s="161"/>
      <c r="BR74" s="161"/>
      <c r="BS74" s="161"/>
      <c r="BT74" s="162"/>
      <c r="BU74" s="160"/>
      <c r="BV74" s="161"/>
      <c r="BW74" s="161"/>
      <c r="BX74" s="161"/>
      <c r="BY74" s="161"/>
      <c r="BZ74" s="161"/>
      <c r="CA74" s="161"/>
      <c r="CB74" s="162"/>
      <c r="CC74" s="160"/>
      <c r="CD74" s="161"/>
      <c r="CE74" s="162"/>
      <c r="CF74" s="160"/>
      <c r="CG74" s="161"/>
      <c r="CH74" s="162"/>
      <c r="CI74" s="160"/>
      <c r="CJ74" s="162"/>
      <c r="CK74" s="160"/>
      <c r="CL74" s="162"/>
      <c r="CM74" s="160"/>
      <c r="CN74" s="161"/>
      <c r="CO74" s="161"/>
      <c r="CP74" s="161"/>
      <c r="CQ74" s="161"/>
      <c r="CR74" s="162"/>
      <c r="CS74" s="160"/>
      <c r="CT74" s="161"/>
      <c r="CU74" s="161"/>
      <c r="CV74" s="162"/>
      <c r="CW74" s="160"/>
      <c r="CX74" s="161"/>
      <c r="CY74" s="161"/>
      <c r="CZ74" s="162"/>
      <c r="DA74" s="43"/>
      <c r="DB74" s="6"/>
    </row>
    <row r="75" spans="1:106">
      <c r="A75" s="42" t="s">
        <v>325</v>
      </c>
      <c r="B75" s="17" t="s">
        <v>294</v>
      </c>
      <c r="C75" s="16" t="s">
        <v>355</v>
      </c>
      <c r="D75" s="1"/>
      <c r="E75" s="18">
        <v>1000</v>
      </c>
      <c r="F75" s="18"/>
      <c r="G75" s="16">
        <v>7652</v>
      </c>
      <c r="H75" s="17">
        <v>2.05037513397642</v>
      </c>
      <c r="I75" s="18">
        <v>4</v>
      </c>
      <c r="J75" s="16">
        <v>0</v>
      </c>
      <c r="K75" s="1">
        <v>0</v>
      </c>
      <c r="L75" s="1">
        <v>1</v>
      </c>
      <c r="M75" s="1">
        <v>1</v>
      </c>
      <c r="N75" s="17">
        <v>0</v>
      </c>
      <c r="O75" s="16">
        <v>110</v>
      </c>
      <c r="P75" s="16">
        <v>1</v>
      </c>
      <c r="Q75" s="1">
        <v>0</v>
      </c>
      <c r="R75" s="1">
        <v>0</v>
      </c>
      <c r="S75" s="17">
        <v>0</v>
      </c>
      <c r="T75" s="16">
        <v>1000</v>
      </c>
      <c r="U75" s="16">
        <v>0</v>
      </c>
      <c r="V75" s="1">
        <v>0</v>
      </c>
      <c r="W75" s="1">
        <v>1</v>
      </c>
      <c r="X75" s="1">
        <v>1</v>
      </c>
      <c r="Y75" s="17">
        <v>0</v>
      </c>
      <c r="Z75" s="18">
        <v>110</v>
      </c>
      <c r="AA75" s="18">
        <v>2</v>
      </c>
      <c r="AB75" s="18">
        <v>2</v>
      </c>
      <c r="AC75" s="16">
        <v>1</v>
      </c>
      <c r="AD75" s="17">
        <v>2</v>
      </c>
      <c r="AE75" s="16">
        <v>0</v>
      </c>
      <c r="AF75" s="1">
        <v>1</v>
      </c>
      <c r="AG75" s="1">
        <v>1</v>
      </c>
      <c r="AH75" s="18">
        <v>11</v>
      </c>
      <c r="AI75" s="16">
        <v>2713</v>
      </c>
      <c r="AJ75" s="17">
        <v>4409</v>
      </c>
      <c r="AK75" s="16"/>
      <c r="AL75" s="17">
        <v>1</v>
      </c>
      <c r="AM75" s="16">
        <v>1</v>
      </c>
      <c r="AN75" s="1">
        <v>10</v>
      </c>
      <c r="AO75" s="1">
        <v>38</v>
      </c>
      <c r="AP75" s="1">
        <v>0</v>
      </c>
      <c r="AQ75" s="1">
        <v>0</v>
      </c>
      <c r="AR75" s="1">
        <v>8</v>
      </c>
      <c r="AS75" s="1">
        <v>180</v>
      </c>
      <c r="AT75" s="1">
        <v>15</v>
      </c>
      <c r="AU75" s="1">
        <v>309</v>
      </c>
      <c r="AV75" s="1">
        <v>55</v>
      </c>
      <c r="AW75" s="1">
        <v>428</v>
      </c>
      <c r="AX75" s="17">
        <v>0</v>
      </c>
      <c r="AY75" s="16">
        <v>0</v>
      </c>
      <c r="AZ75" s="1">
        <v>0</v>
      </c>
      <c r="BA75" s="1">
        <v>0</v>
      </c>
      <c r="BB75" s="17">
        <v>0</v>
      </c>
      <c r="BC75" s="16">
        <v>0</v>
      </c>
      <c r="BD75" s="17">
        <v>0</v>
      </c>
      <c r="BE75" s="18">
        <v>136</v>
      </c>
      <c r="BF75" s="16">
        <v>0</v>
      </c>
      <c r="BG75" s="1">
        <v>1</v>
      </c>
      <c r="BH75" s="1">
        <v>0</v>
      </c>
      <c r="BI75" s="1">
        <v>0</v>
      </c>
      <c r="BJ75" s="16">
        <v>0</v>
      </c>
      <c r="BK75" s="1">
        <v>1</v>
      </c>
      <c r="BL75" s="16">
        <v>78.8</v>
      </c>
      <c r="BM75" s="1"/>
      <c r="BN75" s="1"/>
      <c r="BO75" s="1"/>
      <c r="BP75" s="1"/>
      <c r="BQ75" s="1"/>
      <c r="BR75" s="1"/>
      <c r="BS75" s="1"/>
      <c r="BT75" s="17"/>
      <c r="BU75" s="16">
        <v>78.19</v>
      </c>
      <c r="BV75" s="1">
        <v>77.13</v>
      </c>
      <c r="BW75" s="1">
        <v>77.66</v>
      </c>
      <c r="BX75" s="1"/>
      <c r="BY75" s="1"/>
      <c r="BZ75" s="1"/>
      <c r="CA75" s="1"/>
      <c r="CB75" s="17"/>
      <c r="CC75" s="16"/>
      <c r="CD75" s="1"/>
      <c r="CE75" s="17"/>
      <c r="CF75" s="16">
        <v>68.67</v>
      </c>
      <c r="CG75" s="1"/>
      <c r="CH75" s="17"/>
      <c r="CI75" s="16"/>
      <c r="CJ75" s="17"/>
      <c r="CK75" s="16"/>
      <c r="CL75" s="17"/>
      <c r="CM75" s="16"/>
      <c r="CN75" s="1"/>
      <c r="CO75" s="1"/>
      <c r="CP75" s="1"/>
      <c r="CQ75" s="1"/>
      <c r="CR75" s="17"/>
      <c r="CS75" s="16"/>
      <c r="CT75" s="1"/>
      <c r="CU75" s="1"/>
      <c r="CV75" s="17"/>
      <c r="CW75" s="16">
        <v>78.75</v>
      </c>
      <c r="CX75" s="1"/>
      <c r="CY75" s="1"/>
      <c r="CZ75" s="17"/>
      <c r="DA75" s="18"/>
      <c r="DB75" s="6"/>
    </row>
    <row r="76" spans="1:106">
      <c r="A76" s="42" t="s">
        <v>325</v>
      </c>
      <c r="B76" s="17" t="s">
        <v>294</v>
      </c>
      <c r="C76" s="16" t="s">
        <v>104</v>
      </c>
      <c r="D76" s="1"/>
      <c r="E76" s="18">
        <v>1000</v>
      </c>
      <c r="F76" s="18"/>
      <c r="G76" s="16">
        <v>6236</v>
      </c>
      <c r="H76" s="17">
        <v>1.3002502085070893</v>
      </c>
      <c r="I76" s="18">
        <v>2</v>
      </c>
      <c r="J76" s="16">
        <v>0</v>
      </c>
      <c r="K76" s="1">
        <v>0</v>
      </c>
      <c r="L76" s="1">
        <v>1</v>
      </c>
      <c r="M76" s="1">
        <v>0</v>
      </c>
      <c r="N76" s="17">
        <v>0</v>
      </c>
      <c r="O76" s="16">
        <v>100</v>
      </c>
      <c r="P76" s="16">
        <v>1</v>
      </c>
      <c r="Q76" s="1">
        <v>0</v>
      </c>
      <c r="R76" s="1">
        <v>0</v>
      </c>
      <c r="S76" s="17">
        <v>0</v>
      </c>
      <c r="T76" s="16">
        <v>1000</v>
      </c>
      <c r="U76" s="16">
        <v>1</v>
      </c>
      <c r="V76" s="1">
        <v>0</v>
      </c>
      <c r="W76" s="1">
        <v>1</v>
      </c>
      <c r="X76" s="1">
        <v>0</v>
      </c>
      <c r="Y76" s="17">
        <v>0</v>
      </c>
      <c r="Z76" s="18">
        <v>10100</v>
      </c>
      <c r="AA76" s="18">
        <v>2</v>
      </c>
      <c r="AB76" s="18">
        <v>2</v>
      </c>
      <c r="AC76" s="16">
        <v>1</v>
      </c>
      <c r="AD76" s="17">
        <v>2</v>
      </c>
      <c r="AE76" s="16">
        <v>0</v>
      </c>
      <c r="AF76" s="1">
        <v>0</v>
      </c>
      <c r="AG76" s="1">
        <v>1</v>
      </c>
      <c r="AH76" s="18">
        <v>1</v>
      </c>
      <c r="AI76" s="16">
        <v>3970</v>
      </c>
      <c r="AJ76" s="17">
        <v>4796</v>
      </c>
      <c r="AK76" s="16"/>
      <c r="AL76" s="17">
        <v>1</v>
      </c>
      <c r="AM76" s="16">
        <v>1</v>
      </c>
      <c r="AN76" s="1">
        <v>6</v>
      </c>
      <c r="AO76" s="1">
        <v>96</v>
      </c>
      <c r="AP76" s="1">
        <v>0</v>
      </c>
      <c r="AQ76" s="1">
        <v>0</v>
      </c>
      <c r="AR76" s="1">
        <v>11</v>
      </c>
      <c r="AS76" s="1">
        <v>150</v>
      </c>
      <c r="AT76" s="1">
        <v>15</v>
      </c>
      <c r="AU76" s="1">
        <v>309</v>
      </c>
      <c r="AV76" s="1">
        <v>22</v>
      </c>
      <c r="AW76" s="1">
        <v>457</v>
      </c>
      <c r="AX76" s="17">
        <v>0</v>
      </c>
      <c r="AY76" s="16">
        <v>0</v>
      </c>
      <c r="AZ76" s="1">
        <v>0</v>
      </c>
      <c r="BA76" s="1">
        <v>0</v>
      </c>
      <c r="BB76" s="17">
        <v>0</v>
      </c>
      <c r="BC76" s="16">
        <v>0</v>
      </c>
      <c r="BD76" s="17">
        <v>0</v>
      </c>
      <c r="BE76" s="18">
        <v>131</v>
      </c>
      <c r="BF76" s="16">
        <v>1</v>
      </c>
      <c r="BG76" s="1">
        <v>1</v>
      </c>
      <c r="BH76" s="1"/>
      <c r="BI76" s="1">
        <v>0</v>
      </c>
      <c r="BJ76" s="16">
        <v>0</v>
      </c>
      <c r="BK76" s="1">
        <v>1</v>
      </c>
      <c r="BL76" s="16">
        <v>77.45</v>
      </c>
      <c r="BM76" s="1">
        <v>77.14</v>
      </c>
      <c r="BN76" s="1">
        <v>77.319999999999993</v>
      </c>
      <c r="BO76" s="1">
        <v>77.59</v>
      </c>
      <c r="BP76" s="1">
        <v>78.53</v>
      </c>
      <c r="BQ76" s="1"/>
      <c r="BR76" s="1"/>
      <c r="BS76" s="1"/>
      <c r="BT76" s="17"/>
      <c r="BU76" s="16">
        <v>74.34</v>
      </c>
      <c r="BV76" s="1">
        <v>74.41</v>
      </c>
      <c r="BW76" s="1"/>
      <c r="BX76" s="1"/>
      <c r="BY76" s="1"/>
      <c r="BZ76" s="1"/>
      <c r="CA76" s="1"/>
      <c r="CB76" s="17"/>
      <c r="CC76" s="16"/>
      <c r="CD76" s="1"/>
      <c r="CE76" s="17"/>
      <c r="CF76" s="16">
        <v>64.73</v>
      </c>
      <c r="CG76" s="1"/>
      <c r="CH76" s="17"/>
      <c r="CI76" s="16"/>
      <c r="CJ76" s="17"/>
      <c r="CK76" s="16"/>
      <c r="CL76" s="17"/>
      <c r="CM76" s="16"/>
      <c r="CN76" s="1"/>
      <c r="CO76" s="1"/>
      <c r="CP76" s="1"/>
      <c r="CQ76" s="1"/>
      <c r="CR76" s="17"/>
      <c r="CS76" s="16"/>
      <c r="CT76" s="1"/>
      <c r="CU76" s="1"/>
      <c r="CV76" s="17"/>
      <c r="CW76" s="16"/>
      <c r="CX76" s="1"/>
      <c r="CY76" s="1"/>
      <c r="CZ76" s="17"/>
      <c r="DA76" s="18"/>
      <c r="DB76" s="6"/>
    </row>
    <row r="77" spans="1:106">
      <c r="A77" s="42" t="s">
        <v>325</v>
      </c>
      <c r="B77" s="17" t="s">
        <v>294</v>
      </c>
      <c r="C77" s="16" t="s">
        <v>149</v>
      </c>
      <c r="D77" s="1"/>
      <c r="E77" s="18">
        <v>1000</v>
      </c>
      <c r="F77" s="18"/>
      <c r="G77" s="16">
        <v>8385</v>
      </c>
      <c r="H77" s="17">
        <v>1.3478540427583989</v>
      </c>
      <c r="I77" s="18">
        <v>3</v>
      </c>
      <c r="J77" s="16">
        <v>0</v>
      </c>
      <c r="K77" s="1">
        <v>0</v>
      </c>
      <c r="L77" s="1">
        <v>1</v>
      </c>
      <c r="M77" s="1">
        <v>0</v>
      </c>
      <c r="N77" s="17">
        <v>0</v>
      </c>
      <c r="O77" s="16">
        <v>100</v>
      </c>
      <c r="P77" s="16">
        <v>1</v>
      </c>
      <c r="Q77" s="1">
        <v>0</v>
      </c>
      <c r="R77" s="1">
        <v>0</v>
      </c>
      <c r="S77" s="17">
        <v>0</v>
      </c>
      <c r="T77" s="16">
        <v>1000</v>
      </c>
      <c r="U77" s="16">
        <v>0</v>
      </c>
      <c r="V77" s="1">
        <v>2</v>
      </c>
      <c r="W77" s="1">
        <v>0</v>
      </c>
      <c r="X77" s="1">
        <v>0</v>
      </c>
      <c r="Y77" s="17">
        <v>0</v>
      </c>
      <c r="Z77" s="18">
        <v>2000</v>
      </c>
      <c r="AA77" s="18">
        <v>2</v>
      </c>
      <c r="AB77" s="18">
        <v>2</v>
      </c>
      <c r="AC77" s="16">
        <v>1</v>
      </c>
      <c r="AD77" s="17">
        <v>3</v>
      </c>
      <c r="AE77" s="16">
        <v>0</v>
      </c>
      <c r="AF77" s="1">
        <v>1</v>
      </c>
      <c r="AG77" s="1">
        <v>1</v>
      </c>
      <c r="AH77" s="18">
        <v>11</v>
      </c>
      <c r="AI77" s="16">
        <v>3645</v>
      </c>
      <c r="AJ77" s="17">
        <v>5058</v>
      </c>
      <c r="AK77" s="16">
        <v>40</v>
      </c>
      <c r="AL77" s="17">
        <v>1</v>
      </c>
      <c r="AM77" s="16">
        <v>6</v>
      </c>
      <c r="AN77" s="1">
        <v>5</v>
      </c>
      <c r="AO77" s="1">
        <v>331</v>
      </c>
      <c r="AP77" s="1">
        <v>0</v>
      </c>
      <c r="AQ77" s="1">
        <v>0</v>
      </c>
      <c r="AR77" s="1">
        <v>9</v>
      </c>
      <c r="AS77" s="1">
        <v>337</v>
      </c>
      <c r="AT77" s="1">
        <v>13</v>
      </c>
      <c r="AU77" s="1">
        <v>640</v>
      </c>
      <c r="AV77" s="1">
        <v>109</v>
      </c>
      <c r="AW77" s="1">
        <v>1755</v>
      </c>
      <c r="AX77" s="17">
        <v>0</v>
      </c>
      <c r="AY77" s="16">
        <v>0</v>
      </c>
      <c r="AZ77" s="1">
        <v>1</v>
      </c>
      <c r="BA77" s="1">
        <v>0</v>
      </c>
      <c r="BB77" s="17">
        <v>1</v>
      </c>
      <c r="BC77" s="16">
        <v>8</v>
      </c>
      <c r="BD77" s="17">
        <v>101</v>
      </c>
      <c r="BE77" s="18">
        <v>140</v>
      </c>
      <c r="BF77" s="16">
        <v>0</v>
      </c>
      <c r="BG77" s="1">
        <v>1</v>
      </c>
      <c r="BH77" s="1"/>
      <c r="BI77" s="1">
        <v>0</v>
      </c>
      <c r="BJ77" s="16">
        <v>0</v>
      </c>
      <c r="BK77" s="1">
        <v>1</v>
      </c>
      <c r="BL77" s="16">
        <v>78.23</v>
      </c>
      <c r="BM77" s="1">
        <v>78.61</v>
      </c>
      <c r="BN77" s="1">
        <v>79.64</v>
      </c>
      <c r="BO77" s="1">
        <v>76.45</v>
      </c>
      <c r="BP77" s="1">
        <v>75.069999999999993</v>
      </c>
      <c r="BQ77" s="1">
        <v>76.489999999999995</v>
      </c>
      <c r="BR77" s="1">
        <v>75.319999999999993</v>
      </c>
      <c r="BS77" s="1">
        <v>78.3</v>
      </c>
      <c r="BT77" s="17">
        <v>76.56</v>
      </c>
      <c r="BU77" s="16"/>
      <c r="BV77" s="1"/>
      <c r="BW77" s="1"/>
      <c r="BX77" s="1"/>
      <c r="BY77" s="1"/>
      <c r="BZ77" s="1"/>
      <c r="CA77" s="1"/>
      <c r="CB77" s="17"/>
      <c r="CC77" s="16">
        <v>71.27</v>
      </c>
      <c r="CD77" s="1">
        <v>72.040000000000006</v>
      </c>
      <c r="CE77" s="17"/>
      <c r="CF77" s="16"/>
      <c r="CG77" s="1"/>
      <c r="CH77" s="17"/>
      <c r="CI77" s="16">
        <v>62.34</v>
      </c>
      <c r="CJ77" s="17"/>
      <c r="CK77" s="16"/>
      <c r="CL77" s="17"/>
      <c r="CM77" s="16"/>
      <c r="CN77" s="1"/>
      <c r="CO77" s="1"/>
      <c r="CP77" s="1"/>
      <c r="CQ77" s="1"/>
      <c r="CR77" s="17"/>
      <c r="CS77" s="16"/>
      <c r="CT77" s="1"/>
      <c r="CU77" s="1"/>
      <c r="CV77" s="17"/>
      <c r="CW77" s="16"/>
      <c r="CX77" s="1"/>
      <c r="CY77" s="1"/>
      <c r="CZ77" s="17"/>
      <c r="DA77" s="18"/>
      <c r="DB77" s="6"/>
    </row>
    <row r="78" spans="1:106">
      <c r="A78" s="42" t="s">
        <v>325</v>
      </c>
      <c r="B78" s="17" t="s">
        <v>294</v>
      </c>
      <c r="C78" s="16" t="s">
        <v>107</v>
      </c>
      <c r="D78" s="1"/>
      <c r="E78" s="18">
        <v>1100</v>
      </c>
      <c r="F78" s="18"/>
      <c r="G78" s="16">
        <v>6252</v>
      </c>
      <c r="H78" s="17">
        <v>3.7617328519855597</v>
      </c>
      <c r="I78" s="18">
        <v>4</v>
      </c>
      <c r="J78" s="16">
        <v>0</v>
      </c>
      <c r="K78" s="1">
        <v>1</v>
      </c>
      <c r="L78" s="1">
        <v>1</v>
      </c>
      <c r="M78" s="1">
        <v>0</v>
      </c>
      <c r="N78" s="17">
        <v>0</v>
      </c>
      <c r="O78" s="16">
        <v>1100</v>
      </c>
      <c r="P78" s="16">
        <v>1</v>
      </c>
      <c r="Q78" s="1">
        <v>0</v>
      </c>
      <c r="R78" s="1">
        <v>0</v>
      </c>
      <c r="S78" s="17">
        <v>1</v>
      </c>
      <c r="T78" s="16">
        <v>1100</v>
      </c>
      <c r="U78" s="16">
        <v>0</v>
      </c>
      <c r="V78" s="1">
        <v>0</v>
      </c>
      <c r="W78" s="1">
        <v>0</v>
      </c>
      <c r="X78" s="1">
        <v>1</v>
      </c>
      <c r="Y78" s="17">
        <v>0</v>
      </c>
      <c r="Z78" s="18">
        <v>10</v>
      </c>
      <c r="AA78" s="18">
        <v>1</v>
      </c>
      <c r="AB78" s="18">
        <v>2</v>
      </c>
      <c r="AC78" s="16">
        <v>1</v>
      </c>
      <c r="AD78" s="17">
        <v>2</v>
      </c>
      <c r="AE78" s="16">
        <v>0</v>
      </c>
      <c r="AF78" s="1">
        <v>0</v>
      </c>
      <c r="AG78" s="1">
        <v>1</v>
      </c>
      <c r="AH78" s="18">
        <v>1</v>
      </c>
      <c r="AI78" s="16">
        <v>1023</v>
      </c>
      <c r="AJ78" s="17">
        <v>3449</v>
      </c>
      <c r="AK78" s="16"/>
      <c r="AL78" s="17">
        <v>1</v>
      </c>
      <c r="AM78" s="16">
        <v>1</v>
      </c>
      <c r="AN78" s="1">
        <v>0</v>
      </c>
      <c r="AO78" s="1">
        <v>14</v>
      </c>
      <c r="AP78" s="1">
        <v>0</v>
      </c>
      <c r="AQ78" s="1">
        <v>0</v>
      </c>
      <c r="AR78" s="1">
        <v>12</v>
      </c>
      <c r="AS78" s="1">
        <v>85</v>
      </c>
      <c r="AT78" s="1">
        <v>9</v>
      </c>
      <c r="AU78" s="1">
        <v>48</v>
      </c>
      <c r="AV78" s="1">
        <v>19</v>
      </c>
      <c r="AW78" s="1">
        <v>62</v>
      </c>
      <c r="AX78" s="17">
        <v>0</v>
      </c>
      <c r="AY78" s="16">
        <v>0</v>
      </c>
      <c r="AZ78" s="1">
        <v>0</v>
      </c>
      <c r="BA78" s="1">
        <v>0</v>
      </c>
      <c r="BB78" s="17">
        <v>0</v>
      </c>
      <c r="BC78" s="16">
        <v>0</v>
      </c>
      <c r="BD78" s="17">
        <v>0</v>
      </c>
      <c r="BE78" s="18">
        <v>128</v>
      </c>
      <c r="BF78" s="16">
        <v>1</v>
      </c>
      <c r="BG78" s="1">
        <v>1</v>
      </c>
      <c r="BH78" s="1">
        <v>0</v>
      </c>
      <c r="BI78" s="1">
        <v>0</v>
      </c>
      <c r="BJ78" s="16">
        <v>0</v>
      </c>
      <c r="BK78" s="1">
        <v>1</v>
      </c>
      <c r="BL78" s="16"/>
      <c r="BM78" s="1"/>
      <c r="BN78" s="1"/>
      <c r="BO78" s="1"/>
      <c r="BP78" s="1"/>
      <c r="BQ78" s="1"/>
      <c r="BR78" s="1"/>
      <c r="BS78" s="1"/>
      <c r="BT78" s="17"/>
      <c r="BU78" s="16"/>
      <c r="BV78" s="1"/>
      <c r="BW78" s="1"/>
      <c r="BX78" s="1"/>
      <c r="BY78" s="1"/>
      <c r="BZ78" s="1"/>
      <c r="CA78" s="1"/>
      <c r="CB78" s="17"/>
      <c r="CC78" s="16"/>
      <c r="CD78" s="1"/>
      <c r="CE78" s="17"/>
      <c r="CF78" s="16"/>
      <c r="CG78" s="1"/>
      <c r="CH78" s="17"/>
      <c r="CI78" s="16"/>
      <c r="CJ78" s="17"/>
      <c r="CK78" s="16"/>
      <c r="CL78" s="17"/>
      <c r="CM78" s="16"/>
      <c r="CN78" s="1"/>
      <c r="CO78" s="1"/>
      <c r="CP78" s="1"/>
      <c r="CQ78" s="1"/>
      <c r="CR78" s="17"/>
      <c r="CS78" s="16"/>
      <c r="CT78" s="1"/>
      <c r="CU78" s="1"/>
      <c r="CV78" s="17"/>
      <c r="CW78" s="16"/>
      <c r="CX78" s="1"/>
      <c r="CY78" s="1"/>
      <c r="CZ78" s="17"/>
      <c r="DA78" s="18"/>
      <c r="DB78" s="6"/>
    </row>
    <row r="79" spans="1:106">
      <c r="A79" s="42" t="s">
        <v>325</v>
      </c>
      <c r="B79" s="17" t="s">
        <v>294</v>
      </c>
      <c r="C79" s="16" t="s">
        <v>151</v>
      </c>
      <c r="D79" s="1"/>
      <c r="E79" s="18">
        <v>1000</v>
      </c>
      <c r="F79" s="18"/>
      <c r="G79" s="16">
        <v>3340</v>
      </c>
      <c r="H79" s="17">
        <v>1.7198764160659115</v>
      </c>
      <c r="I79" s="18">
        <v>3</v>
      </c>
      <c r="J79" s="16">
        <v>0</v>
      </c>
      <c r="K79" s="1">
        <v>0</v>
      </c>
      <c r="L79" s="1">
        <v>1</v>
      </c>
      <c r="M79" s="1">
        <v>1</v>
      </c>
      <c r="N79" s="17">
        <v>0</v>
      </c>
      <c r="O79" s="16">
        <v>110</v>
      </c>
      <c r="P79" s="16">
        <v>1</v>
      </c>
      <c r="Q79" s="1">
        <v>0</v>
      </c>
      <c r="R79" s="1">
        <v>0</v>
      </c>
      <c r="S79" s="17">
        <v>0</v>
      </c>
      <c r="T79" s="16">
        <v>1000</v>
      </c>
      <c r="U79" s="16">
        <v>0</v>
      </c>
      <c r="V79" s="1">
        <v>0</v>
      </c>
      <c r="W79" s="1">
        <v>1</v>
      </c>
      <c r="X79" s="1">
        <v>1</v>
      </c>
      <c r="Y79" s="17">
        <v>0</v>
      </c>
      <c r="Z79" s="18">
        <v>110</v>
      </c>
      <c r="AA79" s="18">
        <v>2</v>
      </c>
      <c r="AB79" s="18">
        <v>2</v>
      </c>
      <c r="AC79" s="16">
        <v>1</v>
      </c>
      <c r="AD79" s="17">
        <v>2</v>
      </c>
      <c r="AE79" s="16">
        <v>0</v>
      </c>
      <c r="AF79" s="1">
        <v>1</v>
      </c>
      <c r="AG79" s="1">
        <v>1</v>
      </c>
      <c r="AH79" s="18">
        <v>11</v>
      </c>
      <c r="AI79" s="16">
        <v>1465</v>
      </c>
      <c r="AJ79" s="17">
        <v>1947</v>
      </c>
      <c r="AK79" s="16">
        <v>17</v>
      </c>
      <c r="AL79" s="17">
        <v>1</v>
      </c>
      <c r="AM79" s="16">
        <v>0</v>
      </c>
      <c r="AN79" s="1">
        <v>0</v>
      </c>
      <c r="AO79" s="1">
        <v>0</v>
      </c>
      <c r="AP79" s="1">
        <v>0</v>
      </c>
      <c r="AQ79" s="1">
        <v>0</v>
      </c>
      <c r="AR79" s="1">
        <v>0</v>
      </c>
      <c r="AS79" s="1">
        <v>0</v>
      </c>
      <c r="AT79" s="1">
        <v>0</v>
      </c>
      <c r="AU79" s="1">
        <v>0</v>
      </c>
      <c r="AV79" s="1">
        <v>0</v>
      </c>
      <c r="AW79" s="1">
        <v>0</v>
      </c>
      <c r="AX79" s="17">
        <v>0</v>
      </c>
      <c r="AY79" s="16">
        <v>0</v>
      </c>
      <c r="AZ79" s="1">
        <v>0</v>
      </c>
      <c r="BA79" s="1">
        <v>0</v>
      </c>
      <c r="BB79" s="17">
        <v>0</v>
      </c>
      <c r="BC79" s="16">
        <v>0</v>
      </c>
      <c r="BD79" s="17">
        <v>0</v>
      </c>
      <c r="BE79" s="18">
        <v>125</v>
      </c>
      <c r="BF79" s="16">
        <v>1</v>
      </c>
      <c r="BG79" s="1">
        <v>1</v>
      </c>
      <c r="BH79" s="1"/>
      <c r="BI79" s="1">
        <v>0</v>
      </c>
      <c r="BJ79" s="16">
        <v>0</v>
      </c>
      <c r="BK79" s="1">
        <v>1</v>
      </c>
      <c r="BL79" s="16"/>
      <c r="BM79" s="1"/>
      <c r="BN79" s="1"/>
      <c r="BO79" s="1"/>
      <c r="BP79" s="1"/>
      <c r="BQ79" s="1"/>
      <c r="BR79" s="1"/>
      <c r="BS79" s="1"/>
      <c r="BT79" s="17"/>
      <c r="BU79" s="16"/>
      <c r="BV79" s="1"/>
      <c r="BW79" s="1"/>
      <c r="BX79" s="1"/>
      <c r="BY79" s="1"/>
      <c r="BZ79" s="1"/>
      <c r="CA79" s="1"/>
      <c r="CB79" s="17"/>
      <c r="CC79" s="16"/>
      <c r="CD79" s="1"/>
      <c r="CE79" s="17"/>
      <c r="CF79" s="16"/>
      <c r="CG79" s="1"/>
      <c r="CH79" s="17"/>
      <c r="CI79" s="16"/>
      <c r="CJ79" s="17"/>
      <c r="CK79" s="16"/>
      <c r="CL79" s="17"/>
      <c r="CM79" s="16"/>
      <c r="CN79" s="1"/>
      <c r="CO79" s="1"/>
      <c r="CP79" s="1"/>
      <c r="CQ79" s="1"/>
      <c r="CR79" s="17"/>
      <c r="CS79" s="16"/>
      <c r="CT79" s="1"/>
      <c r="CU79" s="1"/>
      <c r="CV79" s="17"/>
      <c r="CW79" s="16"/>
      <c r="CX79" s="1"/>
      <c r="CY79" s="1"/>
      <c r="CZ79" s="17"/>
      <c r="DA79" s="18"/>
      <c r="DB79" s="6"/>
    </row>
    <row r="80" spans="1:106" ht="17" thickBot="1">
      <c r="A80" s="42" t="s">
        <v>325</v>
      </c>
      <c r="B80" s="38" t="s">
        <v>294</v>
      </c>
      <c r="C80" s="22" t="s">
        <v>157</v>
      </c>
      <c r="D80" s="37"/>
      <c r="E80" s="39">
        <v>1000</v>
      </c>
      <c r="F80" s="39"/>
      <c r="G80" s="22">
        <v>4465</v>
      </c>
      <c r="H80" s="38">
        <v>1.3909657320872275</v>
      </c>
      <c r="I80" s="39">
        <v>2</v>
      </c>
      <c r="J80" s="22">
        <v>0</v>
      </c>
      <c r="K80" s="37">
        <v>0</v>
      </c>
      <c r="L80" s="37">
        <v>1</v>
      </c>
      <c r="M80" s="37">
        <v>1</v>
      </c>
      <c r="N80" s="38">
        <v>0</v>
      </c>
      <c r="O80" s="22">
        <v>110</v>
      </c>
      <c r="P80" s="22">
        <v>1</v>
      </c>
      <c r="Q80" s="37">
        <v>0</v>
      </c>
      <c r="R80" s="37">
        <v>0</v>
      </c>
      <c r="S80" s="38">
        <v>0</v>
      </c>
      <c r="T80" s="22">
        <v>1000</v>
      </c>
      <c r="U80" s="22">
        <v>0</v>
      </c>
      <c r="V80" s="37">
        <v>0</v>
      </c>
      <c r="W80" s="37">
        <v>0</v>
      </c>
      <c r="X80" s="37">
        <v>0</v>
      </c>
      <c r="Y80" s="38">
        <v>0</v>
      </c>
      <c r="Z80" s="39">
        <v>0</v>
      </c>
      <c r="AA80" s="39">
        <v>0</v>
      </c>
      <c r="AB80" s="39">
        <v>2</v>
      </c>
      <c r="AC80" s="22">
        <v>1</v>
      </c>
      <c r="AD80" s="38">
        <v>2</v>
      </c>
      <c r="AE80" s="22">
        <v>0</v>
      </c>
      <c r="AF80" s="37">
        <v>0</v>
      </c>
      <c r="AG80" s="37">
        <v>1</v>
      </c>
      <c r="AH80" s="39">
        <v>1</v>
      </c>
      <c r="AI80" s="22">
        <v>2784</v>
      </c>
      <c r="AJ80" s="38">
        <v>3210</v>
      </c>
      <c r="AK80" s="22">
        <v>22</v>
      </c>
      <c r="AL80" s="38">
        <v>1</v>
      </c>
      <c r="AM80" s="22">
        <v>5</v>
      </c>
      <c r="AN80" s="37">
        <v>3</v>
      </c>
      <c r="AO80" s="37">
        <v>57</v>
      </c>
      <c r="AP80" s="37">
        <v>0</v>
      </c>
      <c r="AQ80" s="37">
        <v>0</v>
      </c>
      <c r="AR80" s="37">
        <v>12</v>
      </c>
      <c r="AS80" s="37">
        <v>135</v>
      </c>
      <c r="AT80" s="37">
        <v>13</v>
      </c>
      <c r="AU80" s="37">
        <v>134</v>
      </c>
      <c r="AV80" s="37">
        <v>22</v>
      </c>
      <c r="AW80" s="37">
        <v>350</v>
      </c>
      <c r="AX80" s="38">
        <v>0</v>
      </c>
      <c r="AY80" s="22">
        <v>0</v>
      </c>
      <c r="AZ80" s="37">
        <v>0</v>
      </c>
      <c r="BA80" s="37">
        <v>0</v>
      </c>
      <c r="BB80" s="38">
        <v>0</v>
      </c>
      <c r="BC80" s="22">
        <v>0</v>
      </c>
      <c r="BD80" s="38">
        <v>0</v>
      </c>
      <c r="BE80" s="39">
        <v>134</v>
      </c>
      <c r="BF80" s="22">
        <v>0</v>
      </c>
      <c r="BG80" s="37">
        <v>1</v>
      </c>
      <c r="BH80" s="37"/>
      <c r="BI80" s="37">
        <v>0</v>
      </c>
      <c r="BJ80" s="22">
        <v>0</v>
      </c>
      <c r="BK80" s="37">
        <v>1</v>
      </c>
      <c r="BL80" s="22"/>
      <c r="BM80" s="37"/>
      <c r="BN80" s="37"/>
      <c r="BO80" s="37"/>
      <c r="BP80" s="37"/>
      <c r="BQ80" s="37"/>
      <c r="BR80" s="37"/>
      <c r="BS80" s="37"/>
      <c r="BT80" s="38"/>
      <c r="BU80" s="22"/>
      <c r="BV80" s="37"/>
      <c r="BW80" s="37"/>
      <c r="BX80" s="37"/>
      <c r="BY80" s="37"/>
      <c r="BZ80" s="37"/>
      <c r="CA80" s="37"/>
      <c r="CB80" s="38"/>
      <c r="CC80" s="22"/>
      <c r="CD80" s="37"/>
      <c r="CE80" s="38"/>
      <c r="CF80" s="22"/>
      <c r="CG80" s="37"/>
      <c r="CH80" s="38"/>
      <c r="CI80" s="22"/>
      <c r="CJ80" s="38"/>
      <c r="CK80" s="22"/>
      <c r="CL80" s="38"/>
      <c r="CM80" s="22"/>
      <c r="CN80" s="37"/>
      <c r="CO80" s="37"/>
      <c r="CP80" s="37"/>
      <c r="CQ80" s="37"/>
      <c r="CR80" s="38"/>
      <c r="CS80" s="22"/>
      <c r="CT80" s="37"/>
      <c r="CU80" s="37"/>
      <c r="CV80" s="38"/>
      <c r="CW80" s="22"/>
      <c r="CX80" s="37"/>
      <c r="CY80" s="37"/>
      <c r="CZ80" s="38"/>
      <c r="DA80" s="39"/>
      <c r="DB80" s="6"/>
    </row>
    <row r="81" spans="1:106">
      <c r="A81" s="87" t="s">
        <v>325</v>
      </c>
      <c r="B81" s="17" t="s">
        <v>292</v>
      </c>
      <c r="C81" s="16" t="s">
        <v>66</v>
      </c>
      <c r="D81" s="1"/>
      <c r="E81" s="18">
        <v>1000</v>
      </c>
      <c r="F81" s="18"/>
      <c r="G81" s="16">
        <v>1358</v>
      </c>
      <c r="H81" s="17">
        <v>1.9738372093023255</v>
      </c>
      <c r="I81" s="18">
        <v>2</v>
      </c>
      <c r="J81" s="16">
        <v>0</v>
      </c>
      <c r="K81" s="1">
        <v>0</v>
      </c>
      <c r="L81" s="1">
        <v>1</v>
      </c>
      <c r="M81" s="1">
        <v>0</v>
      </c>
      <c r="N81" s="17">
        <v>0</v>
      </c>
      <c r="O81" s="16">
        <v>100</v>
      </c>
      <c r="P81" s="16">
        <v>1</v>
      </c>
      <c r="Q81" s="1">
        <v>0</v>
      </c>
      <c r="R81" s="1">
        <v>0</v>
      </c>
      <c r="S81" s="17">
        <v>0</v>
      </c>
      <c r="T81" s="16">
        <v>1000</v>
      </c>
      <c r="U81" s="16">
        <v>1</v>
      </c>
      <c r="V81" s="1">
        <v>0</v>
      </c>
      <c r="W81" s="1">
        <v>0</v>
      </c>
      <c r="X81" s="1">
        <v>1</v>
      </c>
      <c r="Y81" s="17">
        <v>0</v>
      </c>
      <c r="Z81" s="18">
        <v>10010</v>
      </c>
      <c r="AA81" s="18">
        <v>2</v>
      </c>
      <c r="AB81" s="18">
        <v>1</v>
      </c>
      <c r="AC81" s="16">
        <v>1</v>
      </c>
      <c r="AD81" s="17">
        <v>2</v>
      </c>
      <c r="AE81" s="16">
        <v>0</v>
      </c>
      <c r="AF81" s="1">
        <v>0</v>
      </c>
      <c r="AG81" s="1">
        <v>1</v>
      </c>
      <c r="AH81" s="18">
        <v>1</v>
      </c>
      <c r="AI81" s="16">
        <v>736</v>
      </c>
      <c r="AJ81" s="17">
        <v>821</v>
      </c>
      <c r="AK81" s="16">
        <v>3</v>
      </c>
      <c r="AL81" s="17">
        <v>1</v>
      </c>
      <c r="AM81" s="16">
        <v>2</v>
      </c>
      <c r="AN81" s="1">
        <v>0</v>
      </c>
      <c r="AO81" s="1">
        <v>0</v>
      </c>
      <c r="AP81" s="1">
        <v>0</v>
      </c>
      <c r="AQ81" s="1">
        <v>0</v>
      </c>
      <c r="AR81" s="1">
        <v>0</v>
      </c>
      <c r="AS81" s="1">
        <v>15</v>
      </c>
      <c r="AT81" s="1">
        <v>0</v>
      </c>
      <c r="AU81" s="1">
        <v>0</v>
      </c>
      <c r="AV81" s="1">
        <v>7</v>
      </c>
      <c r="AW81" s="1">
        <v>410</v>
      </c>
      <c r="AX81" s="17">
        <v>0</v>
      </c>
      <c r="AY81" s="16">
        <v>0</v>
      </c>
      <c r="AZ81" s="1">
        <v>0</v>
      </c>
      <c r="BA81" s="1">
        <v>0</v>
      </c>
      <c r="BB81" s="17">
        <v>0</v>
      </c>
      <c r="BC81" s="16">
        <v>0</v>
      </c>
      <c r="BD81" s="17">
        <v>0</v>
      </c>
      <c r="BE81" s="18">
        <v>99</v>
      </c>
      <c r="BF81" s="16">
        <v>1</v>
      </c>
      <c r="BG81" s="1">
        <v>0</v>
      </c>
      <c r="BH81" s="1">
        <v>0</v>
      </c>
      <c r="BI81" s="1">
        <v>0</v>
      </c>
      <c r="BJ81" s="16">
        <v>0</v>
      </c>
      <c r="BK81" s="1">
        <v>1</v>
      </c>
      <c r="BL81" s="16"/>
      <c r="BM81" s="1"/>
      <c r="BN81" s="1"/>
      <c r="BO81" s="1"/>
      <c r="BP81" s="1"/>
      <c r="BQ81" s="1"/>
      <c r="BR81" s="1"/>
      <c r="BS81" s="1"/>
      <c r="BT81" s="17"/>
      <c r="BU81" s="16"/>
      <c r="BV81" s="1"/>
      <c r="BW81" s="1"/>
      <c r="BX81" s="1"/>
      <c r="BY81" s="1"/>
      <c r="BZ81" s="1"/>
      <c r="CA81" s="1"/>
      <c r="CB81" s="17"/>
      <c r="CC81" s="16"/>
      <c r="CD81" s="1"/>
      <c r="CE81" s="17"/>
      <c r="CF81" s="16"/>
      <c r="CG81" s="1"/>
      <c r="CH81" s="17"/>
      <c r="CI81" s="16"/>
      <c r="CJ81" s="17"/>
      <c r="CK81" s="16"/>
      <c r="CL81" s="17"/>
      <c r="CM81" s="16"/>
      <c r="CN81" s="1"/>
      <c r="CO81" s="1"/>
      <c r="CP81" s="1"/>
      <c r="CQ81" s="1"/>
      <c r="CR81" s="17"/>
      <c r="CS81" s="16"/>
      <c r="CT81" s="1"/>
      <c r="CU81" s="1"/>
      <c r="CV81" s="17"/>
      <c r="CW81" s="16"/>
      <c r="CX81" s="1"/>
      <c r="CY81" s="1"/>
      <c r="CZ81" s="17"/>
      <c r="DA81" s="18"/>
      <c r="DB81" s="6"/>
    </row>
    <row r="82" spans="1:106">
      <c r="A82" s="42" t="s">
        <v>325</v>
      </c>
      <c r="B82" s="17" t="s">
        <v>292</v>
      </c>
      <c r="C82" s="16" t="s">
        <v>69</v>
      </c>
      <c r="D82" s="1"/>
      <c r="E82" s="18">
        <v>100</v>
      </c>
      <c r="F82" s="18"/>
      <c r="G82" s="16">
        <v>1379</v>
      </c>
      <c r="H82" s="17">
        <v>1.2445848375451263</v>
      </c>
      <c r="I82" s="18">
        <v>2</v>
      </c>
      <c r="J82" s="16">
        <v>0</v>
      </c>
      <c r="K82" s="1">
        <v>1</v>
      </c>
      <c r="L82" s="1">
        <v>0</v>
      </c>
      <c r="M82" s="1">
        <v>0</v>
      </c>
      <c r="N82" s="17">
        <v>0</v>
      </c>
      <c r="O82" s="16">
        <v>1000</v>
      </c>
      <c r="P82" s="16">
        <v>1</v>
      </c>
      <c r="Q82" s="1">
        <v>0</v>
      </c>
      <c r="R82" s="1">
        <v>0</v>
      </c>
      <c r="S82" s="17">
        <v>0</v>
      </c>
      <c r="T82" s="16">
        <v>1000</v>
      </c>
      <c r="U82" s="16">
        <v>1</v>
      </c>
      <c r="V82" s="1">
        <v>0</v>
      </c>
      <c r="W82" s="1">
        <v>0</v>
      </c>
      <c r="X82" s="1">
        <v>1</v>
      </c>
      <c r="Y82" s="17">
        <v>0</v>
      </c>
      <c r="Z82" s="18">
        <v>10010</v>
      </c>
      <c r="AA82" s="18">
        <v>2</v>
      </c>
      <c r="AB82" s="18">
        <v>1</v>
      </c>
      <c r="AC82" s="16">
        <v>2</v>
      </c>
      <c r="AD82" s="17">
        <v>3</v>
      </c>
      <c r="AE82" s="16">
        <v>0</v>
      </c>
      <c r="AF82" s="1">
        <v>0</v>
      </c>
      <c r="AG82" s="1">
        <v>1</v>
      </c>
      <c r="AH82" s="18">
        <v>1</v>
      </c>
      <c r="AI82" s="16">
        <v>824</v>
      </c>
      <c r="AJ82" s="17">
        <v>1025</v>
      </c>
      <c r="AK82" s="16">
        <v>9</v>
      </c>
      <c r="AL82" s="17">
        <v>1</v>
      </c>
      <c r="AM82" s="16">
        <v>0</v>
      </c>
      <c r="AN82" s="1">
        <v>0</v>
      </c>
      <c r="AO82" s="1">
        <v>0</v>
      </c>
      <c r="AP82" s="1">
        <v>0</v>
      </c>
      <c r="AQ82" s="1">
        <v>0</v>
      </c>
      <c r="AR82" s="1">
        <v>0</v>
      </c>
      <c r="AS82" s="1">
        <v>0</v>
      </c>
      <c r="AT82" s="1">
        <v>0</v>
      </c>
      <c r="AU82" s="1">
        <v>0</v>
      </c>
      <c r="AV82" s="1">
        <v>0</v>
      </c>
      <c r="AW82" s="1">
        <v>0</v>
      </c>
      <c r="AX82" s="17">
        <v>0</v>
      </c>
      <c r="AY82" s="16">
        <v>0</v>
      </c>
      <c r="AZ82" s="1">
        <v>0</v>
      </c>
      <c r="BA82" s="1">
        <v>0</v>
      </c>
      <c r="BB82" s="17">
        <v>0</v>
      </c>
      <c r="BC82" s="16">
        <v>0</v>
      </c>
      <c r="BD82" s="17">
        <v>0</v>
      </c>
      <c r="BE82" s="18"/>
      <c r="BF82" s="16">
        <v>1</v>
      </c>
      <c r="BG82" s="1">
        <v>1</v>
      </c>
      <c r="BH82" s="1">
        <v>0</v>
      </c>
      <c r="BI82" s="1">
        <v>0</v>
      </c>
      <c r="BJ82" s="16">
        <v>0</v>
      </c>
      <c r="BK82" s="1">
        <v>1</v>
      </c>
      <c r="BL82" s="16"/>
      <c r="BM82" s="1"/>
      <c r="BN82" s="1"/>
      <c r="BO82" s="1"/>
      <c r="BP82" s="1"/>
      <c r="BQ82" s="1"/>
      <c r="BR82" s="1"/>
      <c r="BS82" s="1"/>
      <c r="BT82" s="17"/>
      <c r="BU82" s="16"/>
      <c r="BV82" s="1"/>
      <c r="BW82" s="1"/>
      <c r="BX82" s="1"/>
      <c r="BY82" s="1"/>
      <c r="BZ82" s="1"/>
      <c r="CA82" s="1"/>
      <c r="CB82" s="17"/>
      <c r="CC82" s="16"/>
      <c r="CD82" s="1"/>
      <c r="CE82" s="17"/>
      <c r="CF82" s="16"/>
      <c r="CG82" s="1"/>
      <c r="CH82" s="17"/>
      <c r="CI82" s="16"/>
      <c r="CJ82" s="17"/>
      <c r="CK82" s="16"/>
      <c r="CL82" s="17"/>
      <c r="CM82" s="16"/>
      <c r="CN82" s="1"/>
      <c r="CO82" s="1"/>
      <c r="CP82" s="1"/>
      <c r="CQ82" s="1"/>
      <c r="CR82" s="17"/>
      <c r="CS82" s="16"/>
      <c r="CT82" s="1"/>
      <c r="CU82" s="1"/>
      <c r="CV82" s="17"/>
      <c r="CW82" s="16"/>
      <c r="CX82" s="1"/>
      <c r="CY82" s="1"/>
      <c r="CZ82" s="17"/>
      <c r="DA82" s="18"/>
      <c r="DB82" s="6"/>
    </row>
    <row r="83" spans="1:106">
      <c r="A83" s="42" t="s">
        <v>325</v>
      </c>
      <c r="B83" s="17" t="s">
        <v>292</v>
      </c>
      <c r="C83" s="16" t="s">
        <v>75</v>
      </c>
      <c r="D83" s="1"/>
      <c r="E83" s="18">
        <v>10</v>
      </c>
      <c r="F83" s="18"/>
      <c r="G83" s="16">
        <v>2136</v>
      </c>
      <c r="H83" s="17">
        <v>1.6885375494071146</v>
      </c>
      <c r="I83" s="18">
        <v>2</v>
      </c>
      <c r="J83" s="16">
        <v>0</v>
      </c>
      <c r="K83" s="1">
        <v>0</v>
      </c>
      <c r="L83" s="1">
        <v>1</v>
      </c>
      <c r="M83" s="1">
        <v>0</v>
      </c>
      <c r="N83" s="17">
        <v>0</v>
      </c>
      <c r="O83" s="16">
        <v>100</v>
      </c>
      <c r="P83" s="16">
        <v>0</v>
      </c>
      <c r="Q83" s="1">
        <v>1</v>
      </c>
      <c r="R83" s="1">
        <v>0</v>
      </c>
      <c r="S83" s="17">
        <v>0</v>
      </c>
      <c r="T83" s="16">
        <v>10</v>
      </c>
      <c r="U83" s="16">
        <v>1</v>
      </c>
      <c r="V83" s="1">
        <v>0</v>
      </c>
      <c r="W83" s="1">
        <v>0</v>
      </c>
      <c r="X83" s="1">
        <v>0</v>
      </c>
      <c r="Y83" s="17">
        <v>0</v>
      </c>
      <c r="Z83" s="18">
        <v>10000</v>
      </c>
      <c r="AA83" s="18">
        <v>1</v>
      </c>
      <c r="AB83" s="18">
        <v>0</v>
      </c>
      <c r="AC83" s="16">
        <v>0</v>
      </c>
      <c r="AD83" s="17">
        <v>0</v>
      </c>
      <c r="AE83" s="16">
        <v>1</v>
      </c>
      <c r="AF83" s="1">
        <v>0</v>
      </c>
      <c r="AG83" s="1">
        <v>0</v>
      </c>
      <c r="AH83" s="18">
        <v>100</v>
      </c>
      <c r="AI83" s="16">
        <v>1196</v>
      </c>
      <c r="AJ83" s="17">
        <v>1574</v>
      </c>
      <c r="AK83" s="16">
        <v>5</v>
      </c>
      <c r="AL83" s="17">
        <v>1</v>
      </c>
      <c r="AM83" s="16">
        <v>10</v>
      </c>
      <c r="AN83" s="1">
        <v>0</v>
      </c>
      <c r="AO83" s="1">
        <v>0</v>
      </c>
      <c r="AP83" s="1">
        <v>0</v>
      </c>
      <c r="AQ83" s="1">
        <v>0</v>
      </c>
      <c r="AR83" s="1">
        <v>0</v>
      </c>
      <c r="AS83" s="1">
        <v>106</v>
      </c>
      <c r="AT83" s="1">
        <v>53</v>
      </c>
      <c r="AU83" s="1">
        <v>614</v>
      </c>
      <c r="AV83" s="1">
        <v>11</v>
      </c>
      <c r="AW83" s="1">
        <v>185</v>
      </c>
      <c r="AX83" s="17">
        <v>0</v>
      </c>
      <c r="AY83" s="16">
        <v>0</v>
      </c>
      <c r="AZ83" s="1">
        <v>0</v>
      </c>
      <c r="BA83" s="1">
        <v>0</v>
      </c>
      <c r="BB83" s="17">
        <v>0</v>
      </c>
      <c r="BC83" s="16">
        <v>0</v>
      </c>
      <c r="BD83" s="17">
        <v>0</v>
      </c>
      <c r="BE83" s="18">
        <v>128</v>
      </c>
      <c r="BF83" s="16">
        <v>1</v>
      </c>
      <c r="BG83" s="1">
        <v>0</v>
      </c>
      <c r="BH83" s="1">
        <v>0</v>
      </c>
      <c r="BI83" s="1">
        <v>0</v>
      </c>
      <c r="BJ83" s="16">
        <v>1</v>
      </c>
      <c r="BK83" s="1">
        <v>0</v>
      </c>
      <c r="BL83" s="16"/>
      <c r="BM83" s="1"/>
      <c r="BN83" s="1"/>
      <c r="BO83" s="1"/>
      <c r="BP83" s="1"/>
      <c r="BQ83" s="1"/>
      <c r="BR83" s="1"/>
      <c r="BS83" s="1"/>
      <c r="BT83" s="17"/>
      <c r="BU83" s="16"/>
      <c r="BV83" s="1"/>
      <c r="BW83" s="1"/>
      <c r="BX83" s="1"/>
      <c r="BY83" s="1"/>
      <c r="BZ83" s="1"/>
      <c r="CA83" s="1"/>
      <c r="CB83" s="17"/>
      <c r="CC83" s="16"/>
      <c r="CD83" s="1"/>
      <c r="CE83" s="17"/>
      <c r="CF83" s="16"/>
      <c r="CG83" s="1"/>
      <c r="CH83" s="17"/>
      <c r="CI83" s="16"/>
      <c r="CJ83" s="17"/>
      <c r="CK83" s="16"/>
      <c r="CL83" s="17"/>
      <c r="CM83" s="16"/>
      <c r="CN83" s="1"/>
      <c r="CO83" s="1"/>
      <c r="CP83" s="1"/>
      <c r="CQ83" s="1"/>
      <c r="CR83" s="17"/>
      <c r="CS83" s="16"/>
      <c r="CT83" s="1"/>
      <c r="CU83" s="1"/>
      <c r="CV83" s="17"/>
      <c r="CW83" s="16"/>
      <c r="CX83" s="1"/>
      <c r="CY83" s="1"/>
      <c r="CZ83" s="17"/>
      <c r="DA83" s="18"/>
      <c r="DB83" s="6"/>
    </row>
    <row r="84" spans="1:106">
      <c r="A84" s="42" t="s">
        <v>325</v>
      </c>
      <c r="B84" s="17" t="s">
        <v>292</v>
      </c>
      <c r="C84" s="16" t="s">
        <v>87</v>
      </c>
      <c r="D84" s="1"/>
      <c r="E84" s="18">
        <v>100</v>
      </c>
      <c r="F84" s="18"/>
      <c r="G84" s="16">
        <v>1150</v>
      </c>
      <c r="H84" s="17">
        <v>1.7113095238095237</v>
      </c>
      <c r="I84" s="18">
        <v>2</v>
      </c>
      <c r="J84" s="16">
        <v>0</v>
      </c>
      <c r="K84" s="1">
        <v>1</v>
      </c>
      <c r="L84" s="1">
        <v>0</v>
      </c>
      <c r="M84" s="1">
        <v>1</v>
      </c>
      <c r="N84" s="17">
        <v>0</v>
      </c>
      <c r="O84" s="16">
        <v>1010</v>
      </c>
      <c r="P84" s="16">
        <v>0</v>
      </c>
      <c r="Q84" s="1">
        <v>0</v>
      </c>
      <c r="R84" s="1">
        <v>0</v>
      </c>
      <c r="S84" s="17">
        <v>1</v>
      </c>
      <c r="T84" s="16">
        <v>100</v>
      </c>
      <c r="U84" s="16">
        <v>1</v>
      </c>
      <c r="V84" s="1">
        <v>0</v>
      </c>
      <c r="W84" s="1">
        <v>0</v>
      </c>
      <c r="X84" s="1">
        <v>1</v>
      </c>
      <c r="Y84" s="17">
        <v>0</v>
      </c>
      <c r="Z84" s="18">
        <v>10010</v>
      </c>
      <c r="AA84" s="18">
        <v>2</v>
      </c>
      <c r="AB84" s="18">
        <v>1</v>
      </c>
      <c r="AC84" s="16">
        <v>1</v>
      </c>
      <c r="AD84" s="17">
        <v>3</v>
      </c>
      <c r="AE84" s="16">
        <v>1</v>
      </c>
      <c r="AF84" s="1">
        <v>0</v>
      </c>
      <c r="AG84" s="1">
        <v>1</v>
      </c>
      <c r="AH84" s="18">
        <v>101</v>
      </c>
      <c r="AI84" s="16">
        <v>601</v>
      </c>
      <c r="AJ84" s="17">
        <v>1412</v>
      </c>
      <c r="AK84" s="16">
        <v>3</v>
      </c>
      <c r="AL84" s="17">
        <v>1</v>
      </c>
      <c r="AM84" s="16">
        <v>1</v>
      </c>
      <c r="AN84" s="1">
        <v>0</v>
      </c>
      <c r="AO84" s="1">
        <v>0</v>
      </c>
      <c r="AP84" s="1">
        <v>0</v>
      </c>
      <c r="AQ84" s="1">
        <v>0</v>
      </c>
      <c r="AR84" s="1">
        <v>8</v>
      </c>
      <c r="AS84" s="1">
        <v>16</v>
      </c>
      <c r="AT84" s="1">
        <v>0</v>
      </c>
      <c r="AU84" s="1">
        <v>0</v>
      </c>
      <c r="AV84" s="1">
        <v>8</v>
      </c>
      <c r="AW84" s="1">
        <v>238</v>
      </c>
      <c r="AX84" s="17">
        <v>9</v>
      </c>
      <c r="AY84" s="16">
        <v>0</v>
      </c>
      <c r="AZ84" s="1">
        <v>0</v>
      </c>
      <c r="BA84" s="1">
        <v>0</v>
      </c>
      <c r="BB84" s="17">
        <v>0</v>
      </c>
      <c r="BC84" s="16">
        <v>0</v>
      </c>
      <c r="BD84" s="17">
        <v>0</v>
      </c>
      <c r="BE84" s="18">
        <v>101</v>
      </c>
      <c r="BF84" s="16">
        <v>1</v>
      </c>
      <c r="BG84" s="1">
        <v>1</v>
      </c>
      <c r="BH84" s="1">
        <v>0</v>
      </c>
      <c r="BI84" s="1">
        <v>0</v>
      </c>
      <c r="BJ84" s="16">
        <v>0</v>
      </c>
      <c r="BK84" s="1">
        <v>1</v>
      </c>
      <c r="BL84" s="16"/>
      <c r="BM84" s="1"/>
      <c r="BN84" s="1"/>
      <c r="BO84" s="1"/>
      <c r="BP84" s="1"/>
      <c r="BQ84" s="1"/>
      <c r="BR84" s="1"/>
      <c r="BS84" s="1"/>
      <c r="BT84" s="17"/>
      <c r="BU84" s="16"/>
      <c r="BV84" s="1"/>
      <c r="BW84" s="1"/>
      <c r="BX84" s="1"/>
      <c r="BY84" s="1"/>
      <c r="BZ84" s="1"/>
      <c r="CA84" s="1"/>
      <c r="CB84" s="17"/>
      <c r="CC84" s="16"/>
      <c r="CD84" s="1"/>
      <c r="CE84" s="17"/>
      <c r="CF84" s="16"/>
      <c r="CG84" s="1"/>
      <c r="CH84" s="17"/>
      <c r="CI84" s="16"/>
      <c r="CJ84" s="17"/>
      <c r="CK84" s="16"/>
      <c r="CL84" s="17"/>
      <c r="CM84" s="16"/>
      <c r="CN84" s="1"/>
      <c r="CO84" s="1"/>
      <c r="CP84" s="1"/>
      <c r="CQ84" s="1"/>
      <c r="CR84" s="17"/>
      <c r="CS84" s="16"/>
      <c r="CT84" s="1"/>
      <c r="CU84" s="1"/>
      <c r="CV84" s="17"/>
      <c r="CW84" s="16"/>
      <c r="CX84" s="1"/>
      <c r="CY84" s="1"/>
      <c r="CZ84" s="17"/>
      <c r="DA84" s="18"/>
      <c r="DB84" s="6"/>
    </row>
    <row r="85" spans="1:106">
      <c r="A85" s="42" t="s">
        <v>325</v>
      </c>
      <c r="B85" s="17" t="s">
        <v>292</v>
      </c>
      <c r="C85" s="16" t="s">
        <v>356</v>
      </c>
      <c r="D85" s="1"/>
      <c r="E85" s="18">
        <v>1010</v>
      </c>
      <c r="F85" s="18"/>
      <c r="G85" s="16">
        <v>1860</v>
      </c>
      <c r="H85" s="17">
        <v>1.1869814932992979</v>
      </c>
      <c r="I85" s="18">
        <v>3</v>
      </c>
      <c r="J85" s="16">
        <v>0</v>
      </c>
      <c r="K85" s="1">
        <v>0</v>
      </c>
      <c r="L85" s="1">
        <v>1</v>
      </c>
      <c r="M85" s="1">
        <v>1</v>
      </c>
      <c r="N85" s="17">
        <v>0</v>
      </c>
      <c r="O85" s="16">
        <v>110</v>
      </c>
      <c r="P85" s="16">
        <v>1</v>
      </c>
      <c r="Q85" s="1">
        <v>1</v>
      </c>
      <c r="R85" s="1">
        <v>0</v>
      </c>
      <c r="S85" s="17">
        <v>0</v>
      </c>
      <c r="T85" s="16">
        <v>1010</v>
      </c>
      <c r="U85" s="16">
        <v>1</v>
      </c>
      <c r="V85" s="1">
        <v>0</v>
      </c>
      <c r="W85" s="1">
        <v>0</v>
      </c>
      <c r="X85" s="1">
        <v>1</v>
      </c>
      <c r="Y85" s="17">
        <v>0</v>
      </c>
      <c r="Z85" s="18">
        <v>10010</v>
      </c>
      <c r="AA85" s="18">
        <v>2</v>
      </c>
      <c r="AB85" s="18">
        <v>0</v>
      </c>
      <c r="AC85" s="16">
        <v>0</v>
      </c>
      <c r="AD85" s="17">
        <v>0</v>
      </c>
      <c r="AE85" s="16">
        <v>1</v>
      </c>
      <c r="AF85" s="1">
        <v>0</v>
      </c>
      <c r="AG85" s="1">
        <v>0</v>
      </c>
      <c r="AH85" s="18">
        <v>100</v>
      </c>
      <c r="AI85" s="16">
        <v>627</v>
      </c>
      <c r="AJ85" s="17">
        <v>1291</v>
      </c>
      <c r="AK85" s="16">
        <v>3</v>
      </c>
      <c r="AL85" s="17">
        <v>1</v>
      </c>
      <c r="AM85" s="16">
        <v>5</v>
      </c>
      <c r="AN85" s="1">
        <v>0</v>
      </c>
      <c r="AO85" s="1">
        <v>0</v>
      </c>
      <c r="AP85" s="1">
        <v>0</v>
      </c>
      <c r="AQ85" s="1">
        <v>0</v>
      </c>
      <c r="AR85" s="1">
        <v>26</v>
      </c>
      <c r="AS85" s="1">
        <v>308</v>
      </c>
      <c r="AT85" s="1">
        <v>89</v>
      </c>
      <c r="AU85" s="1">
        <v>109</v>
      </c>
      <c r="AV85" s="1">
        <v>73</v>
      </c>
      <c r="AW85" s="1">
        <v>185</v>
      </c>
      <c r="AX85" s="17">
        <v>0</v>
      </c>
      <c r="AY85" s="16">
        <v>0</v>
      </c>
      <c r="AZ85" s="1">
        <v>0</v>
      </c>
      <c r="BA85" s="1">
        <v>0</v>
      </c>
      <c r="BB85" s="17">
        <v>0</v>
      </c>
      <c r="BC85" s="16">
        <v>0</v>
      </c>
      <c r="BD85" s="17">
        <v>0</v>
      </c>
      <c r="BE85" s="18">
        <v>102</v>
      </c>
      <c r="BF85" s="16">
        <v>1</v>
      </c>
      <c r="BG85" s="1">
        <v>0</v>
      </c>
      <c r="BH85" s="1">
        <v>0</v>
      </c>
      <c r="BI85" s="1">
        <v>0</v>
      </c>
      <c r="BJ85" s="16">
        <v>1</v>
      </c>
      <c r="BK85" s="1">
        <v>1</v>
      </c>
      <c r="BL85" s="16"/>
      <c r="BM85" s="1"/>
      <c r="BN85" s="1"/>
      <c r="BO85" s="1"/>
      <c r="BP85" s="1"/>
      <c r="BQ85" s="1"/>
      <c r="BR85" s="1"/>
      <c r="BS85" s="1"/>
      <c r="BT85" s="17"/>
      <c r="BU85" s="16"/>
      <c r="BV85" s="1"/>
      <c r="BW85" s="1"/>
      <c r="BX85" s="1"/>
      <c r="BY85" s="1"/>
      <c r="BZ85" s="1"/>
      <c r="CA85" s="1"/>
      <c r="CB85" s="17"/>
      <c r="CC85" s="16"/>
      <c r="CD85" s="1"/>
      <c r="CE85" s="17"/>
      <c r="CF85" s="16"/>
      <c r="CG85" s="1"/>
      <c r="CH85" s="17"/>
      <c r="CI85" s="16"/>
      <c r="CJ85" s="17"/>
      <c r="CK85" s="16"/>
      <c r="CL85" s="17"/>
      <c r="CM85" s="16"/>
      <c r="CN85" s="1"/>
      <c r="CO85" s="1"/>
      <c r="CP85" s="1"/>
      <c r="CQ85" s="1"/>
      <c r="CR85" s="17"/>
      <c r="CS85" s="16"/>
      <c r="CT85" s="1"/>
      <c r="CU85" s="1"/>
      <c r="CV85" s="17"/>
      <c r="CW85" s="16"/>
      <c r="CX85" s="1"/>
      <c r="CY85" s="1"/>
      <c r="CZ85" s="17"/>
      <c r="DA85" s="18"/>
      <c r="DB85" s="6"/>
    </row>
    <row r="86" spans="1:106" ht="17" thickBot="1">
      <c r="A86" s="55" t="s">
        <v>325</v>
      </c>
      <c r="B86" s="17" t="s">
        <v>292</v>
      </c>
      <c r="C86" s="16" t="s">
        <v>111</v>
      </c>
      <c r="D86" s="1"/>
      <c r="E86" s="18">
        <v>1000</v>
      </c>
      <c r="F86" s="18"/>
      <c r="G86" s="16">
        <v>1659</v>
      </c>
      <c r="H86" s="17">
        <v>2.9054290718038529</v>
      </c>
      <c r="I86" s="18">
        <v>3</v>
      </c>
      <c r="J86" s="16">
        <v>0</v>
      </c>
      <c r="K86" s="1">
        <v>0</v>
      </c>
      <c r="L86" s="1">
        <v>0</v>
      </c>
      <c r="M86" s="1">
        <v>1</v>
      </c>
      <c r="N86" s="17">
        <v>1</v>
      </c>
      <c r="O86" s="16">
        <v>11</v>
      </c>
      <c r="P86" s="16">
        <v>1</v>
      </c>
      <c r="Q86" s="1">
        <v>0</v>
      </c>
      <c r="R86" s="1">
        <v>0</v>
      </c>
      <c r="S86" s="17">
        <v>0</v>
      </c>
      <c r="T86" s="16">
        <v>1000</v>
      </c>
      <c r="U86" s="16">
        <v>1</v>
      </c>
      <c r="V86" s="1">
        <v>0</v>
      </c>
      <c r="W86" s="1">
        <v>0</v>
      </c>
      <c r="X86" s="1">
        <v>1</v>
      </c>
      <c r="Y86" s="17">
        <v>0</v>
      </c>
      <c r="Z86" s="18">
        <v>10010</v>
      </c>
      <c r="AA86" s="18">
        <v>2</v>
      </c>
      <c r="AB86" s="18">
        <v>1</v>
      </c>
      <c r="AC86" s="16">
        <v>1</v>
      </c>
      <c r="AD86" s="17">
        <v>1</v>
      </c>
      <c r="AE86" s="16">
        <v>0</v>
      </c>
      <c r="AF86" s="1">
        <v>1</v>
      </c>
      <c r="AG86" s="1">
        <v>0</v>
      </c>
      <c r="AH86" s="18">
        <v>10</v>
      </c>
      <c r="AI86" s="16">
        <v>780</v>
      </c>
      <c r="AJ86" s="17">
        <v>1125</v>
      </c>
      <c r="AK86" s="16">
        <v>4</v>
      </c>
      <c r="AL86" s="17">
        <v>1</v>
      </c>
      <c r="AM86" s="16">
        <v>1</v>
      </c>
      <c r="AN86" s="1">
        <v>0</v>
      </c>
      <c r="AO86" s="1">
        <v>0</v>
      </c>
      <c r="AP86" s="1">
        <v>0</v>
      </c>
      <c r="AQ86" s="1">
        <v>0</v>
      </c>
      <c r="AR86" s="1">
        <v>28</v>
      </c>
      <c r="AS86" s="1">
        <v>33</v>
      </c>
      <c r="AT86" s="1">
        <v>0</v>
      </c>
      <c r="AU86" s="1">
        <v>0</v>
      </c>
      <c r="AV86" s="1">
        <v>7</v>
      </c>
      <c r="AW86" s="1">
        <v>88</v>
      </c>
      <c r="AX86" s="17">
        <v>0</v>
      </c>
      <c r="AY86" s="16">
        <v>0</v>
      </c>
      <c r="AZ86" s="1">
        <v>0</v>
      </c>
      <c r="BA86" s="1">
        <v>0</v>
      </c>
      <c r="BB86" s="17">
        <v>0</v>
      </c>
      <c r="BC86" s="16">
        <v>0</v>
      </c>
      <c r="BD86" s="17">
        <v>0</v>
      </c>
      <c r="BE86" s="18">
        <v>99</v>
      </c>
      <c r="BF86" s="16">
        <v>1</v>
      </c>
      <c r="BG86" s="1">
        <v>1</v>
      </c>
      <c r="BH86" s="1">
        <v>0</v>
      </c>
      <c r="BI86" s="1">
        <v>0</v>
      </c>
      <c r="BJ86" s="16">
        <v>0</v>
      </c>
      <c r="BK86" s="1">
        <v>1</v>
      </c>
      <c r="BL86" s="16"/>
      <c r="BM86" s="1"/>
      <c r="BN86" s="1"/>
      <c r="BO86" s="1"/>
      <c r="BP86" s="1"/>
      <c r="BQ86" s="1"/>
      <c r="BR86" s="1"/>
      <c r="BS86" s="1"/>
      <c r="BT86" s="17"/>
      <c r="BU86" s="16"/>
      <c r="BV86" s="1"/>
      <c r="BW86" s="1"/>
      <c r="BX86" s="1"/>
      <c r="BY86" s="1"/>
      <c r="BZ86" s="1"/>
      <c r="CA86" s="1"/>
      <c r="CB86" s="17"/>
      <c r="CC86" s="16"/>
      <c r="CD86" s="1"/>
      <c r="CE86" s="17"/>
      <c r="CF86" s="16"/>
      <c r="CG86" s="1"/>
      <c r="CH86" s="17"/>
      <c r="CI86" s="16"/>
      <c r="CJ86" s="17"/>
      <c r="CK86" s="16"/>
      <c r="CL86" s="17"/>
      <c r="CM86" s="16"/>
      <c r="CN86" s="1"/>
      <c r="CO86" s="1"/>
      <c r="CP86" s="1"/>
      <c r="CQ86" s="1"/>
      <c r="CR86" s="17"/>
      <c r="CS86" s="16"/>
      <c r="CT86" s="1"/>
      <c r="CU86" s="1"/>
      <c r="CV86" s="17"/>
      <c r="CW86" s="16"/>
      <c r="CX86" s="1"/>
      <c r="CY86" s="1"/>
      <c r="CZ86" s="17"/>
      <c r="DA86" s="18"/>
      <c r="DB86" s="6"/>
    </row>
    <row r="87" spans="1:106">
      <c r="A87" s="42" t="s">
        <v>325</v>
      </c>
      <c r="B87" s="162" t="s">
        <v>295</v>
      </c>
      <c r="C87" s="160" t="s">
        <v>65</v>
      </c>
      <c r="D87" s="161"/>
      <c r="E87" s="43">
        <v>1000</v>
      </c>
      <c r="F87" s="43"/>
      <c r="G87" s="160">
        <v>1616</v>
      </c>
      <c r="H87" s="162">
        <v>2.0481622306717364</v>
      </c>
      <c r="I87" s="43">
        <v>6</v>
      </c>
      <c r="J87" s="160">
        <v>0</v>
      </c>
      <c r="K87" s="161">
        <v>0</v>
      </c>
      <c r="L87" s="161">
        <v>0</v>
      </c>
      <c r="M87" s="161">
        <v>1</v>
      </c>
      <c r="N87" s="162">
        <v>0</v>
      </c>
      <c r="O87" s="160">
        <v>10</v>
      </c>
      <c r="P87" s="160">
        <v>1</v>
      </c>
      <c r="Q87" s="161">
        <v>0</v>
      </c>
      <c r="R87" s="161">
        <v>0</v>
      </c>
      <c r="S87" s="162">
        <v>0</v>
      </c>
      <c r="T87" s="160">
        <v>1000</v>
      </c>
      <c r="U87" s="160">
        <v>1</v>
      </c>
      <c r="V87" s="161">
        <v>0</v>
      </c>
      <c r="W87" s="161">
        <v>0</v>
      </c>
      <c r="X87" s="161">
        <v>0</v>
      </c>
      <c r="Y87" s="162">
        <v>0</v>
      </c>
      <c r="Z87" s="43">
        <v>10000</v>
      </c>
      <c r="AA87" s="43">
        <v>1</v>
      </c>
      <c r="AB87" s="43">
        <v>0</v>
      </c>
      <c r="AC87" s="160">
        <v>0</v>
      </c>
      <c r="AD87" s="162">
        <v>0</v>
      </c>
      <c r="AE87" s="160">
        <v>1</v>
      </c>
      <c r="AF87" s="161">
        <v>0</v>
      </c>
      <c r="AG87" s="161">
        <v>1</v>
      </c>
      <c r="AH87" s="43">
        <v>101</v>
      </c>
      <c r="AI87" s="160">
        <v>80</v>
      </c>
      <c r="AJ87" s="162">
        <v>742</v>
      </c>
      <c r="AK87" s="160">
        <v>6</v>
      </c>
      <c r="AL87" s="162">
        <v>1</v>
      </c>
      <c r="AM87" s="160">
        <v>1</v>
      </c>
      <c r="AN87" s="161">
        <v>0</v>
      </c>
      <c r="AO87" s="161">
        <v>6</v>
      </c>
      <c r="AP87" s="161">
        <v>0</v>
      </c>
      <c r="AQ87" s="161">
        <v>0</v>
      </c>
      <c r="AR87" s="161">
        <v>26</v>
      </c>
      <c r="AS87" s="161">
        <v>29</v>
      </c>
      <c r="AT87" s="161">
        <v>0</v>
      </c>
      <c r="AU87" s="161">
        <v>0</v>
      </c>
      <c r="AV87" s="161">
        <v>29</v>
      </c>
      <c r="AW87" s="161">
        <v>37</v>
      </c>
      <c r="AX87" s="162">
        <v>0</v>
      </c>
      <c r="AY87" s="160">
        <v>0</v>
      </c>
      <c r="AZ87" s="161">
        <v>0</v>
      </c>
      <c r="BA87" s="161">
        <v>0</v>
      </c>
      <c r="BB87" s="162">
        <v>0</v>
      </c>
      <c r="BC87" s="160">
        <v>0</v>
      </c>
      <c r="BD87" s="162">
        <v>0</v>
      </c>
      <c r="BE87" s="43">
        <v>100</v>
      </c>
      <c r="BF87" s="160">
        <v>0</v>
      </c>
      <c r="BG87" s="161">
        <v>0</v>
      </c>
      <c r="BH87" s="161"/>
      <c r="BI87" s="161">
        <v>0</v>
      </c>
      <c r="BJ87" s="160">
        <v>0</v>
      </c>
      <c r="BK87" s="161">
        <v>1</v>
      </c>
      <c r="BL87" s="160"/>
      <c r="BM87" s="161"/>
      <c r="BN87" s="161"/>
      <c r="BO87" s="161"/>
      <c r="BP87" s="161"/>
      <c r="BQ87" s="161"/>
      <c r="BR87" s="161"/>
      <c r="BS87" s="161"/>
      <c r="BT87" s="162"/>
      <c r="BU87" s="160"/>
      <c r="BV87" s="161"/>
      <c r="BW87" s="161"/>
      <c r="BX87" s="161"/>
      <c r="BY87" s="161"/>
      <c r="BZ87" s="161"/>
      <c r="CA87" s="161"/>
      <c r="CB87" s="162"/>
      <c r="CC87" s="160"/>
      <c r="CD87" s="161"/>
      <c r="CE87" s="162"/>
      <c r="CF87" s="160"/>
      <c r="CG87" s="161"/>
      <c r="CH87" s="162"/>
      <c r="CI87" s="160"/>
      <c r="CJ87" s="162"/>
      <c r="CK87" s="160"/>
      <c r="CL87" s="162"/>
      <c r="CM87" s="160"/>
      <c r="CN87" s="161"/>
      <c r="CO87" s="161"/>
      <c r="CP87" s="161"/>
      <c r="CQ87" s="161"/>
      <c r="CR87" s="162"/>
      <c r="CS87" s="160"/>
      <c r="CT87" s="161"/>
      <c r="CU87" s="161"/>
      <c r="CV87" s="162"/>
      <c r="CW87" s="160"/>
      <c r="CX87" s="161"/>
      <c r="CY87" s="161"/>
      <c r="CZ87" s="162"/>
      <c r="DA87" s="43"/>
      <c r="DB87" s="6"/>
    </row>
    <row r="88" spans="1:106">
      <c r="A88" s="42" t="s">
        <v>325</v>
      </c>
      <c r="B88" s="17" t="s">
        <v>295</v>
      </c>
      <c r="C88" s="16" t="s">
        <v>66</v>
      </c>
      <c r="D88" s="1"/>
      <c r="E88" s="18">
        <v>1001</v>
      </c>
      <c r="F88" s="18"/>
      <c r="G88" s="16">
        <v>2523</v>
      </c>
      <c r="H88" s="17">
        <v>1.7268993839835729</v>
      </c>
      <c r="I88" s="18">
        <v>3</v>
      </c>
      <c r="J88" s="16">
        <v>0</v>
      </c>
      <c r="K88" s="1">
        <v>0</v>
      </c>
      <c r="L88" s="1">
        <v>0</v>
      </c>
      <c r="M88" s="1">
        <v>1</v>
      </c>
      <c r="N88" s="17">
        <v>1</v>
      </c>
      <c r="O88" s="16">
        <v>11</v>
      </c>
      <c r="P88" s="16">
        <v>1</v>
      </c>
      <c r="Q88" s="1">
        <v>0</v>
      </c>
      <c r="R88" s="1">
        <v>1</v>
      </c>
      <c r="S88" s="17">
        <v>0</v>
      </c>
      <c r="T88" s="16">
        <v>1001</v>
      </c>
      <c r="U88" s="16">
        <v>1</v>
      </c>
      <c r="V88" s="1">
        <v>0</v>
      </c>
      <c r="W88" s="1">
        <v>0</v>
      </c>
      <c r="X88" s="1">
        <v>0</v>
      </c>
      <c r="Y88" s="17">
        <v>0</v>
      </c>
      <c r="Z88" s="18">
        <v>10000</v>
      </c>
      <c r="AA88" s="18">
        <v>1</v>
      </c>
      <c r="AB88" s="18">
        <v>0</v>
      </c>
      <c r="AC88" s="16">
        <v>0</v>
      </c>
      <c r="AD88" s="17">
        <v>0</v>
      </c>
      <c r="AE88" s="16">
        <v>0</v>
      </c>
      <c r="AF88" s="1">
        <v>0</v>
      </c>
      <c r="AG88" s="1">
        <v>1</v>
      </c>
      <c r="AH88" s="18">
        <v>1</v>
      </c>
      <c r="AI88" s="16">
        <v>468</v>
      </c>
      <c r="AJ88" s="17">
        <v>1911</v>
      </c>
      <c r="AK88" s="16"/>
      <c r="AL88" s="17">
        <v>1</v>
      </c>
      <c r="AM88" s="16">
        <v>1</v>
      </c>
      <c r="AN88" s="1">
        <v>0</v>
      </c>
      <c r="AO88" s="1">
        <v>0</v>
      </c>
      <c r="AP88" s="1">
        <v>0</v>
      </c>
      <c r="AQ88" s="1">
        <v>0</v>
      </c>
      <c r="AR88" s="1">
        <v>0</v>
      </c>
      <c r="AS88" s="1">
        <v>0</v>
      </c>
      <c r="AT88" s="1">
        <v>0</v>
      </c>
      <c r="AU88" s="1">
        <v>80</v>
      </c>
      <c r="AV88" s="1">
        <v>0</v>
      </c>
      <c r="AW88" s="1">
        <v>0</v>
      </c>
      <c r="AX88" s="17">
        <v>0</v>
      </c>
      <c r="AY88" s="16">
        <v>0</v>
      </c>
      <c r="AZ88" s="1">
        <v>0</v>
      </c>
      <c r="BA88" s="1">
        <v>0</v>
      </c>
      <c r="BB88" s="17">
        <v>0</v>
      </c>
      <c r="BC88" s="16">
        <v>0</v>
      </c>
      <c r="BD88" s="17">
        <v>0</v>
      </c>
      <c r="BE88" s="18">
        <v>122</v>
      </c>
      <c r="BF88" s="16">
        <v>1</v>
      </c>
      <c r="BG88" s="1">
        <v>1</v>
      </c>
      <c r="BH88" s="1"/>
      <c r="BI88" s="1">
        <v>0</v>
      </c>
      <c r="BJ88" s="16">
        <v>0</v>
      </c>
      <c r="BK88" s="1">
        <v>1</v>
      </c>
      <c r="BL88" s="16"/>
      <c r="BM88" s="1"/>
      <c r="BN88" s="1"/>
      <c r="BO88" s="1"/>
      <c r="BP88" s="1"/>
      <c r="BQ88" s="1"/>
      <c r="BR88" s="1"/>
      <c r="BS88" s="1"/>
      <c r="BT88" s="17"/>
      <c r="BU88" s="16"/>
      <c r="BV88" s="1"/>
      <c r="BW88" s="1"/>
      <c r="BX88" s="1"/>
      <c r="BY88" s="1"/>
      <c r="BZ88" s="1"/>
      <c r="CA88" s="1"/>
      <c r="CB88" s="17"/>
      <c r="CC88" s="16"/>
      <c r="CD88" s="1"/>
      <c r="CE88" s="17"/>
      <c r="CF88" s="16"/>
      <c r="CG88" s="1"/>
      <c r="CH88" s="17"/>
      <c r="CI88" s="16"/>
      <c r="CJ88" s="17"/>
      <c r="CK88" s="16"/>
      <c r="CL88" s="17"/>
      <c r="CM88" s="16"/>
      <c r="CN88" s="1"/>
      <c r="CO88" s="1"/>
      <c r="CP88" s="1"/>
      <c r="CQ88" s="1"/>
      <c r="CR88" s="17"/>
      <c r="CS88" s="16"/>
      <c r="CT88" s="1"/>
      <c r="CU88" s="1"/>
      <c r="CV88" s="17"/>
      <c r="CW88" s="16"/>
      <c r="CX88" s="1"/>
      <c r="CY88" s="1"/>
      <c r="CZ88" s="17"/>
      <c r="DA88" s="18"/>
      <c r="DB88" s="6"/>
    </row>
    <row r="89" spans="1:106">
      <c r="A89" s="42" t="s">
        <v>325</v>
      </c>
      <c r="B89" s="17" t="s">
        <v>295</v>
      </c>
      <c r="C89" s="16" t="s">
        <v>68</v>
      </c>
      <c r="D89" s="1"/>
      <c r="E89" s="18">
        <v>1000</v>
      </c>
      <c r="F89" s="18"/>
      <c r="G89" s="16">
        <v>2507</v>
      </c>
      <c r="H89" s="17">
        <v>1.205868205868206</v>
      </c>
      <c r="I89" s="18">
        <v>5</v>
      </c>
      <c r="J89" s="16">
        <v>0</v>
      </c>
      <c r="K89" s="1">
        <v>0</v>
      </c>
      <c r="L89" s="1">
        <v>0</v>
      </c>
      <c r="M89" s="1">
        <v>1</v>
      </c>
      <c r="N89" s="17">
        <v>0</v>
      </c>
      <c r="O89" s="16">
        <v>10</v>
      </c>
      <c r="P89" s="16">
        <v>1</v>
      </c>
      <c r="Q89" s="1">
        <v>0</v>
      </c>
      <c r="R89" s="1">
        <v>0</v>
      </c>
      <c r="S89" s="17">
        <v>0</v>
      </c>
      <c r="T89" s="16">
        <v>1000</v>
      </c>
      <c r="U89" s="16">
        <v>1</v>
      </c>
      <c r="V89" s="1">
        <v>0</v>
      </c>
      <c r="W89" s="1">
        <v>0</v>
      </c>
      <c r="X89" s="1">
        <v>0</v>
      </c>
      <c r="Y89" s="17">
        <v>0</v>
      </c>
      <c r="Z89" s="18">
        <v>10000</v>
      </c>
      <c r="AA89" s="18">
        <v>1</v>
      </c>
      <c r="AB89" s="18">
        <v>0</v>
      </c>
      <c r="AC89" s="16">
        <v>0</v>
      </c>
      <c r="AD89" s="17">
        <v>0</v>
      </c>
      <c r="AE89" s="16">
        <v>0</v>
      </c>
      <c r="AF89" s="1">
        <v>1</v>
      </c>
      <c r="AG89" s="1">
        <v>1</v>
      </c>
      <c r="AH89" s="18">
        <v>11</v>
      </c>
      <c r="AI89" s="16">
        <v>589</v>
      </c>
      <c r="AJ89" s="17">
        <v>1669</v>
      </c>
      <c r="AK89" s="16"/>
      <c r="AL89" s="17">
        <v>1</v>
      </c>
      <c r="AM89" s="16">
        <v>1</v>
      </c>
      <c r="AN89" s="1">
        <v>0</v>
      </c>
      <c r="AO89" s="1">
        <v>0</v>
      </c>
      <c r="AP89" s="1">
        <v>0</v>
      </c>
      <c r="AQ89" s="1">
        <v>0</v>
      </c>
      <c r="AR89" s="1">
        <v>0</v>
      </c>
      <c r="AS89" s="1">
        <v>19</v>
      </c>
      <c r="AT89" s="1">
        <v>9</v>
      </c>
      <c r="AU89" s="1">
        <v>59</v>
      </c>
      <c r="AV89" s="1">
        <v>12</v>
      </c>
      <c r="AW89" s="1">
        <v>80</v>
      </c>
      <c r="AX89" s="17">
        <v>0</v>
      </c>
      <c r="AY89" s="16">
        <v>0</v>
      </c>
      <c r="AZ89" s="1">
        <v>0</v>
      </c>
      <c r="BA89" s="1">
        <v>0</v>
      </c>
      <c r="BB89" s="17">
        <v>0</v>
      </c>
      <c r="BC89" s="16">
        <v>0</v>
      </c>
      <c r="BD89" s="17">
        <v>0</v>
      </c>
      <c r="BE89" s="18">
        <v>151</v>
      </c>
      <c r="BF89" s="16">
        <v>1</v>
      </c>
      <c r="BG89" s="1">
        <v>1</v>
      </c>
      <c r="BH89" s="1"/>
      <c r="BI89" s="1">
        <v>0</v>
      </c>
      <c r="BJ89" s="16">
        <v>0</v>
      </c>
      <c r="BK89" s="1">
        <v>1</v>
      </c>
      <c r="BL89" s="16">
        <v>70.39</v>
      </c>
      <c r="BM89" s="1"/>
      <c r="BN89" s="1"/>
      <c r="BO89" s="1"/>
      <c r="BP89" s="1"/>
      <c r="BQ89" s="1"/>
      <c r="BR89" s="1"/>
      <c r="BS89" s="1"/>
      <c r="BT89" s="17"/>
      <c r="BU89" s="16">
        <v>75.11</v>
      </c>
      <c r="BV89" s="1"/>
      <c r="BW89" s="1"/>
      <c r="BX89" s="1"/>
      <c r="BY89" s="1"/>
      <c r="BZ89" s="1"/>
      <c r="CA89" s="1"/>
      <c r="CB89" s="17"/>
      <c r="CC89" s="16"/>
      <c r="CD89" s="1"/>
      <c r="CE89" s="17"/>
      <c r="CF89" s="16">
        <v>55.35</v>
      </c>
      <c r="CG89" s="1"/>
      <c r="CH89" s="17"/>
      <c r="CI89" s="16"/>
      <c r="CJ89" s="17"/>
      <c r="CK89" s="16"/>
      <c r="CL89" s="17"/>
      <c r="CM89" s="16"/>
      <c r="CN89" s="1"/>
      <c r="CO89" s="1"/>
      <c r="CP89" s="1"/>
      <c r="CQ89" s="1"/>
      <c r="CR89" s="17"/>
      <c r="CS89" s="16"/>
      <c r="CT89" s="1"/>
      <c r="CU89" s="1"/>
      <c r="CV89" s="17"/>
      <c r="CW89" s="16"/>
      <c r="CX89" s="1"/>
      <c r="CY89" s="1"/>
      <c r="CZ89" s="17"/>
      <c r="DA89" s="18"/>
      <c r="DB89" s="6"/>
    </row>
    <row r="90" spans="1:106">
      <c r="A90" s="42" t="s">
        <v>325</v>
      </c>
      <c r="B90" s="17" t="s">
        <v>295</v>
      </c>
      <c r="C90" s="16" t="s">
        <v>74</v>
      </c>
      <c r="D90" s="1"/>
      <c r="E90" s="18">
        <v>1001</v>
      </c>
      <c r="F90" s="18"/>
      <c r="G90" s="16">
        <v>1277</v>
      </c>
      <c r="H90" s="17">
        <v>1.1270962047661077</v>
      </c>
      <c r="I90" s="18">
        <v>4</v>
      </c>
      <c r="J90" s="16">
        <v>0</v>
      </c>
      <c r="K90" s="1">
        <v>0</v>
      </c>
      <c r="L90" s="1">
        <v>0</v>
      </c>
      <c r="M90" s="1">
        <v>1</v>
      </c>
      <c r="N90" s="17">
        <v>1</v>
      </c>
      <c r="O90" s="16">
        <v>11</v>
      </c>
      <c r="P90" s="16">
        <v>1</v>
      </c>
      <c r="Q90" s="1">
        <v>0</v>
      </c>
      <c r="R90" s="1">
        <v>1</v>
      </c>
      <c r="S90" s="17">
        <v>0</v>
      </c>
      <c r="T90" s="16">
        <v>1001</v>
      </c>
      <c r="U90" s="16">
        <v>1</v>
      </c>
      <c r="V90" s="1">
        <v>0</v>
      </c>
      <c r="W90" s="1">
        <v>0</v>
      </c>
      <c r="X90" s="1">
        <v>0</v>
      </c>
      <c r="Y90" s="17">
        <v>0</v>
      </c>
      <c r="Z90" s="18">
        <v>10000</v>
      </c>
      <c r="AA90" s="18">
        <v>1</v>
      </c>
      <c r="AB90" s="18">
        <v>0</v>
      </c>
      <c r="AC90" s="16">
        <v>0</v>
      </c>
      <c r="AD90" s="17">
        <v>0</v>
      </c>
      <c r="AE90" s="16">
        <v>1</v>
      </c>
      <c r="AF90" s="1">
        <v>0</v>
      </c>
      <c r="AG90" s="1">
        <v>1</v>
      </c>
      <c r="AH90" s="18">
        <v>101</v>
      </c>
      <c r="AI90" s="16">
        <v>582</v>
      </c>
      <c r="AJ90" s="17">
        <v>943</v>
      </c>
      <c r="AK90" s="16">
        <v>3</v>
      </c>
      <c r="AL90" s="17">
        <v>1</v>
      </c>
      <c r="AM90" s="16">
        <v>1</v>
      </c>
      <c r="AN90" s="1">
        <v>0</v>
      </c>
      <c r="AO90" s="1">
        <v>0</v>
      </c>
      <c r="AP90" s="1">
        <v>0</v>
      </c>
      <c r="AQ90" s="1">
        <v>0</v>
      </c>
      <c r="AR90" s="1">
        <v>4</v>
      </c>
      <c r="AS90" s="1">
        <v>35</v>
      </c>
      <c r="AT90" s="1">
        <v>0</v>
      </c>
      <c r="AU90" s="1">
        <v>0</v>
      </c>
      <c r="AV90" s="1">
        <v>0</v>
      </c>
      <c r="AW90" s="1">
        <v>76</v>
      </c>
      <c r="AX90" s="17">
        <v>0</v>
      </c>
      <c r="AY90" s="16">
        <v>0</v>
      </c>
      <c r="AZ90" s="1">
        <v>0</v>
      </c>
      <c r="BA90" s="1">
        <v>0</v>
      </c>
      <c r="BB90" s="17">
        <v>0</v>
      </c>
      <c r="BC90" s="16">
        <v>0</v>
      </c>
      <c r="BD90" s="17">
        <v>0</v>
      </c>
      <c r="BE90" s="18">
        <v>119</v>
      </c>
      <c r="BF90" s="16">
        <v>0</v>
      </c>
      <c r="BG90" s="1">
        <v>1</v>
      </c>
      <c r="BH90" s="1"/>
      <c r="BI90" s="1">
        <v>0</v>
      </c>
      <c r="BJ90" s="16">
        <v>0</v>
      </c>
      <c r="BK90" s="1">
        <v>1</v>
      </c>
      <c r="BL90" s="16"/>
      <c r="BM90" s="1"/>
      <c r="BN90" s="1"/>
      <c r="BO90" s="1"/>
      <c r="BP90" s="1"/>
      <c r="BQ90" s="1"/>
      <c r="BR90" s="1"/>
      <c r="BS90" s="1"/>
      <c r="BT90" s="17"/>
      <c r="BU90" s="16"/>
      <c r="BV90" s="1"/>
      <c r="BW90" s="1"/>
      <c r="BX90" s="1"/>
      <c r="BY90" s="1"/>
      <c r="BZ90" s="1"/>
      <c r="CA90" s="1"/>
      <c r="CB90" s="17"/>
      <c r="CC90" s="16"/>
      <c r="CD90" s="1"/>
      <c r="CE90" s="17"/>
      <c r="CF90" s="16"/>
      <c r="CG90" s="1"/>
      <c r="CH90" s="17"/>
      <c r="CI90" s="16"/>
      <c r="CJ90" s="17"/>
      <c r="CK90" s="16"/>
      <c r="CL90" s="17"/>
      <c r="CM90" s="16"/>
      <c r="CN90" s="1"/>
      <c r="CO90" s="1"/>
      <c r="CP90" s="1"/>
      <c r="CQ90" s="1"/>
      <c r="CR90" s="17"/>
      <c r="CS90" s="16"/>
      <c r="CT90" s="1"/>
      <c r="CU90" s="1"/>
      <c r="CV90" s="17"/>
      <c r="CW90" s="16"/>
      <c r="CX90" s="1"/>
      <c r="CY90" s="1"/>
      <c r="CZ90" s="17"/>
      <c r="DA90" s="18"/>
      <c r="DB90" s="6"/>
    </row>
    <row r="91" spans="1:106">
      <c r="A91" s="42" t="s">
        <v>325</v>
      </c>
      <c r="B91" s="17" t="s">
        <v>295</v>
      </c>
      <c r="C91" s="16" t="s">
        <v>76</v>
      </c>
      <c r="D91" s="1"/>
      <c r="E91" s="18">
        <v>1000</v>
      </c>
      <c r="F91" s="18"/>
      <c r="G91" s="16">
        <v>1376</v>
      </c>
      <c r="H91" s="17">
        <v>1.47481243301179</v>
      </c>
      <c r="I91" s="18">
        <v>7</v>
      </c>
      <c r="J91" s="16">
        <v>0</v>
      </c>
      <c r="K91" s="1">
        <v>0</v>
      </c>
      <c r="L91" s="1">
        <v>0</v>
      </c>
      <c r="M91" s="1">
        <v>1</v>
      </c>
      <c r="N91" s="17">
        <v>1</v>
      </c>
      <c r="O91" s="16">
        <v>11</v>
      </c>
      <c r="P91" s="16">
        <v>1</v>
      </c>
      <c r="Q91" s="1">
        <v>0</v>
      </c>
      <c r="R91" s="1">
        <v>0</v>
      </c>
      <c r="S91" s="17">
        <v>0</v>
      </c>
      <c r="T91" s="16">
        <v>1000</v>
      </c>
      <c r="U91" s="16">
        <v>1</v>
      </c>
      <c r="V91" s="1">
        <v>0</v>
      </c>
      <c r="W91" s="1">
        <v>0</v>
      </c>
      <c r="X91" s="1">
        <v>0</v>
      </c>
      <c r="Y91" s="17">
        <v>0</v>
      </c>
      <c r="Z91" s="18">
        <v>10000</v>
      </c>
      <c r="AA91" s="18">
        <v>1</v>
      </c>
      <c r="AB91" s="18">
        <v>0</v>
      </c>
      <c r="AC91" s="16">
        <v>0</v>
      </c>
      <c r="AD91" s="17">
        <v>0</v>
      </c>
      <c r="AE91" s="16">
        <v>0</v>
      </c>
      <c r="AF91" s="1">
        <v>0</v>
      </c>
      <c r="AG91" s="1">
        <v>1</v>
      </c>
      <c r="AH91" s="18">
        <v>1</v>
      </c>
      <c r="AI91" s="16">
        <v>145</v>
      </c>
      <c r="AJ91" s="17">
        <v>1219</v>
      </c>
      <c r="AK91" s="16">
        <v>5</v>
      </c>
      <c r="AL91" s="17">
        <v>1</v>
      </c>
      <c r="AM91" s="16">
        <v>1</v>
      </c>
      <c r="AN91" s="1">
        <v>3</v>
      </c>
      <c r="AO91" s="1">
        <v>7</v>
      </c>
      <c r="AP91" s="1">
        <v>0</v>
      </c>
      <c r="AQ91" s="1">
        <v>0</v>
      </c>
      <c r="AR91" s="1">
        <v>0</v>
      </c>
      <c r="AS91" s="1">
        <v>0</v>
      </c>
      <c r="AT91" s="1">
        <v>10</v>
      </c>
      <c r="AU91" s="1">
        <v>17</v>
      </c>
      <c r="AV91" s="1">
        <v>92</v>
      </c>
      <c r="AW91" s="1">
        <v>146</v>
      </c>
      <c r="AX91" s="17">
        <v>0</v>
      </c>
      <c r="AY91" s="16">
        <v>0</v>
      </c>
      <c r="AZ91" s="1">
        <v>0</v>
      </c>
      <c r="BA91" s="1">
        <v>0</v>
      </c>
      <c r="BB91" s="17">
        <v>0</v>
      </c>
      <c r="BC91" s="16">
        <v>0</v>
      </c>
      <c r="BD91" s="17">
        <v>0</v>
      </c>
      <c r="BE91" s="18">
        <v>102</v>
      </c>
      <c r="BF91" s="16">
        <v>1</v>
      </c>
      <c r="BG91" s="1">
        <v>0</v>
      </c>
      <c r="BH91" s="1"/>
      <c r="BI91" s="1">
        <v>0</v>
      </c>
      <c r="BJ91" s="16">
        <v>0</v>
      </c>
      <c r="BK91" s="1">
        <v>1</v>
      </c>
      <c r="BL91" s="16"/>
      <c r="BM91" s="1"/>
      <c r="BN91" s="1"/>
      <c r="BO91" s="1"/>
      <c r="BP91" s="1"/>
      <c r="BQ91" s="1"/>
      <c r="BR91" s="1"/>
      <c r="BS91" s="1"/>
      <c r="BT91" s="17"/>
      <c r="BU91" s="16"/>
      <c r="BV91" s="1"/>
      <c r="BW91" s="1"/>
      <c r="BX91" s="1"/>
      <c r="BY91" s="1"/>
      <c r="BZ91" s="1"/>
      <c r="CA91" s="1"/>
      <c r="CB91" s="17"/>
      <c r="CC91" s="16"/>
      <c r="CD91" s="1"/>
      <c r="CE91" s="17"/>
      <c r="CF91" s="16"/>
      <c r="CG91" s="1"/>
      <c r="CH91" s="17"/>
      <c r="CI91" s="16"/>
      <c r="CJ91" s="17"/>
      <c r="CK91" s="16"/>
      <c r="CL91" s="17"/>
      <c r="CM91" s="16"/>
      <c r="CN91" s="1"/>
      <c r="CO91" s="1"/>
      <c r="CP91" s="1"/>
      <c r="CQ91" s="1"/>
      <c r="CR91" s="17"/>
      <c r="CS91" s="16"/>
      <c r="CT91" s="1"/>
      <c r="CU91" s="1"/>
      <c r="CV91" s="17"/>
      <c r="CW91" s="16"/>
      <c r="CX91" s="1"/>
      <c r="CY91" s="1"/>
      <c r="CZ91" s="17"/>
      <c r="DA91" s="18"/>
      <c r="DB91" s="6"/>
    </row>
    <row r="92" spans="1:106">
      <c r="A92" s="42" t="s">
        <v>325</v>
      </c>
      <c r="B92" s="17" t="s">
        <v>295</v>
      </c>
      <c r="C92" s="16" t="s">
        <v>73</v>
      </c>
      <c r="D92" s="1"/>
      <c r="E92" s="18">
        <v>1000</v>
      </c>
      <c r="F92" s="18"/>
      <c r="G92" s="16">
        <v>1066</v>
      </c>
      <c r="H92" s="17">
        <v>2.3901345291479821</v>
      </c>
      <c r="I92" s="18">
        <v>5</v>
      </c>
      <c r="J92" s="16">
        <v>0</v>
      </c>
      <c r="K92" s="1">
        <v>0</v>
      </c>
      <c r="L92" s="1">
        <v>1</v>
      </c>
      <c r="M92" s="1">
        <v>0</v>
      </c>
      <c r="N92" s="17">
        <v>1</v>
      </c>
      <c r="O92" s="16">
        <v>101</v>
      </c>
      <c r="P92" s="16">
        <v>1</v>
      </c>
      <c r="Q92" s="1">
        <v>0</v>
      </c>
      <c r="R92" s="1">
        <v>0</v>
      </c>
      <c r="S92" s="17">
        <v>0</v>
      </c>
      <c r="T92" s="16">
        <v>1000</v>
      </c>
      <c r="U92" s="16">
        <v>1</v>
      </c>
      <c r="V92" s="1">
        <v>0</v>
      </c>
      <c r="W92" s="1">
        <v>1</v>
      </c>
      <c r="X92" s="1">
        <v>1</v>
      </c>
      <c r="Y92" s="17">
        <v>0</v>
      </c>
      <c r="Z92" s="18">
        <v>10110</v>
      </c>
      <c r="AA92" s="18">
        <v>3</v>
      </c>
      <c r="AB92" s="18">
        <v>1</v>
      </c>
      <c r="AC92" s="16">
        <v>1</v>
      </c>
      <c r="AD92" s="17">
        <v>3</v>
      </c>
      <c r="AE92" s="16">
        <v>1</v>
      </c>
      <c r="AF92" s="1">
        <v>0</v>
      </c>
      <c r="AG92" s="1">
        <v>1</v>
      </c>
      <c r="AH92" s="18">
        <v>101</v>
      </c>
      <c r="AI92" s="16">
        <v>126</v>
      </c>
      <c r="AJ92" s="17">
        <v>638</v>
      </c>
      <c r="AK92" s="16">
        <v>4</v>
      </c>
      <c r="AL92" s="17">
        <v>1</v>
      </c>
      <c r="AM92" s="16">
        <v>1</v>
      </c>
      <c r="AN92" s="1">
        <v>0</v>
      </c>
      <c r="AO92" s="1">
        <v>0</v>
      </c>
      <c r="AP92" s="1">
        <v>0</v>
      </c>
      <c r="AQ92" s="1">
        <v>0</v>
      </c>
      <c r="AR92" s="1">
        <v>6</v>
      </c>
      <c r="AS92" s="1">
        <v>15</v>
      </c>
      <c r="AT92" s="1">
        <v>0</v>
      </c>
      <c r="AU92" s="1">
        <v>62</v>
      </c>
      <c r="AV92" s="1">
        <v>0</v>
      </c>
      <c r="AW92" s="1">
        <v>0</v>
      </c>
      <c r="AX92" s="17">
        <v>0</v>
      </c>
      <c r="AY92" s="16">
        <v>0</v>
      </c>
      <c r="AZ92" s="1">
        <v>0</v>
      </c>
      <c r="BA92" s="1">
        <v>0</v>
      </c>
      <c r="BB92" s="17">
        <v>0</v>
      </c>
      <c r="BC92" s="16">
        <v>0</v>
      </c>
      <c r="BD92" s="17">
        <v>0</v>
      </c>
      <c r="BE92" s="18"/>
      <c r="BF92" s="16">
        <v>0</v>
      </c>
      <c r="BG92" s="1">
        <v>1</v>
      </c>
      <c r="BH92" s="1"/>
      <c r="BI92" s="1">
        <v>0</v>
      </c>
      <c r="BJ92" s="16">
        <v>0</v>
      </c>
      <c r="BK92" s="1">
        <v>1</v>
      </c>
      <c r="BL92" s="16">
        <v>71.53</v>
      </c>
      <c r="BM92" s="1"/>
      <c r="BN92" s="1"/>
      <c r="BO92" s="1"/>
      <c r="BP92" s="1"/>
      <c r="BQ92" s="1"/>
      <c r="BR92" s="1"/>
      <c r="BS92" s="1"/>
      <c r="BT92" s="17"/>
      <c r="BU92" s="16">
        <v>75.86</v>
      </c>
      <c r="BV92" s="1">
        <v>73.099999999999994</v>
      </c>
      <c r="BW92" s="1">
        <v>67.069999999999993</v>
      </c>
      <c r="BX92" s="1">
        <v>77.34</v>
      </c>
      <c r="BY92" s="1"/>
      <c r="BZ92" s="1"/>
      <c r="CA92" s="1"/>
      <c r="CB92" s="17"/>
      <c r="CC92" s="16">
        <v>66.569999999999993</v>
      </c>
      <c r="CD92" s="1"/>
      <c r="CE92" s="17"/>
      <c r="CF92" s="16"/>
      <c r="CG92" s="1"/>
      <c r="CH92" s="17"/>
      <c r="CI92" s="16"/>
      <c r="CJ92" s="17"/>
      <c r="CK92" s="16"/>
      <c r="CL92" s="17"/>
      <c r="CM92" s="16"/>
      <c r="CN92" s="1"/>
      <c r="CO92" s="1"/>
      <c r="CP92" s="1"/>
      <c r="CQ92" s="1"/>
      <c r="CR92" s="17"/>
      <c r="CS92" s="16"/>
      <c r="CT92" s="1"/>
      <c r="CU92" s="1"/>
      <c r="CV92" s="17"/>
      <c r="CW92" s="16">
        <v>67.8</v>
      </c>
      <c r="CX92" s="1"/>
      <c r="CY92" s="1"/>
      <c r="CZ92" s="17"/>
      <c r="DA92" s="18"/>
      <c r="DB92" s="6"/>
    </row>
    <row r="93" spans="1:106">
      <c r="A93" s="42" t="s">
        <v>325</v>
      </c>
      <c r="B93" s="17" t="s">
        <v>295</v>
      </c>
      <c r="C93" s="16" t="s">
        <v>194</v>
      </c>
      <c r="D93" s="1"/>
      <c r="E93" s="18">
        <v>1000</v>
      </c>
      <c r="F93" s="18"/>
      <c r="G93" s="16">
        <v>3386</v>
      </c>
      <c r="H93" s="17">
        <v>2.0684178375076359</v>
      </c>
      <c r="I93" s="18">
        <v>23</v>
      </c>
      <c r="J93" s="16">
        <v>0</v>
      </c>
      <c r="K93" s="1">
        <v>0</v>
      </c>
      <c r="L93" s="1">
        <v>0</v>
      </c>
      <c r="M93" s="1">
        <v>1</v>
      </c>
      <c r="N93" s="17">
        <v>1</v>
      </c>
      <c r="O93" s="16">
        <v>11</v>
      </c>
      <c r="P93" s="16">
        <v>1</v>
      </c>
      <c r="Q93" s="1">
        <v>0</v>
      </c>
      <c r="R93" s="1">
        <v>0</v>
      </c>
      <c r="S93" s="17">
        <v>0</v>
      </c>
      <c r="T93" s="16">
        <v>1000</v>
      </c>
      <c r="U93" s="16">
        <v>1</v>
      </c>
      <c r="V93" s="1">
        <v>0</v>
      </c>
      <c r="W93" s="1">
        <v>0</v>
      </c>
      <c r="X93" s="1">
        <v>0</v>
      </c>
      <c r="Y93" s="17">
        <v>0</v>
      </c>
      <c r="Z93" s="18">
        <v>10000</v>
      </c>
      <c r="AA93" s="18">
        <v>1</v>
      </c>
      <c r="AB93" s="18">
        <v>0</v>
      </c>
      <c r="AC93" s="16">
        <v>0</v>
      </c>
      <c r="AD93" s="17">
        <v>1</v>
      </c>
      <c r="AE93" s="16">
        <v>1</v>
      </c>
      <c r="AF93" s="1">
        <v>1</v>
      </c>
      <c r="AG93" s="1">
        <v>1</v>
      </c>
      <c r="AH93" s="18">
        <v>111</v>
      </c>
      <c r="AI93" s="16">
        <v>118</v>
      </c>
      <c r="AJ93" s="17">
        <v>2120</v>
      </c>
      <c r="AK93" s="16">
        <v>4</v>
      </c>
      <c r="AL93" s="17">
        <v>1</v>
      </c>
      <c r="AM93" s="16">
        <v>1</v>
      </c>
      <c r="AN93" s="1">
        <v>0</v>
      </c>
      <c r="AO93" s="1">
        <v>0</v>
      </c>
      <c r="AP93" s="1">
        <v>0</v>
      </c>
      <c r="AQ93" s="1">
        <v>0</v>
      </c>
      <c r="AR93" s="1">
        <v>16</v>
      </c>
      <c r="AS93" s="1">
        <v>63</v>
      </c>
      <c r="AT93" s="1">
        <v>0</v>
      </c>
      <c r="AU93" s="1">
        <v>0</v>
      </c>
      <c r="AV93" s="1">
        <v>33</v>
      </c>
      <c r="AW93" s="1">
        <v>329</v>
      </c>
      <c r="AX93" s="17">
        <v>0</v>
      </c>
      <c r="AY93" s="16">
        <v>0</v>
      </c>
      <c r="AZ93" s="1">
        <v>1</v>
      </c>
      <c r="BA93" s="1">
        <v>0</v>
      </c>
      <c r="BB93" s="17">
        <v>1</v>
      </c>
      <c r="BC93" s="16">
        <v>2</v>
      </c>
      <c r="BD93" s="17">
        <v>101</v>
      </c>
      <c r="BE93" s="18">
        <v>159</v>
      </c>
      <c r="BF93" s="16">
        <v>1</v>
      </c>
      <c r="BG93" s="1">
        <v>1</v>
      </c>
      <c r="BH93" s="1"/>
      <c r="BI93" s="1">
        <v>0</v>
      </c>
      <c r="BJ93" s="16">
        <v>1</v>
      </c>
      <c r="BK93" s="1">
        <v>0</v>
      </c>
      <c r="BL93" s="16">
        <v>70.459999999999994</v>
      </c>
      <c r="BM93" s="1">
        <v>70.180000000000007</v>
      </c>
      <c r="BN93" s="1"/>
      <c r="BO93" s="1"/>
      <c r="BP93" s="1"/>
      <c r="BQ93" s="1"/>
      <c r="BR93" s="1"/>
      <c r="BS93" s="1"/>
      <c r="BT93" s="17"/>
      <c r="BU93" s="16"/>
      <c r="BV93" s="1"/>
      <c r="BW93" s="1"/>
      <c r="BX93" s="1"/>
      <c r="BY93" s="1"/>
      <c r="BZ93" s="1"/>
      <c r="CA93" s="1"/>
      <c r="CB93" s="17"/>
      <c r="CC93" s="16">
        <v>67.349999999999994</v>
      </c>
      <c r="CD93" s="1">
        <v>68.97</v>
      </c>
      <c r="CE93" s="17"/>
      <c r="CF93" s="16"/>
      <c r="CG93" s="1"/>
      <c r="CH93" s="17"/>
      <c r="CI93" s="16"/>
      <c r="CJ93" s="17"/>
      <c r="CK93" s="16"/>
      <c r="CL93" s="17"/>
      <c r="CM93" s="16"/>
      <c r="CN93" s="1"/>
      <c r="CO93" s="1"/>
      <c r="CP93" s="1"/>
      <c r="CQ93" s="1"/>
      <c r="CR93" s="17"/>
      <c r="CS93" s="16"/>
      <c r="CT93" s="1"/>
      <c r="CU93" s="1"/>
      <c r="CV93" s="17"/>
      <c r="CW93" s="16"/>
      <c r="CX93" s="1"/>
      <c r="CY93" s="1"/>
      <c r="CZ93" s="17"/>
      <c r="DA93" s="18"/>
      <c r="DB93" s="6"/>
    </row>
    <row r="94" spans="1:106">
      <c r="A94" s="42" t="s">
        <v>325</v>
      </c>
      <c r="B94" s="17" t="s">
        <v>295</v>
      </c>
      <c r="C94" s="16" t="s">
        <v>202</v>
      </c>
      <c r="D94" s="1"/>
      <c r="E94" s="18">
        <v>1000</v>
      </c>
      <c r="F94" s="18"/>
      <c r="G94" s="16">
        <v>2793</v>
      </c>
      <c r="H94" s="17">
        <v>1.7846645367412139</v>
      </c>
      <c r="I94" s="18">
        <v>13</v>
      </c>
      <c r="J94" s="16">
        <v>0</v>
      </c>
      <c r="K94" s="1">
        <v>0</v>
      </c>
      <c r="L94" s="1">
        <v>0</v>
      </c>
      <c r="M94" s="1">
        <v>1</v>
      </c>
      <c r="N94" s="17">
        <v>1</v>
      </c>
      <c r="O94" s="16">
        <v>11</v>
      </c>
      <c r="P94" s="16">
        <v>1</v>
      </c>
      <c r="Q94" s="1">
        <v>0</v>
      </c>
      <c r="R94" s="1">
        <v>0</v>
      </c>
      <c r="S94" s="17">
        <v>0</v>
      </c>
      <c r="T94" s="16">
        <v>1000</v>
      </c>
      <c r="U94" s="16">
        <v>1</v>
      </c>
      <c r="V94" s="1">
        <v>0</v>
      </c>
      <c r="W94" s="1">
        <v>0</v>
      </c>
      <c r="X94" s="1">
        <v>0</v>
      </c>
      <c r="Y94" s="17">
        <v>0</v>
      </c>
      <c r="Z94" s="18">
        <v>10000</v>
      </c>
      <c r="AA94" s="18">
        <v>1</v>
      </c>
      <c r="AB94" s="18">
        <v>0</v>
      </c>
      <c r="AC94" s="16">
        <v>0</v>
      </c>
      <c r="AD94" s="17">
        <v>0</v>
      </c>
      <c r="AE94" s="16">
        <v>1</v>
      </c>
      <c r="AF94" s="1">
        <v>0</v>
      </c>
      <c r="AG94" s="1">
        <v>1</v>
      </c>
      <c r="AH94" s="18">
        <v>101</v>
      </c>
      <c r="AI94" s="16">
        <v>173</v>
      </c>
      <c r="AJ94" s="17">
        <v>2207</v>
      </c>
      <c r="AK94" s="16">
        <v>8</v>
      </c>
      <c r="AL94" s="17">
        <v>1</v>
      </c>
      <c r="AM94" s="16">
        <v>1</v>
      </c>
      <c r="AN94" s="1">
        <v>0</v>
      </c>
      <c r="AO94" s="1">
        <v>0</v>
      </c>
      <c r="AP94" s="1">
        <v>0</v>
      </c>
      <c r="AQ94" s="1">
        <v>0</v>
      </c>
      <c r="AR94" s="1">
        <v>8</v>
      </c>
      <c r="AS94" s="1">
        <v>25</v>
      </c>
      <c r="AT94" s="1">
        <v>0</v>
      </c>
      <c r="AU94" s="1">
        <v>0</v>
      </c>
      <c r="AV94" s="1">
        <v>244</v>
      </c>
      <c r="AW94" s="1">
        <v>36</v>
      </c>
      <c r="AX94" s="17">
        <v>0</v>
      </c>
      <c r="AY94" s="16">
        <v>0</v>
      </c>
      <c r="AZ94" s="1">
        <v>0</v>
      </c>
      <c r="BA94" s="1">
        <v>0</v>
      </c>
      <c r="BB94" s="17">
        <v>0</v>
      </c>
      <c r="BC94" s="16">
        <v>0</v>
      </c>
      <c r="BD94" s="17">
        <v>0</v>
      </c>
      <c r="BE94" s="18">
        <v>103</v>
      </c>
      <c r="BF94" s="16">
        <v>1</v>
      </c>
      <c r="BG94" s="1">
        <v>0</v>
      </c>
      <c r="BH94" s="1"/>
      <c r="BI94" s="1">
        <v>0</v>
      </c>
      <c r="BJ94" s="16">
        <v>1</v>
      </c>
      <c r="BK94" s="1">
        <v>0</v>
      </c>
      <c r="BL94" s="16"/>
      <c r="BM94" s="1"/>
      <c r="BN94" s="1"/>
      <c r="BO94" s="1"/>
      <c r="BP94" s="1"/>
      <c r="BQ94" s="1"/>
      <c r="BR94" s="1"/>
      <c r="BS94" s="1"/>
      <c r="BT94" s="17"/>
      <c r="BU94" s="16"/>
      <c r="BV94" s="1"/>
      <c r="BW94" s="1"/>
      <c r="BX94" s="1"/>
      <c r="BY94" s="1"/>
      <c r="BZ94" s="1"/>
      <c r="CA94" s="1"/>
      <c r="CB94" s="17"/>
      <c r="CC94" s="16"/>
      <c r="CD94" s="1"/>
      <c r="CE94" s="17"/>
      <c r="CF94" s="16"/>
      <c r="CG94" s="1"/>
      <c r="CH94" s="17"/>
      <c r="CI94" s="16"/>
      <c r="CJ94" s="17"/>
      <c r="CK94" s="16"/>
      <c r="CL94" s="17"/>
      <c r="CM94" s="16"/>
      <c r="CN94" s="1"/>
      <c r="CO94" s="1"/>
      <c r="CP94" s="1"/>
      <c r="CQ94" s="1"/>
      <c r="CR94" s="17"/>
      <c r="CS94" s="16"/>
      <c r="CT94" s="1"/>
      <c r="CU94" s="1"/>
      <c r="CV94" s="17"/>
      <c r="CW94" s="16"/>
      <c r="CX94" s="1"/>
      <c r="CY94" s="1"/>
      <c r="CZ94" s="17"/>
      <c r="DA94" s="18"/>
      <c r="DB94" s="6"/>
    </row>
    <row r="95" spans="1:106">
      <c r="A95" s="42" t="s">
        <v>325</v>
      </c>
      <c r="B95" s="17" t="s">
        <v>295</v>
      </c>
      <c r="C95" s="16" t="s">
        <v>204</v>
      </c>
      <c r="D95" s="1"/>
      <c r="E95" s="18">
        <v>1000</v>
      </c>
      <c r="F95" s="18"/>
      <c r="G95" s="16">
        <v>1191</v>
      </c>
      <c r="H95" s="17">
        <v>1.7644444444444445</v>
      </c>
      <c r="I95" s="18">
        <v>3</v>
      </c>
      <c r="J95" s="16">
        <v>0</v>
      </c>
      <c r="K95" s="1">
        <v>0</v>
      </c>
      <c r="L95" s="1">
        <v>0</v>
      </c>
      <c r="M95" s="1">
        <v>1</v>
      </c>
      <c r="N95" s="17">
        <v>0</v>
      </c>
      <c r="O95" s="16">
        <v>10</v>
      </c>
      <c r="P95" s="16">
        <v>1</v>
      </c>
      <c r="Q95" s="1">
        <v>0</v>
      </c>
      <c r="R95" s="1">
        <v>0</v>
      </c>
      <c r="S95" s="17">
        <v>0</v>
      </c>
      <c r="T95" s="16">
        <v>1000</v>
      </c>
      <c r="U95" s="16">
        <v>1</v>
      </c>
      <c r="V95" s="1">
        <v>0</v>
      </c>
      <c r="W95" s="1">
        <v>0</v>
      </c>
      <c r="X95" s="1">
        <v>1</v>
      </c>
      <c r="Y95" s="17">
        <v>0</v>
      </c>
      <c r="Z95" s="18">
        <v>10010</v>
      </c>
      <c r="AA95" s="18">
        <v>2</v>
      </c>
      <c r="AB95" s="18">
        <v>2</v>
      </c>
      <c r="AC95" s="16">
        <v>1</v>
      </c>
      <c r="AD95" s="17">
        <v>2</v>
      </c>
      <c r="AE95" s="16">
        <v>0</v>
      </c>
      <c r="AF95" s="1">
        <v>0</v>
      </c>
      <c r="AG95" s="1">
        <v>1</v>
      </c>
      <c r="AH95" s="18">
        <v>1</v>
      </c>
      <c r="AI95" s="16">
        <v>433</v>
      </c>
      <c r="AJ95" s="17">
        <v>877</v>
      </c>
      <c r="AK95" s="16">
        <v>7</v>
      </c>
      <c r="AL95" s="17">
        <v>1</v>
      </c>
      <c r="AM95" s="16">
        <v>1</v>
      </c>
      <c r="AN95" s="1">
        <v>0</v>
      </c>
      <c r="AO95" s="1">
        <v>0</v>
      </c>
      <c r="AP95" s="1">
        <v>0</v>
      </c>
      <c r="AQ95" s="1">
        <v>0</v>
      </c>
      <c r="AR95" s="1">
        <v>14</v>
      </c>
      <c r="AS95" s="1">
        <v>116</v>
      </c>
      <c r="AT95" s="1">
        <v>0</v>
      </c>
      <c r="AU95" s="1">
        <v>0</v>
      </c>
      <c r="AV95" s="1">
        <v>16</v>
      </c>
      <c r="AW95" s="1">
        <v>37</v>
      </c>
      <c r="AX95" s="17">
        <v>0</v>
      </c>
      <c r="AY95" s="16">
        <v>0</v>
      </c>
      <c r="AZ95" s="1">
        <v>0</v>
      </c>
      <c r="BA95" s="1">
        <v>0</v>
      </c>
      <c r="BB95" s="17">
        <v>0</v>
      </c>
      <c r="BC95" s="16">
        <v>0</v>
      </c>
      <c r="BD95" s="17">
        <v>0</v>
      </c>
      <c r="BE95" s="18">
        <v>100</v>
      </c>
      <c r="BF95" s="16">
        <v>0</v>
      </c>
      <c r="BG95" s="1">
        <v>1</v>
      </c>
      <c r="BH95" s="1"/>
      <c r="BI95" s="1">
        <v>0</v>
      </c>
      <c r="BJ95" s="16">
        <v>0</v>
      </c>
      <c r="BK95" s="1">
        <v>1</v>
      </c>
      <c r="BL95" s="16"/>
      <c r="BM95" s="1"/>
      <c r="BN95" s="1"/>
      <c r="BO95" s="1"/>
      <c r="BP95" s="1"/>
      <c r="BQ95" s="1"/>
      <c r="BR95" s="1"/>
      <c r="BS95" s="1"/>
      <c r="BT95" s="17"/>
      <c r="BU95" s="16"/>
      <c r="BV95" s="1"/>
      <c r="BW95" s="1"/>
      <c r="BX95" s="1"/>
      <c r="BY95" s="1"/>
      <c r="BZ95" s="1"/>
      <c r="CA95" s="1"/>
      <c r="CB95" s="17"/>
      <c r="CC95" s="16"/>
      <c r="CD95" s="1"/>
      <c r="CE95" s="17"/>
      <c r="CF95" s="16"/>
      <c r="CG95" s="1"/>
      <c r="CH95" s="17"/>
      <c r="CI95" s="16"/>
      <c r="CJ95" s="17"/>
      <c r="CK95" s="16"/>
      <c r="CL95" s="17"/>
      <c r="CM95" s="16"/>
      <c r="CN95" s="1"/>
      <c r="CO95" s="1"/>
      <c r="CP95" s="1"/>
      <c r="CQ95" s="1"/>
      <c r="CR95" s="17"/>
      <c r="CS95" s="16"/>
      <c r="CT95" s="1"/>
      <c r="CU95" s="1"/>
      <c r="CV95" s="17"/>
      <c r="CW95" s="16"/>
      <c r="CX95" s="1"/>
      <c r="CY95" s="1"/>
      <c r="CZ95" s="17"/>
      <c r="DA95" s="18"/>
      <c r="DB95" s="6"/>
    </row>
    <row r="96" spans="1:106">
      <c r="A96" s="42" t="s">
        <v>325</v>
      </c>
      <c r="B96" s="17" t="s">
        <v>295</v>
      </c>
      <c r="C96" s="16" t="s">
        <v>88</v>
      </c>
      <c r="D96" s="1"/>
      <c r="E96" s="18">
        <v>1000</v>
      </c>
      <c r="F96" s="18"/>
      <c r="G96" s="16">
        <v>846</v>
      </c>
      <c r="H96" s="17">
        <v>1.540983606557377</v>
      </c>
      <c r="I96" s="18">
        <v>2</v>
      </c>
      <c r="J96" s="16">
        <v>0</v>
      </c>
      <c r="K96" s="1">
        <v>0</v>
      </c>
      <c r="L96" s="1">
        <v>0</v>
      </c>
      <c r="M96" s="1">
        <v>1</v>
      </c>
      <c r="N96" s="17">
        <v>0</v>
      </c>
      <c r="O96" s="16">
        <v>10</v>
      </c>
      <c r="P96" s="16">
        <v>1</v>
      </c>
      <c r="Q96" s="1">
        <v>0</v>
      </c>
      <c r="R96" s="1">
        <v>0</v>
      </c>
      <c r="S96" s="17">
        <v>0</v>
      </c>
      <c r="T96" s="16">
        <v>1000</v>
      </c>
      <c r="U96" s="16">
        <v>1</v>
      </c>
      <c r="V96" s="1">
        <v>0</v>
      </c>
      <c r="W96" s="1">
        <v>1</v>
      </c>
      <c r="X96" s="1">
        <v>0</v>
      </c>
      <c r="Y96" s="17">
        <v>0</v>
      </c>
      <c r="Z96" s="18">
        <v>10100</v>
      </c>
      <c r="AA96" s="18">
        <v>2</v>
      </c>
      <c r="AB96" s="18">
        <v>0</v>
      </c>
      <c r="AC96" s="16">
        <v>0</v>
      </c>
      <c r="AD96" s="17">
        <v>0</v>
      </c>
      <c r="AE96" s="16">
        <v>0</v>
      </c>
      <c r="AF96" s="1">
        <v>1</v>
      </c>
      <c r="AG96" s="1">
        <v>1</v>
      </c>
      <c r="AH96" s="18">
        <v>11</v>
      </c>
      <c r="AI96" s="16">
        <v>413</v>
      </c>
      <c r="AJ96" s="17">
        <v>661</v>
      </c>
      <c r="AK96" s="16"/>
      <c r="AL96" s="17">
        <v>1</v>
      </c>
      <c r="AM96" s="16">
        <v>1</v>
      </c>
      <c r="AN96" s="1">
        <v>0</v>
      </c>
      <c r="AO96" s="1">
        <v>0</v>
      </c>
      <c r="AP96" s="1">
        <v>0</v>
      </c>
      <c r="AQ96" s="1">
        <v>0</v>
      </c>
      <c r="AR96" s="1">
        <v>6</v>
      </c>
      <c r="AS96" s="1">
        <v>15</v>
      </c>
      <c r="AT96" s="1">
        <v>0</v>
      </c>
      <c r="AU96" s="1">
        <v>0</v>
      </c>
      <c r="AV96" s="1">
        <v>0</v>
      </c>
      <c r="AW96" s="1">
        <v>0</v>
      </c>
      <c r="AX96" s="17">
        <v>0</v>
      </c>
      <c r="AY96" s="16">
        <v>1</v>
      </c>
      <c r="AZ96" s="1">
        <v>0</v>
      </c>
      <c r="BA96" s="1">
        <v>0</v>
      </c>
      <c r="BB96" s="17">
        <v>0</v>
      </c>
      <c r="BC96" s="16">
        <v>1</v>
      </c>
      <c r="BD96" s="17">
        <v>1000</v>
      </c>
      <c r="BE96" s="18">
        <v>102</v>
      </c>
      <c r="BF96" s="16">
        <v>1</v>
      </c>
      <c r="BG96" s="1">
        <v>0</v>
      </c>
      <c r="BH96" s="1"/>
      <c r="BI96" s="1">
        <v>0</v>
      </c>
      <c r="BJ96" s="16">
        <v>0</v>
      </c>
      <c r="BK96" s="1">
        <v>1</v>
      </c>
      <c r="BL96" s="16"/>
      <c r="BM96" s="1"/>
      <c r="BN96" s="1"/>
      <c r="BO96" s="1"/>
      <c r="BP96" s="1"/>
      <c r="BQ96" s="1"/>
      <c r="BR96" s="1"/>
      <c r="BS96" s="1"/>
      <c r="BT96" s="17"/>
      <c r="BU96" s="16"/>
      <c r="BV96" s="1"/>
      <c r="BW96" s="1"/>
      <c r="BX96" s="1"/>
      <c r="BY96" s="1"/>
      <c r="BZ96" s="1"/>
      <c r="CA96" s="1"/>
      <c r="CB96" s="17"/>
      <c r="CC96" s="16"/>
      <c r="CD96" s="1"/>
      <c r="CE96" s="17"/>
      <c r="CF96" s="16"/>
      <c r="CG96" s="1"/>
      <c r="CH96" s="17"/>
      <c r="CI96" s="16"/>
      <c r="CJ96" s="17"/>
      <c r="CK96" s="16"/>
      <c r="CL96" s="17"/>
      <c r="CM96" s="16"/>
      <c r="CN96" s="1"/>
      <c r="CO96" s="1"/>
      <c r="CP96" s="1"/>
      <c r="CQ96" s="1"/>
      <c r="CR96" s="17"/>
      <c r="CS96" s="16"/>
      <c r="CT96" s="1"/>
      <c r="CU96" s="1"/>
      <c r="CV96" s="17"/>
      <c r="CW96" s="16"/>
      <c r="CX96" s="1"/>
      <c r="CY96" s="1"/>
      <c r="CZ96" s="17"/>
      <c r="DA96" s="18"/>
      <c r="DB96" s="6"/>
    </row>
    <row r="97" spans="1:106" ht="17" thickBot="1">
      <c r="A97" s="42" t="s">
        <v>325</v>
      </c>
      <c r="B97" s="38" t="s">
        <v>295</v>
      </c>
      <c r="C97" s="22" t="s">
        <v>357</v>
      </c>
      <c r="D97" s="37"/>
      <c r="E97" s="39">
        <v>1000</v>
      </c>
      <c r="F97" s="39"/>
      <c r="G97" s="22">
        <v>829</v>
      </c>
      <c r="H97" s="38">
        <v>1.4098639455782314</v>
      </c>
      <c r="I97" s="39">
        <v>5</v>
      </c>
      <c r="J97" s="22">
        <v>0</v>
      </c>
      <c r="K97" s="37">
        <v>0</v>
      </c>
      <c r="L97" s="37">
        <v>0</v>
      </c>
      <c r="M97" s="37">
        <v>1</v>
      </c>
      <c r="N97" s="38">
        <v>0</v>
      </c>
      <c r="O97" s="22">
        <v>10</v>
      </c>
      <c r="P97" s="22">
        <v>1</v>
      </c>
      <c r="Q97" s="37">
        <v>0</v>
      </c>
      <c r="R97" s="37">
        <v>0</v>
      </c>
      <c r="S97" s="38">
        <v>0</v>
      </c>
      <c r="T97" s="22">
        <v>1000</v>
      </c>
      <c r="U97" s="22">
        <v>1</v>
      </c>
      <c r="V97" s="37">
        <v>0</v>
      </c>
      <c r="W97" s="37">
        <v>0</v>
      </c>
      <c r="X97" s="37">
        <v>1</v>
      </c>
      <c r="Y97" s="38">
        <v>0</v>
      </c>
      <c r="Z97" s="39">
        <v>10010</v>
      </c>
      <c r="AA97" s="39">
        <v>2</v>
      </c>
      <c r="AB97" s="39">
        <v>0</v>
      </c>
      <c r="AC97" s="22">
        <v>0</v>
      </c>
      <c r="AD97" s="38">
        <v>0</v>
      </c>
      <c r="AE97" s="22">
        <v>0</v>
      </c>
      <c r="AF97" s="37">
        <v>0</v>
      </c>
      <c r="AG97" s="37">
        <v>1</v>
      </c>
      <c r="AH97" s="39">
        <v>1</v>
      </c>
      <c r="AI97" s="22">
        <v>291</v>
      </c>
      <c r="AJ97" s="38">
        <v>747</v>
      </c>
      <c r="AK97" s="22">
        <v>4</v>
      </c>
      <c r="AL97" s="38">
        <v>1</v>
      </c>
      <c r="AM97" s="22">
        <v>0</v>
      </c>
      <c r="AN97" s="37">
        <v>0</v>
      </c>
      <c r="AO97" s="37">
        <v>0</v>
      </c>
      <c r="AP97" s="37">
        <v>0</v>
      </c>
      <c r="AQ97" s="37">
        <v>0</v>
      </c>
      <c r="AR97" s="37">
        <v>0</v>
      </c>
      <c r="AS97" s="37">
        <v>0</v>
      </c>
      <c r="AT97" s="37">
        <v>0</v>
      </c>
      <c r="AU97" s="37">
        <v>0</v>
      </c>
      <c r="AV97" s="37">
        <v>0</v>
      </c>
      <c r="AW97" s="37">
        <v>0</v>
      </c>
      <c r="AX97" s="38">
        <v>0</v>
      </c>
      <c r="AY97" s="22">
        <v>0</v>
      </c>
      <c r="AZ97" s="37">
        <v>0</v>
      </c>
      <c r="BA97" s="37">
        <v>0</v>
      </c>
      <c r="BB97" s="38">
        <v>0</v>
      </c>
      <c r="BC97" s="22">
        <v>0</v>
      </c>
      <c r="BD97" s="38">
        <v>0</v>
      </c>
      <c r="BE97" s="39">
        <v>104</v>
      </c>
      <c r="BF97" s="22">
        <v>1</v>
      </c>
      <c r="BG97" s="37">
        <v>1</v>
      </c>
      <c r="BH97" s="37"/>
      <c r="BI97" s="37">
        <v>0</v>
      </c>
      <c r="BJ97" s="22">
        <v>1</v>
      </c>
      <c r="BK97" s="37">
        <v>0</v>
      </c>
      <c r="BL97" s="22">
        <v>73.92</v>
      </c>
      <c r="BM97" s="37"/>
      <c r="BN97" s="37"/>
      <c r="BO97" s="37"/>
      <c r="BP97" s="37"/>
      <c r="BQ97" s="37"/>
      <c r="BR97" s="37"/>
      <c r="BS97" s="37"/>
      <c r="BT97" s="38"/>
      <c r="BU97" s="22"/>
      <c r="BV97" s="37"/>
      <c r="BW97" s="37"/>
      <c r="BX97" s="37"/>
      <c r="BY97" s="37"/>
      <c r="BZ97" s="37"/>
      <c r="CA97" s="37"/>
      <c r="CB97" s="38"/>
      <c r="CC97" s="22">
        <v>76.34</v>
      </c>
      <c r="CD97" s="37"/>
      <c r="CE97" s="38"/>
      <c r="CF97" s="22">
        <v>71.7</v>
      </c>
      <c r="CG97" s="37"/>
      <c r="CH97" s="38"/>
      <c r="CI97" s="22"/>
      <c r="CJ97" s="38"/>
      <c r="CK97" s="22"/>
      <c r="CL97" s="38"/>
      <c r="CM97" s="22"/>
      <c r="CN97" s="37"/>
      <c r="CO97" s="37"/>
      <c r="CP97" s="37"/>
      <c r="CQ97" s="37"/>
      <c r="CR97" s="38"/>
      <c r="CS97" s="22"/>
      <c r="CT97" s="37"/>
      <c r="CU97" s="37"/>
      <c r="CV97" s="38"/>
      <c r="CW97" s="22"/>
      <c r="CX97" s="37"/>
      <c r="CY97" s="37"/>
      <c r="CZ97" s="38"/>
      <c r="DA97" s="39"/>
      <c r="DB97" s="6"/>
    </row>
    <row r="98" spans="1:106">
      <c r="A98" s="87" t="s">
        <v>322</v>
      </c>
      <c r="B98" s="162" t="s">
        <v>188</v>
      </c>
      <c r="C98" s="160" t="s">
        <v>192</v>
      </c>
      <c r="D98" s="161" t="s">
        <v>0</v>
      </c>
      <c r="E98" s="43">
        <v>1010</v>
      </c>
      <c r="F98" s="43"/>
      <c r="G98" s="160">
        <v>2332</v>
      </c>
      <c r="H98" s="162">
        <v>4.0276338514680488</v>
      </c>
      <c r="I98" s="43">
        <v>3</v>
      </c>
      <c r="J98" s="160">
        <v>0</v>
      </c>
      <c r="K98" s="161">
        <v>0</v>
      </c>
      <c r="L98" s="161">
        <v>1</v>
      </c>
      <c r="M98" s="161">
        <v>1</v>
      </c>
      <c r="N98" s="162">
        <v>0</v>
      </c>
      <c r="O98" s="160">
        <v>110</v>
      </c>
      <c r="P98" s="160">
        <v>1</v>
      </c>
      <c r="Q98" s="161">
        <v>1</v>
      </c>
      <c r="R98" s="161">
        <v>0</v>
      </c>
      <c r="S98" s="162">
        <v>0</v>
      </c>
      <c r="T98" s="160">
        <v>1010</v>
      </c>
      <c r="U98" s="160">
        <v>1</v>
      </c>
      <c r="V98" s="161">
        <v>0</v>
      </c>
      <c r="W98" s="161">
        <v>1</v>
      </c>
      <c r="X98" s="161">
        <v>1</v>
      </c>
      <c r="Y98" s="162">
        <v>0</v>
      </c>
      <c r="Z98" s="43">
        <v>10110</v>
      </c>
      <c r="AA98" s="43">
        <v>3</v>
      </c>
      <c r="AB98" s="43">
        <v>2</v>
      </c>
      <c r="AC98" s="160">
        <v>1</v>
      </c>
      <c r="AD98" s="162">
        <v>3</v>
      </c>
      <c r="AE98" s="160">
        <v>1</v>
      </c>
      <c r="AF98" s="161">
        <v>1</v>
      </c>
      <c r="AG98" s="161">
        <v>0</v>
      </c>
      <c r="AH98" s="43">
        <v>110</v>
      </c>
      <c r="AI98" s="160">
        <v>870</v>
      </c>
      <c r="AJ98" s="162">
        <v>1492</v>
      </c>
      <c r="AK98" s="160"/>
      <c r="AL98" s="162">
        <v>1</v>
      </c>
      <c r="AM98" s="160">
        <v>5</v>
      </c>
      <c r="AN98" s="161">
        <v>0</v>
      </c>
      <c r="AO98" s="161">
        <v>0</v>
      </c>
      <c r="AP98" s="161">
        <v>0</v>
      </c>
      <c r="AQ98" s="161">
        <v>0</v>
      </c>
      <c r="AR98" s="161">
        <v>9</v>
      </c>
      <c r="AS98" s="161">
        <v>99</v>
      </c>
      <c r="AT98" s="161">
        <v>17</v>
      </c>
      <c r="AU98" s="161">
        <v>283</v>
      </c>
      <c r="AV98" s="161">
        <v>6</v>
      </c>
      <c r="AW98" s="161">
        <v>161</v>
      </c>
      <c r="AX98" s="162"/>
      <c r="AY98" s="160">
        <v>0</v>
      </c>
      <c r="AZ98" s="161">
        <v>0</v>
      </c>
      <c r="BA98" s="161">
        <v>0</v>
      </c>
      <c r="BB98" s="162">
        <v>0</v>
      </c>
      <c r="BC98" s="160">
        <v>0</v>
      </c>
      <c r="BD98" s="162">
        <v>0</v>
      </c>
      <c r="BE98" s="43">
        <v>140</v>
      </c>
      <c r="BF98" s="160">
        <v>0</v>
      </c>
      <c r="BG98" s="161">
        <v>1</v>
      </c>
      <c r="BH98" s="161">
        <v>0</v>
      </c>
      <c r="BI98" s="161">
        <v>0</v>
      </c>
      <c r="BJ98" s="160">
        <v>0</v>
      </c>
      <c r="BK98" s="161">
        <v>1</v>
      </c>
      <c r="BL98" s="160">
        <v>59.52</v>
      </c>
      <c r="BM98" s="161">
        <v>58.38</v>
      </c>
      <c r="BN98" s="161">
        <v>60.63</v>
      </c>
      <c r="BO98" s="161"/>
      <c r="BP98" s="161"/>
      <c r="BQ98" s="161"/>
      <c r="BR98" s="161"/>
      <c r="BS98" s="161"/>
      <c r="BT98" s="162"/>
      <c r="BU98" s="160">
        <v>60.86</v>
      </c>
      <c r="BV98" s="161">
        <v>59.71</v>
      </c>
      <c r="BW98" s="161">
        <v>61.13</v>
      </c>
      <c r="BX98" s="161"/>
      <c r="BY98" s="161"/>
      <c r="BZ98" s="161"/>
      <c r="CA98" s="161"/>
      <c r="CB98" s="162"/>
      <c r="CC98" s="160">
        <v>57.43</v>
      </c>
      <c r="CD98" s="161"/>
      <c r="CE98" s="162"/>
      <c r="CF98" s="160">
        <v>51.62</v>
      </c>
      <c r="CG98" s="161">
        <v>43.74</v>
      </c>
      <c r="CH98" s="162"/>
      <c r="CI98" s="160"/>
      <c r="CJ98" s="162"/>
      <c r="CK98" s="160"/>
      <c r="CL98" s="162"/>
      <c r="CM98" s="160"/>
      <c r="CN98" s="161"/>
      <c r="CO98" s="161"/>
      <c r="CP98" s="161"/>
      <c r="CQ98" s="161"/>
      <c r="CR98" s="162"/>
      <c r="CS98" s="160"/>
      <c r="CT98" s="161"/>
      <c r="CU98" s="161"/>
      <c r="CV98" s="162"/>
      <c r="CW98" s="160"/>
      <c r="CX98" s="161"/>
      <c r="CY98" s="161"/>
      <c r="CZ98" s="162"/>
      <c r="DA98" s="43"/>
      <c r="DB98" s="6"/>
    </row>
    <row r="99" spans="1:106" ht="17" thickBot="1">
      <c r="A99" s="55" t="s">
        <v>322</v>
      </c>
      <c r="B99" s="38" t="s">
        <v>188</v>
      </c>
      <c r="C99" s="22" t="s">
        <v>68</v>
      </c>
      <c r="D99" s="37" t="s">
        <v>1</v>
      </c>
      <c r="E99" s="39">
        <v>1000</v>
      </c>
      <c r="F99" s="39"/>
      <c r="G99" s="22">
        <v>936</v>
      </c>
      <c r="H99" s="38">
        <v>1.4880763116057234</v>
      </c>
      <c r="I99" s="39">
        <v>2</v>
      </c>
      <c r="J99" s="22">
        <v>0</v>
      </c>
      <c r="K99" s="37">
        <v>0</v>
      </c>
      <c r="L99" s="37">
        <v>1</v>
      </c>
      <c r="M99" s="37">
        <v>1</v>
      </c>
      <c r="N99" s="38">
        <v>0</v>
      </c>
      <c r="O99" s="22">
        <v>110</v>
      </c>
      <c r="P99" s="22">
        <v>1</v>
      </c>
      <c r="Q99" s="37">
        <v>0</v>
      </c>
      <c r="R99" s="37">
        <v>0</v>
      </c>
      <c r="S99" s="38">
        <v>0</v>
      </c>
      <c r="T99" s="22">
        <v>1000</v>
      </c>
      <c r="U99" s="22">
        <v>1</v>
      </c>
      <c r="V99" s="37">
        <v>0</v>
      </c>
      <c r="W99" s="37">
        <v>0</v>
      </c>
      <c r="X99" s="37">
        <v>0</v>
      </c>
      <c r="Y99" s="38">
        <v>0</v>
      </c>
      <c r="Z99" s="39">
        <v>10000</v>
      </c>
      <c r="AA99" s="39">
        <v>1</v>
      </c>
      <c r="AB99" s="39">
        <v>2</v>
      </c>
      <c r="AC99" s="22">
        <v>1</v>
      </c>
      <c r="AD99" s="38">
        <v>2</v>
      </c>
      <c r="AE99" s="22">
        <v>1</v>
      </c>
      <c r="AF99" s="37">
        <v>1</v>
      </c>
      <c r="AG99" s="37">
        <v>1</v>
      </c>
      <c r="AH99" s="39">
        <v>111</v>
      </c>
      <c r="AI99" s="22">
        <v>270</v>
      </c>
      <c r="AJ99" s="38">
        <v>639</v>
      </c>
      <c r="AK99" s="22"/>
      <c r="AL99" s="38">
        <v>1</v>
      </c>
      <c r="AM99" s="22">
        <v>2</v>
      </c>
      <c r="AN99" s="37">
        <v>0</v>
      </c>
      <c r="AO99" s="37">
        <v>8</v>
      </c>
      <c r="AP99" s="37">
        <v>0</v>
      </c>
      <c r="AQ99" s="37">
        <v>0</v>
      </c>
      <c r="AR99" s="37">
        <v>6</v>
      </c>
      <c r="AS99" s="37">
        <v>49</v>
      </c>
      <c r="AT99" s="37">
        <v>0</v>
      </c>
      <c r="AU99" s="37">
        <v>0</v>
      </c>
      <c r="AV99" s="37">
        <v>8</v>
      </c>
      <c r="AW99" s="37">
        <v>197</v>
      </c>
      <c r="AX99" s="38"/>
      <c r="AY99" s="22">
        <v>0</v>
      </c>
      <c r="AZ99" s="37">
        <v>0</v>
      </c>
      <c r="BA99" s="37">
        <v>0</v>
      </c>
      <c r="BB99" s="38">
        <v>0</v>
      </c>
      <c r="BC99" s="22">
        <v>0</v>
      </c>
      <c r="BD99" s="38">
        <v>0</v>
      </c>
      <c r="BE99" s="39">
        <v>129</v>
      </c>
      <c r="BF99" s="22">
        <v>0</v>
      </c>
      <c r="BG99" s="37">
        <v>1</v>
      </c>
      <c r="BH99" s="37">
        <v>0</v>
      </c>
      <c r="BI99" s="37">
        <v>0</v>
      </c>
      <c r="BJ99" s="22">
        <v>0</v>
      </c>
      <c r="BK99" s="37">
        <v>1</v>
      </c>
      <c r="BL99" s="22">
        <v>58.64</v>
      </c>
      <c r="BM99" s="37">
        <v>59.64</v>
      </c>
      <c r="BN99" s="37"/>
      <c r="BO99" s="37"/>
      <c r="BP99" s="37"/>
      <c r="BQ99" s="37"/>
      <c r="BR99" s="37"/>
      <c r="BS99" s="37"/>
      <c r="BT99" s="38"/>
      <c r="BU99" s="22"/>
      <c r="BV99" s="37"/>
      <c r="BW99" s="37"/>
      <c r="BX99" s="37"/>
      <c r="BY99" s="37"/>
      <c r="BZ99" s="37"/>
      <c r="CA99" s="37"/>
      <c r="CB99" s="38"/>
      <c r="CC99" s="22">
        <v>52.17</v>
      </c>
      <c r="CD99" s="37"/>
      <c r="CE99" s="38"/>
      <c r="CF99" s="22">
        <v>47.82</v>
      </c>
      <c r="CG99" s="37"/>
      <c r="CH99" s="38"/>
      <c r="CI99" s="22"/>
      <c r="CJ99" s="38"/>
      <c r="CK99" s="22"/>
      <c r="CL99" s="38"/>
      <c r="CM99" s="22"/>
      <c r="CN99" s="37"/>
      <c r="CO99" s="37"/>
      <c r="CP99" s="37"/>
      <c r="CQ99" s="37"/>
      <c r="CR99" s="38"/>
      <c r="CS99" s="22"/>
      <c r="CT99" s="37"/>
      <c r="CU99" s="37"/>
      <c r="CV99" s="38"/>
      <c r="CW99" s="22"/>
      <c r="CX99" s="37"/>
      <c r="CY99" s="37"/>
      <c r="CZ99" s="38"/>
      <c r="DA99" s="39"/>
      <c r="DB99" s="6"/>
    </row>
    <row r="100" spans="1:106" ht="17" thickBot="1">
      <c r="A100" s="42" t="s">
        <v>322</v>
      </c>
      <c r="B100" s="17" t="s">
        <v>193</v>
      </c>
      <c r="C100" s="16" t="s">
        <v>195</v>
      </c>
      <c r="D100" s="1" t="s">
        <v>0</v>
      </c>
      <c r="E100" s="18">
        <v>1000</v>
      </c>
      <c r="F100" s="18"/>
      <c r="G100" s="16">
        <v>3056</v>
      </c>
      <c r="H100" s="17">
        <v>1.6092680358083202</v>
      </c>
      <c r="I100" s="18">
        <v>3</v>
      </c>
      <c r="J100" s="16">
        <v>0</v>
      </c>
      <c r="K100" s="1">
        <v>0</v>
      </c>
      <c r="L100" s="1">
        <v>1</v>
      </c>
      <c r="M100" s="1">
        <v>1</v>
      </c>
      <c r="N100" s="17">
        <v>0</v>
      </c>
      <c r="O100" s="16">
        <v>110</v>
      </c>
      <c r="P100" s="16">
        <v>1</v>
      </c>
      <c r="Q100" s="1">
        <v>1</v>
      </c>
      <c r="R100" s="1">
        <v>0</v>
      </c>
      <c r="S100" s="17">
        <v>0</v>
      </c>
      <c r="T100" s="16">
        <v>1010</v>
      </c>
      <c r="U100" s="16">
        <v>1</v>
      </c>
      <c r="V100" s="1">
        <v>0</v>
      </c>
      <c r="W100" s="1">
        <v>0</v>
      </c>
      <c r="X100" s="1">
        <v>1</v>
      </c>
      <c r="Y100" s="17">
        <v>0</v>
      </c>
      <c r="Z100" s="18">
        <v>10010</v>
      </c>
      <c r="AA100" s="18">
        <v>2</v>
      </c>
      <c r="AB100" s="18">
        <v>1</v>
      </c>
      <c r="AC100" s="16">
        <v>1</v>
      </c>
      <c r="AD100" s="17">
        <v>2</v>
      </c>
      <c r="AE100" s="16">
        <v>1</v>
      </c>
      <c r="AF100" s="1">
        <v>0</v>
      </c>
      <c r="AG100" s="1">
        <v>1</v>
      </c>
      <c r="AH100" s="18">
        <v>101</v>
      </c>
      <c r="AI100" s="16">
        <v>652</v>
      </c>
      <c r="AJ100" s="17">
        <v>1883</v>
      </c>
      <c r="AK100" s="16">
        <v>8</v>
      </c>
      <c r="AL100" s="17">
        <v>1</v>
      </c>
      <c r="AM100" s="16">
        <v>1</v>
      </c>
      <c r="AN100" s="1">
        <v>0</v>
      </c>
      <c r="AO100" s="1">
        <v>0</v>
      </c>
      <c r="AP100" s="1">
        <v>0</v>
      </c>
      <c r="AQ100" s="1">
        <v>0</v>
      </c>
      <c r="AR100" s="1">
        <v>7</v>
      </c>
      <c r="AS100" s="1">
        <v>49</v>
      </c>
      <c r="AT100" s="1">
        <v>59</v>
      </c>
      <c r="AU100" s="1">
        <v>265</v>
      </c>
      <c r="AV100" s="1">
        <v>11</v>
      </c>
      <c r="AW100" s="1">
        <v>342</v>
      </c>
      <c r="AX100" s="17">
        <v>0</v>
      </c>
      <c r="AY100" s="16">
        <v>0</v>
      </c>
      <c r="AZ100" s="1">
        <v>0</v>
      </c>
      <c r="BA100" s="1">
        <v>0</v>
      </c>
      <c r="BB100" s="17">
        <v>0</v>
      </c>
      <c r="BC100" s="16">
        <v>0</v>
      </c>
      <c r="BD100" s="17">
        <v>0</v>
      </c>
      <c r="BE100" s="18">
        <v>126</v>
      </c>
      <c r="BF100" s="16">
        <v>1</v>
      </c>
      <c r="BG100" s="1">
        <v>0</v>
      </c>
      <c r="BH100" s="1">
        <v>0</v>
      </c>
      <c r="BI100" s="1">
        <v>0</v>
      </c>
      <c r="BJ100" s="16">
        <v>1</v>
      </c>
      <c r="BK100" s="1">
        <v>0</v>
      </c>
      <c r="BL100" s="16">
        <v>58.19</v>
      </c>
      <c r="BM100" s="1"/>
      <c r="BN100" s="1"/>
      <c r="BO100" s="1"/>
      <c r="BP100" s="1"/>
      <c r="BQ100" s="1"/>
      <c r="BR100" s="1"/>
      <c r="BS100" s="1"/>
      <c r="BT100" s="17"/>
      <c r="BU100" s="16">
        <v>56.93</v>
      </c>
      <c r="BV100" s="1">
        <v>56.7</v>
      </c>
      <c r="BW100" s="1">
        <v>60.76</v>
      </c>
      <c r="BX100" s="1"/>
      <c r="BY100" s="1"/>
      <c r="BZ100" s="1"/>
      <c r="CA100" s="1"/>
      <c r="CB100" s="17"/>
      <c r="CC100" s="16">
        <v>59.82</v>
      </c>
      <c r="CD100" s="1">
        <v>59.58</v>
      </c>
      <c r="CE100" s="17"/>
      <c r="CF100" s="16"/>
      <c r="CG100" s="1"/>
      <c r="CH100" s="17"/>
      <c r="CI100" s="16"/>
      <c r="CJ100" s="17"/>
      <c r="CK100" s="16"/>
      <c r="CL100" s="17"/>
      <c r="CM100" s="16"/>
      <c r="CN100" s="1"/>
      <c r="CO100" s="1"/>
      <c r="CP100" s="1"/>
      <c r="CQ100" s="1"/>
      <c r="CR100" s="17"/>
      <c r="CS100" s="16"/>
      <c r="CT100" s="1"/>
      <c r="CU100" s="1"/>
      <c r="CV100" s="17"/>
      <c r="CW100" s="16"/>
      <c r="CX100" s="1"/>
      <c r="CY100" s="1"/>
      <c r="CZ100" s="17"/>
      <c r="DA100" s="18"/>
      <c r="DB100" s="6"/>
    </row>
    <row r="101" spans="1:106">
      <c r="A101" s="87" t="s">
        <v>322</v>
      </c>
      <c r="B101" s="162" t="s">
        <v>198</v>
      </c>
      <c r="C101" s="160" t="s">
        <v>358</v>
      </c>
      <c r="D101" s="161"/>
      <c r="E101" s="43">
        <v>100</v>
      </c>
      <c r="F101" s="43"/>
      <c r="G101" s="160">
        <v>4382</v>
      </c>
      <c r="H101" s="162">
        <v>1.6535849056603773</v>
      </c>
      <c r="I101" s="43">
        <v>4</v>
      </c>
      <c r="J101" s="160">
        <v>0</v>
      </c>
      <c r="K101" s="161">
        <v>1</v>
      </c>
      <c r="L101" s="161">
        <v>0</v>
      </c>
      <c r="M101" s="161">
        <v>1</v>
      </c>
      <c r="N101" s="162">
        <v>0</v>
      </c>
      <c r="O101" s="160">
        <v>1010</v>
      </c>
      <c r="P101" s="160">
        <v>0</v>
      </c>
      <c r="Q101" s="161">
        <v>0</v>
      </c>
      <c r="R101" s="161">
        <v>0</v>
      </c>
      <c r="S101" s="162">
        <v>1</v>
      </c>
      <c r="T101" s="160">
        <v>100</v>
      </c>
      <c r="U101" s="160">
        <v>1</v>
      </c>
      <c r="V101" s="161">
        <v>0</v>
      </c>
      <c r="W101" s="161">
        <v>0</v>
      </c>
      <c r="X101" s="161">
        <v>1</v>
      </c>
      <c r="Y101" s="162">
        <v>0</v>
      </c>
      <c r="Z101" s="43">
        <v>10010</v>
      </c>
      <c r="AA101" s="43">
        <v>2</v>
      </c>
      <c r="AB101" s="43">
        <v>3</v>
      </c>
      <c r="AC101" s="160">
        <v>4</v>
      </c>
      <c r="AD101" s="162">
        <v>4</v>
      </c>
      <c r="AE101" s="160">
        <v>0</v>
      </c>
      <c r="AF101" s="161">
        <v>1</v>
      </c>
      <c r="AG101" s="161">
        <v>1</v>
      </c>
      <c r="AH101" s="43">
        <v>11</v>
      </c>
      <c r="AI101" s="160">
        <v>1290</v>
      </c>
      <c r="AJ101" s="162">
        <v>3410</v>
      </c>
      <c r="AK101" s="160">
        <v>18</v>
      </c>
      <c r="AL101" s="162">
        <v>1</v>
      </c>
      <c r="AM101" s="160">
        <v>5</v>
      </c>
      <c r="AN101" s="161">
        <v>0</v>
      </c>
      <c r="AO101" s="161">
        <v>0</v>
      </c>
      <c r="AP101" s="161">
        <v>0</v>
      </c>
      <c r="AQ101" s="161">
        <v>0</v>
      </c>
      <c r="AR101" s="161">
        <v>14</v>
      </c>
      <c r="AS101" s="161">
        <v>60</v>
      </c>
      <c r="AT101" s="161">
        <v>9</v>
      </c>
      <c r="AU101" s="161">
        <v>80</v>
      </c>
      <c r="AV101" s="161">
        <v>18</v>
      </c>
      <c r="AW101" s="161">
        <v>1515</v>
      </c>
      <c r="AX101" s="162">
        <v>0</v>
      </c>
      <c r="AY101" s="160">
        <v>0</v>
      </c>
      <c r="AZ101" s="161">
        <v>0</v>
      </c>
      <c r="BA101" s="161">
        <v>0</v>
      </c>
      <c r="BB101" s="162">
        <v>0</v>
      </c>
      <c r="BC101" s="160">
        <v>0</v>
      </c>
      <c r="BD101" s="162">
        <v>0</v>
      </c>
      <c r="BE101" s="43">
        <v>126</v>
      </c>
      <c r="BF101" s="160">
        <v>1</v>
      </c>
      <c r="BG101" s="161">
        <v>1</v>
      </c>
      <c r="BH101" s="161">
        <v>0</v>
      </c>
      <c r="BI101" s="161">
        <v>0</v>
      </c>
      <c r="BJ101" s="160">
        <v>1</v>
      </c>
      <c r="BK101" s="161">
        <v>0</v>
      </c>
      <c r="BL101" s="160">
        <v>58.43</v>
      </c>
      <c r="BM101" s="161">
        <v>60.88</v>
      </c>
      <c r="BN101" s="161">
        <v>56.63</v>
      </c>
      <c r="BO101" s="161">
        <v>57.39</v>
      </c>
      <c r="BP101" s="161">
        <v>58.29</v>
      </c>
      <c r="BQ101" s="161"/>
      <c r="BR101" s="161"/>
      <c r="BS101" s="161"/>
      <c r="BT101" s="162"/>
      <c r="BU101" s="160">
        <v>60.32</v>
      </c>
      <c r="BV101" s="161">
        <v>60.88</v>
      </c>
      <c r="BW101" s="161"/>
      <c r="BX101" s="161"/>
      <c r="BY101" s="161"/>
      <c r="BZ101" s="161"/>
      <c r="CA101" s="161"/>
      <c r="CB101" s="162"/>
      <c r="CC101" s="160"/>
      <c r="CD101" s="161"/>
      <c r="CE101" s="162"/>
      <c r="CF101" s="160"/>
      <c r="CG101" s="161"/>
      <c r="CH101" s="162"/>
      <c r="CI101" s="160">
        <v>49.08</v>
      </c>
      <c r="CJ101" s="162"/>
      <c r="CK101" s="160"/>
      <c r="CL101" s="162"/>
      <c r="CM101" s="160"/>
      <c r="CN101" s="161"/>
      <c r="CO101" s="161"/>
      <c r="CP101" s="161"/>
      <c r="CQ101" s="161"/>
      <c r="CR101" s="162"/>
      <c r="CS101" s="160"/>
      <c r="CT101" s="161"/>
      <c r="CU101" s="161"/>
      <c r="CV101" s="162"/>
      <c r="CW101" s="160"/>
      <c r="CX101" s="161"/>
      <c r="CY101" s="161"/>
      <c r="CZ101" s="162"/>
      <c r="DA101" s="43"/>
      <c r="DB101" s="6"/>
    </row>
    <row r="102" spans="1:106">
      <c r="A102" s="42" t="s">
        <v>322</v>
      </c>
      <c r="B102" s="17" t="s">
        <v>198</v>
      </c>
      <c r="C102" s="16" t="s">
        <v>211</v>
      </c>
      <c r="D102" s="1"/>
      <c r="E102" s="18">
        <v>1000</v>
      </c>
      <c r="F102" s="18"/>
      <c r="G102" s="16">
        <v>1354</v>
      </c>
      <c r="H102" s="17">
        <v>1.3512974051896207</v>
      </c>
      <c r="I102" s="18">
        <v>2</v>
      </c>
      <c r="J102" s="16">
        <v>0</v>
      </c>
      <c r="K102" s="1">
        <v>0</v>
      </c>
      <c r="L102" s="1">
        <v>1</v>
      </c>
      <c r="M102" s="1">
        <v>0</v>
      </c>
      <c r="N102" s="17">
        <v>0</v>
      </c>
      <c r="O102" s="16">
        <v>100</v>
      </c>
      <c r="P102" s="16">
        <v>1</v>
      </c>
      <c r="Q102" s="1">
        <v>0</v>
      </c>
      <c r="R102" s="1">
        <v>0</v>
      </c>
      <c r="S102" s="17">
        <v>0</v>
      </c>
      <c r="T102" s="16">
        <v>1000</v>
      </c>
      <c r="U102" s="16">
        <v>1</v>
      </c>
      <c r="V102" s="1">
        <v>0</v>
      </c>
      <c r="W102" s="1">
        <v>1</v>
      </c>
      <c r="X102" s="1">
        <v>1</v>
      </c>
      <c r="Y102" s="17">
        <v>0</v>
      </c>
      <c r="Z102" s="18">
        <v>10110</v>
      </c>
      <c r="AA102" s="18">
        <v>3</v>
      </c>
      <c r="AB102" s="18">
        <v>3</v>
      </c>
      <c r="AC102" s="16">
        <v>2</v>
      </c>
      <c r="AD102" s="17">
        <v>2</v>
      </c>
      <c r="AE102" s="16">
        <v>1</v>
      </c>
      <c r="AF102" s="1">
        <v>0</v>
      </c>
      <c r="AG102" s="1">
        <v>0</v>
      </c>
      <c r="AH102" s="18">
        <v>100</v>
      </c>
      <c r="AI102" s="16">
        <v>888</v>
      </c>
      <c r="AJ102" s="17">
        <v>1022</v>
      </c>
      <c r="AK102" s="16">
        <v>15</v>
      </c>
      <c r="AL102" s="17">
        <v>1</v>
      </c>
      <c r="AM102" s="16">
        <v>2</v>
      </c>
      <c r="AN102" s="1">
        <v>0</v>
      </c>
      <c r="AO102" s="1">
        <v>0</v>
      </c>
      <c r="AP102" s="1">
        <v>0</v>
      </c>
      <c r="AQ102" s="1">
        <v>0</v>
      </c>
      <c r="AR102" s="1">
        <v>5</v>
      </c>
      <c r="AS102" s="1">
        <v>44</v>
      </c>
      <c r="AT102" s="1">
        <v>0</v>
      </c>
      <c r="AU102" s="1">
        <v>0</v>
      </c>
      <c r="AV102" s="1">
        <v>13</v>
      </c>
      <c r="AW102" s="1">
        <v>117</v>
      </c>
      <c r="AX102" s="17">
        <v>0</v>
      </c>
      <c r="AY102" s="16">
        <v>0</v>
      </c>
      <c r="AZ102" s="1">
        <v>0</v>
      </c>
      <c r="BA102" s="1">
        <v>0</v>
      </c>
      <c r="BB102" s="17">
        <v>0</v>
      </c>
      <c r="BC102" s="16">
        <v>0</v>
      </c>
      <c r="BD102" s="17">
        <v>0</v>
      </c>
      <c r="BE102" s="18">
        <v>144</v>
      </c>
      <c r="BF102" s="16">
        <v>1</v>
      </c>
      <c r="BG102" s="1">
        <v>0</v>
      </c>
      <c r="BH102" s="1">
        <v>0</v>
      </c>
      <c r="BI102" s="1">
        <v>0</v>
      </c>
      <c r="BJ102" s="16">
        <v>0</v>
      </c>
      <c r="BK102" s="1">
        <v>1</v>
      </c>
      <c r="BL102" s="16">
        <v>61.58</v>
      </c>
      <c r="BM102" s="1"/>
      <c r="BN102" s="1"/>
      <c r="BO102" s="1"/>
      <c r="BP102" s="1"/>
      <c r="BQ102" s="1"/>
      <c r="BR102" s="1"/>
      <c r="BS102" s="1"/>
      <c r="BT102" s="17"/>
      <c r="BU102" s="16">
        <v>60.31</v>
      </c>
      <c r="BV102" s="1">
        <v>60.02</v>
      </c>
      <c r="BW102" s="1"/>
      <c r="BX102" s="1"/>
      <c r="BY102" s="1"/>
      <c r="BZ102" s="1"/>
      <c r="CA102" s="1"/>
      <c r="CB102" s="17"/>
      <c r="CC102" s="16"/>
      <c r="CD102" s="1"/>
      <c r="CE102" s="17"/>
      <c r="CF102" s="16">
        <v>49.63</v>
      </c>
      <c r="CG102" s="1">
        <v>45.14</v>
      </c>
      <c r="CH102" s="17">
        <v>48.53</v>
      </c>
      <c r="CI102" s="16"/>
      <c r="CJ102" s="17"/>
      <c r="CK102" s="16"/>
      <c r="CL102" s="17"/>
      <c r="CM102" s="16"/>
      <c r="CN102" s="1"/>
      <c r="CO102" s="1"/>
      <c r="CP102" s="1"/>
      <c r="CQ102" s="1"/>
      <c r="CR102" s="17"/>
      <c r="CS102" s="16"/>
      <c r="CT102" s="1"/>
      <c r="CU102" s="1"/>
      <c r="CV102" s="17"/>
      <c r="CW102" s="16"/>
      <c r="CX102" s="1"/>
      <c r="CY102" s="1"/>
      <c r="CZ102" s="17"/>
      <c r="DA102" s="18"/>
      <c r="DB102" s="6"/>
    </row>
    <row r="103" spans="1:106" ht="17" thickBot="1">
      <c r="A103" s="55" t="s">
        <v>322</v>
      </c>
      <c r="B103" s="38" t="s">
        <v>198</v>
      </c>
      <c r="C103" s="22" t="s">
        <v>74</v>
      </c>
      <c r="D103" s="37"/>
      <c r="E103" s="39">
        <v>110</v>
      </c>
      <c r="F103" s="39"/>
      <c r="G103" s="22">
        <v>2257</v>
      </c>
      <c r="H103" s="38">
        <v>3.1654978962131839</v>
      </c>
      <c r="I103" s="39">
        <v>3</v>
      </c>
      <c r="J103" s="22">
        <v>0</v>
      </c>
      <c r="K103" s="37">
        <v>1</v>
      </c>
      <c r="L103" s="37">
        <v>1</v>
      </c>
      <c r="M103" s="37">
        <v>0</v>
      </c>
      <c r="N103" s="38">
        <v>0</v>
      </c>
      <c r="O103" s="22">
        <v>1100</v>
      </c>
      <c r="P103" s="22">
        <v>0</v>
      </c>
      <c r="Q103" s="37">
        <v>1</v>
      </c>
      <c r="R103" s="37">
        <v>0</v>
      </c>
      <c r="S103" s="38">
        <v>1</v>
      </c>
      <c r="T103" s="22">
        <v>110</v>
      </c>
      <c r="U103" s="22">
        <v>0</v>
      </c>
      <c r="V103" s="37">
        <v>0</v>
      </c>
      <c r="W103" s="37">
        <v>1</v>
      </c>
      <c r="X103" s="37">
        <v>1</v>
      </c>
      <c r="Y103" s="38">
        <v>0</v>
      </c>
      <c r="Z103" s="39">
        <v>110</v>
      </c>
      <c r="AA103" s="39">
        <v>2</v>
      </c>
      <c r="AB103" s="39">
        <v>3</v>
      </c>
      <c r="AC103" s="22">
        <v>1</v>
      </c>
      <c r="AD103" s="38">
        <v>3</v>
      </c>
      <c r="AE103" s="22">
        <v>1</v>
      </c>
      <c r="AF103" s="37">
        <v>0</v>
      </c>
      <c r="AG103" s="37">
        <v>0</v>
      </c>
      <c r="AH103" s="39">
        <v>100</v>
      </c>
      <c r="AI103" s="22">
        <v>446</v>
      </c>
      <c r="AJ103" s="38">
        <v>1824</v>
      </c>
      <c r="AK103" s="22"/>
      <c r="AL103" s="38">
        <v>1</v>
      </c>
      <c r="AM103" s="22">
        <v>3</v>
      </c>
      <c r="AN103" s="37">
        <v>7</v>
      </c>
      <c r="AO103" s="37">
        <v>13</v>
      </c>
      <c r="AP103" s="37">
        <v>0</v>
      </c>
      <c r="AQ103" s="37">
        <v>0</v>
      </c>
      <c r="AR103" s="37">
        <v>7</v>
      </c>
      <c r="AS103" s="37">
        <v>51</v>
      </c>
      <c r="AT103" s="37">
        <v>5</v>
      </c>
      <c r="AU103" s="37">
        <v>143</v>
      </c>
      <c r="AV103" s="37">
        <v>10</v>
      </c>
      <c r="AW103" s="37">
        <v>278</v>
      </c>
      <c r="AX103" s="38"/>
      <c r="AY103" s="22">
        <v>0</v>
      </c>
      <c r="AZ103" s="37">
        <v>0</v>
      </c>
      <c r="BA103" s="37">
        <v>0</v>
      </c>
      <c r="BB103" s="38">
        <v>0</v>
      </c>
      <c r="BC103" s="22">
        <v>0</v>
      </c>
      <c r="BD103" s="38">
        <v>0</v>
      </c>
      <c r="BE103" s="39">
        <v>151</v>
      </c>
      <c r="BF103" s="22">
        <v>1</v>
      </c>
      <c r="BG103" s="37">
        <v>0</v>
      </c>
      <c r="BH103" s="37">
        <v>0</v>
      </c>
      <c r="BI103" s="37">
        <v>0</v>
      </c>
      <c r="BJ103" s="22">
        <v>1</v>
      </c>
      <c r="BK103" s="37">
        <v>0</v>
      </c>
      <c r="BL103" s="22"/>
      <c r="BM103" s="37"/>
      <c r="BN103" s="37"/>
      <c r="BO103" s="37"/>
      <c r="BP103" s="37"/>
      <c r="BQ103" s="37"/>
      <c r="BR103" s="37"/>
      <c r="BS103" s="37"/>
      <c r="BT103" s="38"/>
      <c r="BU103" s="22"/>
      <c r="BV103" s="37"/>
      <c r="BW103" s="37"/>
      <c r="BX103" s="37"/>
      <c r="BY103" s="37"/>
      <c r="BZ103" s="37"/>
      <c r="CA103" s="37"/>
      <c r="CB103" s="38"/>
      <c r="CC103" s="22"/>
      <c r="CD103" s="37"/>
      <c r="CE103" s="38"/>
      <c r="CF103" s="22"/>
      <c r="CG103" s="37"/>
      <c r="CH103" s="38"/>
      <c r="CI103" s="22"/>
      <c r="CJ103" s="38"/>
      <c r="CK103" s="22"/>
      <c r="CL103" s="38"/>
      <c r="CM103" s="22"/>
      <c r="CN103" s="37"/>
      <c r="CO103" s="37"/>
      <c r="CP103" s="37"/>
      <c r="CQ103" s="37"/>
      <c r="CR103" s="38"/>
      <c r="CS103" s="22"/>
      <c r="CT103" s="37"/>
      <c r="CU103" s="37"/>
      <c r="CV103" s="38"/>
      <c r="CW103" s="22"/>
      <c r="CX103" s="37"/>
      <c r="CY103" s="37"/>
      <c r="CZ103" s="38"/>
      <c r="DA103" s="39"/>
      <c r="DB103" s="6"/>
    </row>
    <row r="104" spans="1:106">
      <c r="A104" s="42" t="s">
        <v>322</v>
      </c>
      <c r="B104" s="17" t="s">
        <v>205</v>
      </c>
      <c r="C104" s="16" t="s">
        <v>65</v>
      </c>
      <c r="D104" s="1"/>
      <c r="E104" s="18">
        <v>1100</v>
      </c>
      <c r="F104" s="18"/>
      <c r="G104" s="16">
        <v>2233</v>
      </c>
      <c r="H104" s="17">
        <v>3.7655986509274872</v>
      </c>
      <c r="I104" s="18">
        <v>2</v>
      </c>
      <c r="J104" s="16">
        <v>0</v>
      </c>
      <c r="K104" s="1">
        <v>1</v>
      </c>
      <c r="L104" s="1">
        <v>1</v>
      </c>
      <c r="M104" s="1">
        <v>0</v>
      </c>
      <c r="N104" s="17">
        <v>0</v>
      </c>
      <c r="O104" s="16">
        <v>1100</v>
      </c>
      <c r="P104" s="16">
        <v>1</v>
      </c>
      <c r="Q104" s="1">
        <v>0</v>
      </c>
      <c r="R104" s="1">
        <v>0</v>
      </c>
      <c r="S104" s="17">
        <v>1</v>
      </c>
      <c r="T104" s="16">
        <v>1100</v>
      </c>
      <c r="U104" s="16">
        <v>1</v>
      </c>
      <c r="V104" s="1">
        <v>0</v>
      </c>
      <c r="W104" s="1">
        <v>0</v>
      </c>
      <c r="X104" s="1">
        <v>1</v>
      </c>
      <c r="Y104" s="17">
        <v>0</v>
      </c>
      <c r="Z104" s="18">
        <v>10010</v>
      </c>
      <c r="AA104" s="18">
        <v>2</v>
      </c>
      <c r="AB104" s="18">
        <v>1</v>
      </c>
      <c r="AC104" s="16">
        <v>1</v>
      </c>
      <c r="AD104" s="17">
        <v>3</v>
      </c>
      <c r="AE104" s="16">
        <v>1</v>
      </c>
      <c r="AF104" s="1">
        <v>1</v>
      </c>
      <c r="AG104" s="1">
        <v>0</v>
      </c>
      <c r="AH104" s="18">
        <v>110</v>
      </c>
      <c r="AI104" s="16">
        <v>123</v>
      </c>
      <c r="AJ104" s="17">
        <v>1161</v>
      </c>
      <c r="AK104" s="16"/>
      <c r="AL104" s="17">
        <v>1</v>
      </c>
      <c r="AM104" s="16">
        <v>2</v>
      </c>
      <c r="AN104" s="1">
        <v>3</v>
      </c>
      <c r="AO104" s="1">
        <v>6</v>
      </c>
      <c r="AP104" s="1">
        <v>0</v>
      </c>
      <c r="AQ104" s="1">
        <v>0</v>
      </c>
      <c r="AR104" s="1">
        <v>10</v>
      </c>
      <c r="AS104" s="1">
        <v>14</v>
      </c>
      <c r="AT104" s="1">
        <v>0</v>
      </c>
      <c r="AU104" s="1">
        <v>17</v>
      </c>
      <c r="AV104" s="1">
        <v>15</v>
      </c>
      <c r="AW104" s="1">
        <v>138</v>
      </c>
      <c r="AX104" s="17"/>
      <c r="AY104" s="16">
        <v>0</v>
      </c>
      <c r="AZ104" s="1">
        <v>0</v>
      </c>
      <c r="BA104" s="1">
        <v>0</v>
      </c>
      <c r="BB104" s="17">
        <v>0</v>
      </c>
      <c r="BC104" s="16">
        <v>0</v>
      </c>
      <c r="BD104" s="17">
        <v>0</v>
      </c>
      <c r="BE104" s="18">
        <v>141</v>
      </c>
      <c r="BF104" s="16">
        <v>0</v>
      </c>
      <c r="BG104" s="1">
        <v>0</v>
      </c>
      <c r="BH104" s="1">
        <v>0</v>
      </c>
      <c r="BI104" s="1">
        <v>0</v>
      </c>
      <c r="BJ104" s="16">
        <v>0</v>
      </c>
      <c r="BK104" s="1">
        <v>1</v>
      </c>
      <c r="BL104" s="16"/>
      <c r="BM104" s="1"/>
      <c r="BN104" s="1"/>
      <c r="BO104" s="1"/>
      <c r="BP104" s="1"/>
      <c r="BQ104" s="1"/>
      <c r="BR104" s="1"/>
      <c r="BS104" s="1"/>
      <c r="BT104" s="17"/>
      <c r="BU104" s="16"/>
      <c r="BV104" s="1"/>
      <c r="BW104" s="1"/>
      <c r="BX104" s="1"/>
      <c r="BY104" s="1"/>
      <c r="BZ104" s="1"/>
      <c r="CA104" s="1"/>
      <c r="CB104" s="17"/>
      <c r="CC104" s="16"/>
      <c r="CD104" s="1"/>
      <c r="CE104" s="17"/>
      <c r="CF104" s="16"/>
      <c r="CG104" s="1"/>
      <c r="CH104" s="17"/>
      <c r="CI104" s="16"/>
      <c r="CJ104" s="17"/>
      <c r="CK104" s="16"/>
      <c r="CL104" s="17"/>
      <c r="CM104" s="16"/>
      <c r="CN104" s="1"/>
      <c r="CO104" s="1"/>
      <c r="CP104" s="1"/>
      <c r="CQ104" s="1"/>
      <c r="CR104" s="17"/>
      <c r="CS104" s="16"/>
      <c r="CT104" s="1"/>
      <c r="CU104" s="1"/>
      <c r="CV104" s="17"/>
      <c r="CW104" s="16"/>
      <c r="CX104" s="1"/>
      <c r="CY104" s="1"/>
      <c r="CZ104" s="17"/>
      <c r="DA104" s="18"/>
      <c r="DB104" s="6"/>
    </row>
    <row r="105" spans="1:106" ht="17" thickBot="1">
      <c r="A105" s="42" t="s">
        <v>322</v>
      </c>
      <c r="B105" s="17" t="s">
        <v>205</v>
      </c>
      <c r="C105" s="16" t="s">
        <v>66</v>
      </c>
      <c r="D105" s="1"/>
      <c r="E105" s="18">
        <v>100</v>
      </c>
      <c r="F105" s="18"/>
      <c r="G105" s="16">
        <v>2379</v>
      </c>
      <c r="H105" s="17">
        <v>5.029598308668076</v>
      </c>
      <c r="I105" s="18">
        <v>2</v>
      </c>
      <c r="J105" s="16">
        <v>0</v>
      </c>
      <c r="K105" s="1">
        <v>1</v>
      </c>
      <c r="L105" s="1">
        <v>0</v>
      </c>
      <c r="M105" s="1">
        <v>0</v>
      </c>
      <c r="N105" s="17">
        <v>0</v>
      </c>
      <c r="O105" s="16">
        <v>1000</v>
      </c>
      <c r="P105" s="16">
        <v>0</v>
      </c>
      <c r="Q105" s="1">
        <v>0</v>
      </c>
      <c r="R105" s="1">
        <v>0</v>
      </c>
      <c r="S105" s="17">
        <v>1</v>
      </c>
      <c r="T105" s="16">
        <v>100</v>
      </c>
      <c r="U105" s="16">
        <v>0</v>
      </c>
      <c r="V105" s="1">
        <v>0</v>
      </c>
      <c r="W105" s="1">
        <v>0</v>
      </c>
      <c r="X105" s="1">
        <v>1</v>
      </c>
      <c r="Y105" s="17">
        <v>0</v>
      </c>
      <c r="Z105" s="18">
        <v>10</v>
      </c>
      <c r="AA105" s="18">
        <v>1</v>
      </c>
      <c r="AB105" s="18">
        <v>3</v>
      </c>
      <c r="AC105" s="16">
        <v>2</v>
      </c>
      <c r="AD105" s="17">
        <v>4</v>
      </c>
      <c r="AE105" s="16">
        <v>0</v>
      </c>
      <c r="AF105" s="1">
        <v>0</v>
      </c>
      <c r="AG105" s="1">
        <v>1</v>
      </c>
      <c r="AH105" s="18">
        <v>1</v>
      </c>
      <c r="AI105" s="16">
        <v>1584</v>
      </c>
      <c r="AJ105" s="17">
        <v>1633</v>
      </c>
      <c r="AK105" s="16"/>
      <c r="AL105" s="17">
        <v>1</v>
      </c>
      <c r="AM105" s="16">
        <v>2</v>
      </c>
      <c r="AN105" s="1">
        <v>3</v>
      </c>
      <c r="AO105" s="1">
        <v>7</v>
      </c>
      <c r="AP105" s="1">
        <v>0</v>
      </c>
      <c r="AQ105" s="1">
        <v>0</v>
      </c>
      <c r="AR105" s="1">
        <v>8</v>
      </c>
      <c r="AS105" s="1">
        <v>29</v>
      </c>
      <c r="AT105" s="1">
        <v>4</v>
      </c>
      <c r="AU105" s="1">
        <v>133</v>
      </c>
      <c r="AV105" s="1">
        <v>11</v>
      </c>
      <c r="AW105" s="1">
        <v>204</v>
      </c>
      <c r="AX105" s="17"/>
      <c r="AY105" s="16">
        <v>0</v>
      </c>
      <c r="AZ105" s="1">
        <v>0</v>
      </c>
      <c r="BA105" s="1">
        <v>0</v>
      </c>
      <c r="BB105" s="17">
        <v>0</v>
      </c>
      <c r="BC105" s="16">
        <v>0</v>
      </c>
      <c r="BD105" s="17">
        <v>0</v>
      </c>
      <c r="BE105" s="18">
        <v>162</v>
      </c>
      <c r="BF105" s="16">
        <v>0</v>
      </c>
      <c r="BG105" s="1">
        <v>0</v>
      </c>
      <c r="BH105" s="1">
        <v>0</v>
      </c>
      <c r="BI105" s="1">
        <v>0</v>
      </c>
      <c r="BJ105" s="16">
        <v>0</v>
      </c>
      <c r="BK105" s="1">
        <v>1</v>
      </c>
      <c r="BL105" s="16"/>
      <c r="BM105" s="1"/>
      <c r="BN105" s="1"/>
      <c r="BO105" s="1"/>
      <c r="BP105" s="1"/>
      <c r="BQ105" s="1"/>
      <c r="BR105" s="1"/>
      <c r="BS105" s="1"/>
      <c r="BT105" s="17"/>
      <c r="BU105" s="16"/>
      <c r="BV105" s="1"/>
      <c r="BW105" s="1"/>
      <c r="BX105" s="1"/>
      <c r="BY105" s="1"/>
      <c r="BZ105" s="1"/>
      <c r="CA105" s="1"/>
      <c r="CB105" s="17"/>
      <c r="CC105" s="16"/>
      <c r="CD105" s="1"/>
      <c r="CE105" s="17"/>
      <c r="CF105" s="16"/>
      <c r="CG105" s="1"/>
      <c r="CH105" s="17"/>
      <c r="CI105" s="16"/>
      <c r="CJ105" s="17"/>
      <c r="CK105" s="16"/>
      <c r="CL105" s="17"/>
      <c r="CM105" s="16"/>
      <c r="CN105" s="1"/>
      <c r="CO105" s="1"/>
      <c r="CP105" s="1"/>
      <c r="CQ105" s="1"/>
      <c r="CR105" s="17"/>
      <c r="CS105" s="16"/>
      <c r="CT105" s="1"/>
      <c r="CU105" s="1"/>
      <c r="CV105" s="17"/>
      <c r="CW105" s="16"/>
      <c r="CX105" s="1"/>
      <c r="CY105" s="1"/>
      <c r="CZ105" s="17"/>
      <c r="DA105" s="18"/>
      <c r="DB105" s="6"/>
    </row>
    <row r="106" spans="1:106">
      <c r="A106" s="87" t="s">
        <v>320</v>
      </c>
      <c r="B106" s="162" t="s">
        <v>299</v>
      </c>
      <c r="C106" s="160" t="s">
        <v>64</v>
      </c>
      <c r="D106" s="161"/>
      <c r="E106" s="43">
        <v>100</v>
      </c>
      <c r="F106" s="43"/>
      <c r="G106" s="160">
        <v>5048</v>
      </c>
      <c r="H106" s="162">
        <v>1.214921780986763</v>
      </c>
      <c r="I106" s="43">
        <v>3</v>
      </c>
      <c r="J106" s="160">
        <v>1</v>
      </c>
      <c r="K106" s="161">
        <v>1</v>
      </c>
      <c r="L106" s="161">
        <v>0</v>
      </c>
      <c r="M106" s="161">
        <v>0</v>
      </c>
      <c r="N106" s="162">
        <v>0</v>
      </c>
      <c r="O106" s="160">
        <v>11000</v>
      </c>
      <c r="P106" s="160">
        <v>0</v>
      </c>
      <c r="Q106" s="161">
        <v>0</v>
      </c>
      <c r="R106" s="161">
        <v>0</v>
      </c>
      <c r="S106" s="162">
        <v>1</v>
      </c>
      <c r="T106" s="160">
        <v>100</v>
      </c>
      <c r="U106" s="160">
        <v>1</v>
      </c>
      <c r="V106" s="161">
        <v>3</v>
      </c>
      <c r="W106" s="161">
        <v>1</v>
      </c>
      <c r="X106" s="161">
        <v>1</v>
      </c>
      <c r="Y106" s="162">
        <v>0</v>
      </c>
      <c r="Z106" s="43">
        <v>13110</v>
      </c>
      <c r="AA106" s="43">
        <v>6</v>
      </c>
      <c r="AB106" s="43">
        <v>3</v>
      </c>
      <c r="AC106" s="160">
        <v>2</v>
      </c>
      <c r="AD106" s="162">
        <v>4</v>
      </c>
      <c r="AE106" s="160">
        <v>0</v>
      </c>
      <c r="AF106" s="161">
        <v>0</v>
      </c>
      <c r="AG106" s="161">
        <v>1</v>
      </c>
      <c r="AH106" s="43">
        <v>1</v>
      </c>
      <c r="AI106" s="160">
        <v>1993</v>
      </c>
      <c r="AJ106" s="162">
        <v>3701</v>
      </c>
      <c r="AK106" s="160">
        <v>13</v>
      </c>
      <c r="AL106" s="162">
        <v>1</v>
      </c>
      <c r="AM106" s="160">
        <v>15</v>
      </c>
      <c r="AN106" s="161">
        <v>6</v>
      </c>
      <c r="AO106" s="161">
        <v>22</v>
      </c>
      <c r="AP106" s="161">
        <v>0</v>
      </c>
      <c r="AQ106" s="161">
        <v>0</v>
      </c>
      <c r="AR106" s="161">
        <v>16</v>
      </c>
      <c r="AS106" s="161">
        <v>232</v>
      </c>
      <c r="AT106" s="161">
        <v>29</v>
      </c>
      <c r="AU106" s="161">
        <v>212</v>
      </c>
      <c r="AV106" s="161">
        <v>41</v>
      </c>
      <c r="AW106" s="161">
        <v>1552</v>
      </c>
      <c r="AX106" s="162"/>
      <c r="AY106" s="160">
        <v>0</v>
      </c>
      <c r="AZ106" s="161">
        <v>0</v>
      </c>
      <c r="BA106" s="161">
        <v>0</v>
      </c>
      <c r="BB106" s="162">
        <v>1</v>
      </c>
      <c r="BC106" s="160">
        <v>1</v>
      </c>
      <c r="BD106" s="162">
        <v>1</v>
      </c>
      <c r="BE106" s="43">
        <v>125</v>
      </c>
      <c r="BF106" s="160">
        <v>0</v>
      </c>
      <c r="BG106" s="161">
        <v>1</v>
      </c>
      <c r="BH106" s="161">
        <v>0</v>
      </c>
      <c r="BI106" s="161">
        <v>0</v>
      </c>
      <c r="BJ106" s="160">
        <v>0</v>
      </c>
      <c r="BK106" s="161">
        <v>1</v>
      </c>
      <c r="BL106" s="160"/>
      <c r="BM106" s="161"/>
      <c r="BN106" s="161"/>
      <c r="BO106" s="161"/>
      <c r="BP106" s="161"/>
      <c r="BQ106" s="161"/>
      <c r="BR106" s="161"/>
      <c r="BS106" s="161"/>
      <c r="BT106" s="162"/>
      <c r="BU106" s="160"/>
      <c r="BV106" s="161"/>
      <c r="BW106" s="161"/>
      <c r="BX106" s="161"/>
      <c r="BY106" s="161"/>
      <c r="BZ106" s="161"/>
      <c r="CA106" s="161"/>
      <c r="CB106" s="162"/>
      <c r="CC106" s="160"/>
      <c r="CD106" s="161"/>
      <c r="CE106" s="162"/>
      <c r="CF106" s="160"/>
      <c r="CG106" s="161"/>
      <c r="CH106" s="162"/>
      <c r="CI106" s="160"/>
      <c r="CJ106" s="162"/>
      <c r="CK106" s="160"/>
      <c r="CL106" s="162"/>
      <c r="CM106" s="160"/>
      <c r="CN106" s="161"/>
      <c r="CO106" s="161"/>
      <c r="CP106" s="161"/>
      <c r="CQ106" s="161"/>
      <c r="CR106" s="162"/>
      <c r="CS106" s="160"/>
      <c r="CT106" s="161"/>
      <c r="CU106" s="161"/>
      <c r="CV106" s="162"/>
      <c r="CW106" s="160"/>
      <c r="CX106" s="161"/>
      <c r="CY106" s="161"/>
      <c r="CZ106" s="162"/>
      <c r="DA106" s="43"/>
      <c r="DB106" s="6"/>
    </row>
    <row r="107" spans="1:106">
      <c r="A107" s="42" t="s">
        <v>320</v>
      </c>
      <c r="B107" s="17" t="s">
        <v>299</v>
      </c>
      <c r="C107" s="16" t="s">
        <v>65</v>
      </c>
      <c r="D107" s="1"/>
      <c r="E107" s="18">
        <v>11</v>
      </c>
      <c r="F107" s="18"/>
      <c r="G107" s="16">
        <v>989</v>
      </c>
      <c r="H107" s="17">
        <v>7.666666666666667</v>
      </c>
      <c r="I107" s="18">
        <v>2</v>
      </c>
      <c r="J107" s="16">
        <v>0</v>
      </c>
      <c r="K107" s="1">
        <v>0</v>
      </c>
      <c r="L107" s="1">
        <v>0</v>
      </c>
      <c r="M107" s="1">
        <v>1</v>
      </c>
      <c r="N107" s="17">
        <v>0</v>
      </c>
      <c r="O107" s="16">
        <v>10</v>
      </c>
      <c r="P107" s="16">
        <v>0</v>
      </c>
      <c r="Q107" s="1">
        <v>1</v>
      </c>
      <c r="R107" s="1">
        <v>1</v>
      </c>
      <c r="S107" s="17">
        <v>0</v>
      </c>
      <c r="T107" s="16">
        <v>11</v>
      </c>
      <c r="U107" s="16">
        <v>0</v>
      </c>
      <c r="V107" s="1">
        <v>0</v>
      </c>
      <c r="W107" s="1">
        <v>0</v>
      </c>
      <c r="X107" s="1">
        <v>0</v>
      </c>
      <c r="Y107" s="17">
        <v>1</v>
      </c>
      <c r="Z107" s="18">
        <v>1</v>
      </c>
      <c r="AA107" s="18">
        <v>1</v>
      </c>
      <c r="AB107" s="18">
        <v>0</v>
      </c>
      <c r="AC107" s="16">
        <v>0</v>
      </c>
      <c r="AD107" s="17">
        <v>0</v>
      </c>
      <c r="AE107" s="16">
        <v>1</v>
      </c>
      <c r="AF107" s="1">
        <v>0</v>
      </c>
      <c r="AG107" s="1">
        <v>0</v>
      </c>
      <c r="AH107" s="18">
        <v>100</v>
      </c>
      <c r="AI107" s="16">
        <v>468</v>
      </c>
      <c r="AJ107" s="17">
        <v>741</v>
      </c>
      <c r="AK107" s="16"/>
      <c r="AL107" s="17">
        <v>1</v>
      </c>
      <c r="AM107" s="16">
        <v>2</v>
      </c>
      <c r="AN107" s="1">
        <v>0</v>
      </c>
      <c r="AO107" s="1">
        <v>0</v>
      </c>
      <c r="AP107" s="1">
        <v>0</v>
      </c>
      <c r="AQ107" s="1">
        <v>0</v>
      </c>
      <c r="AR107" s="1">
        <v>9</v>
      </c>
      <c r="AS107" s="1">
        <v>62</v>
      </c>
      <c r="AT107" s="1">
        <v>0</v>
      </c>
      <c r="AU107" s="1">
        <v>0</v>
      </c>
      <c r="AV107" s="1">
        <v>0</v>
      </c>
      <c r="AW107" s="1">
        <v>67</v>
      </c>
      <c r="AX107" s="17"/>
      <c r="AY107" s="16">
        <v>0</v>
      </c>
      <c r="AZ107" s="1">
        <v>0</v>
      </c>
      <c r="BA107" s="1">
        <v>0</v>
      </c>
      <c r="BB107" s="17">
        <v>0</v>
      </c>
      <c r="BC107" s="16">
        <v>0</v>
      </c>
      <c r="BD107" s="17">
        <v>0</v>
      </c>
      <c r="BE107" s="18">
        <v>135</v>
      </c>
      <c r="BF107" s="16">
        <v>1</v>
      </c>
      <c r="BG107" s="1">
        <v>0</v>
      </c>
      <c r="BH107" s="1">
        <v>0</v>
      </c>
      <c r="BI107" s="1">
        <v>0</v>
      </c>
      <c r="BJ107" s="16">
        <v>0</v>
      </c>
      <c r="BK107" s="1">
        <v>1</v>
      </c>
      <c r="BL107" s="16"/>
      <c r="BM107" s="1"/>
      <c r="BN107" s="1"/>
      <c r="BO107" s="1"/>
      <c r="BP107" s="1"/>
      <c r="BQ107" s="1"/>
      <c r="BR107" s="1"/>
      <c r="BS107" s="1"/>
      <c r="BT107" s="17"/>
      <c r="BU107" s="16"/>
      <c r="BV107" s="1"/>
      <c r="BW107" s="1"/>
      <c r="BX107" s="1"/>
      <c r="BY107" s="1"/>
      <c r="BZ107" s="1"/>
      <c r="CA107" s="1"/>
      <c r="CB107" s="17"/>
      <c r="CC107" s="16"/>
      <c r="CD107" s="1"/>
      <c r="CE107" s="17"/>
      <c r="CF107" s="16"/>
      <c r="CG107" s="1"/>
      <c r="CH107" s="17"/>
      <c r="CI107" s="16"/>
      <c r="CJ107" s="17"/>
      <c r="CK107" s="16"/>
      <c r="CL107" s="17"/>
      <c r="CM107" s="16"/>
      <c r="CN107" s="1"/>
      <c r="CO107" s="1"/>
      <c r="CP107" s="1"/>
      <c r="CQ107" s="1"/>
      <c r="CR107" s="17"/>
      <c r="CS107" s="16"/>
      <c r="CT107" s="1"/>
      <c r="CU107" s="1"/>
      <c r="CV107" s="17"/>
      <c r="CW107" s="16"/>
      <c r="CX107" s="1"/>
      <c r="CY107" s="1"/>
      <c r="CZ107" s="17"/>
      <c r="DA107" s="18"/>
      <c r="DB107" s="6"/>
    </row>
    <row r="108" spans="1:106" ht="17" thickBot="1">
      <c r="A108" s="55" t="s">
        <v>320</v>
      </c>
      <c r="B108" s="38" t="s">
        <v>299</v>
      </c>
      <c r="C108" s="22" t="s">
        <v>67</v>
      </c>
      <c r="D108" s="37"/>
      <c r="E108" s="39">
        <v>1001</v>
      </c>
      <c r="F108" s="39"/>
      <c r="G108" s="22">
        <v>1101</v>
      </c>
      <c r="H108" s="38">
        <v>2.584507042253521</v>
      </c>
      <c r="I108" s="39">
        <v>6</v>
      </c>
      <c r="J108" s="22">
        <v>0</v>
      </c>
      <c r="K108" s="37">
        <v>0</v>
      </c>
      <c r="L108" s="37">
        <v>1</v>
      </c>
      <c r="M108" s="37">
        <v>1</v>
      </c>
      <c r="N108" s="38">
        <v>0</v>
      </c>
      <c r="O108" s="22">
        <v>110</v>
      </c>
      <c r="P108" s="22">
        <v>1</v>
      </c>
      <c r="Q108" s="37">
        <v>1</v>
      </c>
      <c r="R108" s="37">
        <v>1</v>
      </c>
      <c r="S108" s="38">
        <v>0</v>
      </c>
      <c r="T108" s="22">
        <v>1011</v>
      </c>
      <c r="U108" s="22">
        <v>0</v>
      </c>
      <c r="V108" s="37">
        <v>0</v>
      </c>
      <c r="W108" s="37">
        <v>0</v>
      </c>
      <c r="X108" s="37">
        <v>1</v>
      </c>
      <c r="Y108" s="38">
        <v>0</v>
      </c>
      <c r="Z108" s="39">
        <v>10</v>
      </c>
      <c r="AA108" s="39">
        <v>1</v>
      </c>
      <c r="AB108" s="39">
        <v>0</v>
      </c>
      <c r="AC108" s="22">
        <v>0</v>
      </c>
      <c r="AD108" s="38">
        <v>0</v>
      </c>
      <c r="AE108" s="22">
        <v>1</v>
      </c>
      <c r="AF108" s="37">
        <v>1</v>
      </c>
      <c r="AG108" s="37">
        <v>0</v>
      </c>
      <c r="AH108" s="39">
        <v>110</v>
      </c>
      <c r="AI108" s="22">
        <v>152</v>
      </c>
      <c r="AJ108" s="38">
        <v>564</v>
      </c>
      <c r="AK108" s="22"/>
      <c r="AL108" s="38">
        <v>1</v>
      </c>
      <c r="AM108" s="22">
        <v>2</v>
      </c>
      <c r="AN108" s="37">
        <v>0</v>
      </c>
      <c r="AO108" s="37">
        <v>0</v>
      </c>
      <c r="AP108" s="37">
        <v>0</v>
      </c>
      <c r="AQ108" s="37">
        <v>0</v>
      </c>
      <c r="AR108" s="37">
        <v>10</v>
      </c>
      <c r="AS108" s="37">
        <v>101</v>
      </c>
      <c r="AT108" s="37">
        <v>0</v>
      </c>
      <c r="AU108" s="37">
        <v>0</v>
      </c>
      <c r="AV108" s="37">
        <v>0</v>
      </c>
      <c r="AW108" s="37">
        <v>0</v>
      </c>
      <c r="AX108" s="38"/>
      <c r="AY108" s="22">
        <v>0</v>
      </c>
      <c r="AZ108" s="37">
        <v>0</v>
      </c>
      <c r="BA108" s="37">
        <v>0</v>
      </c>
      <c r="BB108" s="38">
        <v>0</v>
      </c>
      <c r="BC108" s="22">
        <v>0</v>
      </c>
      <c r="BD108" s="38">
        <v>0</v>
      </c>
      <c r="BE108" s="39">
        <v>140</v>
      </c>
      <c r="BF108" s="22">
        <v>1</v>
      </c>
      <c r="BG108" s="37">
        <v>0</v>
      </c>
      <c r="BH108" s="37">
        <v>0</v>
      </c>
      <c r="BI108" s="37">
        <v>0</v>
      </c>
      <c r="BJ108" s="22">
        <v>0</v>
      </c>
      <c r="BK108" s="37">
        <v>1</v>
      </c>
      <c r="BL108" s="22"/>
      <c r="BM108" s="37"/>
      <c r="BN108" s="37"/>
      <c r="BO108" s="37"/>
      <c r="BP108" s="37"/>
      <c r="BQ108" s="37"/>
      <c r="BR108" s="37"/>
      <c r="BS108" s="37"/>
      <c r="BT108" s="38"/>
      <c r="BU108" s="22"/>
      <c r="BV108" s="37"/>
      <c r="BW108" s="37"/>
      <c r="BX108" s="37"/>
      <c r="BY108" s="37"/>
      <c r="BZ108" s="37"/>
      <c r="CA108" s="37"/>
      <c r="CB108" s="38"/>
      <c r="CC108" s="22"/>
      <c r="CD108" s="37"/>
      <c r="CE108" s="38"/>
      <c r="CF108" s="22"/>
      <c r="CG108" s="37"/>
      <c r="CH108" s="38"/>
      <c r="CI108" s="22"/>
      <c r="CJ108" s="38"/>
      <c r="CK108" s="22"/>
      <c r="CL108" s="38"/>
      <c r="CM108" s="22"/>
      <c r="CN108" s="37"/>
      <c r="CO108" s="37"/>
      <c r="CP108" s="37"/>
      <c r="CQ108" s="37"/>
      <c r="CR108" s="38"/>
      <c r="CS108" s="22"/>
      <c r="CT108" s="37"/>
      <c r="CU108" s="37"/>
      <c r="CV108" s="38"/>
      <c r="CW108" s="22"/>
      <c r="CX108" s="37"/>
      <c r="CY108" s="37"/>
      <c r="CZ108" s="38"/>
      <c r="DA108" s="39"/>
      <c r="DB108" s="6"/>
    </row>
    <row r="109" spans="1:106">
      <c r="A109" s="42" t="s">
        <v>320</v>
      </c>
      <c r="B109" s="162" t="s">
        <v>300</v>
      </c>
      <c r="C109" s="160" t="s">
        <v>64</v>
      </c>
      <c r="D109" s="161"/>
      <c r="E109" s="43">
        <v>1000</v>
      </c>
      <c r="F109" s="43"/>
      <c r="G109" s="160">
        <v>1450</v>
      </c>
      <c r="H109" s="162">
        <v>1.8831168831168832</v>
      </c>
      <c r="I109" s="43">
        <v>2</v>
      </c>
      <c r="J109" s="160">
        <v>0</v>
      </c>
      <c r="K109" s="161">
        <v>0</v>
      </c>
      <c r="L109" s="161">
        <v>0</v>
      </c>
      <c r="M109" s="161">
        <v>1</v>
      </c>
      <c r="N109" s="162">
        <v>0</v>
      </c>
      <c r="O109" s="160">
        <v>10</v>
      </c>
      <c r="P109" s="160">
        <v>1</v>
      </c>
      <c r="Q109" s="161">
        <v>0</v>
      </c>
      <c r="R109" s="161">
        <v>0</v>
      </c>
      <c r="S109" s="162">
        <v>0</v>
      </c>
      <c r="T109" s="160">
        <v>1000</v>
      </c>
      <c r="U109" s="160">
        <v>1</v>
      </c>
      <c r="V109" s="161">
        <v>0</v>
      </c>
      <c r="W109" s="161">
        <v>0</v>
      </c>
      <c r="X109" s="161">
        <v>0</v>
      </c>
      <c r="Y109" s="162">
        <v>0</v>
      </c>
      <c r="Z109" s="43">
        <v>10000</v>
      </c>
      <c r="AA109" s="43">
        <v>1</v>
      </c>
      <c r="AB109" s="43">
        <v>0</v>
      </c>
      <c r="AC109" s="160">
        <v>0</v>
      </c>
      <c r="AD109" s="162">
        <v>0</v>
      </c>
      <c r="AE109" s="160">
        <v>0</v>
      </c>
      <c r="AF109" s="161">
        <v>0</v>
      </c>
      <c r="AG109" s="161">
        <v>1</v>
      </c>
      <c r="AH109" s="43">
        <v>1</v>
      </c>
      <c r="AI109" s="160">
        <v>1035</v>
      </c>
      <c r="AJ109" s="162">
        <v>1050</v>
      </c>
      <c r="AK109" s="160"/>
      <c r="AL109" s="162">
        <v>1</v>
      </c>
      <c r="AM109" s="160">
        <v>1</v>
      </c>
      <c r="AN109" s="161">
        <v>0</v>
      </c>
      <c r="AO109" s="161">
        <v>0</v>
      </c>
      <c r="AP109" s="161">
        <v>0</v>
      </c>
      <c r="AQ109" s="161">
        <v>0</v>
      </c>
      <c r="AR109" s="161">
        <v>7</v>
      </c>
      <c r="AS109" s="161">
        <v>37</v>
      </c>
      <c r="AT109" s="161">
        <v>26</v>
      </c>
      <c r="AU109" s="161">
        <v>403</v>
      </c>
      <c r="AV109" s="161">
        <v>42</v>
      </c>
      <c r="AW109" s="161">
        <v>99</v>
      </c>
      <c r="AX109" s="162">
        <v>0</v>
      </c>
      <c r="AY109" s="160">
        <v>0</v>
      </c>
      <c r="AZ109" s="161">
        <v>0</v>
      </c>
      <c r="BA109" s="161">
        <v>0</v>
      </c>
      <c r="BB109" s="162">
        <v>0</v>
      </c>
      <c r="BC109" s="160">
        <v>0</v>
      </c>
      <c r="BD109" s="162">
        <v>0</v>
      </c>
      <c r="BE109" s="43">
        <v>95</v>
      </c>
      <c r="BF109" s="160">
        <v>1</v>
      </c>
      <c r="BG109" s="161">
        <v>0</v>
      </c>
      <c r="BH109" s="161">
        <v>0</v>
      </c>
      <c r="BI109" s="161">
        <v>0</v>
      </c>
      <c r="BJ109" s="160">
        <v>0</v>
      </c>
      <c r="BK109" s="161">
        <v>1</v>
      </c>
      <c r="BL109" s="160">
        <v>66.42</v>
      </c>
      <c r="BM109" s="161"/>
      <c r="BN109" s="161"/>
      <c r="BO109" s="161"/>
      <c r="BP109" s="161"/>
      <c r="BQ109" s="161"/>
      <c r="BR109" s="161"/>
      <c r="BS109" s="161"/>
      <c r="BT109" s="162"/>
      <c r="BU109" s="160">
        <v>66.09</v>
      </c>
      <c r="BV109" s="161">
        <v>67.47</v>
      </c>
      <c r="BW109" s="161"/>
      <c r="BX109" s="161"/>
      <c r="BY109" s="161"/>
      <c r="BZ109" s="161"/>
      <c r="CA109" s="161"/>
      <c r="CB109" s="162"/>
      <c r="CC109" s="160">
        <v>66.73</v>
      </c>
      <c r="CD109" s="161"/>
      <c r="CE109" s="162"/>
      <c r="CF109" s="160"/>
      <c r="CG109" s="161"/>
      <c r="CH109" s="162"/>
      <c r="CI109" s="160"/>
      <c r="CJ109" s="162"/>
      <c r="CK109" s="160"/>
      <c r="CL109" s="162"/>
      <c r="CM109" s="160"/>
      <c r="CN109" s="161"/>
      <c r="CO109" s="161"/>
      <c r="CP109" s="161"/>
      <c r="CQ109" s="161"/>
      <c r="CR109" s="162"/>
      <c r="CS109" s="160"/>
      <c r="CT109" s="161"/>
      <c r="CU109" s="161"/>
      <c r="CV109" s="162"/>
      <c r="CW109" s="160"/>
      <c r="CX109" s="161"/>
      <c r="CY109" s="161"/>
      <c r="CZ109" s="162"/>
      <c r="DA109" s="43"/>
      <c r="DB109" s="6"/>
    </row>
    <row r="110" spans="1:106">
      <c r="A110" s="42" t="s">
        <v>320</v>
      </c>
      <c r="B110" s="17" t="s">
        <v>300</v>
      </c>
      <c r="C110" s="16" t="s">
        <v>67</v>
      </c>
      <c r="D110" s="1"/>
      <c r="E110" s="18">
        <v>1100</v>
      </c>
      <c r="F110" s="18"/>
      <c r="G110" s="16">
        <v>1997</v>
      </c>
      <c r="H110" s="17">
        <v>1.3520649966147595</v>
      </c>
      <c r="I110" s="18">
        <v>4</v>
      </c>
      <c r="J110" s="16">
        <v>0</v>
      </c>
      <c r="K110" s="1">
        <v>1</v>
      </c>
      <c r="L110" s="1">
        <v>1</v>
      </c>
      <c r="M110" s="1">
        <v>1</v>
      </c>
      <c r="N110" s="17">
        <v>0</v>
      </c>
      <c r="O110" s="16">
        <v>1110</v>
      </c>
      <c r="P110" s="16">
        <v>1</v>
      </c>
      <c r="Q110" s="1">
        <v>0</v>
      </c>
      <c r="R110" s="1">
        <v>0</v>
      </c>
      <c r="S110" s="17">
        <v>1</v>
      </c>
      <c r="T110" s="16">
        <v>1100</v>
      </c>
      <c r="U110" s="16">
        <v>1</v>
      </c>
      <c r="V110" s="1">
        <v>0</v>
      </c>
      <c r="W110" s="1">
        <v>0</v>
      </c>
      <c r="X110" s="1">
        <v>0</v>
      </c>
      <c r="Y110" s="17">
        <v>0</v>
      </c>
      <c r="Z110" s="18">
        <v>10000</v>
      </c>
      <c r="AA110" s="18">
        <v>1</v>
      </c>
      <c r="AB110" s="18">
        <v>3</v>
      </c>
      <c r="AC110" s="16">
        <v>2</v>
      </c>
      <c r="AD110" s="17">
        <v>3</v>
      </c>
      <c r="AE110" s="16">
        <v>0</v>
      </c>
      <c r="AF110" s="1">
        <v>1</v>
      </c>
      <c r="AG110" s="1">
        <v>1</v>
      </c>
      <c r="AH110" s="18">
        <v>11</v>
      </c>
      <c r="AI110" s="16">
        <v>797</v>
      </c>
      <c r="AJ110" s="17">
        <v>1521</v>
      </c>
      <c r="AK110" s="16"/>
      <c r="AL110" s="17">
        <v>1</v>
      </c>
      <c r="AM110" s="16">
        <v>1</v>
      </c>
      <c r="AN110" s="1">
        <v>0</v>
      </c>
      <c r="AO110" s="1">
        <v>0</v>
      </c>
      <c r="AP110" s="1">
        <v>0</v>
      </c>
      <c r="AQ110" s="1">
        <v>0</v>
      </c>
      <c r="AR110" s="1">
        <v>5</v>
      </c>
      <c r="AS110" s="1">
        <v>41</v>
      </c>
      <c r="AT110" s="1">
        <v>0</v>
      </c>
      <c r="AU110" s="1">
        <v>0</v>
      </c>
      <c r="AV110" s="1">
        <v>13</v>
      </c>
      <c r="AW110" s="1">
        <v>43</v>
      </c>
      <c r="AX110" s="17">
        <v>0</v>
      </c>
      <c r="AY110" s="16">
        <v>0</v>
      </c>
      <c r="AZ110" s="1">
        <v>0</v>
      </c>
      <c r="BA110" s="1">
        <v>0</v>
      </c>
      <c r="BB110" s="17">
        <v>0</v>
      </c>
      <c r="BC110" s="16">
        <v>0</v>
      </c>
      <c r="BD110" s="17">
        <v>0</v>
      </c>
      <c r="BE110" s="18">
        <v>88</v>
      </c>
      <c r="BF110" s="16">
        <v>0</v>
      </c>
      <c r="BG110" s="1">
        <v>0</v>
      </c>
      <c r="BH110" s="1">
        <v>0</v>
      </c>
      <c r="BI110" s="1">
        <v>0</v>
      </c>
      <c r="BJ110" s="16">
        <v>1</v>
      </c>
      <c r="BK110" s="1">
        <v>0</v>
      </c>
      <c r="BL110" s="16"/>
      <c r="BM110" s="1"/>
      <c r="BN110" s="1"/>
      <c r="BO110" s="1"/>
      <c r="BP110" s="1"/>
      <c r="BQ110" s="1"/>
      <c r="BR110" s="1"/>
      <c r="BS110" s="1"/>
      <c r="BT110" s="17"/>
      <c r="BU110" s="16"/>
      <c r="BV110" s="1"/>
      <c r="BW110" s="1"/>
      <c r="BX110" s="1"/>
      <c r="BY110" s="1"/>
      <c r="BZ110" s="1"/>
      <c r="CA110" s="1"/>
      <c r="CB110" s="17"/>
      <c r="CC110" s="16"/>
      <c r="CD110" s="1"/>
      <c r="CE110" s="17"/>
      <c r="CF110" s="16"/>
      <c r="CG110" s="1"/>
      <c r="CH110" s="17"/>
      <c r="CI110" s="16"/>
      <c r="CJ110" s="17"/>
      <c r="CK110" s="16"/>
      <c r="CL110" s="17"/>
      <c r="CM110" s="16"/>
      <c r="CN110" s="1"/>
      <c r="CO110" s="1"/>
      <c r="CP110" s="1"/>
      <c r="CQ110" s="1"/>
      <c r="CR110" s="17"/>
      <c r="CS110" s="16"/>
      <c r="CT110" s="1"/>
      <c r="CU110" s="1"/>
      <c r="CV110" s="17"/>
      <c r="CW110" s="16"/>
      <c r="CX110" s="1"/>
      <c r="CY110" s="1"/>
      <c r="CZ110" s="17"/>
      <c r="DA110" s="18"/>
      <c r="DB110" s="6"/>
    </row>
    <row r="111" spans="1:106">
      <c r="A111" s="42" t="s">
        <v>320</v>
      </c>
      <c r="B111" s="17" t="s">
        <v>300</v>
      </c>
      <c r="C111" s="16" t="s">
        <v>75</v>
      </c>
      <c r="D111" s="1"/>
      <c r="E111" s="18">
        <v>1000</v>
      </c>
      <c r="F111" s="18"/>
      <c r="G111" s="16">
        <v>1250</v>
      </c>
      <c r="H111" s="17">
        <v>3.2216494845360826</v>
      </c>
      <c r="I111" s="18">
        <v>4</v>
      </c>
      <c r="J111" s="16">
        <v>0</v>
      </c>
      <c r="K111" s="1">
        <v>0</v>
      </c>
      <c r="L111" s="1">
        <v>1</v>
      </c>
      <c r="M111" s="1">
        <v>0</v>
      </c>
      <c r="N111" s="17">
        <v>0</v>
      </c>
      <c r="O111" s="16">
        <v>100</v>
      </c>
      <c r="P111" s="16">
        <v>1</v>
      </c>
      <c r="Q111" s="1">
        <v>0</v>
      </c>
      <c r="R111" s="1">
        <v>0</v>
      </c>
      <c r="S111" s="17">
        <v>0</v>
      </c>
      <c r="T111" s="16">
        <v>1000</v>
      </c>
      <c r="U111" s="16">
        <v>1</v>
      </c>
      <c r="V111" s="1">
        <v>0</v>
      </c>
      <c r="W111" s="1">
        <v>0</v>
      </c>
      <c r="X111" s="1">
        <v>0</v>
      </c>
      <c r="Y111" s="17">
        <v>0</v>
      </c>
      <c r="Z111" s="18">
        <v>10000</v>
      </c>
      <c r="AA111" s="18">
        <v>1</v>
      </c>
      <c r="AB111" s="18">
        <v>2</v>
      </c>
      <c r="AC111" s="16">
        <v>1</v>
      </c>
      <c r="AD111" s="17">
        <v>1</v>
      </c>
      <c r="AE111" s="16">
        <v>1</v>
      </c>
      <c r="AF111" s="1">
        <v>0</v>
      </c>
      <c r="AG111" s="1">
        <v>1</v>
      </c>
      <c r="AH111" s="18">
        <v>101</v>
      </c>
      <c r="AI111" s="16">
        <v>355</v>
      </c>
      <c r="AJ111" s="17">
        <v>905</v>
      </c>
      <c r="AK111" s="16"/>
      <c r="AL111" s="17">
        <v>1</v>
      </c>
      <c r="AM111" s="16">
        <v>2</v>
      </c>
      <c r="AN111" s="1">
        <v>0</v>
      </c>
      <c r="AO111" s="1">
        <v>0</v>
      </c>
      <c r="AP111" s="1">
        <v>0</v>
      </c>
      <c r="AQ111" s="1">
        <v>0</v>
      </c>
      <c r="AR111" s="1">
        <v>5</v>
      </c>
      <c r="AS111" s="1">
        <v>28</v>
      </c>
      <c r="AT111" s="1">
        <v>0</v>
      </c>
      <c r="AU111" s="1">
        <v>11</v>
      </c>
      <c r="AV111" s="1">
        <v>18</v>
      </c>
      <c r="AW111" s="1">
        <v>92</v>
      </c>
      <c r="AX111" s="17">
        <v>0</v>
      </c>
      <c r="AY111" s="16">
        <v>0</v>
      </c>
      <c r="AZ111" s="1">
        <v>0</v>
      </c>
      <c r="BA111" s="1">
        <v>0</v>
      </c>
      <c r="BB111" s="17">
        <v>0</v>
      </c>
      <c r="BC111" s="16">
        <v>0</v>
      </c>
      <c r="BD111" s="17">
        <v>0</v>
      </c>
      <c r="BE111" s="18">
        <v>87</v>
      </c>
      <c r="BF111" s="16">
        <v>1</v>
      </c>
      <c r="BG111" s="1">
        <v>0</v>
      </c>
      <c r="BH111" s="1"/>
      <c r="BI111" s="1">
        <v>0</v>
      </c>
      <c r="BJ111" s="16">
        <v>0</v>
      </c>
      <c r="BK111" s="1">
        <v>1</v>
      </c>
      <c r="BL111" s="16"/>
      <c r="BM111" s="1"/>
      <c r="BN111" s="1"/>
      <c r="BO111" s="1"/>
      <c r="BP111" s="1"/>
      <c r="BQ111" s="1"/>
      <c r="BR111" s="1"/>
      <c r="BS111" s="1"/>
      <c r="BT111" s="17"/>
      <c r="BU111" s="16"/>
      <c r="BV111" s="1"/>
      <c r="BW111" s="1"/>
      <c r="BX111" s="1"/>
      <c r="BY111" s="1"/>
      <c r="BZ111" s="1"/>
      <c r="CA111" s="1"/>
      <c r="CB111" s="17"/>
      <c r="CC111" s="16"/>
      <c r="CD111" s="1"/>
      <c r="CE111" s="17"/>
      <c r="CF111" s="16"/>
      <c r="CG111" s="1"/>
      <c r="CH111" s="17"/>
      <c r="CI111" s="16"/>
      <c r="CJ111" s="17"/>
      <c r="CK111" s="16"/>
      <c r="CL111" s="17"/>
      <c r="CM111" s="16"/>
      <c r="CN111" s="1"/>
      <c r="CO111" s="1"/>
      <c r="CP111" s="1"/>
      <c r="CQ111" s="1"/>
      <c r="CR111" s="17"/>
      <c r="CS111" s="16"/>
      <c r="CT111" s="1"/>
      <c r="CU111" s="1"/>
      <c r="CV111" s="17"/>
      <c r="CW111" s="16"/>
      <c r="CX111" s="1"/>
      <c r="CY111" s="1"/>
      <c r="CZ111" s="17"/>
      <c r="DA111" s="18"/>
      <c r="DB111" s="6"/>
    </row>
    <row r="112" spans="1:106">
      <c r="A112" s="42" t="s">
        <v>320</v>
      </c>
      <c r="B112" s="17" t="s">
        <v>301</v>
      </c>
      <c r="C112" s="16" t="s">
        <v>68</v>
      </c>
      <c r="D112" s="1"/>
      <c r="E112" s="18">
        <v>1100</v>
      </c>
      <c r="F112" s="18"/>
      <c r="G112" s="16">
        <v>2671</v>
      </c>
      <c r="H112" s="17">
        <v>2.2751277683134581</v>
      </c>
      <c r="I112" s="18">
        <v>3</v>
      </c>
      <c r="J112" s="16">
        <v>0</v>
      </c>
      <c r="K112" s="1">
        <v>0</v>
      </c>
      <c r="L112" s="1">
        <v>1</v>
      </c>
      <c r="M112" s="1">
        <v>1</v>
      </c>
      <c r="N112" s="17">
        <v>0</v>
      </c>
      <c r="O112" s="16">
        <v>110</v>
      </c>
      <c r="P112" s="16">
        <v>1</v>
      </c>
      <c r="Q112" s="1">
        <v>0</v>
      </c>
      <c r="R112" s="1">
        <v>0</v>
      </c>
      <c r="S112" s="17">
        <v>1</v>
      </c>
      <c r="T112" s="16">
        <v>1100</v>
      </c>
      <c r="U112" s="16">
        <v>1</v>
      </c>
      <c r="V112" s="1">
        <v>0</v>
      </c>
      <c r="W112" s="1">
        <v>0</v>
      </c>
      <c r="X112" s="1">
        <v>0</v>
      </c>
      <c r="Y112" s="17">
        <v>0</v>
      </c>
      <c r="Z112" s="18">
        <v>10000</v>
      </c>
      <c r="AA112" s="18">
        <v>1</v>
      </c>
      <c r="AB112" s="18">
        <v>2</v>
      </c>
      <c r="AC112" s="16">
        <v>1</v>
      </c>
      <c r="AD112" s="17">
        <v>3</v>
      </c>
      <c r="AE112" s="16">
        <v>0</v>
      </c>
      <c r="AF112" s="1">
        <v>1</v>
      </c>
      <c r="AG112" s="1">
        <v>1</v>
      </c>
      <c r="AH112" s="18">
        <v>11</v>
      </c>
      <c r="AI112" s="16">
        <v>601</v>
      </c>
      <c r="AJ112" s="17">
        <v>2206</v>
      </c>
      <c r="AK112" s="16"/>
      <c r="AL112" s="17">
        <v>1</v>
      </c>
      <c r="AM112" s="16">
        <v>1</v>
      </c>
      <c r="AN112" s="1">
        <v>0</v>
      </c>
      <c r="AO112" s="1">
        <v>0</v>
      </c>
      <c r="AP112" s="1">
        <v>0</v>
      </c>
      <c r="AQ112" s="1">
        <v>0</v>
      </c>
      <c r="AR112" s="1">
        <v>9</v>
      </c>
      <c r="AS112" s="1">
        <v>223</v>
      </c>
      <c r="AT112" s="1">
        <v>0</v>
      </c>
      <c r="AU112" s="1">
        <v>0</v>
      </c>
      <c r="AV112" s="1">
        <v>0</v>
      </c>
      <c r="AW112" s="1">
        <v>0</v>
      </c>
      <c r="AX112" s="17">
        <v>0</v>
      </c>
      <c r="AY112" s="16">
        <v>0</v>
      </c>
      <c r="AZ112" s="1">
        <v>0</v>
      </c>
      <c r="BA112" s="1">
        <v>0</v>
      </c>
      <c r="BB112" s="17">
        <v>0</v>
      </c>
      <c r="BC112" s="16">
        <v>0</v>
      </c>
      <c r="BD112" s="17">
        <v>0</v>
      </c>
      <c r="BE112" s="18">
        <v>115</v>
      </c>
      <c r="BF112" s="16">
        <v>0</v>
      </c>
      <c r="BG112" s="1">
        <v>0</v>
      </c>
      <c r="BH112" s="1"/>
      <c r="BI112" s="1">
        <v>0</v>
      </c>
      <c r="BJ112" s="16">
        <v>0</v>
      </c>
      <c r="BK112" s="1">
        <v>1</v>
      </c>
      <c r="BL112" s="16">
        <v>65.12</v>
      </c>
      <c r="BM112" s="1">
        <v>65.34</v>
      </c>
      <c r="BN112" s="1"/>
      <c r="BO112" s="1"/>
      <c r="BP112" s="1"/>
      <c r="BQ112" s="1"/>
      <c r="BR112" s="1"/>
      <c r="BS112" s="1"/>
      <c r="BT112" s="17"/>
      <c r="BU112" s="16">
        <v>64.510000000000005</v>
      </c>
      <c r="BV112" s="1"/>
      <c r="BW112" s="1"/>
      <c r="BX112" s="1"/>
      <c r="BY112" s="1"/>
      <c r="BZ112" s="1"/>
      <c r="CA112" s="1"/>
      <c r="CB112" s="17"/>
      <c r="CC112" s="16"/>
      <c r="CD112" s="1"/>
      <c r="CE112" s="17"/>
      <c r="CF112" s="16"/>
      <c r="CG112" s="1"/>
      <c r="CH112" s="17"/>
      <c r="CI112" s="16"/>
      <c r="CJ112" s="17"/>
      <c r="CK112" s="16"/>
      <c r="CL112" s="17"/>
      <c r="CM112" s="16"/>
      <c r="CN112" s="1"/>
      <c r="CO112" s="1"/>
      <c r="CP112" s="1"/>
      <c r="CQ112" s="1"/>
      <c r="CR112" s="17"/>
      <c r="CS112" s="16"/>
      <c r="CT112" s="1"/>
      <c r="CU112" s="1"/>
      <c r="CV112" s="17"/>
      <c r="CW112" s="16">
        <v>69.849999999999994</v>
      </c>
      <c r="CX112" s="1"/>
      <c r="CY112" s="1"/>
      <c r="CZ112" s="17"/>
      <c r="DA112" s="18"/>
      <c r="DB112" s="6"/>
    </row>
    <row r="113" spans="1:106" ht="17" thickBot="1">
      <c r="A113" s="42" t="s">
        <v>320</v>
      </c>
      <c r="B113" s="38" t="s">
        <v>301</v>
      </c>
      <c r="C113" s="22" t="s">
        <v>73</v>
      </c>
      <c r="D113" s="37"/>
      <c r="E113" s="39">
        <v>1000</v>
      </c>
      <c r="F113" s="39"/>
      <c r="G113" s="22">
        <v>1534</v>
      </c>
      <c r="H113" s="38">
        <v>5.2534246575342465</v>
      </c>
      <c r="I113" s="39">
        <v>2</v>
      </c>
      <c r="J113" s="22">
        <v>0</v>
      </c>
      <c r="K113" s="37">
        <v>0</v>
      </c>
      <c r="L113" s="37">
        <v>0</v>
      </c>
      <c r="M113" s="37">
        <v>1</v>
      </c>
      <c r="N113" s="38">
        <v>0</v>
      </c>
      <c r="O113" s="22">
        <v>10</v>
      </c>
      <c r="P113" s="22">
        <v>1</v>
      </c>
      <c r="Q113" s="37">
        <v>0</v>
      </c>
      <c r="R113" s="37">
        <v>0</v>
      </c>
      <c r="S113" s="38">
        <v>0</v>
      </c>
      <c r="T113" s="22">
        <v>1000</v>
      </c>
      <c r="U113" s="22">
        <v>1</v>
      </c>
      <c r="V113" s="37">
        <v>0</v>
      </c>
      <c r="W113" s="37">
        <v>0</v>
      </c>
      <c r="X113" s="37">
        <v>1</v>
      </c>
      <c r="Y113" s="38">
        <v>0</v>
      </c>
      <c r="Z113" s="39">
        <v>10010</v>
      </c>
      <c r="AA113" s="39">
        <v>2</v>
      </c>
      <c r="AB113" s="39">
        <v>0</v>
      </c>
      <c r="AC113" s="22">
        <v>0</v>
      </c>
      <c r="AD113" s="38">
        <v>0</v>
      </c>
      <c r="AE113" s="22">
        <v>0</v>
      </c>
      <c r="AF113" s="37">
        <v>1</v>
      </c>
      <c r="AG113" s="37">
        <v>0</v>
      </c>
      <c r="AH113" s="39">
        <v>10</v>
      </c>
      <c r="AI113" s="22">
        <v>1098</v>
      </c>
      <c r="AJ113" s="38">
        <v>1238</v>
      </c>
      <c r="AK113" s="22"/>
      <c r="AL113" s="38">
        <v>1</v>
      </c>
      <c r="AM113" s="22">
        <v>1</v>
      </c>
      <c r="AN113" s="37">
        <v>0</v>
      </c>
      <c r="AO113" s="37">
        <v>0</v>
      </c>
      <c r="AP113" s="37">
        <v>0</v>
      </c>
      <c r="AQ113" s="37">
        <v>0</v>
      </c>
      <c r="AR113" s="37">
        <v>0</v>
      </c>
      <c r="AS113" s="37">
        <v>13</v>
      </c>
      <c r="AT113" s="37">
        <v>0</v>
      </c>
      <c r="AU113" s="37">
        <v>25</v>
      </c>
      <c r="AV113" s="37">
        <v>0</v>
      </c>
      <c r="AW113" s="37">
        <v>0</v>
      </c>
      <c r="AX113" s="38">
        <v>0</v>
      </c>
      <c r="AY113" s="22">
        <v>0</v>
      </c>
      <c r="AZ113" s="37">
        <v>0</v>
      </c>
      <c r="BA113" s="37">
        <v>0</v>
      </c>
      <c r="BB113" s="38">
        <v>0</v>
      </c>
      <c r="BC113" s="22">
        <v>0</v>
      </c>
      <c r="BD113" s="38">
        <v>0</v>
      </c>
      <c r="BE113" s="39">
        <v>101</v>
      </c>
      <c r="BF113" s="22">
        <v>1</v>
      </c>
      <c r="BG113" s="37">
        <v>0</v>
      </c>
      <c r="BH113" s="37"/>
      <c r="BI113" s="37">
        <v>0</v>
      </c>
      <c r="BJ113" s="22">
        <v>0</v>
      </c>
      <c r="BK113" s="37">
        <v>1</v>
      </c>
      <c r="BL113" s="22"/>
      <c r="BM113" s="37"/>
      <c r="BN113" s="37"/>
      <c r="BO113" s="37"/>
      <c r="BP113" s="37"/>
      <c r="BQ113" s="37"/>
      <c r="BR113" s="37"/>
      <c r="BS113" s="37"/>
      <c r="BT113" s="38"/>
      <c r="BU113" s="22"/>
      <c r="BV113" s="37"/>
      <c r="BW113" s="37"/>
      <c r="BX113" s="37"/>
      <c r="BY113" s="37"/>
      <c r="BZ113" s="37"/>
      <c r="CA113" s="37"/>
      <c r="CB113" s="38"/>
      <c r="CC113" s="22"/>
      <c r="CD113" s="37"/>
      <c r="CE113" s="38"/>
      <c r="CF113" s="22"/>
      <c r="CG113" s="37"/>
      <c r="CH113" s="38"/>
      <c r="CI113" s="22"/>
      <c r="CJ113" s="38"/>
      <c r="CK113" s="22"/>
      <c r="CL113" s="38"/>
      <c r="CM113" s="22"/>
      <c r="CN113" s="37"/>
      <c r="CO113" s="37"/>
      <c r="CP113" s="37"/>
      <c r="CQ113" s="37"/>
      <c r="CR113" s="38"/>
      <c r="CS113" s="22"/>
      <c r="CT113" s="37"/>
      <c r="CU113" s="37"/>
      <c r="CV113" s="38"/>
      <c r="CW113" s="22"/>
      <c r="CX113" s="37"/>
      <c r="CY113" s="37"/>
      <c r="CZ113" s="38"/>
      <c r="DA113" s="39"/>
      <c r="DB113" s="6"/>
    </row>
    <row r="114" spans="1:106">
      <c r="A114" s="87" t="s">
        <v>320</v>
      </c>
      <c r="B114" s="162" t="s">
        <v>302</v>
      </c>
      <c r="C114" s="160" t="s">
        <v>64</v>
      </c>
      <c r="D114" s="161"/>
      <c r="E114" s="43">
        <v>1000</v>
      </c>
      <c r="F114" s="43"/>
      <c r="G114" s="160">
        <v>3383</v>
      </c>
      <c r="H114" s="162">
        <v>4.4807947019867553</v>
      </c>
      <c r="I114" s="43">
        <v>4</v>
      </c>
      <c r="J114" s="160">
        <v>0</v>
      </c>
      <c r="K114" s="161">
        <v>0</v>
      </c>
      <c r="L114" s="161">
        <v>1</v>
      </c>
      <c r="M114" s="161">
        <v>0</v>
      </c>
      <c r="N114" s="162">
        <v>0</v>
      </c>
      <c r="O114" s="160">
        <v>100</v>
      </c>
      <c r="P114" s="160">
        <v>1</v>
      </c>
      <c r="Q114" s="161">
        <v>0</v>
      </c>
      <c r="R114" s="161">
        <v>0</v>
      </c>
      <c r="S114" s="162">
        <v>0</v>
      </c>
      <c r="T114" s="160">
        <v>1000</v>
      </c>
      <c r="U114" s="160">
        <v>1</v>
      </c>
      <c r="V114" s="161">
        <v>0</v>
      </c>
      <c r="W114" s="161">
        <v>0</v>
      </c>
      <c r="X114" s="161">
        <v>1</v>
      </c>
      <c r="Y114" s="162">
        <v>0</v>
      </c>
      <c r="Z114" s="43">
        <v>10010</v>
      </c>
      <c r="AA114" s="43">
        <v>2</v>
      </c>
      <c r="AB114" s="43">
        <v>2</v>
      </c>
      <c r="AC114" s="160">
        <v>1</v>
      </c>
      <c r="AD114" s="162">
        <v>2</v>
      </c>
      <c r="AE114" s="160">
        <v>1</v>
      </c>
      <c r="AF114" s="161">
        <v>0</v>
      </c>
      <c r="AG114" s="161">
        <v>1</v>
      </c>
      <c r="AH114" s="43">
        <v>101</v>
      </c>
      <c r="AI114" s="160">
        <v>517</v>
      </c>
      <c r="AJ114" s="162">
        <v>1771</v>
      </c>
      <c r="AK114" s="160"/>
      <c r="AL114" s="162">
        <v>1</v>
      </c>
      <c r="AM114" s="160">
        <v>0</v>
      </c>
      <c r="AN114" s="161">
        <v>0</v>
      </c>
      <c r="AO114" s="161">
        <v>0</v>
      </c>
      <c r="AP114" s="161">
        <v>0</v>
      </c>
      <c r="AQ114" s="161">
        <v>0</v>
      </c>
      <c r="AR114" s="161">
        <v>0</v>
      </c>
      <c r="AS114" s="161">
        <v>0</v>
      </c>
      <c r="AT114" s="161">
        <v>0</v>
      </c>
      <c r="AU114" s="161">
        <v>0</v>
      </c>
      <c r="AV114" s="161">
        <v>0</v>
      </c>
      <c r="AW114" s="161">
        <v>0</v>
      </c>
      <c r="AX114" s="162">
        <v>0</v>
      </c>
      <c r="AY114" s="160">
        <v>0</v>
      </c>
      <c r="AZ114" s="161">
        <v>0</v>
      </c>
      <c r="BA114" s="161">
        <v>0</v>
      </c>
      <c r="BB114" s="162">
        <v>0</v>
      </c>
      <c r="BC114" s="160">
        <v>0</v>
      </c>
      <c r="BD114" s="162">
        <v>0</v>
      </c>
      <c r="BE114" s="43">
        <v>115</v>
      </c>
      <c r="BF114" s="160">
        <v>0</v>
      </c>
      <c r="BG114" s="161">
        <v>0</v>
      </c>
      <c r="BH114" s="161">
        <v>0</v>
      </c>
      <c r="BI114" s="161">
        <v>0</v>
      </c>
      <c r="BJ114" s="160">
        <v>0</v>
      </c>
      <c r="BK114" s="161">
        <v>1</v>
      </c>
      <c r="BL114" s="160"/>
      <c r="BM114" s="161"/>
      <c r="BN114" s="161"/>
      <c r="BO114" s="161"/>
      <c r="BP114" s="161"/>
      <c r="BQ114" s="161"/>
      <c r="BR114" s="161"/>
      <c r="BS114" s="161"/>
      <c r="BT114" s="162"/>
      <c r="BU114" s="160"/>
      <c r="BV114" s="161"/>
      <c r="BW114" s="161"/>
      <c r="BX114" s="161"/>
      <c r="BY114" s="161"/>
      <c r="BZ114" s="161"/>
      <c r="CA114" s="161"/>
      <c r="CB114" s="162"/>
      <c r="CC114" s="160"/>
      <c r="CD114" s="161"/>
      <c r="CE114" s="162"/>
      <c r="CF114" s="160"/>
      <c r="CG114" s="161"/>
      <c r="CH114" s="162"/>
      <c r="CI114" s="160"/>
      <c r="CJ114" s="162"/>
      <c r="CK114" s="160"/>
      <c r="CL114" s="162"/>
      <c r="CM114" s="160"/>
      <c r="CN114" s="161"/>
      <c r="CO114" s="161"/>
      <c r="CP114" s="161"/>
      <c r="CQ114" s="161"/>
      <c r="CR114" s="162"/>
      <c r="CS114" s="160"/>
      <c r="CT114" s="161"/>
      <c r="CU114" s="161"/>
      <c r="CV114" s="162"/>
      <c r="CW114" s="160"/>
      <c r="CX114" s="161"/>
      <c r="CY114" s="161"/>
      <c r="CZ114" s="162"/>
      <c r="DA114" s="43"/>
      <c r="DB114" s="6"/>
    </row>
    <row r="115" spans="1:106">
      <c r="A115" s="42" t="s">
        <v>320</v>
      </c>
      <c r="B115" s="17" t="s">
        <v>302</v>
      </c>
      <c r="C115" s="16" t="s">
        <v>65</v>
      </c>
      <c r="D115" s="1"/>
      <c r="E115" s="18">
        <v>1000</v>
      </c>
      <c r="F115" s="18"/>
      <c r="G115" s="16">
        <v>1583</v>
      </c>
      <c r="H115" s="17">
        <v>1.2010622154779971</v>
      </c>
      <c r="I115" s="18">
        <v>5</v>
      </c>
      <c r="J115" s="16">
        <v>0</v>
      </c>
      <c r="K115" s="1">
        <v>0</v>
      </c>
      <c r="L115" s="1">
        <v>0</v>
      </c>
      <c r="M115" s="1">
        <v>1</v>
      </c>
      <c r="N115" s="17">
        <v>1</v>
      </c>
      <c r="O115" s="16">
        <v>11</v>
      </c>
      <c r="P115" s="16">
        <v>1</v>
      </c>
      <c r="Q115" s="1">
        <v>0</v>
      </c>
      <c r="R115" s="1">
        <v>0</v>
      </c>
      <c r="S115" s="17">
        <v>0</v>
      </c>
      <c r="T115" s="16">
        <v>1000</v>
      </c>
      <c r="U115" s="16">
        <v>1</v>
      </c>
      <c r="V115" s="1">
        <v>0</v>
      </c>
      <c r="W115" s="1">
        <v>0</v>
      </c>
      <c r="X115" s="1">
        <v>0</v>
      </c>
      <c r="Y115" s="17">
        <v>0</v>
      </c>
      <c r="Z115" s="18">
        <v>10000</v>
      </c>
      <c r="AA115" s="18">
        <v>1</v>
      </c>
      <c r="AB115" s="18">
        <v>0</v>
      </c>
      <c r="AC115" s="16">
        <v>0</v>
      </c>
      <c r="AD115" s="17">
        <v>0</v>
      </c>
      <c r="AE115" s="16">
        <v>0</v>
      </c>
      <c r="AF115" s="1">
        <v>1</v>
      </c>
      <c r="AG115" s="1">
        <v>1</v>
      </c>
      <c r="AH115" s="18">
        <v>11</v>
      </c>
      <c r="AI115" s="16">
        <v>219</v>
      </c>
      <c r="AJ115" s="17">
        <v>1318</v>
      </c>
      <c r="AK115" s="16"/>
      <c r="AL115" s="17">
        <v>1</v>
      </c>
      <c r="AM115" s="16">
        <v>0</v>
      </c>
      <c r="AN115" s="1">
        <v>0</v>
      </c>
      <c r="AO115" s="1">
        <v>0</v>
      </c>
      <c r="AP115" s="1">
        <v>0</v>
      </c>
      <c r="AQ115" s="1">
        <v>0</v>
      </c>
      <c r="AR115" s="1">
        <v>0</v>
      </c>
      <c r="AS115" s="1">
        <v>0</v>
      </c>
      <c r="AT115" s="1">
        <v>0</v>
      </c>
      <c r="AU115" s="1">
        <v>0</v>
      </c>
      <c r="AV115" s="1">
        <v>0</v>
      </c>
      <c r="AW115" s="1">
        <v>0</v>
      </c>
      <c r="AX115" s="17">
        <v>0</v>
      </c>
      <c r="AY115" s="16">
        <v>0</v>
      </c>
      <c r="AZ115" s="1">
        <v>0</v>
      </c>
      <c r="BA115" s="1">
        <v>0</v>
      </c>
      <c r="BB115" s="17">
        <v>0</v>
      </c>
      <c r="BC115" s="16">
        <v>0</v>
      </c>
      <c r="BD115" s="17">
        <v>0</v>
      </c>
      <c r="BE115" s="18">
        <v>114</v>
      </c>
      <c r="BF115" s="16">
        <v>0</v>
      </c>
      <c r="BG115" s="1">
        <v>0</v>
      </c>
      <c r="BH115" s="1"/>
      <c r="BI115" s="1">
        <v>0</v>
      </c>
      <c r="BJ115" s="16">
        <v>0</v>
      </c>
      <c r="BK115" s="1">
        <v>1</v>
      </c>
      <c r="BL115" s="16"/>
      <c r="BM115" s="1"/>
      <c r="BN115" s="1"/>
      <c r="BO115" s="1"/>
      <c r="BP115" s="1"/>
      <c r="BQ115" s="1"/>
      <c r="BR115" s="1"/>
      <c r="BS115" s="1"/>
      <c r="BT115" s="17"/>
      <c r="BU115" s="16"/>
      <c r="BV115" s="1"/>
      <c r="BW115" s="1"/>
      <c r="BX115" s="1"/>
      <c r="BY115" s="1"/>
      <c r="BZ115" s="1"/>
      <c r="CA115" s="1"/>
      <c r="CB115" s="17"/>
      <c r="CC115" s="16"/>
      <c r="CD115" s="1"/>
      <c r="CE115" s="17"/>
      <c r="CF115" s="16"/>
      <c r="CG115" s="1"/>
      <c r="CH115" s="17"/>
      <c r="CI115" s="16"/>
      <c r="CJ115" s="17"/>
      <c r="CK115" s="16"/>
      <c r="CL115" s="17"/>
      <c r="CM115" s="16"/>
      <c r="CN115" s="1"/>
      <c r="CO115" s="1"/>
      <c r="CP115" s="1"/>
      <c r="CQ115" s="1"/>
      <c r="CR115" s="17"/>
      <c r="CS115" s="16"/>
      <c r="CT115" s="1"/>
      <c r="CU115" s="1"/>
      <c r="CV115" s="17"/>
      <c r="CW115" s="16"/>
      <c r="CX115" s="1"/>
      <c r="CY115" s="1"/>
      <c r="CZ115" s="17"/>
      <c r="DA115" s="18"/>
      <c r="DB115" s="6"/>
    </row>
    <row r="116" spans="1:106">
      <c r="A116" s="42" t="s">
        <v>320</v>
      </c>
      <c r="B116" s="17" t="s">
        <v>302</v>
      </c>
      <c r="C116" s="16" t="s">
        <v>66</v>
      </c>
      <c r="D116" s="1"/>
      <c r="E116" s="18">
        <v>1001</v>
      </c>
      <c r="F116" s="18"/>
      <c r="G116" s="16">
        <v>3962</v>
      </c>
      <c r="H116" s="17">
        <v>3.5565529622980252</v>
      </c>
      <c r="I116" s="18">
        <v>3</v>
      </c>
      <c r="J116" s="16">
        <v>0</v>
      </c>
      <c r="K116" s="1">
        <v>0</v>
      </c>
      <c r="L116" s="1">
        <v>0</v>
      </c>
      <c r="M116" s="1">
        <v>1</v>
      </c>
      <c r="N116" s="17">
        <v>1</v>
      </c>
      <c r="O116" s="16">
        <v>11</v>
      </c>
      <c r="P116" s="16">
        <v>1</v>
      </c>
      <c r="Q116" s="1">
        <v>0</v>
      </c>
      <c r="R116" s="1">
        <v>1</v>
      </c>
      <c r="S116" s="17">
        <v>0</v>
      </c>
      <c r="T116" s="16">
        <v>1001</v>
      </c>
      <c r="U116" s="16">
        <v>1</v>
      </c>
      <c r="V116" s="1">
        <v>1</v>
      </c>
      <c r="W116" s="1">
        <v>1</v>
      </c>
      <c r="X116" s="1">
        <v>1</v>
      </c>
      <c r="Y116" s="17">
        <v>0</v>
      </c>
      <c r="Z116" s="18">
        <v>11110</v>
      </c>
      <c r="AA116" s="18">
        <v>4</v>
      </c>
      <c r="AB116" s="18">
        <v>1</v>
      </c>
      <c r="AC116" s="16">
        <v>1</v>
      </c>
      <c r="AD116" s="17">
        <v>1</v>
      </c>
      <c r="AE116" s="16">
        <v>0</v>
      </c>
      <c r="AF116" s="1">
        <v>1</v>
      </c>
      <c r="AG116" s="1">
        <v>1</v>
      </c>
      <c r="AH116" s="18">
        <v>11</v>
      </c>
      <c r="AI116" s="16">
        <v>1241</v>
      </c>
      <c r="AJ116" s="17">
        <v>3962</v>
      </c>
      <c r="AK116" s="16"/>
      <c r="AL116" s="17">
        <v>1</v>
      </c>
      <c r="AM116" s="16">
        <v>1</v>
      </c>
      <c r="AN116" s="1">
        <v>0</v>
      </c>
      <c r="AO116" s="1">
        <v>0</v>
      </c>
      <c r="AP116" s="1">
        <v>0</v>
      </c>
      <c r="AQ116" s="1">
        <v>0</v>
      </c>
      <c r="AR116" s="1">
        <v>30</v>
      </c>
      <c r="AS116" s="1">
        <v>197</v>
      </c>
      <c r="AT116" s="1">
        <v>28</v>
      </c>
      <c r="AU116" s="1">
        <v>69</v>
      </c>
      <c r="AV116" s="1">
        <v>0</v>
      </c>
      <c r="AW116" s="1">
        <v>80</v>
      </c>
      <c r="AX116" s="17">
        <v>349</v>
      </c>
      <c r="AY116" s="16">
        <v>0</v>
      </c>
      <c r="AZ116" s="1">
        <v>0</v>
      </c>
      <c r="BA116" s="1">
        <v>0</v>
      </c>
      <c r="BB116" s="17">
        <v>0</v>
      </c>
      <c r="BC116" s="16">
        <v>0</v>
      </c>
      <c r="BD116" s="17">
        <v>0</v>
      </c>
      <c r="BE116" s="18">
        <v>140</v>
      </c>
      <c r="BF116" s="16">
        <v>1</v>
      </c>
      <c r="BG116" s="1">
        <v>0</v>
      </c>
      <c r="BH116" s="1"/>
      <c r="BI116" s="1">
        <v>0</v>
      </c>
      <c r="BJ116" s="16">
        <v>0</v>
      </c>
      <c r="BK116" s="1">
        <v>1</v>
      </c>
      <c r="BL116" s="16"/>
      <c r="BM116" s="1"/>
      <c r="BN116" s="1"/>
      <c r="BO116" s="1"/>
      <c r="BP116" s="1"/>
      <c r="BQ116" s="1"/>
      <c r="BR116" s="1"/>
      <c r="BS116" s="1"/>
      <c r="BT116" s="17"/>
      <c r="BU116" s="16"/>
      <c r="BV116" s="1"/>
      <c r="BW116" s="1"/>
      <c r="BX116" s="1"/>
      <c r="BY116" s="1"/>
      <c r="BZ116" s="1"/>
      <c r="CA116" s="1"/>
      <c r="CB116" s="17"/>
      <c r="CC116" s="16"/>
      <c r="CD116" s="1"/>
      <c r="CE116" s="17"/>
      <c r="CF116" s="16"/>
      <c r="CG116" s="1"/>
      <c r="CH116" s="17"/>
      <c r="CI116" s="16"/>
      <c r="CJ116" s="17"/>
      <c r="CK116" s="16"/>
      <c r="CL116" s="17"/>
      <c r="CM116" s="16"/>
      <c r="CN116" s="1"/>
      <c r="CO116" s="1"/>
      <c r="CP116" s="1"/>
      <c r="CQ116" s="1"/>
      <c r="CR116" s="17"/>
      <c r="CS116" s="16"/>
      <c r="CT116" s="1"/>
      <c r="CU116" s="1"/>
      <c r="CV116" s="17"/>
      <c r="CW116" s="16"/>
      <c r="CX116" s="1"/>
      <c r="CY116" s="1"/>
      <c r="CZ116" s="17"/>
      <c r="DA116" s="18"/>
      <c r="DB116" s="6"/>
    </row>
    <row r="117" spans="1:106">
      <c r="A117" s="42" t="s">
        <v>320</v>
      </c>
      <c r="B117" s="17" t="s">
        <v>302</v>
      </c>
      <c r="C117" s="16" t="s">
        <v>62</v>
      </c>
      <c r="D117" s="1"/>
      <c r="E117" s="18"/>
      <c r="F117" s="18"/>
      <c r="G117" s="16"/>
      <c r="H117" s="17"/>
      <c r="I117" s="18"/>
      <c r="J117" s="16"/>
      <c r="K117" s="1"/>
      <c r="L117" s="1"/>
      <c r="M117" s="1"/>
      <c r="N117" s="17"/>
      <c r="O117" s="16"/>
      <c r="P117" s="16"/>
      <c r="Q117" s="1"/>
      <c r="R117" s="1"/>
      <c r="S117" s="17"/>
      <c r="T117" s="16"/>
      <c r="U117" s="16"/>
      <c r="V117" s="1"/>
      <c r="W117" s="1"/>
      <c r="X117" s="1"/>
      <c r="Y117" s="17"/>
      <c r="Z117" s="18"/>
      <c r="AA117" s="18"/>
      <c r="AB117" s="18"/>
      <c r="AC117" s="16"/>
      <c r="AD117" s="17"/>
      <c r="AE117" s="16"/>
      <c r="AF117" s="1"/>
      <c r="AG117" s="1"/>
      <c r="AH117" s="18"/>
      <c r="AI117" s="16"/>
      <c r="AJ117" s="17"/>
      <c r="AK117" s="16"/>
      <c r="AL117" s="17"/>
      <c r="AM117" s="16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7"/>
      <c r="AY117" s="16"/>
      <c r="AZ117" s="1"/>
      <c r="BA117" s="1"/>
      <c r="BB117" s="17"/>
      <c r="BC117" s="16"/>
      <c r="BD117" s="17"/>
      <c r="BE117" s="18"/>
      <c r="BF117" s="16"/>
      <c r="BG117" s="1"/>
      <c r="BH117" s="1"/>
      <c r="BI117" s="1"/>
      <c r="BJ117" s="16"/>
      <c r="BK117" s="1"/>
      <c r="BL117" s="16"/>
      <c r="BM117" s="1"/>
      <c r="BN117" s="1"/>
      <c r="BO117" s="1"/>
      <c r="BP117" s="1"/>
      <c r="BQ117" s="1"/>
      <c r="BR117" s="1"/>
      <c r="BS117" s="1"/>
      <c r="BT117" s="17"/>
      <c r="BU117" s="16"/>
      <c r="BV117" s="1"/>
      <c r="BW117" s="1"/>
      <c r="BX117" s="1"/>
      <c r="BY117" s="1"/>
      <c r="BZ117" s="1"/>
      <c r="CA117" s="1"/>
      <c r="CB117" s="17"/>
      <c r="CC117" s="16">
        <v>58.2</v>
      </c>
      <c r="CD117" s="1"/>
      <c r="CE117" s="17"/>
      <c r="CF117" s="16"/>
      <c r="CG117" s="1"/>
      <c r="CH117" s="17"/>
      <c r="CI117" s="16"/>
      <c r="CJ117" s="17"/>
      <c r="CK117" s="16"/>
      <c r="CL117" s="17"/>
      <c r="CM117" s="16"/>
      <c r="CN117" s="1"/>
      <c r="CO117" s="1"/>
      <c r="CP117" s="1"/>
      <c r="CQ117" s="1"/>
      <c r="CR117" s="17"/>
      <c r="CS117" s="16"/>
      <c r="CT117" s="1"/>
      <c r="CU117" s="1"/>
      <c r="CV117" s="17"/>
      <c r="CW117" s="16"/>
      <c r="CX117" s="1"/>
      <c r="CY117" s="1"/>
      <c r="CZ117" s="17"/>
      <c r="DA117" s="18"/>
      <c r="DB117" s="6"/>
    </row>
    <row r="118" spans="1:106">
      <c r="A118" s="42" t="s">
        <v>320</v>
      </c>
      <c r="B118" s="17" t="s">
        <v>302</v>
      </c>
      <c r="C118" s="16" t="s">
        <v>87</v>
      </c>
      <c r="D118" s="1"/>
      <c r="E118" s="18">
        <v>1000</v>
      </c>
      <c r="F118" s="18"/>
      <c r="G118" s="16">
        <v>1806</v>
      </c>
      <c r="H118" s="17">
        <v>1.205607476635514</v>
      </c>
      <c r="I118" s="18">
        <v>2</v>
      </c>
      <c r="J118" s="16">
        <v>0</v>
      </c>
      <c r="K118" s="1">
        <v>0</v>
      </c>
      <c r="L118" s="1">
        <v>1</v>
      </c>
      <c r="M118" s="1">
        <v>1</v>
      </c>
      <c r="N118" s="17">
        <v>0</v>
      </c>
      <c r="O118" s="16">
        <v>110</v>
      </c>
      <c r="P118" s="16">
        <v>1</v>
      </c>
      <c r="Q118" s="1">
        <v>0</v>
      </c>
      <c r="R118" s="1">
        <v>0</v>
      </c>
      <c r="S118" s="17">
        <v>0</v>
      </c>
      <c r="T118" s="16">
        <v>1000</v>
      </c>
      <c r="U118" s="16">
        <v>1</v>
      </c>
      <c r="V118" s="1">
        <v>0</v>
      </c>
      <c r="W118" s="1">
        <v>1</v>
      </c>
      <c r="X118" s="1">
        <v>0</v>
      </c>
      <c r="Y118" s="17">
        <v>0</v>
      </c>
      <c r="Z118" s="18">
        <v>10100</v>
      </c>
      <c r="AA118" s="18">
        <v>2</v>
      </c>
      <c r="AB118" s="18">
        <v>0</v>
      </c>
      <c r="AC118" s="16">
        <v>0</v>
      </c>
      <c r="AD118" s="17">
        <v>0</v>
      </c>
      <c r="AE118" s="16">
        <v>0</v>
      </c>
      <c r="AF118" s="1">
        <v>0</v>
      </c>
      <c r="AG118" s="1">
        <v>1</v>
      </c>
      <c r="AH118" s="18">
        <v>1</v>
      </c>
      <c r="AI118" s="16">
        <v>1134</v>
      </c>
      <c r="AJ118" s="17">
        <v>1806</v>
      </c>
      <c r="AK118" s="16"/>
      <c r="AL118" s="17">
        <v>1</v>
      </c>
      <c r="AM118" s="16">
        <v>1</v>
      </c>
      <c r="AN118" s="1">
        <v>0</v>
      </c>
      <c r="AO118" s="1">
        <v>0</v>
      </c>
      <c r="AP118" s="1">
        <v>0</v>
      </c>
      <c r="AQ118" s="1">
        <v>0</v>
      </c>
      <c r="AR118" s="1">
        <v>0</v>
      </c>
      <c r="AS118" s="1">
        <v>69</v>
      </c>
      <c r="AT118" s="1">
        <v>0</v>
      </c>
      <c r="AU118" s="1">
        <v>0</v>
      </c>
      <c r="AV118" s="1">
        <v>35</v>
      </c>
      <c r="AW118" s="1">
        <v>253</v>
      </c>
      <c r="AX118" s="17">
        <v>0</v>
      </c>
      <c r="AY118" s="16">
        <v>0</v>
      </c>
      <c r="AZ118" s="1">
        <v>1</v>
      </c>
      <c r="BA118" s="1">
        <v>0</v>
      </c>
      <c r="BB118" s="17">
        <v>0</v>
      </c>
      <c r="BC118" s="16">
        <v>1</v>
      </c>
      <c r="BD118" s="17">
        <v>100</v>
      </c>
      <c r="BE118" s="18">
        <v>91</v>
      </c>
      <c r="BF118" s="16">
        <v>1</v>
      </c>
      <c r="BG118" s="1">
        <v>0</v>
      </c>
      <c r="BH118" s="1"/>
      <c r="BI118" s="1">
        <v>0</v>
      </c>
      <c r="BJ118" s="16">
        <v>0</v>
      </c>
      <c r="BK118" s="1">
        <v>1</v>
      </c>
      <c r="BL118" s="16"/>
      <c r="BM118" s="1"/>
      <c r="BN118" s="1"/>
      <c r="BO118" s="1"/>
      <c r="BP118" s="1"/>
      <c r="BQ118" s="1"/>
      <c r="BR118" s="1"/>
      <c r="BS118" s="1"/>
      <c r="BT118" s="17"/>
      <c r="BU118" s="16"/>
      <c r="BV118" s="1"/>
      <c r="BW118" s="1"/>
      <c r="BX118" s="1"/>
      <c r="BY118" s="1"/>
      <c r="BZ118" s="1"/>
      <c r="CA118" s="1"/>
      <c r="CB118" s="17"/>
      <c r="CC118" s="16"/>
      <c r="CD118" s="1"/>
      <c r="CE118" s="17"/>
      <c r="CF118" s="16"/>
      <c r="CG118" s="1"/>
      <c r="CH118" s="17"/>
      <c r="CI118" s="16"/>
      <c r="CJ118" s="17"/>
      <c r="CK118" s="16"/>
      <c r="CL118" s="17"/>
      <c r="CM118" s="16"/>
      <c r="CN118" s="1"/>
      <c r="CO118" s="1"/>
      <c r="CP118" s="1"/>
      <c r="CQ118" s="1"/>
      <c r="CR118" s="17"/>
      <c r="CS118" s="16"/>
      <c r="CT118" s="1"/>
      <c r="CU118" s="1"/>
      <c r="CV118" s="17"/>
      <c r="CW118" s="16"/>
      <c r="CX118" s="1"/>
      <c r="CY118" s="1"/>
      <c r="CZ118" s="17"/>
      <c r="DA118" s="18"/>
      <c r="DB118" s="6"/>
    </row>
    <row r="119" spans="1:106">
      <c r="A119" s="42" t="s">
        <v>320</v>
      </c>
      <c r="B119" s="17" t="s">
        <v>302</v>
      </c>
      <c r="C119" s="16" t="s">
        <v>88</v>
      </c>
      <c r="D119" s="1"/>
      <c r="E119" s="18">
        <v>1100</v>
      </c>
      <c r="F119" s="18"/>
      <c r="G119" s="16">
        <v>4685</v>
      </c>
      <c r="H119" s="17">
        <v>1.6044520547945205</v>
      </c>
      <c r="I119" s="18">
        <v>3</v>
      </c>
      <c r="J119" s="16">
        <v>1</v>
      </c>
      <c r="K119" s="1">
        <v>0</v>
      </c>
      <c r="L119" s="1">
        <v>0</v>
      </c>
      <c r="M119" s="1">
        <v>1</v>
      </c>
      <c r="N119" s="17">
        <v>0</v>
      </c>
      <c r="O119" s="16">
        <v>10010</v>
      </c>
      <c r="P119" s="16">
        <v>1</v>
      </c>
      <c r="Q119" s="1">
        <v>0</v>
      </c>
      <c r="R119" s="1">
        <v>0</v>
      </c>
      <c r="S119" s="17">
        <v>1</v>
      </c>
      <c r="T119" s="16">
        <v>1100</v>
      </c>
      <c r="U119" s="16">
        <v>1</v>
      </c>
      <c r="V119" s="1">
        <v>3</v>
      </c>
      <c r="W119" s="1">
        <v>0</v>
      </c>
      <c r="X119" s="1">
        <v>0</v>
      </c>
      <c r="Y119" s="17">
        <v>0</v>
      </c>
      <c r="Z119" s="18">
        <v>13000</v>
      </c>
      <c r="AA119" s="18">
        <v>4</v>
      </c>
      <c r="AB119" s="18">
        <v>2</v>
      </c>
      <c r="AC119" s="16">
        <v>1</v>
      </c>
      <c r="AD119" s="17">
        <v>4</v>
      </c>
      <c r="AE119" s="16">
        <v>1</v>
      </c>
      <c r="AF119" s="1">
        <v>1</v>
      </c>
      <c r="AG119" s="1">
        <v>1</v>
      </c>
      <c r="AH119" s="18">
        <v>111</v>
      </c>
      <c r="AI119" s="16">
        <v>1251</v>
      </c>
      <c r="AJ119" s="17">
        <v>4203</v>
      </c>
      <c r="AK119" s="16"/>
      <c r="AL119" s="17">
        <v>1</v>
      </c>
      <c r="AM119" s="16">
        <v>2</v>
      </c>
      <c r="AN119" s="1">
        <v>0</v>
      </c>
      <c r="AO119" s="1">
        <v>0</v>
      </c>
      <c r="AP119" s="1">
        <v>0</v>
      </c>
      <c r="AQ119" s="1">
        <v>0</v>
      </c>
      <c r="AR119" s="1">
        <v>0</v>
      </c>
      <c r="AS119" s="1">
        <v>20</v>
      </c>
      <c r="AT119" s="1">
        <v>272</v>
      </c>
      <c r="AU119" s="1">
        <v>281</v>
      </c>
      <c r="AV119" s="1">
        <v>21</v>
      </c>
      <c r="AW119" s="1">
        <v>530</v>
      </c>
      <c r="AX119" s="17">
        <v>0</v>
      </c>
      <c r="AY119" s="16">
        <v>0</v>
      </c>
      <c r="AZ119" s="1">
        <v>0</v>
      </c>
      <c r="BA119" s="1">
        <v>0</v>
      </c>
      <c r="BB119" s="17">
        <v>0</v>
      </c>
      <c r="BC119" s="16">
        <v>0</v>
      </c>
      <c r="BD119" s="17">
        <v>0</v>
      </c>
      <c r="BE119" s="18">
        <v>129</v>
      </c>
      <c r="BF119" s="16">
        <v>1</v>
      </c>
      <c r="BG119" s="1">
        <v>1</v>
      </c>
      <c r="BH119" s="1"/>
      <c r="BI119" s="1">
        <v>0</v>
      </c>
      <c r="BJ119" s="16">
        <v>0</v>
      </c>
      <c r="BK119" s="1">
        <v>1</v>
      </c>
      <c r="BL119" s="16"/>
      <c r="BM119" s="1"/>
      <c r="BN119" s="1"/>
      <c r="BO119" s="1"/>
      <c r="BP119" s="1"/>
      <c r="BQ119" s="1"/>
      <c r="BR119" s="1"/>
      <c r="BS119" s="1"/>
      <c r="BT119" s="17"/>
      <c r="BU119" s="16"/>
      <c r="BV119" s="1"/>
      <c r="BW119" s="1"/>
      <c r="BX119" s="1"/>
      <c r="BY119" s="1"/>
      <c r="BZ119" s="1"/>
      <c r="CA119" s="1"/>
      <c r="CB119" s="17"/>
      <c r="CC119" s="16"/>
      <c r="CD119" s="1"/>
      <c r="CE119" s="17"/>
      <c r="CF119" s="16"/>
      <c r="CG119" s="1"/>
      <c r="CH119" s="17"/>
      <c r="CI119" s="16"/>
      <c r="CJ119" s="17"/>
      <c r="CK119" s="16"/>
      <c r="CL119" s="17"/>
      <c r="CM119" s="16"/>
      <c r="CN119" s="1"/>
      <c r="CO119" s="1"/>
      <c r="CP119" s="1"/>
      <c r="CQ119" s="1"/>
      <c r="CR119" s="17"/>
      <c r="CS119" s="16"/>
      <c r="CT119" s="1"/>
      <c r="CU119" s="1"/>
      <c r="CV119" s="17"/>
      <c r="CW119" s="16"/>
      <c r="CX119" s="1"/>
      <c r="CY119" s="1"/>
      <c r="CZ119" s="17"/>
      <c r="DA119" s="18"/>
      <c r="DB119" s="6"/>
    </row>
    <row r="120" spans="1:106">
      <c r="A120" s="42" t="s">
        <v>320</v>
      </c>
      <c r="B120" s="17" t="s">
        <v>303</v>
      </c>
      <c r="C120" s="16" t="s">
        <v>74</v>
      </c>
      <c r="D120" s="1"/>
      <c r="E120" s="18">
        <v>1000</v>
      </c>
      <c r="F120" s="18"/>
      <c r="G120" s="16">
        <v>2303</v>
      </c>
      <c r="H120" s="17">
        <v>2.2600588812561333</v>
      </c>
      <c r="I120" s="18">
        <v>6</v>
      </c>
      <c r="J120" s="16">
        <v>0</v>
      </c>
      <c r="K120" s="1">
        <v>0</v>
      </c>
      <c r="L120" s="1">
        <v>1</v>
      </c>
      <c r="M120" s="1">
        <v>1</v>
      </c>
      <c r="N120" s="17">
        <v>0</v>
      </c>
      <c r="O120" s="16">
        <v>110</v>
      </c>
      <c r="P120" s="16">
        <v>1</v>
      </c>
      <c r="Q120" s="1">
        <v>0</v>
      </c>
      <c r="R120" s="1">
        <v>0</v>
      </c>
      <c r="S120" s="17">
        <v>0</v>
      </c>
      <c r="T120" s="16">
        <v>1000</v>
      </c>
      <c r="U120" s="16">
        <v>1</v>
      </c>
      <c r="V120" s="1">
        <v>0</v>
      </c>
      <c r="W120" s="1">
        <v>0</v>
      </c>
      <c r="X120" s="1">
        <v>1</v>
      </c>
      <c r="Y120" s="17">
        <v>0</v>
      </c>
      <c r="Z120" s="18">
        <v>10010</v>
      </c>
      <c r="AA120" s="18">
        <v>2</v>
      </c>
      <c r="AB120" s="18">
        <v>2</v>
      </c>
      <c r="AC120" s="16">
        <v>1</v>
      </c>
      <c r="AD120" s="17">
        <v>1</v>
      </c>
      <c r="AE120" s="16">
        <v>1</v>
      </c>
      <c r="AF120" s="1">
        <v>1</v>
      </c>
      <c r="AG120" s="1">
        <v>1</v>
      </c>
      <c r="AH120" s="18">
        <v>111</v>
      </c>
      <c r="AI120" s="16">
        <v>189</v>
      </c>
      <c r="AJ120" s="17">
        <v>1306</v>
      </c>
      <c r="AK120" s="16">
        <v>7</v>
      </c>
      <c r="AL120" s="17">
        <v>1</v>
      </c>
      <c r="AM120" s="16">
        <v>1</v>
      </c>
      <c r="AN120" s="1">
        <v>0</v>
      </c>
      <c r="AO120" s="1">
        <v>0</v>
      </c>
      <c r="AP120" s="1">
        <v>0</v>
      </c>
      <c r="AQ120" s="1">
        <v>0</v>
      </c>
      <c r="AR120" s="1">
        <v>52</v>
      </c>
      <c r="AS120" s="1">
        <v>253</v>
      </c>
      <c r="AT120" s="1">
        <v>0</v>
      </c>
      <c r="AU120" s="1">
        <v>11</v>
      </c>
      <c r="AV120" s="1">
        <v>0</v>
      </c>
      <c r="AW120" s="1">
        <v>23</v>
      </c>
      <c r="AX120" s="17">
        <v>0</v>
      </c>
      <c r="AY120" s="16">
        <v>0</v>
      </c>
      <c r="AZ120" s="1">
        <v>0</v>
      </c>
      <c r="BA120" s="1">
        <v>0</v>
      </c>
      <c r="BB120" s="17">
        <v>0</v>
      </c>
      <c r="BC120" s="16">
        <v>0</v>
      </c>
      <c r="BD120" s="17">
        <v>0</v>
      </c>
      <c r="BE120" s="18">
        <v>128</v>
      </c>
      <c r="BF120" s="16">
        <v>1</v>
      </c>
      <c r="BG120" s="1">
        <v>0</v>
      </c>
      <c r="BH120" s="1"/>
      <c r="BI120" s="1">
        <v>0</v>
      </c>
      <c r="BJ120" s="16">
        <v>0</v>
      </c>
      <c r="BK120" s="1">
        <v>1</v>
      </c>
      <c r="BL120" s="16"/>
      <c r="BM120" s="1"/>
      <c r="BN120" s="1"/>
      <c r="BO120" s="1"/>
      <c r="BP120" s="1"/>
      <c r="BQ120" s="1"/>
      <c r="BR120" s="1"/>
      <c r="BS120" s="1"/>
      <c r="BT120" s="17"/>
      <c r="BU120" s="16"/>
      <c r="BV120" s="1"/>
      <c r="BW120" s="1"/>
      <c r="BX120" s="1"/>
      <c r="BY120" s="1"/>
      <c r="BZ120" s="1"/>
      <c r="CA120" s="1"/>
      <c r="CB120" s="17"/>
      <c r="CC120" s="16"/>
      <c r="CD120" s="1"/>
      <c r="CE120" s="17"/>
      <c r="CF120" s="16"/>
      <c r="CG120" s="1"/>
      <c r="CH120" s="17"/>
      <c r="CI120" s="16"/>
      <c r="CJ120" s="17"/>
      <c r="CK120" s="16"/>
      <c r="CL120" s="17"/>
      <c r="CM120" s="16"/>
      <c r="CN120" s="1"/>
      <c r="CO120" s="1"/>
      <c r="CP120" s="1"/>
      <c r="CQ120" s="1"/>
      <c r="CR120" s="17"/>
      <c r="CS120" s="16"/>
      <c r="CT120" s="1"/>
      <c r="CU120" s="1"/>
      <c r="CV120" s="17"/>
      <c r="CW120" s="16"/>
      <c r="CX120" s="1"/>
      <c r="CY120" s="1"/>
      <c r="CZ120" s="17"/>
      <c r="DA120" s="18"/>
      <c r="DB120" s="6"/>
    </row>
    <row r="121" spans="1:106">
      <c r="A121" s="42" t="s">
        <v>320</v>
      </c>
      <c r="B121" s="17" t="s">
        <v>303</v>
      </c>
      <c r="C121" s="16" t="s">
        <v>76</v>
      </c>
      <c r="D121" s="1"/>
      <c r="E121" s="18">
        <v>1000</v>
      </c>
      <c r="F121" s="18"/>
      <c r="G121" s="16">
        <v>1683</v>
      </c>
      <c r="H121" s="17">
        <v>1.220449601160261</v>
      </c>
      <c r="I121" s="18">
        <v>2</v>
      </c>
      <c r="J121" s="16">
        <v>0</v>
      </c>
      <c r="K121" s="1">
        <v>0</v>
      </c>
      <c r="L121" s="1">
        <v>1</v>
      </c>
      <c r="M121" s="1">
        <v>1</v>
      </c>
      <c r="N121" s="17">
        <v>0</v>
      </c>
      <c r="O121" s="16">
        <v>110</v>
      </c>
      <c r="P121" s="16">
        <v>1</v>
      </c>
      <c r="Q121" s="1">
        <v>0</v>
      </c>
      <c r="R121" s="1">
        <v>0</v>
      </c>
      <c r="S121" s="17">
        <v>0</v>
      </c>
      <c r="T121" s="16">
        <v>1000</v>
      </c>
      <c r="U121" s="16">
        <v>1</v>
      </c>
      <c r="V121" s="1">
        <v>0</v>
      </c>
      <c r="W121" s="1">
        <v>0</v>
      </c>
      <c r="X121" s="1">
        <v>1</v>
      </c>
      <c r="Y121" s="17">
        <v>0</v>
      </c>
      <c r="Z121" s="18">
        <v>10010</v>
      </c>
      <c r="AA121" s="18">
        <v>2</v>
      </c>
      <c r="AB121" s="18">
        <v>3</v>
      </c>
      <c r="AC121" s="16">
        <v>2</v>
      </c>
      <c r="AD121" s="17">
        <v>1</v>
      </c>
      <c r="AE121" s="16">
        <v>1</v>
      </c>
      <c r="AF121" s="1">
        <v>1</v>
      </c>
      <c r="AG121" s="1">
        <v>1</v>
      </c>
      <c r="AH121" s="18">
        <v>111</v>
      </c>
      <c r="AI121" s="16">
        <v>1233</v>
      </c>
      <c r="AJ121" s="17">
        <v>1683</v>
      </c>
      <c r="AK121" s="16">
        <v>10</v>
      </c>
      <c r="AL121" s="17"/>
      <c r="AM121" s="16">
        <v>1</v>
      </c>
      <c r="AN121" s="1">
        <v>0</v>
      </c>
      <c r="AO121" s="1">
        <v>0</v>
      </c>
      <c r="AP121" s="1">
        <v>0</v>
      </c>
      <c r="AQ121" s="1">
        <v>0</v>
      </c>
      <c r="AR121" s="1">
        <v>20</v>
      </c>
      <c r="AS121" s="1">
        <v>30</v>
      </c>
      <c r="AT121" s="1">
        <v>0</v>
      </c>
      <c r="AU121" s="1">
        <v>0</v>
      </c>
      <c r="AV121" s="1">
        <v>10</v>
      </c>
      <c r="AW121" s="1">
        <v>42</v>
      </c>
      <c r="AX121" s="17">
        <v>0</v>
      </c>
      <c r="AY121" s="16">
        <v>0</v>
      </c>
      <c r="AZ121" s="1">
        <v>1</v>
      </c>
      <c r="BA121" s="1">
        <v>0</v>
      </c>
      <c r="BB121" s="17">
        <v>0</v>
      </c>
      <c r="BC121" s="16">
        <v>1</v>
      </c>
      <c r="BD121" s="17">
        <v>100</v>
      </c>
      <c r="BE121" s="18">
        <v>144</v>
      </c>
      <c r="BF121" s="16">
        <v>1</v>
      </c>
      <c r="BG121" s="1">
        <v>1</v>
      </c>
      <c r="BH121" s="1">
        <v>0</v>
      </c>
      <c r="BI121" s="1">
        <v>0</v>
      </c>
      <c r="BJ121" s="16">
        <v>0</v>
      </c>
      <c r="BK121" s="1">
        <v>1</v>
      </c>
      <c r="BL121" s="16">
        <v>64.180000000000007</v>
      </c>
      <c r="BM121" s="1"/>
      <c r="BN121" s="1"/>
      <c r="BO121" s="1"/>
      <c r="BP121" s="1"/>
      <c r="BQ121" s="1"/>
      <c r="BR121" s="1"/>
      <c r="BS121" s="1"/>
      <c r="BT121" s="17"/>
      <c r="BU121" s="16">
        <v>64.19</v>
      </c>
      <c r="BV121" s="1"/>
      <c r="BW121" s="1"/>
      <c r="BX121" s="1"/>
      <c r="BY121" s="1"/>
      <c r="BZ121" s="1"/>
      <c r="CA121" s="1"/>
      <c r="CB121" s="17"/>
      <c r="CC121" s="16">
        <v>67.69</v>
      </c>
      <c r="CD121" s="1"/>
      <c r="CE121" s="17"/>
      <c r="CF121" s="16"/>
      <c r="CG121" s="1"/>
      <c r="CH121" s="17"/>
      <c r="CI121" s="16"/>
      <c r="CJ121" s="17"/>
      <c r="CK121" s="16"/>
      <c r="CL121" s="17"/>
      <c r="CM121" s="16"/>
      <c r="CN121" s="1"/>
      <c r="CO121" s="1"/>
      <c r="CP121" s="1"/>
      <c r="CQ121" s="1"/>
      <c r="CR121" s="17"/>
      <c r="CS121" s="16"/>
      <c r="CT121" s="1"/>
      <c r="CU121" s="1"/>
      <c r="CV121" s="17"/>
      <c r="CW121" s="16"/>
      <c r="CX121" s="1"/>
      <c r="CY121" s="1"/>
      <c r="CZ121" s="17"/>
      <c r="DA121" s="18"/>
      <c r="DB121" s="6"/>
    </row>
    <row r="122" spans="1:106" ht="17" thickBot="1">
      <c r="A122" s="55" t="s">
        <v>320</v>
      </c>
      <c r="B122" s="38" t="s">
        <v>303</v>
      </c>
      <c r="C122" s="22" t="s">
        <v>88</v>
      </c>
      <c r="D122" s="37"/>
      <c r="E122" s="39">
        <v>1100</v>
      </c>
      <c r="F122" s="39"/>
      <c r="G122" s="22">
        <v>2597</v>
      </c>
      <c r="H122" s="38">
        <v>1.6551943913320586</v>
      </c>
      <c r="I122" s="39">
        <v>2</v>
      </c>
      <c r="J122" s="22">
        <v>0</v>
      </c>
      <c r="K122" s="37">
        <v>1</v>
      </c>
      <c r="L122" s="37">
        <v>1</v>
      </c>
      <c r="M122" s="37">
        <v>0</v>
      </c>
      <c r="N122" s="38">
        <v>0</v>
      </c>
      <c r="O122" s="22">
        <v>1100</v>
      </c>
      <c r="P122" s="22">
        <v>1</v>
      </c>
      <c r="Q122" s="37">
        <v>0</v>
      </c>
      <c r="R122" s="37">
        <v>0</v>
      </c>
      <c r="S122" s="38">
        <v>1</v>
      </c>
      <c r="T122" s="22">
        <v>1100</v>
      </c>
      <c r="U122" s="22">
        <v>1</v>
      </c>
      <c r="V122" s="37">
        <v>0</v>
      </c>
      <c r="W122" s="37">
        <v>0</v>
      </c>
      <c r="X122" s="37">
        <v>1</v>
      </c>
      <c r="Y122" s="38">
        <v>0</v>
      </c>
      <c r="Z122" s="39">
        <v>10010</v>
      </c>
      <c r="AA122" s="39">
        <v>2</v>
      </c>
      <c r="AB122" s="39">
        <v>1</v>
      </c>
      <c r="AC122" s="22">
        <v>1</v>
      </c>
      <c r="AD122" s="38">
        <v>4</v>
      </c>
      <c r="AE122" s="22">
        <v>0</v>
      </c>
      <c r="AF122" s="37">
        <v>0</v>
      </c>
      <c r="AG122" s="37">
        <v>1</v>
      </c>
      <c r="AH122" s="39">
        <v>1</v>
      </c>
      <c r="AI122" s="22">
        <v>1549</v>
      </c>
      <c r="AJ122" s="38">
        <v>2038</v>
      </c>
      <c r="AK122" s="22">
        <v>10</v>
      </c>
      <c r="AL122" s="38">
        <v>1</v>
      </c>
      <c r="AM122" s="22">
        <v>1</v>
      </c>
      <c r="AN122" s="37">
        <v>0</v>
      </c>
      <c r="AO122" s="37">
        <v>0</v>
      </c>
      <c r="AP122" s="37">
        <v>0</v>
      </c>
      <c r="AQ122" s="37">
        <v>0</v>
      </c>
      <c r="AR122" s="37">
        <v>0</v>
      </c>
      <c r="AS122" s="37">
        <v>0</v>
      </c>
      <c r="AT122" s="37">
        <v>0</v>
      </c>
      <c r="AU122" s="37">
        <v>0</v>
      </c>
      <c r="AV122" s="37">
        <v>0</v>
      </c>
      <c r="AW122" s="37">
        <v>0</v>
      </c>
      <c r="AX122" s="38">
        <v>58</v>
      </c>
      <c r="AY122" s="22">
        <v>0</v>
      </c>
      <c r="AZ122" s="37">
        <v>0</v>
      </c>
      <c r="BA122" s="37">
        <v>0</v>
      </c>
      <c r="BB122" s="38">
        <v>0</v>
      </c>
      <c r="BC122" s="22">
        <v>0</v>
      </c>
      <c r="BD122" s="38">
        <v>0</v>
      </c>
      <c r="BE122" s="39">
        <v>126</v>
      </c>
      <c r="BF122" s="22">
        <v>0</v>
      </c>
      <c r="BG122" s="37">
        <v>1</v>
      </c>
      <c r="BH122" s="37"/>
      <c r="BI122" s="37">
        <v>0</v>
      </c>
      <c r="BJ122" s="22">
        <v>1</v>
      </c>
      <c r="BK122" s="37">
        <v>0</v>
      </c>
      <c r="BL122" s="22">
        <v>61.07</v>
      </c>
      <c r="BM122" s="37">
        <v>63.07</v>
      </c>
      <c r="BN122" s="37"/>
      <c r="BO122" s="37"/>
      <c r="BP122" s="37"/>
      <c r="BQ122" s="37"/>
      <c r="BR122" s="37"/>
      <c r="BS122" s="37"/>
      <c r="BT122" s="38"/>
      <c r="BU122" s="22">
        <v>67.94</v>
      </c>
      <c r="BV122" s="37">
        <v>67.28</v>
      </c>
      <c r="BW122" s="37"/>
      <c r="BX122" s="37"/>
      <c r="BY122" s="37"/>
      <c r="BZ122" s="37"/>
      <c r="CA122" s="37"/>
      <c r="CB122" s="38"/>
      <c r="CC122" s="22">
        <v>64.91</v>
      </c>
      <c r="CD122" s="37"/>
      <c r="CE122" s="38"/>
      <c r="CF122" s="22"/>
      <c r="CG122" s="37"/>
      <c r="CH122" s="38"/>
      <c r="CI122" s="22"/>
      <c r="CJ122" s="38"/>
      <c r="CK122" s="22"/>
      <c r="CL122" s="38"/>
      <c r="CM122" s="22"/>
      <c r="CN122" s="37"/>
      <c r="CO122" s="37"/>
      <c r="CP122" s="37"/>
      <c r="CQ122" s="37"/>
      <c r="CR122" s="38"/>
      <c r="CS122" s="22"/>
      <c r="CT122" s="37"/>
      <c r="CU122" s="37"/>
      <c r="CV122" s="38"/>
      <c r="CW122" s="22"/>
      <c r="CX122" s="37"/>
      <c r="CY122" s="37"/>
      <c r="CZ122" s="38"/>
      <c r="DA122" s="39"/>
      <c r="DB122" s="6"/>
    </row>
    <row r="123" spans="1:106">
      <c r="A123" s="42" t="s">
        <v>320</v>
      </c>
      <c r="B123" s="17" t="s">
        <v>304</v>
      </c>
      <c r="C123" s="16" t="s">
        <v>67</v>
      </c>
      <c r="D123" s="1"/>
      <c r="E123" s="18">
        <v>1000</v>
      </c>
      <c r="F123" s="18"/>
      <c r="G123" s="16">
        <v>2133</v>
      </c>
      <c r="H123" s="17">
        <v>3.2916666666666665</v>
      </c>
      <c r="I123" s="18">
        <v>3</v>
      </c>
      <c r="J123" s="16">
        <v>0</v>
      </c>
      <c r="K123" s="1">
        <v>0</v>
      </c>
      <c r="L123" s="1">
        <v>0</v>
      </c>
      <c r="M123" s="1">
        <v>1</v>
      </c>
      <c r="N123" s="17">
        <v>0</v>
      </c>
      <c r="O123" s="16">
        <v>10</v>
      </c>
      <c r="P123" s="16">
        <v>1</v>
      </c>
      <c r="Q123" s="1">
        <v>0</v>
      </c>
      <c r="R123" s="1">
        <v>0</v>
      </c>
      <c r="S123" s="17">
        <v>0</v>
      </c>
      <c r="T123" s="16">
        <v>1000</v>
      </c>
      <c r="U123" s="16">
        <v>1</v>
      </c>
      <c r="V123" s="1">
        <v>0</v>
      </c>
      <c r="W123" s="1">
        <v>1</v>
      </c>
      <c r="X123" s="1">
        <v>1</v>
      </c>
      <c r="Y123" s="17">
        <v>0</v>
      </c>
      <c r="Z123" s="18">
        <v>10110</v>
      </c>
      <c r="AA123" s="18">
        <v>3</v>
      </c>
      <c r="AB123" s="18">
        <v>1</v>
      </c>
      <c r="AC123" s="16">
        <v>1</v>
      </c>
      <c r="AD123" s="17">
        <v>2</v>
      </c>
      <c r="AE123" s="16">
        <v>0</v>
      </c>
      <c r="AF123" s="1">
        <v>0</v>
      </c>
      <c r="AG123" s="1">
        <v>1</v>
      </c>
      <c r="AH123" s="18">
        <v>1</v>
      </c>
      <c r="AI123" s="16">
        <v>581</v>
      </c>
      <c r="AJ123" s="17">
        <v>946</v>
      </c>
      <c r="AK123" s="16">
        <v>4</v>
      </c>
      <c r="AL123" s="17">
        <v>1</v>
      </c>
      <c r="AM123" s="16">
        <v>0</v>
      </c>
      <c r="AN123" s="1">
        <v>0</v>
      </c>
      <c r="AO123" s="1">
        <v>0</v>
      </c>
      <c r="AP123" s="1">
        <v>0</v>
      </c>
      <c r="AQ123" s="1">
        <v>0</v>
      </c>
      <c r="AR123" s="1">
        <v>0</v>
      </c>
      <c r="AS123" s="1">
        <v>0</v>
      </c>
      <c r="AT123" s="1">
        <v>0</v>
      </c>
      <c r="AU123" s="1">
        <v>0</v>
      </c>
      <c r="AV123" s="1">
        <v>0</v>
      </c>
      <c r="AW123" s="1">
        <v>0</v>
      </c>
      <c r="AX123" s="17">
        <v>0</v>
      </c>
      <c r="AY123" s="16">
        <v>0</v>
      </c>
      <c r="AZ123" s="1">
        <v>0</v>
      </c>
      <c r="BA123" s="1">
        <v>0</v>
      </c>
      <c r="BB123" s="17">
        <v>0</v>
      </c>
      <c r="BC123" s="16">
        <v>0</v>
      </c>
      <c r="BD123" s="17">
        <v>0</v>
      </c>
      <c r="BE123" s="18">
        <v>99</v>
      </c>
      <c r="BF123" s="16">
        <v>0</v>
      </c>
      <c r="BG123" s="1">
        <v>1</v>
      </c>
      <c r="BH123" s="1"/>
      <c r="BI123" s="1">
        <v>0</v>
      </c>
      <c r="BJ123" s="16">
        <v>0</v>
      </c>
      <c r="BK123" s="1">
        <v>1</v>
      </c>
      <c r="BL123" s="16">
        <v>64.88</v>
      </c>
      <c r="BM123" s="1"/>
      <c r="BN123" s="1"/>
      <c r="BO123" s="1"/>
      <c r="BP123" s="1"/>
      <c r="BQ123" s="1"/>
      <c r="BR123" s="1"/>
      <c r="BS123" s="1"/>
      <c r="BT123" s="17"/>
      <c r="BU123" s="16">
        <v>64.47</v>
      </c>
      <c r="BV123" s="1">
        <v>64.47</v>
      </c>
      <c r="BW123" s="1">
        <v>64.959999999999994</v>
      </c>
      <c r="BX123" s="1"/>
      <c r="BY123" s="1"/>
      <c r="BZ123" s="1"/>
      <c r="CA123" s="1"/>
      <c r="CB123" s="17"/>
      <c r="CC123" s="16">
        <v>66.36</v>
      </c>
      <c r="CD123" s="1"/>
      <c r="CE123" s="17"/>
      <c r="CF123" s="16"/>
      <c r="CG123" s="1"/>
      <c r="CH123" s="17"/>
      <c r="CI123" s="16"/>
      <c r="CJ123" s="17"/>
      <c r="CK123" s="16"/>
      <c r="CL123" s="17"/>
      <c r="CM123" s="16"/>
      <c r="CN123" s="1"/>
      <c r="CO123" s="1"/>
      <c r="CP123" s="1"/>
      <c r="CQ123" s="1"/>
      <c r="CR123" s="17"/>
      <c r="CS123" s="16"/>
      <c r="CT123" s="1"/>
      <c r="CU123" s="1"/>
      <c r="CV123" s="17"/>
      <c r="CW123" s="16"/>
      <c r="CX123" s="1"/>
      <c r="CY123" s="1"/>
      <c r="CZ123" s="17"/>
      <c r="DA123" s="18"/>
      <c r="DB123" s="6"/>
    </row>
    <row r="124" spans="1:106">
      <c r="A124" s="42" t="s">
        <v>320</v>
      </c>
      <c r="B124" s="17" t="s">
        <v>304</v>
      </c>
      <c r="C124" s="16" t="s">
        <v>112</v>
      </c>
      <c r="D124" s="1"/>
      <c r="E124" s="18">
        <v>1000</v>
      </c>
      <c r="F124" s="18"/>
      <c r="G124" s="16">
        <v>1581</v>
      </c>
      <c r="H124" s="17">
        <v>2.0243277848911654</v>
      </c>
      <c r="I124" s="18">
        <v>3</v>
      </c>
      <c r="J124" s="16">
        <v>0</v>
      </c>
      <c r="K124" s="1">
        <v>0</v>
      </c>
      <c r="L124" s="1">
        <v>1</v>
      </c>
      <c r="M124" s="1">
        <v>1</v>
      </c>
      <c r="N124" s="17">
        <v>0</v>
      </c>
      <c r="O124" s="16">
        <v>110</v>
      </c>
      <c r="P124" s="16">
        <v>1</v>
      </c>
      <c r="Q124" s="1">
        <v>0</v>
      </c>
      <c r="R124" s="1">
        <v>0</v>
      </c>
      <c r="S124" s="17">
        <v>0</v>
      </c>
      <c r="T124" s="16">
        <v>1000</v>
      </c>
      <c r="U124" s="16">
        <v>1</v>
      </c>
      <c r="V124" s="1">
        <v>0</v>
      </c>
      <c r="W124" s="1">
        <v>0</v>
      </c>
      <c r="X124" s="1">
        <v>0</v>
      </c>
      <c r="Y124" s="17">
        <v>0</v>
      </c>
      <c r="Z124" s="18">
        <v>10000</v>
      </c>
      <c r="AA124" s="18">
        <v>1</v>
      </c>
      <c r="AB124" s="18">
        <v>0</v>
      </c>
      <c r="AC124" s="16">
        <v>0</v>
      </c>
      <c r="AD124" s="17">
        <v>0</v>
      </c>
      <c r="AE124" s="16">
        <v>0</v>
      </c>
      <c r="AF124" s="1">
        <v>0</v>
      </c>
      <c r="AG124" s="1">
        <v>1</v>
      </c>
      <c r="AH124" s="18">
        <v>1</v>
      </c>
      <c r="AI124" s="16">
        <v>764</v>
      </c>
      <c r="AJ124" s="17">
        <v>907</v>
      </c>
      <c r="AK124" s="16">
        <v>2</v>
      </c>
      <c r="AL124" s="17"/>
      <c r="AM124" s="16">
        <v>1</v>
      </c>
      <c r="AN124" s="1">
        <v>0</v>
      </c>
      <c r="AO124" s="1">
        <v>0</v>
      </c>
      <c r="AP124" s="1">
        <v>0</v>
      </c>
      <c r="AQ124" s="1">
        <v>0</v>
      </c>
      <c r="AR124" s="1">
        <v>0</v>
      </c>
      <c r="AS124" s="1">
        <v>0</v>
      </c>
      <c r="AT124" s="1">
        <v>14</v>
      </c>
      <c r="AU124" s="1">
        <v>98</v>
      </c>
      <c r="AV124" s="1">
        <v>4</v>
      </c>
      <c r="AW124" s="1">
        <v>24</v>
      </c>
      <c r="AX124" s="17">
        <v>0</v>
      </c>
      <c r="AY124" s="16">
        <v>0</v>
      </c>
      <c r="AZ124" s="1">
        <v>1</v>
      </c>
      <c r="BA124" s="1">
        <v>0</v>
      </c>
      <c r="BB124" s="17">
        <v>0</v>
      </c>
      <c r="BC124" s="16">
        <v>1</v>
      </c>
      <c r="BD124" s="17">
        <v>100</v>
      </c>
      <c r="BE124" s="18">
        <v>100</v>
      </c>
      <c r="BF124" s="16">
        <v>0</v>
      </c>
      <c r="BG124" s="1">
        <v>1</v>
      </c>
      <c r="BH124" s="1"/>
      <c r="BI124" s="1">
        <v>0</v>
      </c>
      <c r="BJ124" s="16">
        <v>0</v>
      </c>
      <c r="BK124" s="1">
        <v>1</v>
      </c>
      <c r="BL124" s="16">
        <v>64.77</v>
      </c>
      <c r="BM124" s="1"/>
      <c r="BN124" s="1"/>
      <c r="BO124" s="1"/>
      <c r="BP124" s="1"/>
      <c r="BQ124" s="1"/>
      <c r="BR124" s="1"/>
      <c r="BS124" s="1"/>
      <c r="BT124" s="17"/>
      <c r="BU124" s="16">
        <v>64.97</v>
      </c>
      <c r="BV124" s="1">
        <v>64.489999999999995</v>
      </c>
      <c r="BW124" s="1">
        <v>66.09</v>
      </c>
      <c r="BX124" s="1">
        <v>68.41</v>
      </c>
      <c r="BY124" s="1"/>
      <c r="BZ124" s="1"/>
      <c r="CA124" s="1"/>
      <c r="CB124" s="17"/>
      <c r="CC124" s="16">
        <v>64.930000000000007</v>
      </c>
      <c r="CD124" s="1"/>
      <c r="CE124" s="17"/>
      <c r="CF124" s="16"/>
      <c r="CG124" s="1"/>
      <c r="CH124" s="17"/>
      <c r="CI124" s="16"/>
      <c r="CJ124" s="17"/>
      <c r="CK124" s="16"/>
      <c r="CL124" s="17"/>
      <c r="CM124" s="16"/>
      <c r="CN124" s="1"/>
      <c r="CO124" s="1"/>
      <c r="CP124" s="1"/>
      <c r="CQ124" s="1"/>
      <c r="CR124" s="17"/>
      <c r="CS124" s="16"/>
      <c r="CT124" s="1"/>
      <c r="CU124" s="1"/>
      <c r="CV124" s="17"/>
      <c r="CW124" s="16"/>
      <c r="CX124" s="1"/>
      <c r="CY124" s="1"/>
      <c r="CZ124" s="17"/>
      <c r="DA124" s="18"/>
      <c r="DB124" s="6"/>
    </row>
    <row r="125" spans="1:106">
      <c r="A125" s="42" t="s">
        <v>320</v>
      </c>
      <c r="B125" s="17" t="s">
        <v>304</v>
      </c>
      <c r="C125" s="16" t="s">
        <v>94</v>
      </c>
      <c r="D125" s="1"/>
      <c r="E125" s="18">
        <v>1000</v>
      </c>
      <c r="F125" s="18"/>
      <c r="G125" s="16">
        <v>2438</v>
      </c>
      <c r="H125" s="17">
        <v>1.1163003663003663</v>
      </c>
      <c r="I125" s="18">
        <v>3</v>
      </c>
      <c r="J125" s="16">
        <v>0</v>
      </c>
      <c r="K125" s="1">
        <v>0</v>
      </c>
      <c r="L125" s="1">
        <v>0</v>
      </c>
      <c r="M125" s="1">
        <v>1</v>
      </c>
      <c r="N125" s="17">
        <v>0</v>
      </c>
      <c r="O125" s="16">
        <v>10</v>
      </c>
      <c r="P125" s="16">
        <v>1</v>
      </c>
      <c r="Q125" s="1">
        <v>0</v>
      </c>
      <c r="R125" s="1">
        <v>0</v>
      </c>
      <c r="S125" s="17">
        <v>0</v>
      </c>
      <c r="T125" s="16">
        <v>1000</v>
      </c>
      <c r="U125" s="16">
        <v>1</v>
      </c>
      <c r="V125" s="1">
        <v>0</v>
      </c>
      <c r="W125" s="1">
        <v>1</v>
      </c>
      <c r="X125" s="1">
        <v>1</v>
      </c>
      <c r="Y125" s="17">
        <v>0</v>
      </c>
      <c r="Z125" s="18">
        <v>10110</v>
      </c>
      <c r="AA125" s="18">
        <v>3</v>
      </c>
      <c r="AB125" s="18">
        <v>1</v>
      </c>
      <c r="AC125" s="16">
        <v>2</v>
      </c>
      <c r="AD125" s="17">
        <v>3</v>
      </c>
      <c r="AE125" s="16">
        <v>0</v>
      </c>
      <c r="AF125" s="1">
        <v>1</v>
      </c>
      <c r="AG125" s="1">
        <v>0</v>
      </c>
      <c r="AH125" s="18">
        <v>10</v>
      </c>
      <c r="AI125" s="16">
        <v>738</v>
      </c>
      <c r="AJ125" s="17">
        <v>2279</v>
      </c>
      <c r="AK125" s="16">
        <v>6</v>
      </c>
      <c r="AL125" s="17">
        <v>1</v>
      </c>
      <c r="AM125" s="16">
        <v>1</v>
      </c>
      <c r="AN125" s="1">
        <v>0</v>
      </c>
      <c r="AO125" s="1">
        <v>0</v>
      </c>
      <c r="AP125" s="1">
        <v>0</v>
      </c>
      <c r="AQ125" s="1">
        <v>0</v>
      </c>
      <c r="AR125" s="1">
        <v>11</v>
      </c>
      <c r="AS125" s="1">
        <v>66</v>
      </c>
      <c r="AT125" s="1">
        <v>21</v>
      </c>
      <c r="AU125" s="1">
        <v>41</v>
      </c>
      <c r="AV125" s="1">
        <v>49</v>
      </c>
      <c r="AW125" s="1">
        <v>199</v>
      </c>
      <c r="AX125" s="17">
        <v>0</v>
      </c>
      <c r="AY125" s="16">
        <v>0</v>
      </c>
      <c r="AZ125" s="1">
        <v>0</v>
      </c>
      <c r="BA125" s="1">
        <v>0</v>
      </c>
      <c r="BB125" s="17">
        <v>0</v>
      </c>
      <c r="BC125" s="16">
        <v>0</v>
      </c>
      <c r="BD125" s="17">
        <v>0</v>
      </c>
      <c r="BE125" s="18">
        <v>117</v>
      </c>
      <c r="BF125" s="16">
        <v>1</v>
      </c>
      <c r="BG125" s="1">
        <v>1</v>
      </c>
      <c r="BH125" s="1">
        <v>0</v>
      </c>
      <c r="BI125" s="1">
        <v>0</v>
      </c>
      <c r="BJ125" s="16">
        <v>0</v>
      </c>
      <c r="BK125" s="1">
        <v>1</v>
      </c>
      <c r="BL125" s="16">
        <v>65.42</v>
      </c>
      <c r="BM125" s="1">
        <v>67</v>
      </c>
      <c r="BN125" s="1">
        <v>66.61</v>
      </c>
      <c r="BO125" s="1">
        <v>65.180000000000007</v>
      </c>
      <c r="BP125" s="1"/>
      <c r="BQ125" s="1"/>
      <c r="BR125" s="1"/>
      <c r="BS125" s="1"/>
      <c r="BT125" s="17"/>
      <c r="BU125" s="16">
        <v>62.95</v>
      </c>
      <c r="BV125" s="1">
        <v>66.87</v>
      </c>
      <c r="BW125" s="1">
        <v>66.13</v>
      </c>
      <c r="BX125" s="1">
        <v>68.84</v>
      </c>
      <c r="BY125" s="1">
        <v>66.349999999999994</v>
      </c>
      <c r="BZ125" s="1"/>
      <c r="CA125" s="1"/>
      <c r="CB125" s="17"/>
      <c r="CC125" s="16"/>
      <c r="CD125" s="1"/>
      <c r="CE125" s="17"/>
      <c r="CF125" s="16"/>
      <c r="CG125" s="1"/>
      <c r="CH125" s="17"/>
      <c r="CI125" s="16"/>
      <c r="CJ125" s="17"/>
      <c r="CK125" s="16"/>
      <c r="CL125" s="17"/>
      <c r="CM125" s="16"/>
      <c r="CN125" s="1"/>
      <c r="CO125" s="1"/>
      <c r="CP125" s="1"/>
      <c r="CQ125" s="1"/>
      <c r="CR125" s="17"/>
      <c r="CS125" s="16"/>
      <c r="CT125" s="1"/>
      <c r="CU125" s="1"/>
      <c r="CV125" s="17"/>
      <c r="CW125" s="16"/>
      <c r="CX125" s="1"/>
      <c r="CY125" s="1"/>
      <c r="CZ125" s="17"/>
      <c r="DA125" s="18"/>
      <c r="DB125" s="6"/>
    </row>
    <row r="126" spans="1:106" ht="17" thickBot="1">
      <c r="A126" s="42" t="s">
        <v>320</v>
      </c>
      <c r="B126" s="17" t="s">
        <v>304</v>
      </c>
      <c r="C126" s="16" t="s">
        <v>97</v>
      </c>
      <c r="D126" s="1"/>
      <c r="E126" s="18">
        <v>1000</v>
      </c>
      <c r="F126" s="18"/>
      <c r="G126" s="16">
        <v>3851</v>
      </c>
      <c r="H126" s="17">
        <v>2.6394790952707332</v>
      </c>
      <c r="I126" s="18">
        <v>4</v>
      </c>
      <c r="J126" s="16">
        <v>0</v>
      </c>
      <c r="K126" s="1">
        <v>0</v>
      </c>
      <c r="L126" s="1">
        <v>1</v>
      </c>
      <c r="M126" s="1">
        <v>0</v>
      </c>
      <c r="N126" s="17">
        <v>1</v>
      </c>
      <c r="O126" s="16">
        <v>101</v>
      </c>
      <c r="P126" s="16">
        <v>1</v>
      </c>
      <c r="Q126" s="1">
        <v>0</v>
      </c>
      <c r="R126" s="1">
        <v>0</v>
      </c>
      <c r="S126" s="17">
        <v>0</v>
      </c>
      <c r="T126" s="16">
        <v>1000</v>
      </c>
      <c r="U126" s="16">
        <v>1</v>
      </c>
      <c r="V126" s="1">
        <v>0</v>
      </c>
      <c r="W126" s="1">
        <v>1</v>
      </c>
      <c r="X126" s="1">
        <v>1</v>
      </c>
      <c r="Y126" s="17">
        <v>0</v>
      </c>
      <c r="Z126" s="18">
        <v>10110</v>
      </c>
      <c r="AA126" s="18">
        <v>3</v>
      </c>
      <c r="AB126" s="18">
        <v>3</v>
      </c>
      <c r="AC126" s="16">
        <v>2</v>
      </c>
      <c r="AD126" s="17">
        <v>3</v>
      </c>
      <c r="AE126" s="16">
        <v>0</v>
      </c>
      <c r="AF126" s="1">
        <v>1</v>
      </c>
      <c r="AG126" s="1">
        <v>1</v>
      </c>
      <c r="AH126" s="18">
        <v>11</v>
      </c>
      <c r="AI126" s="16">
        <v>283</v>
      </c>
      <c r="AJ126" s="17">
        <v>1850</v>
      </c>
      <c r="AK126" s="16">
        <v>3</v>
      </c>
      <c r="AL126" s="17">
        <v>1</v>
      </c>
      <c r="AM126" s="16">
        <v>5</v>
      </c>
      <c r="AN126" s="1">
        <v>0</v>
      </c>
      <c r="AO126" s="1">
        <v>0</v>
      </c>
      <c r="AP126" s="1">
        <v>0</v>
      </c>
      <c r="AQ126" s="1">
        <v>0</v>
      </c>
      <c r="AR126" s="1">
        <v>42</v>
      </c>
      <c r="AS126" s="1">
        <v>46</v>
      </c>
      <c r="AT126" s="1">
        <v>209</v>
      </c>
      <c r="AU126" s="1">
        <v>458</v>
      </c>
      <c r="AV126" s="1">
        <v>26</v>
      </c>
      <c r="AW126" s="1">
        <v>346</v>
      </c>
      <c r="AX126" s="17">
        <v>0</v>
      </c>
      <c r="AY126" s="16">
        <v>0</v>
      </c>
      <c r="AZ126" s="1">
        <v>0</v>
      </c>
      <c r="BA126" s="1">
        <v>0</v>
      </c>
      <c r="BB126" s="17">
        <v>0</v>
      </c>
      <c r="BC126" s="16">
        <v>0</v>
      </c>
      <c r="BD126" s="17">
        <v>0</v>
      </c>
      <c r="BE126" s="18">
        <v>118</v>
      </c>
      <c r="BF126" s="16">
        <v>0</v>
      </c>
      <c r="BG126" s="1">
        <v>0</v>
      </c>
      <c r="BH126" s="1"/>
      <c r="BI126" s="1">
        <v>0</v>
      </c>
      <c r="BJ126" s="16">
        <v>0</v>
      </c>
      <c r="BK126" s="1">
        <v>1</v>
      </c>
      <c r="BL126" s="16"/>
      <c r="BM126" s="1"/>
      <c r="BN126" s="1"/>
      <c r="BO126" s="1"/>
      <c r="BP126" s="1"/>
      <c r="BQ126" s="1"/>
      <c r="BR126" s="1"/>
      <c r="BS126" s="1"/>
      <c r="BT126" s="17"/>
      <c r="BU126" s="16"/>
      <c r="BV126" s="1"/>
      <c r="BW126" s="1"/>
      <c r="BX126" s="1"/>
      <c r="BY126" s="1"/>
      <c r="BZ126" s="1"/>
      <c r="CA126" s="1"/>
      <c r="CB126" s="17"/>
      <c r="CC126" s="16"/>
      <c r="CD126" s="1"/>
      <c r="CE126" s="17"/>
      <c r="CF126" s="16"/>
      <c r="CG126" s="1"/>
      <c r="CH126" s="17"/>
      <c r="CI126" s="16"/>
      <c r="CJ126" s="17"/>
      <c r="CK126" s="16"/>
      <c r="CL126" s="17"/>
      <c r="CM126" s="16"/>
      <c r="CN126" s="1"/>
      <c r="CO126" s="1"/>
      <c r="CP126" s="1"/>
      <c r="CQ126" s="1"/>
      <c r="CR126" s="17"/>
      <c r="CS126" s="16"/>
      <c r="CT126" s="1"/>
      <c r="CU126" s="1"/>
      <c r="CV126" s="17"/>
      <c r="CW126" s="16"/>
      <c r="CX126" s="1"/>
      <c r="CY126" s="1"/>
      <c r="CZ126" s="17"/>
      <c r="DA126" s="18"/>
      <c r="DB126" s="6"/>
    </row>
    <row r="127" spans="1:106">
      <c r="A127" s="87" t="s">
        <v>320</v>
      </c>
      <c r="B127" s="162" t="s">
        <v>311</v>
      </c>
      <c r="C127" s="160" t="s">
        <v>65</v>
      </c>
      <c r="D127" s="161"/>
      <c r="E127" s="43">
        <v>100</v>
      </c>
      <c r="F127" s="43"/>
      <c r="G127" s="160">
        <v>1993</v>
      </c>
      <c r="H127" s="162">
        <v>1.1121651785714286</v>
      </c>
      <c r="I127" s="43">
        <v>6</v>
      </c>
      <c r="J127" s="160">
        <v>1</v>
      </c>
      <c r="K127" s="161">
        <v>0</v>
      </c>
      <c r="L127" s="161">
        <v>1</v>
      </c>
      <c r="M127" s="161">
        <v>0</v>
      </c>
      <c r="N127" s="162">
        <v>0</v>
      </c>
      <c r="O127" s="160">
        <v>10100</v>
      </c>
      <c r="P127" s="160">
        <v>0</v>
      </c>
      <c r="Q127" s="161">
        <v>0</v>
      </c>
      <c r="R127" s="161">
        <v>0</v>
      </c>
      <c r="S127" s="162">
        <v>1</v>
      </c>
      <c r="T127" s="160">
        <v>100</v>
      </c>
      <c r="U127" s="160">
        <v>0</v>
      </c>
      <c r="V127" s="161">
        <v>0</v>
      </c>
      <c r="W127" s="161">
        <v>1</v>
      </c>
      <c r="X127" s="161">
        <v>1</v>
      </c>
      <c r="Y127" s="162">
        <v>0</v>
      </c>
      <c r="Z127" s="43">
        <v>110</v>
      </c>
      <c r="AA127" s="43">
        <v>2</v>
      </c>
      <c r="AB127" s="43">
        <v>3</v>
      </c>
      <c r="AC127" s="160">
        <v>2</v>
      </c>
      <c r="AD127" s="162">
        <v>4</v>
      </c>
      <c r="AE127" s="160">
        <v>0</v>
      </c>
      <c r="AF127" s="161">
        <v>1</v>
      </c>
      <c r="AG127" s="161">
        <v>1</v>
      </c>
      <c r="AH127" s="43">
        <v>11</v>
      </c>
      <c r="AI127" s="160">
        <v>499</v>
      </c>
      <c r="AJ127" s="162">
        <v>1543</v>
      </c>
      <c r="AK127" s="160">
        <v>13</v>
      </c>
      <c r="AL127" s="162">
        <v>1</v>
      </c>
      <c r="AM127" s="160">
        <v>2</v>
      </c>
      <c r="AN127" s="161">
        <v>0</v>
      </c>
      <c r="AO127" s="161">
        <v>0</v>
      </c>
      <c r="AP127" s="161">
        <v>0</v>
      </c>
      <c r="AQ127" s="161">
        <v>0</v>
      </c>
      <c r="AR127" s="161">
        <v>19</v>
      </c>
      <c r="AS127" s="161">
        <v>97</v>
      </c>
      <c r="AT127" s="161">
        <v>29</v>
      </c>
      <c r="AU127" s="161">
        <v>146</v>
      </c>
      <c r="AV127" s="161">
        <v>23</v>
      </c>
      <c r="AW127" s="161">
        <v>313</v>
      </c>
      <c r="AX127" s="162">
        <v>0</v>
      </c>
      <c r="AY127" s="160">
        <v>0</v>
      </c>
      <c r="AZ127" s="161">
        <v>0</v>
      </c>
      <c r="BA127" s="161">
        <v>0</v>
      </c>
      <c r="BB127" s="162">
        <v>0</v>
      </c>
      <c r="BC127" s="160">
        <v>0</v>
      </c>
      <c r="BD127" s="162">
        <v>0</v>
      </c>
      <c r="BE127" s="43">
        <v>118</v>
      </c>
      <c r="BF127" s="160">
        <v>0</v>
      </c>
      <c r="BG127" s="161">
        <v>0</v>
      </c>
      <c r="BH127" s="161"/>
      <c r="BI127" s="161">
        <v>0</v>
      </c>
      <c r="BJ127" s="160">
        <v>0</v>
      </c>
      <c r="BK127" s="161">
        <v>1</v>
      </c>
      <c r="BL127" s="160">
        <v>83.65</v>
      </c>
      <c r="BM127" s="161"/>
      <c r="BN127" s="161"/>
      <c r="BO127" s="161"/>
      <c r="BP127" s="161"/>
      <c r="BQ127" s="161"/>
      <c r="BR127" s="161"/>
      <c r="BS127" s="161"/>
      <c r="BT127" s="162"/>
      <c r="BU127" s="160">
        <v>72.849999999999994</v>
      </c>
      <c r="BV127" s="161">
        <v>80.92</v>
      </c>
      <c r="BW127" s="161">
        <v>73.75</v>
      </c>
      <c r="BX127" s="161"/>
      <c r="BY127" s="161"/>
      <c r="BZ127" s="161"/>
      <c r="CA127" s="161"/>
      <c r="CB127" s="162"/>
      <c r="CC127" s="160">
        <v>70</v>
      </c>
      <c r="CD127" s="161"/>
      <c r="CE127" s="162"/>
      <c r="CF127" s="160"/>
      <c r="CG127" s="161"/>
      <c r="CH127" s="162"/>
      <c r="CI127" s="160"/>
      <c r="CJ127" s="162"/>
      <c r="CK127" s="160"/>
      <c r="CL127" s="162"/>
      <c r="CM127" s="160"/>
      <c r="CN127" s="161"/>
      <c r="CO127" s="161"/>
      <c r="CP127" s="161"/>
      <c r="CQ127" s="161"/>
      <c r="CR127" s="162"/>
      <c r="CS127" s="160"/>
      <c r="CT127" s="161"/>
      <c r="CU127" s="161"/>
      <c r="CV127" s="162"/>
      <c r="CW127" s="160"/>
      <c r="CX127" s="161"/>
      <c r="CY127" s="161"/>
      <c r="CZ127" s="162"/>
      <c r="DA127" s="43"/>
      <c r="DB127" s="6"/>
    </row>
    <row r="128" spans="1:106">
      <c r="A128" s="42" t="s">
        <v>320</v>
      </c>
      <c r="B128" s="17" t="s">
        <v>311</v>
      </c>
      <c r="C128" s="16" t="s">
        <v>66</v>
      </c>
      <c r="D128" s="1"/>
      <c r="E128" s="18">
        <v>1100</v>
      </c>
      <c r="F128" s="18"/>
      <c r="G128" s="16">
        <v>2264</v>
      </c>
      <c r="H128" s="17">
        <v>1.2529053680132818</v>
      </c>
      <c r="I128" s="18">
        <v>4</v>
      </c>
      <c r="J128" s="16">
        <v>0</v>
      </c>
      <c r="K128" s="1">
        <v>0</v>
      </c>
      <c r="L128" s="1">
        <v>1</v>
      </c>
      <c r="M128" s="1">
        <v>1</v>
      </c>
      <c r="N128" s="17">
        <v>0</v>
      </c>
      <c r="O128" s="16">
        <v>110</v>
      </c>
      <c r="P128" s="16">
        <v>1</v>
      </c>
      <c r="Q128" s="1">
        <v>0</v>
      </c>
      <c r="R128" s="1">
        <v>0</v>
      </c>
      <c r="S128" s="17">
        <v>1</v>
      </c>
      <c r="T128" s="16">
        <v>1100</v>
      </c>
      <c r="U128" s="16">
        <v>1</v>
      </c>
      <c r="V128" s="1">
        <v>0</v>
      </c>
      <c r="W128" s="1">
        <v>1</v>
      </c>
      <c r="X128" s="1">
        <v>1</v>
      </c>
      <c r="Y128" s="17">
        <v>0</v>
      </c>
      <c r="Z128" s="18">
        <v>10110</v>
      </c>
      <c r="AA128" s="18">
        <v>3</v>
      </c>
      <c r="AB128" s="18">
        <v>3</v>
      </c>
      <c r="AC128" s="16">
        <v>2</v>
      </c>
      <c r="AD128" s="17">
        <v>3</v>
      </c>
      <c r="AE128" s="16">
        <v>0</v>
      </c>
      <c r="AF128" s="1">
        <v>1</v>
      </c>
      <c r="AG128" s="1">
        <v>1</v>
      </c>
      <c r="AH128" s="18">
        <v>11</v>
      </c>
      <c r="AI128" s="16">
        <v>487</v>
      </c>
      <c r="AJ128" s="17">
        <v>1335</v>
      </c>
      <c r="AK128" s="16">
        <v>22</v>
      </c>
      <c r="AL128" s="17">
        <v>1</v>
      </c>
      <c r="AM128" s="16">
        <v>1</v>
      </c>
      <c r="AN128" s="1">
        <v>0</v>
      </c>
      <c r="AO128" s="1">
        <v>0</v>
      </c>
      <c r="AP128" s="1">
        <v>0</v>
      </c>
      <c r="AQ128" s="1">
        <v>0</v>
      </c>
      <c r="AR128" s="1">
        <v>0</v>
      </c>
      <c r="AS128" s="1">
        <v>0</v>
      </c>
      <c r="AT128" s="1">
        <v>4</v>
      </c>
      <c r="AU128" s="1">
        <v>61</v>
      </c>
      <c r="AV128" s="1">
        <v>31</v>
      </c>
      <c r="AW128" s="1">
        <v>235</v>
      </c>
      <c r="AX128" s="17">
        <v>0</v>
      </c>
      <c r="AY128" s="16">
        <v>0</v>
      </c>
      <c r="AZ128" s="1">
        <v>0</v>
      </c>
      <c r="BA128" s="1">
        <v>0</v>
      </c>
      <c r="BB128" s="17">
        <v>0</v>
      </c>
      <c r="BC128" s="16">
        <v>0</v>
      </c>
      <c r="BD128" s="17">
        <v>0</v>
      </c>
      <c r="BE128" s="18">
        <v>120</v>
      </c>
      <c r="BF128" s="16">
        <v>0</v>
      </c>
      <c r="BG128" s="1">
        <v>1</v>
      </c>
      <c r="BH128" s="1"/>
      <c r="BI128" s="1">
        <v>0</v>
      </c>
      <c r="BJ128" s="16">
        <v>0</v>
      </c>
      <c r="BK128" s="1">
        <v>1</v>
      </c>
      <c r="BL128" s="16"/>
      <c r="BM128" s="1"/>
      <c r="BN128" s="1"/>
      <c r="BO128" s="1"/>
      <c r="BP128" s="1"/>
      <c r="BQ128" s="1"/>
      <c r="BR128" s="1"/>
      <c r="BS128" s="1"/>
      <c r="BT128" s="17"/>
      <c r="BU128" s="16"/>
      <c r="BV128" s="1"/>
      <c r="BW128" s="1"/>
      <c r="BX128" s="1"/>
      <c r="BY128" s="1"/>
      <c r="BZ128" s="1"/>
      <c r="CA128" s="1"/>
      <c r="CB128" s="17"/>
      <c r="CC128" s="16"/>
      <c r="CD128" s="1"/>
      <c r="CE128" s="17"/>
      <c r="CF128" s="16"/>
      <c r="CG128" s="1"/>
      <c r="CH128" s="17"/>
      <c r="CI128" s="16"/>
      <c r="CJ128" s="17"/>
      <c r="CK128" s="16"/>
      <c r="CL128" s="17"/>
      <c r="CM128" s="16"/>
      <c r="CN128" s="1"/>
      <c r="CO128" s="1"/>
      <c r="CP128" s="1"/>
      <c r="CQ128" s="1"/>
      <c r="CR128" s="17"/>
      <c r="CS128" s="16"/>
      <c r="CT128" s="1"/>
      <c r="CU128" s="1"/>
      <c r="CV128" s="17"/>
      <c r="CW128" s="16"/>
      <c r="CX128" s="1"/>
      <c r="CY128" s="1"/>
      <c r="CZ128" s="17"/>
      <c r="DA128" s="18"/>
      <c r="DB128" s="6"/>
    </row>
    <row r="129" spans="1:106">
      <c r="A129" s="42" t="s">
        <v>320</v>
      </c>
      <c r="B129" s="17" t="s">
        <v>311</v>
      </c>
      <c r="C129" s="16" t="s">
        <v>87</v>
      </c>
      <c r="D129" s="1"/>
      <c r="E129" s="18">
        <v>1000</v>
      </c>
      <c r="F129" s="18"/>
      <c r="G129" s="16">
        <v>3809</v>
      </c>
      <c r="H129" s="17">
        <v>1.810361216730038</v>
      </c>
      <c r="I129" s="18">
        <v>4</v>
      </c>
      <c r="J129" s="16">
        <v>0</v>
      </c>
      <c r="K129" s="1">
        <v>1</v>
      </c>
      <c r="L129" s="1">
        <v>0</v>
      </c>
      <c r="M129" s="1">
        <v>1</v>
      </c>
      <c r="N129" s="17">
        <v>0</v>
      </c>
      <c r="O129" s="16">
        <v>1010</v>
      </c>
      <c r="P129" s="16">
        <v>1</v>
      </c>
      <c r="Q129" s="1">
        <v>0</v>
      </c>
      <c r="R129" s="1">
        <v>0</v>
      </c>
      <c r="S129" s="17">
        <v>0</v>
      </c>
      <c r="T129" s="16">
        <v>1000</v>
      </c>
      <c r="U129" s="16">
        <v>1</v>
      </c>
      <c r="V129" s="1">
        <v>0</v>
      </c>
      <c r="W129" s="1">
        <v>1</v>
      </c>
      <c r="X129" s="1">
        <v>1</v>
      </c>
      <c r="Y129" s="17">
        <v>0</v>
      </c>
      <c r="Z129" s="18">
        <v>10110</v>
      </c>
      <c r="AA129" s="18">
        <v>3</v>
      </c>
      <c r="AB129" s="18">
        <v>3</v>
      </c>
      <c r="AC129" s="16">
        <v>2</v>
      </c>
      <c r="AD129" s="17">
        <v>2</v>
      </c>
      <c r="AE129" s="16">
        <v>0</v>
      </c>
      <c r="AF129" s="1">
        <v>1</v>
      </c>
      <c r="AG129" s="1">
        <v>1</v>
      </c>
      <c r="AH129" s="18">
        <v>11</v>
      </c>
      <c r="AI129" s="16">
        <v>1571</v>
      </c>
      <c r="AJ129" s="17">
        <v>1704</v>
      </c>
      <c r="AK129" s="16">
        <v>15</v>
      </c>
      <c r="AL129" s="17">
        <v>1</v>
      </c>
      <c r="AM129" s="16">
        <v>1</v>
      </c>
      <c r="AN129" s="1">
        <v>0</v>
      </c>
      <c r="AO129" s="1">
        <v>6</v>
      </c>
      <c r="AP129" s="1">
        <v>0</v>
      </c>
      <c r="AQ129" s="1">
        <v>0</v>
      </c>
      <c r="AR129" s="1">
        <v>3</v>
      </c>
      <c r="AS129" s="1">
        <v>18</v>
      </c>
      <c r="AT129" s="1">
        <v>0</v>
      </c>
      <c r="AU129" s="1">
        <v>0</v>
      </c>
      <c r="AV129" s="1">
        <v>27</v>
      </c>
      <c r="AW129" s="1">
        <v>91</v>
      </c>
      <c r="AX129" s="17">
        <v>0</v>
      </c>
      <c r="AY129" s="16">
        <v>0</v>
      </c>
      <c r="AZ129" s="1">
        <v>0</v>
      </c>
      <c r="BA129" s="1">
        <v>0</v>
      </c>
      <c r="BB129" s="17">
        <v>0</v>
      </c>
      <c r="BC129" s="16">
        <v>0</v>
      </c>
      <c r="BD129" s="17">
        <v>0</v>
      </c>
      <c r="BE129" s="18">
        <v>113</v>
      </c>
      <c r="BF129" s="16">
        <v>1</v>
      </c>
      <c r="BG129" s="1">
        <v>1</v>
      </c>
      <c r="BH129" s="1"/>
      <c r="BI129" s="1">
        <v>0</v>
      </c>
      <c r="BJ129" s="16">
        <v>0</v>
      </c>
      <c r="BK129" s="1">
        <v>1</v>
      </c>
      <c r="BL129" s="16">
        <v>69.25</v>
      </c>
      <c r="BM129" s="1">
        <v>70.58</v>
      </c>
      <c r="BN129" s="1"/>
      <c r="BO129" s="1"/>
      <c r="BP129" s="1"/>
      <c r="BQ129" s="1"/>
      <c r="BR129" s="1"/>
      <c r="BS129" s="1"/>
      <c r="BT129" s="17"/>
      <c r="BU129" s="16">
        <v>77.209999999999994</v>
      </c>
      <c r="BV129" s="1">
        <v>71.45</v>
      </c>
      <c r="BW129" s="1">
        <v>76.400000000000006</v>
      </c>
      <c r="BX129" s="1">
        <v>75.64</v>
      </c>
      <c r="BY129" s="1">
        <v>76.28</v>
      </c>
      <c r="BZ129" s="1"/>
      <c r="CA129" s="1"/>
      <c r="CB129" s="17"/>
      <c r="CC129" s="16"/>
      <c r="CD129" s="1"/>
      <c r="CE129" s="17"/>
      <c r="CF129" s="16">
        <v>69.75</v>
      </c>
      <c r="CG129" s="1"/>
      <c r="CH129" s="17"/>
      <c r="CI129" s="16"/>
      <c r="CJ129" s="17"/>
      <c r="CK129" s="16"/>
      <c r="CL129" s="17"/>
      <c r="CM129" s="16"/>
      <c r="CN129" s="1"/>
      <c r="CO129" s="1"/>
      <c r="CP129" s="1"/>
      <c r="CQ129" s="1"/>
      <c r="CR129" s="17"/>
      <c r="CS129" s="16"/>
      <c r="CT129" s="1"/>
      <c r="CU129" s="1"/>
      <c r="CV129" s="17"/>
      <c r="CW129" s="16"/>
      <c r="CX129" s="1"/>
      <c r="CY129" s="1"/>
      <c r="CZ129" s="17"/>
      <c r="DA129" s="18"/>
      <c r="DB129" s="6"/>
    </row>
    <row r="130" spans="1:106">
      <c r="A130" s="42" t="s">
        <v>320</v>
      </c>
      <c r="B130" s="17" t="s">
        <v>311</v>
      </c>
      <c r="C130" s="16" t="s">
        <v>97</v>
      </c>
      <c r="D130" s="1"/>
      <c r="E130" s="18">
        <v>1000</v>
      </c>
      <c r="F130" s="18"/>
      <c r="G130" s="16">
        <v>2621</v>
      </c>
      <c r="H130" s="17">
        <v>1.0916284881299458</v>
      </c>
      <c r="I130" s="18">
        <v>2</v>
      </c>
      <c r="J130" s="16">
        <v>0</v>
      </c>
      <c r="K130" s="1">
        <v>0</v>
      </c>
      <c r="L130" s="1">
        <v>0</v>
      </c>
      <c r="M130" s="1">
        <v>1</v>
      </c>
      <c r="N130" s="17">
        <v>0</v>
      </c>
      <c r="O130" s="16">
        <v>10</v>
      </c>
      <c r="P130" s="16">
        <v>1</v>
      </c>
      <c r="Q130" s="1">
        <v>0</v>
      </c>
      <c r="R130" s="1">
        <v>0</v>
      </c>
      <c r="S130" s="17">
        <v>0</v>
      </c>
      <c r="T130" s="16">
        <v>1000</v>
      </c>
      <c r="U130" s="16">
        <v>1</v>
      </c>
      <c r="V130" s="1">
        <v>3</v>
      </c>
      <c r="W130" s="1">
        <v>0</v>
      </c>
      <c r="X130" s="1">
        <v>1</v>
      </c>
      <c r="Y130" s="17">
        <v>0</v>
      </c>
      <c r="Z130" s="18">
        <v>13010</v>
      </c>
      <c r="AA130" s="18">
        <v>5</v>
      </c>
      <c r="AB130" s="18">
        <v>1</v>
      </c>
      <c r="AC130" s="16">
        <v>2</v>
      </c>
      <c r="AD130" s="17">
        <v>0</v>
      </c>
      <c r="AE130" s="16">
        <v>0</v>
      </c>
      <c r="AF130" s="1">
        <v>1</v>
      </c>
      <c r="AG130" s="1">
        <v>0</v>
      </c>
      <c r="AH130" s="18">
        <v>10</v>
      </c>
      <c r="AI130" s="16">
        <v>1835</v>
      </c>
      <c r="AJ130" s="17">
        <v>1953</v>
      </c>
      <c r="AK130" s="16">
        <v>20</v>
      </c>
      <c r="AL130" s="17">
        <v>1</v>
      </c>
      <c r="AM130" s="16">
        <v>6</v>
      </c>
      <c r="AN130" s="1">
        <v>4</v>
      </c>
      <c r="AO130" s="1">
        <v>112</v>
      </c>
      <c r="AP130" s="1">
        <v>0</v>
      </c>
      <c r="AQ130" s="1">
        <v>0</v>
      </c>
      <c r="AR130" s="1">
        <v>8</v>
      </c>
      <c r="AS130" s="1">
        <v>48</v>
      </c>
      <c r="AT130" s="1">
        <v>5</v>
      </c>
      <c r="AU130" s="1">
        <v>192</v>
      </c>
      <c r="AV130" s="1">
        <v>45</v>
      </c>
      <c r="AW130" s="1">
        <v>564</v>
      </c>
      <c r="AX130" s="17">
        <v>0</v>
      </c>
      <c r="AY130" s="16">
        <v>0</v>
      </c>
      <c r="AZ130" s="1">
        <v>0</v>
      </c>
      <c r="BA130" s="1">
        <v>0</v>
      </c>
      <c r="BB130" s="17">
        <v>0</v>
      </c>
      <c r="BC130" s="16">
        <v>0</v>
      </c>
      <c r="BD130" s="17">
        <v>0</v>
      </c>
      <c r="BE130" s="18">
        <v>107</v>
      </c>
      <c r="BF130" s="16">
        <v>1</v>
      </c>
      <c r="BG130" s="1">
        <v>1</v>
      </c>
      <c r="BH130" s="1"/>
      <c r="BI130" s="1">
        <v>0</v>
      </c>
      <c r="BJ130" s="16">
        <v>0</v>
      </c>
      <c r="BK130" s="1">
        <v>1</v>
      </c>
      <c r="BL130" s="16">
        <v>76.760000000000005</v>
      </c>
      <c r="BM130" s="1"/>
      <c r="BN130" s="1"/>
      <c r="BO130" s="1"/>
      <c r="BP130" s="1"/>
      <c r="BQ130" s="1"/>
      <c r="BR130" s="1"/>
      <c r="BS130" s="1"/>
      <c r="BT130" s="17"/>
      <c r="BU130" s="16">
        <v>78.489999999999995</v>
      </c>
      <c r="BV130" s="1"/>
      <c r="BW130" s="1"/>
      <c r="BX130" s="1"/>
      <c r="BY130" s="1"/>
      <c r="BZ130" s="1"/>
      <c r="CA130" s="1"/>
      <c r="CB130" s="17"/>
      <c r="CC130" s="16">
        <v>68.88</v>
      </c>
      <c r="CD130" s="1"/>
      <c r="CE130" s="17"/>
      <c r="CF130" s="16"/>
      <c r="CG130" s="1"/>
      <c r="CH130" s="17"/>
      <c r="CI130" s="16"/>
      <c r="CJ130" s="17"/>
      <c r="CK130" s="16"/>
      <c r="CL130" s="17"/>
      <c r="CM130" s="16"/>
      <c r="CN130" s="1"/>
      <c r="CO130" s="1"/>
      <c r="CP130" s="1"/>
      <c r="CQ130" s="1"/>
      <c r="CR130" s="17"/>
      <c r="CS130" s="16"/>
      <c r="CT130" s="1"/>
      <c r="CU130" s="1"/>
      <c r="CV130" s="17"/>
      <c r="CW130" s="16">
        <v>68.39</v>
      </c>
      <c r="CX130" s="1"/>
      <c r="CY130" s="1"/>
      <c r="CZ130" s="17"/>
      <c r="DA130" s="18"/>
      <c r="DB130" s="6"/>
    </row>
    <row r="131" spans="1:106" ht="17" thickBot="1">
      <c r="A131" s="55" t="s">
        <v>320</v>
      </c>
      <c r="B131" s="38" t="s">
        <v>311</v>
      </c>
      <c r="C131" s="22" t="s">
        <v>119</v>
      </c>
      <c r="D131" s="37"/>
      <c r="E131" s="39">
        <v>1000</v>
      </c>
      <c r="F131" s="39"/>
      <c r="G131" s="22">
        <v>2890</v>
      </c>
      <c r="H131" s="38">
        <v>2.236842105263158</v>
      </c>
      <c r="I131" s="39">
        <v>2</v>
      </c>
      <c r="J131" s="22">
        <v>0</v>
      </c>
      <c r="K131" s="37">
        <v>0</v>
      </c>
      <c r="L131" s="37">
        <v>0</v>
      </c>
      <c r="M131" s="37">
        <v>1</v>
      </c>
      <c r="N131" s="38">
        <v>0</v>
      </c>
      <c r="O131" s="22">
        <v>10</v>
      </c>
      <c r="P131" s="22">
        <v>1</v>
      </c>
      <c r="Q131" s="37">
        <v>0</v>
      </c>
      <c r="R131" s="37">
        <v>0</v>
      </c>
      <c r="S131" s="38">
        <v>0</v>
      </c>
      <c r="T131" s="22">
        <v>1000</v>
      </c>
      <c r="U131" s="22">
        <v>0</v>
      </c>
      <c r="V131" s="37">
        <v>0</v>
      </c>
      <c r="W131" s="37">
        <v>0</v>
      </c>
      <c r="X131" s="37">
        <v>1</v>
      </c>
      <c r="Y131" s="38">
        <v>0</v>
      </c>
      <c r="Z131" s="39">
        <v>10</v>
      </c>
      <c r="AA131" s="39">
        <v>1</v>
      </c>
      <c r="AB131" s="39">
        <v>1</v>
      </c>
      <c r="AC131" s="22">
        <v>1</v>
      </c>
      <c r="AD131" s="38">
        <v>1</v>
      </c>
      <c r="AE131" s="22">
        <v>0</v>
      </c>
      <c r="AF131" s="37">
        <v>1</v>
      </c>
      <c r="AG131" s="37">
        <v>1</v>
      </c>
      <c r="AH131" s="39">
        <v>11</v>
      </c>
      <c r="AI131" s="22">
        <v>1309</v>
      </c>
      <c r="AJ131" s="38">
        <v>2100</v>
      </c>
      <c r="AK131" s="22">
        <v>19</v>
      </c>
      <c r="AL131" s="38">
        <v>1</v>
      </c>
      <c r="AM131" s="22">
        <v>1</v>
      </c>
      <c r="AN131" s="37">
        <v>0</v>
      </c>
      <c r="AO131" s="37">
        <v>0</v>
      </c>
      <c r="AP131" s="37">
        <v>0</v>
      </c>
      <c r="AQ131" s="37">
        <v>0</v>
      </c>
      <c r="AR131" s="37">
        <v>12</v>
      </c>
      <c r="AS131" s="37">
        <v>65</v>
      </c>
      <c r="AT131" s="37">
        <v>0</v>
      </c>
      <c r="AU131" s="37">
        <v>43</v>
      </c>
      <c r="AV131" s="37">
        <v>12</v>
      </c>
      <c r="AW131" s="37">
        <v>87</v>
      </c>
      <c r="AX131" s="38">
        <v>0</v>
      </c>
      <c r="AY131" s="22">
        <v>0</v>
      </c>
      <c r="AZ131" s="37">
        <v>0</v>
      </c>
      <c r="BA131" s="37">
        <v>0</v>
      </c>
      <c r="BB131" s="38">
        <v>0</v>
      </c>
      <c r="BC131" s="22">
        <v>0</v>
      </c>
      <c r="BD131" s="38">
        <v>0</v>
      </c>
      <c r="BE131" s="39">
        <v>122</v>
      </c>
      <c r="BF131" s="22">
        <v>1</v>
      </c>
      <c r="BG131" s="37">
        <v>1</v>
      </c>
      <c r="BH131" s="37"/>
      <c r="BI131" s="37">
        <v>0</v>
      </c>
      <c r="BJ131" s="22">
        <v>0</v>
      </c>
      <c r="BK131" s="37">
        <v>1</v>
      </c>
      <c r="BL131" s="22"/>
      <c r="BM131" s="37"/>
      <c r="BN131" s="37"/>
      <c r="BO131" s="37"/>
      <c r="BP131" s="37"/>
      <c r="BQ131" s="37"/>
      <c r="BR131" s="37"/>
      <c r="BS131" s="37"/>
      <c r="BT131" s="38"/>
      <c r="BU131" s="22"/>
      <c r="BV131" s="37"/>
      <c r="BW131" s="37"/>
      <c r="BX131" s="37"/>
      <c r="BY131" s="37"/>
      <c r="BZ131" s="37"/>
      <c r="CA131" s="37"/>
      <c r="CB131" s="38"/>
      <c r="CC131" s="22"/>
      <c r="CD131" s="37"/>
      <c r="CE131" s="38"/>
      <c r="CF131" s="22"/>
      <c r="CG131" s="37"/>
      <c r="CH131" s="38"/>
      <c r="CI131" s="22"/>
      <c r="CJ131" s="38"/>
      <c r="CK131" s="22"/>
      <c r="CL131" s="38"/>
      <c r="CM131" s="22"/>
      <c r="CN131" s="37"/>
      <c r="CO131" s="37"/>
      <c r="CP131" s="37"/>
      <c r="CQ131" s="37"/>
      <c r="CR131" s="38"/>
      <c r="CS131" s="22"/>
      <c r="CT131" s="37"/>
      <c r="CU131" s="37"/>
      <c r="CV131" s="38"/>
      <c r="CW131" s="22"/>
      <c r="CX131" s="37"/>
      <c r="CY131" s="37"/>
      <c r="CZ131" s="38"/>
      <c r="DA131" s="39"/>
      <c r="DB131" s="6"/>
    </row>
    <row r="132" spans="1:106" ht="17" thickBot="1">
      <c r="A132" s="42" t="s">
        <v>320</v>
      </c>
      <c r="B132" s="17" t="s">
        <v>585</v>
      </c>
      <c r="C132" s="16" t="s">
        <v>65</v>
      </c>
      <c r="D132" s="1" t="s">
        <v>1</v>
      </c>
      <c r="E132" s="18">
        <v>100</v>
      </c>
      <c r="F132" s="18"/>
      <c r="G132" s="16">
        <v>1716</v>
      </c>
      <c r="H132" s="17">
        <v>1.340625</v>
      </c>
      <c r="I132" s="18">
        <v>2</v>
      </c>
      <c r="J132" s="16">
        <v>1</v>
      </c>
      <c r="K132" s="1">
        <v>0</v>
      </c>
      <c r="L132" s="1">
        <v>0</v>
      </c>
      <c r="M132" s="1">
        <v>0</v>
      </c>
      <c r="N132" s="17">
        <v>0</v>
      </c>
      <c r="O132" s="16">
        <v>10000</v>
      </c>
      <c r="P132" s="16">
        <v>0</v>
      </c>
      <c r="Q132" s="1">
        <v>0</v>
      </c>
      <c r="R132" s="1">
        <v>0</v>
      </c>
      <c r="S132" s="17">
        <v>1</v>
      </c>
      <c r="T132" s="16">
        <v>100</v>
      </c>
      <c r="U132" s="16">
        <v>1</v>
      </c>
      <c r="V132" s="1">
        <v>0</v>
      </c>
      <c r="W132" s="1">
        <v>0</v>
      </c>
      <c r="X132" s="1">
        <v>0</v>
      </c>
      <c r="Y132" s="17">
        <v>0</v>
      </c>
      <c r="Z132" s="18">
        <v>10000</v>
      </c>
      <c r="AA132" s="18">
        <v>1</v>
      </c>
      <c r="AB132" s="18">
        <v>2</v>
      </c>
      <c r="AC132" s="16">
        <v>1</v>
      </c>
      <c r="AD132" s="17">
        <v>4</v>
      </c>
      <c r="AE132" s="16">
        <v>0</v>
      </c>
      <c r="AF132" s="1">
        <v>0</v>
      </c>
      <c r="AG132" s="1">
        <v>1</v>
      </c>
      <c r="AH132" s="18">
        <v>1</v>
      </c>
      <c r="AI132" s="16">
        <v>1072</v>
      </c>
      <c r="AJ132" s="17">
        <v>1320</v>
      </c>
      <c r="AK132" s="16">
        <v>12</v>
      </c>
      <c r="AL132" s="17">
        <v>1</v>
      </c>
      <c r="AM132" s="16">
        <v>1</v>
      </c>
      <c r="AN132" s="1">
        <v>0</v>
      </c>
      <c r="AO132" s="1">
        <v>0</v>
      </c>
      <c r="AP132" s="1">
        <v>0</v>
      </c>
      <c r="AQ132" s="1">
        <v>0</v>
      </c>
      <c r="AR132" s="1">
        <v>0</v>
      </c>
      <c r="AS132" s="1">
        <v>0</v>
      </c>
      <c r="AT132" s="1">
        <v>5</v>
      </c>
      <c r="AU132" s="1">
        <v>63</v>
      </c>
      <c r="AV132" s="1">
        <v>24</v>
      </c>
      <c r="AW132" s="1">
        <v>181</v>
      </c>
      <c r="AX132" s="17">
        <v>0</v>
      </c>
      <c r="AY132" s="16">
        <v>0</v>
      </c>
      <c r="AZ132" s="1">
        <v>2</v>
      </c>
      <c r="BA132" s="1">
        <v>0</v>
      </c>
      <c r="BB132" s="17">
        <v>0</v>
      </c>
      <c r="BC132" s="16">
        <v>0</v>
      </c>
      <c r="BD132" s="17">
        <v>200</v>
      </c>
      <c r="BE132" s="18">
        <v>147</v>
      </c>
      <c r="BF132" s="16">
        <v>0</v>
      </c>
      <c r="BG132" s="1">
        <v>0</v>
      </c>
      <c r="BH132" s="1"/>
      <c r="BI132" s="1">
        <v>0</v>
      </c>
      <c r="BJ132" s="16">
        <v>0</v>
      </c>
      <c r="BK132" s="1">
        <v>1</v>
      </c>
      <c r="BL132" s="16"/>
      <c r="BM132" s="1"/>
      <c r="BN132" s="1"/>
      <c r="BO132" s="1"/>
      <c r="BP132" s="1"/>
      <c r="BQ132" s="1"/>
      <c r="BR132" s="1"/>
      <c r="BS132" s="1"/>
      <c r="BT132" s="17"/>
      <c r="BU132" s="16"/>
      <c r="BV132" s="1"/>
      <c r="BW132" s="1"/>
      <c r="BX132" s="1"/>
      <c r="BY132" s="1"/>
      <c r="BZ132" s="1"/>
      <c r="CA132" s="1"/>
      <c r="CB132" s="17"/>
      <c r="CC132" s="16"/>
      <c r="CD132" s="1"/>
      <c r="CE132" s="17"/>
      <c r="CF132" s="16"/>
      <c r="CG132" s="1"/>
      <c r="CH132" s="17"/>
      <c r="CI132" s="16"/>
      <c r="CJ132" s="17"/>
      <c r="CK132" s="16"/>
      <c r="CL132" s="17"/>
      <c r="CM132" s="16"/>
      <c r="CN132" s="1"/>
      <c r="CO132" s="1"/>
      <c r="CP132" s="1"/>
      <c r="CQ132" s="1"/>
      <c r="CR132" s="17"/>
      <c r="CS132" s="16"/>
      <c r="CT132" s="1"/>
      <c r="CU132" s="1"/>
      <c r="CV132" s="17"/>
      <c r="CW132" s="16"/>
      <c r="CX132" s="1"/>
      <c r="CY132" s="1"/>
      <c r="CZ132" s="17"/>
      <c r="DA132" s="18"/>
      <c r="DB132" s="6"/>
    </row>
    <row r="133" spans="1:106" ht="17" thickBot="1">
      <c r="A133" s="88" t="s">
        <v>320</v>
      </c>
      <c r="B133" s="200" t="s">
        <v>305</v>
      </c>
      <c r="C133" s="201" t="s">
        <v>87</v>
      </c>
      <c r="D133" s="202"/>
      <c r="E133" s="46">
        <v>1000</v>
      </c>
      <c r="F133" s="46"/>
      <c r="G133" s="201">
        <v>593</v>
      </c>
      <c r="H133" s="200">
        <v>1.2328482328482329</v>
      </c>
      <c r="I133" s="46">
        <v>2</v>
      </c>
      <c r="J133" s="201">
        <v>0</v>
      </c>
      <c r="K133" s="202">
        <v>0</v>
      </c>
      <c r="L133" s="202">
        <v>1</v>
      </c>
      <c r="M133" s="202">
        <v>1</v>
      </c>
      <c r="N133" s="200">
        <v>0</v>
      </c>
      <c r="O133" s="201">
        <v>110</v>
      </c>
      <c r="P133" s="201">
        <v>1</v>
      </c>
      <c r="Q133" s="202">
        <v>0</v>
      </c>
      <c r="R133" s="202">
        <v>0</v>
      </c>
      <c r="S133" s="200">
        <v>0</v>
      </c>
      <c r="T133" s="201">
        <v>1000</v>
      </c>
      <c r="U133" s="201">
        <v>1</v>
      </c>
      <c r="V133" s="202">
        <v>0</v>
      </c>
      <c r="W133" s="202">
        <v>0</v>
      </c>
      <c r="X133" s="202">
        <v>1</v>
      </c>
      <c r="Y133" s="200">
        <v>0</v>
      </c>
      <c r="Z133" s="46">
        <v>10010</v>
      </c>
      <c r="AA133" s="46">
        <v>2</v>
      </c>
      <c r="AB133" s="46">
        <v>0</v>
      </c>
      <c r="AC133" s="201">
        <v>0</v>
      </c>
      <c r="AD133" s="200">
        <v>0</v>
      </c>
      <c r="AE133" s="201">
        <v>0</v>
      </c>
      <c r="AF133" s="202">
        <v>0</v>
      </c>
      <c r="AG133" s="202">
        <v>1</v>
      </c>
      <c r="AH133" s="46">
        <v>1</v>
      </c>
      <c r="AI133" s="201">
        <v>481</v>
      </c>
      <c r="AJ133" s="200">
        <v>593</v>
      </c>
      <c r="AK133" s="201">
        <v>6</v>
      </c>
      <c r="AL133" s="200">
        <v>1</v>
      </c>
      <c r="AM133" s="201">
        <v>1</v>
      </c>
      <c r="AN133" s="202">
        <v>0</v>
      </c>
      <c r="AO133" s="202">
        <v>0</v>
      </c>
      <c r="AP133" s="202">
        <v>0</v>
      </c>
      <c r="AQ133" s="202">
        <v>0</v>
      </c>
      <c r="AR133" s="202">
        <v>0</v>
      </c>
      <c r="AS133" s="202">
        <v>0</v>
      </c>
      <c r="AT133" s="202">
        <v>0</v>
      </c>
      <c r="AU133" s="202">
        <v>0</v>
      </c>
      <c r="AV133" s="202">
        <v>34</v>
      </c>
      <c r="AW133" s="202">
        <v>0</v>
      </c>
      <c r="AX133" s="200">
        <v>0</v>
      </c>
      <c r="AY133" s="201">
        <v>0</v>
      </c>
      <c r="AZ133" s="202">
        <v>0</v>
      </c>
      <c r="BA133" s="202">
        <v>0</v>
      </c>
      <c r="BB133" s="200">
        <v>0</v>
      </c>
      <c r="BC133" s="201">
        <v>0</v>
      </c>
      <c r="BD133" s="200">
        <v>0</v>
      </c>
      <c r="BE133" s="46">
        <v>99</v>
      </c>
      <c r="BF133" s="201">
        <v>0</v>
      </c>
      <c r="BG133" s="202">
        <v>0</v>
      </c>
      <c r="BH133" s="202"/>
      <c r="BI133" s="202">
        <v>0</v>
      </c>
      <c r="BJ133" s="201">
        <v>0</v>
      </c>
      <c r="BK133" s="202">
        <v>1</v>
      </c>
      <c r="BL133" s="201"/>
      <c r="BM133" s="202"/>
      <c r="BN133" s="202"/>
      <c r="BO133" s="202"/>
      <c r="BP133" s="202"/>
      <c r="BQ133" s="202"/>
      <c r="BR133" s="202"/>
      <c r="BS133" s="202"/>
      <c r="BT133" s="200"/>
      <c r="BU133" s="201"/>
      <c r="BV133" s="202"/>
      <c r="BW133" s="202"/>
      <c r="BX133" s="202"/>
      <c r="BY133" s="202"/>
      <c r="BZ133" s="202"/>
      <c r="CA133" s="202"/>
      <c r="CB133" s="200"/>
      <c r="CC133" s="201"/>
      <c r="CD133" s="202"/>
      <c r="CE133" s="200"/>
      <c r="CF133" s="201"/>
      <c r="CG133" s="202"/>
      <c r="CH133" s="200"/>
      <c r="CI133" s="201"/>
      <c r="CJ133" s="200"/>
      <c r="CK133" s="201"/>
      <c r="CL133" s="200"/>
      <c r="CM133" s="201"/>
      <c r="CN133" s="202"/>
      <c r="CO133" s="202"/>
      <c r="CP133" s="202"/>
      <c r="CQ133" s="202"/>
      <c r="CR133" s="200"/>
      <c r="CS133" s="201"/>
      <c r="CT133" s="202"/>
      <c r="CU133" s="202"/>
      <c r="CV133" s="200"/>
      <c r="CW133" s="201"/>
      <c r="CX133" s="202"/>
      <c r="CY133" s="202"/>
      <c r="CZ133" s="200"/>
      <c r="DA133" s="46"/>
      <c r="DB133" s="6"/>
    </row>
    <row r="134" spans="1:106">
      <c r="A134" s="42" t="s">
        <v>326</v>
      </c>
      <c r="B134" s="17" t="s">
        <v>138</v>
      </c>
      <c r="C134" s="16" t="s">
        <v>65</v>
      </c>
      <c r="D134" s="1"/>
      <c r="E134" s="18">
        <v>1000</v>
      </c>
      <c r="F134" s="18"/>
      <c r="G134" s="16">
        <v>2106</v>
      </c>
      <c r="H134" s="17">
        <v>1.4239350912778905</v>
      </c>
      <c r="I134" s="18">
        <v>89</v>
      </c>
      <c r="J134" s="16">
        <v>0</v>
      </c>
      <c r="K134" s="1">
        <v>0</v>
      </c>
      <c r="L134" s="1">
        <v>1</v>
      </c>
      <c r="M134" s="1">
        <v>0</v>
      </c>
      <c r="N134" s="17">
        <v>0</v>
      </c>
      <c r="O134" s="16">
        <v>100</v>
      </c>
      <c r="P134" s="16">
        <v>1</v>
      </c>
      <c r="Q134" s="1">
        <v>0</v>
      </c>
      <c r="R134" s="1">
        <v>0</v>
      </c>
      <c r="S134" s="17">
        <v>0</v>
      </c>
      <c r="T134" s="16">
        <v>1000</v>
      </c>
      <c r="U134" s="16">
        <v>0</v>
      </c>
      <c r="V134" s="1">
        <v>2</v>
      </c>
      <c r="W134" s="1">
        <v>0</v>
      </c>
      <c r="X134" s="1">
        <v>1</v>
      </c>
      <c r="Y134" s="17">
        <v>0</v>
      </c>
      <c r="Z134" s="18">
        <v>2010</v>
      </c>
      <c r="AA134" s="18">
        <v>3</v>
      </c>
      <c r="AB134" s="18">
        <v>0</v>
      </c>
      <c r="AC134" s="16">
        <v>0</v>
      </c>
      <c r="AD134" s="17">
        <v>0</v>
      </c>
      <c r="AE134" s="16">
        <v>1</v>
      </c>
      <c r="AF134" s="1">
        <v>1</v>
      </c>
      <c r="AG134" s="1">
        <v>1</v>
      </c>
      <c r="AH134" s="18">
        <v>111</v>
      </c>
      <c r="AI134" s="16">
        <v>50</v>
      </c>
      <c r="AJ134" s="17">
        <v>530</v>
      </c>
      <c r="AK134" s="16"/>
      <c r="AL134" s="17">
        <v>1</v>
      </c>
      <c r="AM134" s="16">
        <v>5</v>
      </c>
      <c r="AN134" s="1">
        <v>0</v>
      </c>
      <c r="AO134" s="1">
        <v>4</v>
      </c>
      <c r="AP134" s="1">
        <v>0</v>
      </c>
      <c r="AQ134" s="1">
        <v>0</v>
      </c>
      <c r="AR134" s="1">
        <v>6</v>
      </c>
      <c r="AS134" s="1">
        <v>62</v>
      </c>
      <c r="AT134" s="1">
        <v>5</v>
      </c>
      <c r="AU134" s="1">
        <v>26</v>
      </c>
      <c r="AV134" s="1">
        <v>5</v>
      </c>
      <c r="AW134" s="1">
        <v>285</v>
      </c>
      <c r="AX134" s="17">
        <v>0</v>
      </c>
      <c r="AY134" s="16">
        <v>0</v>
      </c>
      <c r="AZ134" s="1">
        <v>1</v>
      </c>
      <c r="BA134" s="1">
        <v>0</v>
      </c>
      <c r="BB134" s="17">
        <v>1</v>
      </c>
      <c r="BC134" s="16">
        <v>0</v>
      </c>
      <c r="BD134" s="17">
        <v>101</v>
      </c>
      <c r="BE134" s="18">
        <v>126</v>
      </c>
      <c r="BF134" s="16">
        <v>1</v>
      </c>
      <c r="BG134" s="1">
        <v>0</v>
      </c>
      <c r="BH134" s="1"/>
      <c r="BI134" s="1">
        <v>0</v>
      </c>
      <c r="BJ134" s="16">
        <v>1</v>
      </c>
      <c r="BK134" s="1">
        <v>0</v>
      </c>
      <c r="BL134" s="16">
        <v>77.09</v>
      </c>
      <c r="BM134" s="1">
        <v>73.62</v>
      </c>
      <c r="BN134" s="1"/>
      <c r="BO134" s="1"/>
      <c r="BP134" s="1"/>
      <c r="BQ134" s="1"/>
      <c r="BR134" s="1"/>
      <c r="BS134" s="1"/>
      <c r="BT134" s="17"/>
      <c r="BU134" s="16">
        <v>72.64</v>
      </c>
      <c r="BV134" s="1">
        <v>83.6</v>
      </c>
      <c r="BW134" s="1"/>
      <c r="BX134" s="1"/>
      <c r="BY134" s="1"/>
      <c r="BZ134" s="1"/>
      <c r="CA134" s="1"/>
      <c r="CB134" s="17"/>
      <c r="CC134" s="16"/>
      <c r="CD134" s="1"/>
      <c r="CE134" s="17"/>
      <c r="CF134" s="16">
        <v>51.73</v>
      </c>
      <c r="CG134" s="1">
        <v>61.23</v>
      </c>
      <c r="CH134" s="17"/>
      <c r="CI134" s="16"/>
      <c r="CJ134" s="17"/>
      <c r="CK134" s="16"/>
      <c r="CL134" s="17"/>
      <c r="CM134" s="16"/>
      <c r="CN134" s="1"/>
      <c r="CO134" s="1"/>
      <c r="CP134" s="1"/>
      <c r="CQ134" s="1"/>
      <c r="CR134" s="17"/>
      <c r="CS134" s="16"/>
      <c r="CT134" s="1"/>
      <c r="CU134" s="1"/>
      <c r="CV134" s="17"/>
      <c r="CW134" s="16"/>
      <c r="CX134" s="1"/>
      <c r="CY134" s="1"/>
      <c r="CZ134" s="17"/>
      <c r="DA134" s="18"/>
      <c r="DB134" s="6"/>
    </row>
    <row r="135" spans="1:106">
      <c r="A135" s="42" t="s">
        <v>326</v>
      </c>
      <c r="B135" s="17" t="s">
        <v>138</v>
      </c>
      <c r="C135" s="16" t="s">
        <v>64</v>
      </c>
      <c r="D135" s="1"/>
      <c r="E135" s="18">
        <v>1001</v>
      </c>
      <c r="F135" s="18"/>
      <c r="G135" s="16">
        <v>1110</v>
      </c>
      <c r="H135" s="17">
        <v>1.0072595281306715</v>
      </c>
      <c r="I135" s="18">
        <v>14</v>
      </c>
      <c r="J135" s="16">
        <v>0</v>
      </c>
      <c r="K135" s="1">
        <v>0</v>
      </c>
      <c r="L135" s="1">
        <v>1</v>
      </c>
      <c r="M135" s="1">
        <v>1</v>
      </c>
      <c r="N135" s="17">
        <v>0</v>
      </c>
      <c r="O135" s="16">
        <v>110</v>
      </c>
      <c r="P135" s="16">
        <v>1</v>
      </c>
      <c r="Q135" s="1">
        <v>0</v>
      </c>
      <c r="R135" s="1">
        <v>1</v>
      </c>
      <c r="S135" s="17">
        <v>0</v>
      </c>
      <c r="T135" s="16">
        <v>1001</v>
      </c>
      <c r="U135" s="16">
        <v>1</v>
      </c>
      <c r="V135" s="1">
        <v>0</v>
      </c>
      <c r="W135" s="1">
        <v>0</v>
      </c>
      <c r="X135" s="1">
        <v>0</v>
      </c>
      <c r="Y135" s="17">
        <v>0</v>
      </c>
      <c r="Z135" s="18">
        <v>10000</v>
      </c>
      <c r="AA135" s="18">
        <v>1</v>
      </c>
      <c r="AB135" s="18">
        <v>0</v>
      </c>
      <c r="AC135" s="16">
        <v>0</v>
      </c>
      <c r="AD135" s="17">
        <v>0</v>
      </c>
      <c r="AE135" s="16">
        <v>1</v>
      </c>
      <c r="AF135" s="1">
        <v>1</v>
      </c>
      <c r="AG135" s="1">
        <v>1</v>
      </c>
      <c r="AH135" s="18">
        <v>111</v>
      </c>
      <c r="AI135" s="16">
        <v>42</v>
      </c>
      <c r="AJ135" s="17">
        <v>1110</v>
      </c>
      <c r="AK135" s="16"/>
      <c r="AL135" s="17">
        <v>1</v>
      </c>
      <c r="AM135" s="16">
        <v>0</v>
      </c>
      <c r="AN135" s="1">
        <v>0</v>
      </c>
      <c r="AO135" s="1">
        <v>0</v>
      </c>
      <c r="AP135" s="1">
        <v>0</v>
      </c>
      <c r="AQ135" s="1">
        <v>0</v>
      </c>
      <c r="AR135" s="1">
        <v>0</v>
      </c>
      <c r="AS135" s="1">
        <v>0</v>
      </c>
      <c r="AT135" s="1">
        <v>0</v>
      </c>
      <c r="AU135" s="1">
        <v>0</v>
      </c>
      <c r="AV135" s="1">
        <v>0</v>
      </c>
      <c r="AW135" s="1">
        <v>0</v>
      </c>
      <c r="AX135" s="17">
        <v>0</v>
      </c>
      <c r="AY135" s="16">
        <v>0</v>
      </c>
      <c r="AZ135" s="1">
        <v>0</v>
      </c>
      <c r="BA135" s="1">
        <v>0</v>
      </c>
      <c r="BB135" s="17">
        <v>0</v>
      </c>
      <c r="BC135" s="16">
        <v>0</v>
      </c>
      <c r="BD135" s="17">
        <v>0</v>
      </c>
      <c r="BE135" s="18">
        <v>142</v>
      </c>
      <c r="BF135" s="16">
        <v>1</v>
      </c>
      <c r="BG135" s="1">
        <v>0</v>
      </c>
      <c r="BH135" s="1"/>
      <c r="BI135" s="1">
        <v>0</v>
      </c>
      <c r="BJ135" s="16">
        <v>1</v>
      </c>
      <c r="BK135" s="1">
        <v>0</v>
      </c>
      <c r="BL135" s="16"/>
      <c r="BM135" s="1"/>
      <c r="BN135" s="1"/>
      <c r="BO135" s="1"/>
      <c r="BP135" s="1"/>
      <c r="BQ135" s="1"/>
      <c r="BR135" s="1"/>
      <c r="BS135" s="1"/>
      <c r="BT135" s="17"/>
      <c r="BU135" s="16"/>
      <c r="BV135" s="1"/>
      <c r="BW135" s="1"/>
      <c r="BX135" s="1"/>
      <c r="BY135" s="1"/>
      <c r="BZ135" s="1"/>
      <c r="CA135" s="1"/>
      <c r="CB135" s="17"/>
      <c r="CC135" s="16"/>
      <c r="CD135" s="1"/>
      <c r="CE135" s="17"/>
      <c r="CF135" s="16"/>
      <c r="CG135" s="1"/>
      <c r="CH135" s="17"/>
      <c r="CI135" s="16"/>
      <c r="CJ135" s="17"/>
      <c r="CK135" s="16"/>
      <c r="CL135" s="17"/>
      <c r="CM135" s="16"/>
      <c r="CN135" s="1"/>
      <c r="CO135" s="1"/>
      <c r="CP135" s="1"/>
      <c r="CQ135" s="1"/>
      <c r="CR135" s="17"/>
      <c r="CS135" s="16"/>
      <c r="CT135" s="1"/>
      <c r="CU135" s="1"/>
      <c r="CV135" s="17"/>
      <c r="CW135" s="16"/>
      <c r="CX135" s="1"/>
      <c r="CY135" s="1"/>
      <c r="CZ135" s="17"/>
      <c r="DA135" s="18"/>
      <c r="DB135" s="6"/>
    </row>
    <row r="136" spans="1:106">
      <c r="A136" s="42" t="s">
        <v>326</v>
      </c>
      <c r="B136" s="17" t="s">
        <v>138</v>
      </c>
      <c r="C136" s="16" t="s">
        <v>66</v>
      </c>
      <c r="D136" s="1"/>
      <c r="E136" s="18">
        <v>1101</v>
      </c>
      <c r="F136" s="18"/>
      <c r="G136" s="16">
        <v>1211</v>
      </c>
      <c r="H136" s="17">
        <v>2.1060869565217391</v>
      </c>
      <c r="I136" s="18">
        <v>13</v>
      </c>
      <c r="J136" s="16">
        <v>0</v>
      </c>
      <c r="K136" s="1">
        <v>1</v>
      </c>
      <c r="L136" s="1">
        <v>1</v>
      </c>
      <c r="M136" s="1">
        <v>1</v>
      </c>
      <c r="N136" s="17">
        <v>0</v>
      </c>
      <c r="O136" s="16">
        <v>1110</v>
      </c>
      <c r="P136" s="16">
        <v>1</v>
      </c>
      <c r="Q136" s="1">
        <v>0</v>
      </c>
      <c r="R136" s="1">
        <v>1</v>
      </c>
      <c r="S136" s="17">
        <v>1</v>
      </c>
      <c r="T136" s="16">
        <v>1101</v>
      </c>
      <c r="U136" s="16">
        <v>0</v>
      </c>
      <c r="V136" s="1">
        <v>0</v>
      </c>
      <c r="W136" s="1">
        <v>1</v>
      </c>
      <c r="X136" s="1">
        <v>1</v>
      </c>
      <c r="Y136" s="17">
        <v>0</v>
      </c>
      <c r="Z136" s="18">
        <v>110</v>
      </c>
      <c r="AA136" s="18">
        <v>2</v>
      </c>
      <c r="AB136" s="18">
        <v>0</v>
      </c>
      <c r="AC136" s="16">
        <v>0</v>
      </c>
      <c r="AD136" s="17">
        <v>0</v>
      </c>
      <c r="AE136" s="16">
        <v>1</v>
      </c>
      <c r="AF136" s="1">
        <v>1</v>
      </c>
      <c r="AG136" s="1">
        <v>1</v>
      </c>
      <c r="AH136" s="18">
        <v>111</v>
      </c>
      <c r="AI136" s="16">
        <v>39</v>
      </c>
      <c r="AJ136" s="17">
        <v>1107</v>
      </c>
      <c r="AK136" s="16"/>
      <c r="AL136" s="17">
        <v>1</v>
      </c>
      <c r="AM136" s="16">
        <v>1</v>
      </c>
      <c r="AN136" s="1">
        <v>0</v>
      </c>
      <c r="AO136" s="1">
        <v>0</v>
      </c>
      <c r="AP136" s="1">
        <v>0</v>
      </c>
      <c r="AQ136" s="1">
        <v>0</v>
      </c>
      <c r="AR136" s="1">
        <v>2</v>
      </c>
      <c r="AS136" s="1">
        <v>31</v>
      </c>
      <c r="AT136" s="1">
        <v>0</v>
      </c>
      <c r="AU136" s="1">
        <v>26</v>
      </c>
      <c r="AV136" s="1">
        <v>0</v>
      </c>
      <c r="AW136" s="1">
        <v>0</v>
      </c>
      <c r="AX136" s="17">
        <v>0</v>
      </c>
      <c r="AY136" s="16">
        <v>0</v>
      </c>
      <c r="AZ136" s="1">
        <v>0</v>
      </c>
      <c r="BA136" s="1">
        <v>0</v>
      </c>
      <c r="BB136" s="17">
        <v>0</v>
      </c>
      <c r="BC136" s="16">
        <v>0</v>
      </c>
      <c r="BD136" s="17">
        <v>0</v>
      </c>
      <c r="BE136" s="18">
        <v>122</v>
      </c>
      <c r="BF136" s="16">
        <v>1</v>
      </c>
      <c r="BG136" s="1">
        <v>0</v>
      </c>
      <c r="BH136" s="1"/>
      <c r="BI136" s="1">
        <v>0</v>
      </c>
      <c r="BJ136" s="16">
        <v>0</v>
      </c>
      <c r="BK136" s="1">
        <v>1</v>
      </c>
      <c r="BL136" s="16">
        <v>73.44</v>
      </c>
      <c r="BM136" s="1">
        <v>73.930000000000007</v>
      </c>
      <c r="BN136" s="1"/>
      <c r="BO136" s="1"/>
      <c r="BP136" s="1"/>
      <c r="BQ136" s="1"/>
      <c r="BR136" s="1"/>
      <c r="BS136" s="1"/>
      <c r="BT136" s="17"/>
      <c r="BU136" s="16">
        <v>80.66</v>
      </c>
      <c r="BV136" s="1">
        <v>79.61</v>
      </c>
      <c r="BW136" s="1"/>
      <c r="BX136" s="1"/>
      <c r="BY136" s="1"/>
      <c r="BZ136" s="1"/>
      <c r="CA136" s="1"/>
      <c r="CB136" s="17"/>
      <c r="CC136" s="16"/>
      <c r="CD136" s="1"/>
      <c r="CE136" s="17"/>
      <c r="CF136" s="16">
        <v>68.16</v>
      </c>
      <c r="CG136" s="1">
        <v>66.47</v>
      </c>
      <c r="CH136" s="17"/>
      <c r="CI136" s="16"/>
      <c r="CJ136" s="17"/>
      <c r="CK136" s="16"/>
      <c r="CL136" s="17"/>
      <c r="CM136" s="16"/>
      <c r="CN136" s="1"/>
      <c r="CO136" s="1"/>
      <c r="CP136" s="1"/>
      <c r="CQ136" s="1"/>
      <c r="CR136" s="17"/>
      <c r="CS136" s="16"/>
      <c r="CT136" s="1"/>
      <c r="CU136" s="1"/>
      <c r="CV136" s="17"/>
      <c r="CW136" s="16"/>
      <c r="CX136" s="1"/>
      <c r="CY136" s="1"/>
      <c r="CZ136" s="17"/>
      <c r="DA136" s="18"/>
      <c r="DB136" s="6"/>
    </row>
    <row r="137" spans="1:106">
      <c r="A137" s="42" t="s">
        <v>326</v>
      </c>
      <c r="B137" s="17" t="s">
        <v>138</v>
      </c>
      <c r="C137" s="16" t="s">
        <v>67</v>
      </c>
      <c r="D137" s="1"/>
      <c r="E137" s="18">
        <v>1001</v>
      </c>
      <c r="F137" s="18"/>
      <c r="G137" s="16">
        <v>1108</v>
      </c>
      <c r="H137" s="17">
        <v>1.7559429477020603</v>
      </c>
      <c r="I137" s="18">
        <v>6</v>
      </c>
      <c r="J137" s="16">
        <v>0</v>
      </c>
      <c r="K137" s="1">
        <v>0</v>
      </c>
      <c r="L137" s="1">
        <v>1</v>
      </c>
      <c r="M137" s="1">
        <v>1</v>
      </c>
      <c r="N137" s="17">
        <v>0</v>
      </c>
      <c r="O137" s="16">
        <v>110</v>
      </c>
      <c r="P137" s="16">
        <v>1</v>
      </c>
      <c r="Q137" s="1">
        <v>0</v>
      </c>
      <c r="R137" s="1">
        <v>1</v>
      </c>
      <c r="S137" s="17">
        <v>0</v>
      </c>
      <c r="T137" s="16">
        <v>1001</v>
      </c>
      <c r="U137" s="16">
        <v>1</v>
      </c>
      <c r="V137" s="1">
        <v>0</v>
      </c>
      <c r="W137" s="1">
        <v>1</v>
      </c>
      <c r="X137" s="1">
        <v>1</v>
      </c>
      <c r="Y137" s="17">
        <v>0</v>
      </c>
      <c r="Z137" s="18">
        <v>10110</v>
      </c>
      <c r="AA137" s="18">
        <v>3</v>
      </c>
      <c r="AB137" s="18">
        <v>0</v>
      </c>
      <c r="AC137" s="16">
        <v>0</v>
      </c>
      <c r="AD137" s="17">
        <v>0</v>
      </c>
      <c r="AE137" s="16">
        <v>1</v>
      </c>
      <c r="AF137" s="1">
        <v>1</v>
      </c>
      <c r="AG137" s="1">
        <v>1</v>
      </c>
      <c r="AH137" s="18">
        <v>111</v>
      </c>
      <c r="AI137" s="16">
        <v>94</v>
      </c>
      <c r="AJ137" s="17">
        <v>835</v>
      </c>
      <c r="AK137" s="16"/>
      <c r="AL137" s="17">
        <v>1</v>
      </c>
      <c r="AM137" s="16">
        <v>1</v>
      </c>
      <c r="AN137" s="1">
        <v>0</v>
      </c>
      <c r="AO137" s="1">
        <v>0</v>
      </c>
      <c r="AP137" s="1">
        <v>0</v>
      </c>
      <c r="AQ137" s="1">
        <v>0</v>
      </c>
      <c r="AR137" s="1">
        <v>8</v>
      </c>
      <c r="AS137" s="1">
        <v>24</v>
      </c>
      <c r="AT137" s="1">
        <v>0</v>
      </c>
      <c r="AU137" s="1">
        <v>0</v>
      </c>
      <c r="AV137" s="1">
        <v>12</v>
      </c>
      <c r="AW137" s="1">
        <v>31</v>
      </c>
      <c r="AX137" s="17">
        <v>0</v>
      </c>
      <c r="AY137" s="16">
        <v>0</v>
      </c>
      <c r="AZ137" s="1">
        <v>0</v>
      </c>
      <c r="BA137" s="1">
        <v>0</v>
      </c>
      <c r="BB137" s="17">
        <v>0</v>
      </c>
      <c r="BC137" s="16">
        <v>0</v>
      </c>
      <c r="BD137" s="17">
        <v>0</v>
      </c>
      <c r="BE137" s="18">
        <v>108</v>
      </c>
      <c r="BF137" s="16">
        <v>1</v>
      </c>
      <c r="BG137" s="1">
        <v>0</v>
      </c>
      <c r="BH137" s="1"/>
      <c r="BI137" s="1">
        <v>0</v>
      </c>
      <c r="BJ137" s="16">
        <v>0</v>
      </c>
      <c r="BK137" s="1">
        <v>1</v>
      </c>
      <c r="BL137" s="16"/>
      <c r="BM137" s="1"/>
      <c r="BN137" s="1"/>
      <c r="BO137" s="1"/>
      <c r="BP137" s="1"/>
      <c r="BQ137" s="1"/>
      <c r="BR137" s="1"/>
      <c r="BS137" s="1"/>
      <c r="BT137" s="17"/>
      <c r="BU137" s="16"/>
      <c r="BV137" s="1"/>
      <c r="BW137" s="1"/>
      <c r="BX137" s="1"/>
      <c r="BY137" s="1"/>
      <c r="BZ137" s="1"/>
      <c r="CA137" s="1"/>
      <c r="CB137" s="17"/>
      <c r="CC137" s="16"/>
      <c r="CD137" s="1"/>
      <c r="CE137" s="17"/>
      <c r="CF137" s="16"/>
      <c r="CG137" s="1"/>
      <c r="CH137" s="17"/>
      <c r="CI137" s="16"/>
      <c r="CJ137" s="17"/>
      <c r="CK137" s="16"/>
      <c r="CL137" s="17"/>
      <c r="CM137" s="16"/>
      <c r="CN137" s="1"/>
      <c r="CO137" s="1"/>
      <c r="CP137" s="1"/>
      <c r="CQ137" s="1"/>
      <c r="CR137" s="17"/>
      <c r="CS137" s="16"/>
      <c r="CT137" s="1"/>
      <c r="CU137" s="1"/>
      <c r="CV137" s="17"/>
      <c r="CW137" s="16"/>
      <c r="CX137" s="1"/>
      <c r="CY137" s="1"/>
      <c r="CZ137" s="17"/>
      <c r="DA137" s="18"/>
      <c r="DB137" s="6"/>
    </row>
    <row r="138" spans="1:106">
      <c r="A138" s="42" t="s">
        <v>326</v>
      </c>
      <c r="B138" s="17" t="s">
        <v>138</v>
      </c>
      <c r="C138" s="16" t="s">
        <v>76</v>
      </c>
      <c r="D138" s="1"/>
      <c r="E138" s="18">
        <v>1000</v>
      </c>
      <c r="F138" s="18"/>
      <c r="G138" s="16">
        <v>1290</v>
      </c>
      <c r="H138" s="17">
        <v>2.4571428571428573</v>
      </c>
      <c r="I138" s="18">
        <v>13</v>
      </c>
      <c r="J138" s="16">
        <v>0</v>
      </c>
      <c r="K138" s="1">
        <v>0</v>
      </c>
      <c r="L138" s="1">
        <v>1</v>
      </c>
      <c r="M138" s="1">
        <v>1</v>
      </c>
      <c r="N138" s="17">
        <v>0</v>
      </c>
      <c r="O138" s="16">
        <v>110</v>
      </c>
      <c r="P138" s="16">
        <v>1</v>
      </c>
      <c r="Q138" s="1">
        <v>0</v>
      </c>
      <c r="R138" s="1">
        <v>0</v>
      </c>
      <c r="S138" s="17">
        <v>0</v>
      </c>
      <c r="T138" s="16">
        <v>1000</v>
      </c>
      <c r="U138" s="16">
        <v>0</v>
      </c>
      <c r="V138" s="1">
        <v>0</v>
      </c>
      <c r="W138" s="1">
        <v>1</v>
      </c>
      <c r="X138" s="1">
        <v>1</v>
      </c>
      <c r="Y138" s="17">
        <v>0</v>
      </c>
      <c r="Z138" s="18">
        <v>110</v>
      </c>
      <c r="AA138" s="18">
        <v>2</v>
      </c>
      <c r="AB138" s="18">
        <v>0</v>
      </c>
      <c r="AC138" s="16">
        <v>0</v>
      </c>
      <c r="AD138" s="17">
        <v>0</v>
      </c>
      <c r="AE138" s="16">
        <v>1</v>
      </c>
      <c r="AF138" s="1">
        <v>0</v>
      </c>
      <c r="AG138" s="1">
        <v>1</v>
      </c>
      <c r="AH138" s="18">
        <v>101</v>
      </c>
      <c r="AI138" s="16">
        <v>73</v>
      </c>
      <c r="AJ138" s="17">
        <v>935</v>
      </c>
      <c r="AK138" s="16"/>
      <c r="AL138" s="17">
        <v>1</v>
      </c>
      <c r="AM138" s="16">
        <v>1</v>
      </c>
      <c r="AN138" s="1">
        <v>0</v>
      </c>
      <c r="AO138" s="1">
        <v>0</v>
      </c>
      <c r="AP138" s="1">
        <v>0</v>
      </c>
      <c r="AQ138" s="1">
        <v>0</v>
      </c>
      <c r="AR138" s="1">
        <v>0</v>
      </c>
      <c r="AS138" s="1">
        <v>0</v>
      </c>
      <c r="AT138" s="1">
        <v>3</v>
      </c>
      <c r="AU138" s="1">
        <v>24</v>
      </c>
      <c r="AV138" s="1">
        <v>0</v>
      </c>
      <c r="AW138" s="1">
        <v>0</v>
      </c>
      <c r="AX138" s="17">
        <v>0</v>
      </c>
      <c r="AY138" s="16">
        <v>0</v>
      </c>
      <c r="AZ138" s="1">
        <v>0</v>
      </c>
      <c r="BA138" s="1">
        <v>0</v>
      </c>
      <c r="BB138" s="17">
        <v>0</v>
      </c>
      <c r="BC138" s="16">
        <v>0</v>
      </c>
      <c r="BD138" s="17">
        <v>0</v>
      </c>
      <c r="BE138" s="18">
        <v>103</v>
      </c>
      <c r="BF138" s="16">
        <v>1</v>
      </c>
      <c r="BG138" s="1">
        <v>0</v>
      </c>
      <c r="BH138" s="1"/>
      <c r="BI138" s="1">
        <v>0</v>
      </c>
      <c r="BJ138" s="16">
        <v>0</v>
      </c>
      <c r="BK138" s="1">
        <v>1</v>
      </c>
      <c r="BL138" s="16"/>
      <c r="BM138" s="1"/>
      <c r="BN138" s="1"/>
      <c r="BO138" s="1"/>
      <c r="BP138" s="1"/>
      <c r="BQ138" s="1"/>
      <c r="BR138" s="1"/>
      <c r="BS138" s="1"/>
      <c r="BT138" s="17"/>
      <c r="BU138" s="16"/>
      <c r="BV138" s="1"/>
      <c r="BW138" s="1"/>
      <c r="BX138" s="1"/>
      <c r="BY138" s="1"/>
      <c r="BZ138" s="1"/>
      <c r="CA138" s="1"/>
      <c r="CB138" s="17"/>
      <c r="CC138" s="16"/>
      <c r="CD138" s="1"/>
      <c r="CE138" s="17"/>
      <c r="CF138" s="16"/>
      <c r="CG138" s="1"/>
      <c r="CH138" s="17"/>
      <c r="CI138" s="16"/>
      <c r="CJ138" s="17"/>
      <c r="CK138" s="16"/>
      <c r="CL138" s="17"/>
      <c r="CM138" s="16"/>
      <c r="CN138" s="1"/>
      <c r="CO138" s="1"/>
      <c r="CP138" s="1"/>
      <c r="CQ138" s="1"/>
      <c r="CR138" s="17"/>
      <c r="CS138" s="16"/>
      <c r="CT138" s="1"/>
      <c r="CU138" s="1"/>
      <c r="CV138" s="17"/>
      <c r="CW138" s="16"/>
      <c r="CX138" s="1"/>
      <c r="CY138" s="1"/>
      <c r="CZ138" s="17"/>
      <c r="DA138" s="18"/>
      <c r="DB138" s="6"/>
    </row>
    <row r="139" spans="1:106" ht="17" customHeight="1" thickBot="1">
      <c r="A139" s="42" t="s">
        <v>326</v>
      </c>
      <c r="B139" s="17" t="s">
        <v>138</v>
      </c>
      <c r="C139" s="16" t="s">
        <v>73</v>
      </c>
      <c r="D139" s="1"/>
      <c r="E139" s="18">
        <v>1000</v>
      </c>
      <c r="F139" s="18"/>
      <c r="G139" s="16">
        <v>938</v>
      </c>
      <c r="H139" s="17">
        <v>2.3103448275862069</v>
      </c>
      <c r="I139" s="18">
        <v>5</v>
      </c>
      <c r="J139" s="16">
        <v>0</v>
      </c>
      <c r="K139" s="1">
        <v>1</v>
      </c>
      <c r="L139" s="1">
        <v>1</v>
      </c>
      <c r="M139" s="1">
        <v>0</v>
      </c>
      <c r="N139" s="17">
        <v>0</v>
      </c>
      <c r="O139" s="16">
        <v>1100</v>
      </c>
      <c r="P139" s="16">
        <v>1</v>
      </c>
      <c r="Q139" s="1">
        <v>0</v>
      </c>
      <c r="R139" s="1">
        <v>0</v>
      </c>
      <c r="S139" s="17">
        <v>0</v>
      </c>
      <c r="T139" s="16">
        <v>1000</v>
      </c>
      <c r="U139" s="16">
        <v>0</v>
      </c>
      <c r="V139" s="1">
        <v>0</v>
      </c>
      <c r="W139" s="1">
        <v>1</v>
      </c>
      <c r="X139" s="1">
        <v>1</v>
      </c>
      <c r="Y139" s="17">
        <v>0</v>
      </c>
      <c r="Z139" s="18">
        <v>110</v>
      </c>
      <c r="AA139" s="18">
        <v>2</v>
      </c>
      <c r="AB139" s="18">
        <v>0</v>
      </c>
      <c r="AC139" s="16">
        <v>0</v>
      </c>
      <c r="AD139" s="17">
        <v>0</v>
      </c>
      <c r="AE139" s="16">
        <v>1</v>
      </c>
      <c r="AF139" s="1">
        <v>0</v>
      </c>
      <c r="AG139" s="1">
        <v>1</v>
      </c>
      <c r="AH139" s="18">
        <v>101</v>
      </c>
      <c r="AI139" s="16">
        <v>190</v>
      </c>
      <c r="AJ139" s="17">
        <v>873</v>
      </c>
      <c r="AK139" s="16"/>
      <c r="AL139" s="17">
        <v>1</v>
      </c>
      <c r="AM139" s="16">
        <v>0</v>
      </c>
      <c r="AN139" s="1">
        <v>0</v>
      </c>
      <c r="AO139" s="1">
        <v>0</v>
      </c>
      <c r="AP139" s="1">
        <v>0</v>
      </c>
      <c r="AQ139" s="1">
        <v>0</v>
      </c>
      <c r="AR139" s="1">
        <v>0</v>
      </c>
      <c r="AS139" s="1">
        <v>0</v>
      </c>
      <c r="AT139" s="1">
        <v>0</v>
      </c>
      <c r="AU139" s="1">
        <v>0</v>
      </c>
      <c r="AV139" s="1">
        <v>0</v>
      </c>
      <c r="AW139" s="1">
        <v>0</v>
      </c>
      <c r="AX139" s="17">
        <v>0</v>
      </c>
      <c r="AY139" s="16">
        <v>0</v>
      </c>
      <c r="AZ139" s="1">
        <v>0</v>
      </c>
      <c r="BA139" s="1">
        <v>0</v>
      </c>
      <c r="BB139" s="17">
        <v>0</v>
      </c>
      <c r="BC139" s="16">
        <v>0</v>
      </c>
      <c r="BD139" s="17">
        <v>0</v>
      </c>
      <c r="BE139" s="18">
        <v>131</v>
      </c>
      <c r="BF139" s="16">
        <v>1</v>
      </c>
      <c r="BG139" s="1">
        <v>0</v>
      </c>
      <c r="BH139" s="1"/>
      <c r="BI139" s="1">
        <v>0</v>
      </c>
      <c r="BJ139" s="16">
        <v>0</v>
      </c>
      <c r="BK139" s="1">
        <v>1</v>
      </c>
      <c r="BL139" s="16"/>
      <c r="BM139" s="1"/>
      <c r="BN139" s="1"/>
      <c r="BO139" s="1"/>
      <c r="BP139" s="1"/>
      <c r="BQ139" s="1"/>
      <c r="BR139" s="1"/>
      <c r="BS139" s="1"/>
      <c r="BT139" s="17"/>
      <c r="BU139" s="16"/>
      <c r="BV139" s="1"/>
      <c r="BW139" s="1"/>
      <c r="BX139" s="1"/>
      <c r="BY139" s="1"/>
      <c r="BZ139" s="1"/>
      <c r="CA139" s="1"/>
      <c r="CB139" s="17"/>
      <c r="CC139" s="16"/>
      <c r="CD139" s="1"/>
      <c r="CE139" s="17"/>
      <c r="CF139" s="16"/>
      <c r="CG139" s="1"/>
      <c r="CH139" s="17"/>
      <c r="CI139" s="16"/>
      <c r="CJ139" s="17"/>
      <c r="CK139" s="16"/>
      <c r="CL139" s="17"/>
      <c r="CM139" s="16"/>
      <c r="CN139" s="1"/>
      <c r="CO139" s="1"/>
      <c r="CP139" s="1"/>
      <c r="CQ139" s="1"/>
      <c r="CR139" s="17"/>
      <c r="CS139" s="16"/>
      <c r="CT139" s="1"/>
      <c r="CU139" s="1"/>
      <c r="CV139" s="17"/>
      <c r="CW139" s="16"/>
      <c r="CX139" s="1"/>
      <c r="CY139" s="1"/>
      <c r="CZ139" s="17"/>
      <c r="DA139" s="18"/>
      <c r="DB139" s="6"/>
    </row>
    <row r="140" spans="1:106" ht="17" thickBot="1">
      <c r="A140" s="88" t="s">
        <v>326</v>
      </c>
      <c r="B140" s="200" t="s">
        <v>127</v>
      </c>
      <c r="C140" s="201" t="s">
        <v>64</v>
      </c>
      <c r="D140" s="202" t="s">
        <v>2</v>
      </c>
      <c r="E140" s="46">
        <v>1010</v>
      </c>
      <c r="F140" s="46"/>
      <c r="G140" s="201">
        <v>560</v>
      </c>
      <c r="H140" s="200">
        <v>1.1177644710578842</v>
      </c>
      <c r="I140" s="46">
        <v>4</v>
      </c>
      <c r="J140" s="201">
        <v>0</v>
      </c>
      <c r="K140" s="202">
        <v>0</v>
      </c>
      <c r="L140" s="202">
        <v>1</v>
      </c>
      <c r="M140" s="202">
        <v>1</v>
      </c>
      <c r="N140" s="200">
        <v>0</v>
      </c>
      <c r="O140" s="201">
        <v>110</v>
      </c>
      <c r="P140" s="201">
        <v>1</v>
      </c>
      <c r="Q140" s="202">
        <v>1</v>
      </c>
      <c r="R140" s="202">
        <v>0</v>
      </c>
      <c r="S140" s="200">
        <v>0</v>
      </c>
      <c r="T140" s="201">
        <v>1010</v>
      </c>
      <c r="U140" s="201">
        <v>0</v>
      </c>
      <c r="V140" s="202">
        <v>0</v>
      </c>
      <c r="W140" s="202">
        <v>0</v>
      </c>
      <c r="X140" s="202">
        <v>0</v>
      </c>
      <c r="Y140" s="200">
        <v>0</v>
      </c>
      <c r="Z140" s="46">
        <v>0</v>
      </c>
      <c r="AA140" s="46">
        <v>0</v>
      </c>
      <c r="AB140" s="46">
        <v>2</v>
      </c>
      <c r="AC140" s="201">
        <v>1</v>
      </c>
      <c r="AD140" s="200">
        <v>1</v>
      </c>
      <c r="AE140" s="201">
        <v>1</v>
      </c>
      <c r="AF140" s="202">
        <v>1</v>
      </c>
      <c r="AG140" s="202">
        <v>0</v>
      </c>
      <c r="AH140" s="46">
        <v>110</v>
      </c>
      <c r="AI140" s="201">
        <v>110</v>
      </c>
      <c r="AJ140" s="200">
        <v>479</v>
      </c>
      <c r="AK140" s="201"/>
      <c r="AL140" s="200">
        <v>1</v>
      </c>
      <c r="AM140" s="201">
        <v>1</v>
      </c>
      <c r="AN140" s="202">
        <v>0</v>
      </c>
      <c r="AO140" s="202">
        <v>0</v>
      </c>
      <c r="AP140" s="202">
        <v>0</v>
      </c>
      <c r="AQ140" s="202">
        <v>0</v>
      </c>
      <c r="AR140" s="202">
        <v>10</v>
      </c>
      <c r="AS140" s="202">
        <v>87</v>
      </c>
      <c r="AT140" s="202">
        <v>0</v>
      </c>
      <c r="AU140" s="202">
        <v>60</v>
      </c>
      <c r="AV140" s="202">
        <v>0</v>
      </c>
      <c r="AW140" s="202">
        <v>0</v>
      </c>
      <c r="AX140" s="200">
        <v>0</v>
      </c>
      <c r="AY140" s="201">
        <v>0</v>
      </c>
      <c r="AZ140" s="202">
        <v>0</v>
      </c>
      <c r="BA140" s="202">
        <v>0</v>
      </c>
      <c r="BB140" s="200">
        <v>0</v>
      </c>
      <c r="BC140" s="201">
        <v>0</v>
      </c>
      <c r="BD140" s="200">
        <v>0</v>
      </c>
      <c r="BE140" s="46">
        <v>32</v>
      </c>
      <c r="BF140" s="201">
        <v>0</v>
      </c>
      <c r="BG140" s="202">
        <v>0</v>
      </c>
      <c r="BH140" s="202">
        <v>0</v>
      </c>
      <c r="BI140" s="202">
        <v>0</v>
      </c>
      <c r="BJ140" s="201">
        <v>0</v>
      </c>
      <c r="BK140" s="202">
        <v>1</v>
      </c>
      <c r="BL140" s="201">
        <v>74.8</v>
      </c>
      <c r="BM140" s="202">
        <v>75.180000000000007</v>
      </c>
      <c r="BN140" s="202">
        <v>74.47</v>
      </c>
      <c r="BO140" s="202"/>
      <c r="BP140" s="202"/>
      <c r="BQ140" s="202"/>
      <c r="BR140" s="202"/>
      <c r="BS140" s="202"/>
      <c r="BT140" s="200"/>
      <c r="BU140" s="201"/>
      <c r="BV140" s="202"/>
      <c r="BW140" s="202"/>
      <c r="BX140" s="202"/>
      <c r="BY140" s="202"/>
      <c r="BZ140" s="202"/>
      <c r="CA140" s="202"/>
      <c r="CB140" s="200"/>
      <c r="CC140" s="201">
        <v>74.55</v>
      </c>
      <c r="CD140" s="202"/>
      <c r="CE140" s="200"/>
      <c r="CF140" s="201"/>
      <c r="CG140" s="202"/>
      <c r="CH140" s="200"/>
      <c r="CI140" s="201"/>
      <c r="CJ140" s="200"/>
      <c r="CK140" s="201"/>
      <c r="CL140" s="200"/>
      <c r="CM140" s="201"/>
      <c r="CN140" s="202"/>
      <c r="CO140" s="202"/>
      <c r="CP140" s="202"/>
      <c r="CQ140" s="202"/>
      <c r="CR140" s="200"/>
      <c r="CS140" s="201"/>
      <c r="CT140" s="202"/>
      <c r="CU140" s="202"/>
      <c r="CV140" s="200"/>
      <c r="CW140" s="201"/>
      <c r="CX140" s="202"/>
      <c r="CY140" s="202"/>
      <c r="CZ140" s="200"/>
      <c r="DA140" s="46"/>
      <c r="DB140" s="6"/>
    </row>
    <row r="141" spans="1:106">
      <c r="A141" s="42" t="s">
        <v>324</v>
      </c>
      <c r="B141" s="17" t="s">
        <v>312</v>
      </c>
      <c r="C141" s="16" t="s">
        <v>81</v>
      </c>
      <c r="D141" s="1"/>
      <c r="E141" s="18">
        <v>100</v>
      </c>
      <c r="F141" s="18"/>
      <c r="G141" s="16">
        <v>705</v>
      </c>
      <c r="H141" s="17">
        <v>1.7279411764705883</v>
      </c>
      <c r="I141" s="18">
        <v>4</v>
      </c>
      <c r="J141" s="16">
        <v>1</v>
      </c>
      <c r="K141" s="1">
        <v>1</v>
      </c>
      <c r="L141" s="1">
        <v>0</v>
      </c>
      <c r="M141" s="1">
        <v>0</v>
      </c>
      <c r="N141" s="17">
        <v>0</v>
      </c>
      <c r="O141" s="16">
        <v>11000</v>
      </c>
      <c r="P141" s="16">
        <v>0</v>
      </c>
      <c r="Q141" s="1">
        <v>0</v>
      </c>
      <c r="R141" s="1">
        <v>0</v>
      </c>
      <c r="S141" s="17">
        <v>1</v>
      </c>
      <c r="T141" s="16">
        <v>100</v>
      </c>
      <c r="U141" s="16">
        <v>1</v>
      </c>
      <c r="V141" s="1">
        <v>1</v>
      </c>
      <c r="W141" s="1">
        <v>0</v>
      </c>
      <c r="X141" s="1">
        <v>0</v>
      </c>
      <c r="Y141" s="17">
        <v>0</v>
      </c>
      <c r="Z141" s="18">
        <v>11000</v>
      </c>
      <c r="AA141" s="18">
        <v>2</v>
      </c>
      <c r="AB141" s="18">
        <v>1</v>
      </c>
      <c r="AC141" s="16">
        <v>2</v>
      </c>
      <c r="AD141" s="17">
        <v>2</v>
      </c>
      <c r="AE141" s="16">
        <v>1</v>
      </c>
      <c r="AF141" s="1">
        <v>0</v>
      </c>
      <c r="AG141" s="1">
        <v>1</v>
      </c>
      <c r="AH141" s="18">
        <v>101</v>
      </c>
      <c r="AI141" s="16">
        <v>118</v>
      </c>
      <c r="AJ141" s="17">
        <v>625</v>
      </c>
      <c r="AK141" s="16">
        <v>12</v>
      </c>
      <c r="AL141" s="17">
        <v>1</v>
      </c>
      <c r="AM141" s="16">
        <v>0</v>
      </c>
      <c r="AN141" s="1">
        <v>0</v>
      </c>
      <c r="AO141" s="1">
        <v>0</v>
      </c>
      <c r="AP141" s="1">
        <v>0</v>
      </c>
      <c r="AQ141" s="1">
        <v>0</v>
      </c>
      <c r="AR141" s="1">
        <v>0</v>
      </c>
      <c r="AS141" s="1">
        <v>0</v>
      </c>
      <c r="AT141" s="1">
        <v>0</v>
      </c>
      <c r="AU141" s="1">
        <v>0</v>
      </c>
      <c r="AV141" s="1">
        <v>0</v>
      </c>
      <c r="AW141" s="1">
        <v>0</v>
      </c>
      <c r="AX141" s="17">
        <v>0</v>
      </c>
      <c r="AY141" s="16">
        <v>0</v>
      </c>
      <c r="AZ141" s="1">
        <v>0</v>
      </c>
      <c r="BA141" s="1">
        <v>0</v>
      </c>
      <c r="BB141" s="17">
        <v>0</v>
      </c>
      <c r="BC141" s="16">
        <v>0</v>
      </c>
      <c r="BD141" s="17">
        <v>0</v>
      </c>
      <c r="BE141" s="18">
        <v>100</v>
      </c>
      <c r="BF141" s="16">
        <v>1</v>
      </c>
      <c r="BG141" s="1">
        <v>0</v>
      </c>
      <c r="BH141" s="1"/>
      <c r="BI141" s="1">
        <v>0</v>
      </c>
      <c r="BJ141" s="16">
        <v>0</v>
      </c>
      <c r="BK141" s="1">
        <v>1</v>
      </c>
      <c r="BL141" s="16"/>
      <c r="BM141" s="1"/>
      <c r="BN141" s="1"/>
      <c r="BO141" s="1"/>
      <c r="BP141" s="1"/>
      <c r="BQ141" s="1"/>
      <c r="BR141" s="1"/>
      <c r="BS141" s="1"/>
      <c r="BT141" s="17"/>
      <c r="BU141" s="16"/>
      <c r="BV141" s="1"/>
      <c r="BW141" s="1"/>
      <c r="BX141" s="1"/>
      <c r="BY141" s="1"/>
      <c r="BZ141" s="1"/>
      <c r="CA141" s="1"/>
      <c r="CB141" s="17"/>
      <c r="CC141" s="16"/>
      <c r="CD141" s="1"/>
      <c r="CE141" s="17"/>
      <c r="CF141" s="16"/>
      <c r="CG141" s="1"/>
      <c r="CH141" s="17"/>
      <c r="CI141" s="16"/>
      <c r="CJ141" s="17"/>
      <c r="CK141" s="16"/>
      <c r="CL141" s="17"/>
      <c r="CM141" s="16"/>
      <c r="CN141" s="1"/>
      <c r="CO141" s="1"/>
      <c r="CP141" s="1"/>
      <c r="CQ141" s="1"/>
      <c r="CR141" s="17"/>
      <c r="CS141" s="16"/>
      <c r="CT141" s="1"/>
      <c r="CU141" s="1"/>
      <c r="CV141" s="17"/>
      <c r="CW141" s="16"/>
      <c r="CX141" s="1"/>
      <c r="CY141" s="1"/>
      <c r="CZ141" s="17"/>
      <c r="DA141" s="18"/>
      <c r="DB141" s="6"/>
    </row>
    <row r="142" spans="1:106">
      <c r="A142" s="42" t="s">
        <v>324</v>
      </c>
      <c r="B142" s="17" t="s">
        <v>312</v>
      </c>
      <c r="C142" s="16" t="s">
        <v>98</v>
      </c>
      <c r="D142" s="1"/>
      <c r="E142" s="18">
        <v>1100</v>
      </c>
      <c r="F142" s="18"/>
      <c r="G142" s="16">
        <v>2705</v>
      </c>
      <c r="H142" s="17">
        <v>2.5591296121097447</v>
      </c>
      <c r="I142" s="18">
        <v>3</v>
      </c>
      <c r="J142" s="16">
        <v>0</v>
      </c>
      <c r="K142" s="1">
        <v>0</v>
      </c>
      <c r="L142" s="1">
        <v>1</v>
      </c>
      <c r="M142" s="1">
        <v>1</v>
      </c>
      <c r="N142" s="17">
        <v>0</v>
      </c>
      <c r="O142" s="16">
        <v>110</v>
      </c>
      <c r="P142" s="16">
        <v>1</v>
      </c>
      <c r="Q142" s="1">
        <v>0</v>
      </c>
      <c r="R142" s="1">
        <v>0</v>
      </c>
      <c r="S142" s="17">
        <v>1</v>
      </c>
      <c r="T142" s="16">
        <v>1100</v>
      </c>
      <c r="U142" s="16">
        <v>0</v>
      </c>
      <c r="V142" s="1">
        <v>0</v>
      </c>
      <c r="W142" s="1">
        <v>0</v>
      </c>
      <c r="X142" s="1">
        <v>0</v>
      </c>
      <c r="Y142" s="17">
        <v>0</v>
      </c>
      <c r="Z142" s="18">
        <v>0</v>
      </c>
      <c r="AA142" s="18">
        <v>0</v>
      </c>
      <c r="AB142" s="18">
        <v>2</v>
      </c>
      <c r="AC142" s="16">
        <v>1</v>
      </c>
      <c r="AD142" s="17">
        <v>1</v>
      </c>
      <c r="AE142" s="16">
        <v>0</v>
      </c>
      <c r="AF142" s="1">
        <v>0</v>
      </c>
      <c r="AG142" s="1">
        <v>1</v>
      </c>
      <c r="AH142" s="18">
        <v>1</v>
      </c>
      <c r="AI142" s="16">
        <v>838</v>
      </c>
      <c r="AJ142" s="17">
        <v>2705</v>
      </c>
      <c r="AK142" s="16">
        <v>5</v>
      </c>
      <c r="AL142" s="17">
        <v>1</v>
      </c>
      <c r="AM142" s="16">
        <v>1</v>
      </c>
      <c r="AN142" s="1">
        <v>0</v>
      </c>
      <c r="AO142" s="1">
        <v>0</v>
      </c>
      <c r="AP142" s="1">
        <v>0</v>
      </c>
      <c r="AQ142" s="1">
        <v>0</v>
      </c>
      <c r="AR142" s="1">
        <v>10</v>
      </c>
      <c r="AS142" s="1">
        <v>38</v>
      </c>
      <c r="AT142" s="1">
        <v>0</v>
      </c>
      <c r="AU142" s="1">
        <v>0</v>
      </c>
      <c r="AV142" s="1">
        <v>11</v>
      </c>
      <c r="AW142" s="1">
        <v>40</v>
      </c>
      <c r="AX142" s="17">
        <v>0</v>
      </c>
      <c r="AY142" s="16">
        <v>0</v>
      </c>
      <c r="AZ142" s="1">
        <v>0</v>
      </c>
      <c r="BA142" s="1">
        <v>0</v>
      </c>
      <c r="BB142" s="17">
        <v>0</v>
      </c>
      <c r="BC142" s="16">
        <v>0</v>
      </c>
      <c r="BD142" s="17">
        <v>0</v>
      </c>
      <c r="BE142" s="18">
        <v>119</v>
      </c>
      <c r="BF142" s="16">
        <v>1</v>
      </c>
      <c r="BG142" s="1">
        <v>0</v>
      </c>
      <c r="BH142" s="1"/>
      <c r="BI142" s="1">
        <v>0</v>
      </c>
      <c r="BJ142" s="16">
        <v>0</v>
      </c>
      <c r="BK142" s="1">
        <v>1</v>
      </c>
      <c r="BL142" s="16"/>
      <c r="BM142" s="1"/>
      <c r="BN142" s="1"/>
      <c r="BO142" s="1"/>
      <c r="BP142" s="1"/>
      <c r="BQ142" s="1"/>
      <c r="BR142" s="1"/>
      <c r="BS142" s="1"/>
      <c r="BT142" s="17"/>
      <c r="BU142" s="16"/>
      <c r="BV142" s="1"/>
      <c r="BW142" s="1"/>
      <c r="BX142" s="1"/>
      <c r="BY142" s="1"/>
      <c r="BZ142" s="1"/>
      <c r="CA142" s="1"/>
      <c r="CB142" s="17"/>
      <c r="CC142" s="16"/>
      <c r="CD142" s="1"/>
      <c r="CE142" s="17"/>
      <c r="CF142" s="16"/>
      <c r="CG142" s="1"/>
      <c r="CH142" s="17"/>
      <c r="CI142" s="16"/>
      <c r="CJ142" s="17"/>
      <c r="CK142" s="16"/>
      <c r="CL142" s="17"/>
      <c r="CM142" s="16"/>
      <c r="CN142" s="1"/>
      <c r="CO142" s="1"/>
      <c r="CP142" s="1"/>
      <c r="CQ142" s="1"/>
      <c r="CR142" s="17"/>
      <c r="CS142" s="16"/>
      <c r="CT142" s="1"/>
      <c r="CU142" s="1"/>
      <c r="CV142" s="17"/>
      <c r="CW142" s="16"/>
      <c r="CX142" s="1"/>
      <c r="CY142" s="1"/>
      <c r="CZ142" s="17"/>
      <c r="DA142" s="18"/>
      <c r="DB142" s="6"/>
    </row>
    <row r="143" spans="1:106" ht="17" thickBot="1">
      <c r="A143" s="42" t="s">
        <v>324</v>
      </c>
      <c r="B143" s="17" t="s">
        <v>312</v>
      </c>
      <c r="C143" s="16" t="s">
        <v>119</v>
      </c>
      <c r="D143" s="1"/>
      <c r="E143" s="18">
        <v>1000</v>
      </c>
      <c r="F143" s="18"/>
      <c r="G143" s="16">
        <v>997</v>
      </c>
      <c r="H143" s="17">
        <v>1.3032679738562092</v>
      </c>
      <c r="I143" s="18">
        <v>2</v>
      </c>
      <c r="J143" s="16">
        <v>0</v>
      </c>
      <c r="K143" s="1">
        <v>0</v>
      </c>
      <c r="L143" s="1">
        <v>1</v>
      </c>
      <c r="M143" s="1">
        <v>0</v>
      </c>
      <c r="N143" s="17">
        <v>0</v>
      </c>
      <c r="O143" s="16">
        <v>100</v>
      </c>
      <c r="P143" s="16">
        <v>1</v>
      </c>
      <c r="Q143" s="1">
        <v>0</v>
      </c>
      <c r="R143" s="1">
        <v>0</v>
      </c>
      <c r="S143" s="17">
        <v>0</v>
      </c>
      <c r="T143" s="16">
        <v>1000</v>
      </c>
      <c r="U143" s="16">
        <v>1</v>
      </c>
      <c r="V143" s="1">
        <v>2</v>
      </c>
      <c r="W143" s="1">
        <v>1</v>
      </c>
      <c r="X143" s="1">
        <v>0</v>
      </c>
      <c r="Y143" s="17">
        <v>0</v>
      </c>
      <c r="Z143" s="18">
        <v>12100</v>
      </c>
      <c r="AA143" s="18">
        <v>4</v>
      </c>
      <c r="AB143" s="18">
        <v>2</v>
      </c>
      <c r="AC143" s="16">
        <v>1</v>
      </c>
      <c r="AD143" s="17">
        <v>2</v>
      </c>
      <c r="AE143" s="16">
        <v>0</v>
      </c>
      <c r="AF143" s="1">
        <v>1</v>
      </c>
      <c r="AG143" s="1">
        <v>0</v>
      </c>
      <c r="AH143" s="18">
        <v>10</v>
      </c>
      <c r="AI143" s="16">
        <v>564</v>
      </c>
      <c r="AJ143" s="17">
        <v>680</v>
      </c>
      <c r="AK143" s="16">
        <v>7</v>
      </c>
      <c r="AL143" s="17">
        <v>1</v>
      </c>
      <c r="AM143" s="16">
        <v>6</v>
      </c>
      <c r="AN143" s="1">
        <v>0</v>
      </c>
      <c r="AO143" s="1">
        <v>0</v>
      </c>
      <c r="AP143" s="1">
        <v>0</v>
      </c>
      <c r="AQ143" s="1">
        <v>0</v>
      </c>
      <c r="AR143" s="1">
        <v>0</v>
      </c>
      <c r="AS143" s="1">
        <v>0</v>
      </c>
      <c r="AT143" s="1">
        <v>36</v>
      </c>
      <c r="AU143" s="1">
        <v>334</v>
      </c>
      <c r="AV143" s="1">
        <v>9</v>
      </c>
      <c r="AW143" s="1">
        <v>39</v>
      </c>
      <c r="AX143" s="17">
        <v>0</v>
      </c>
      <c r="AY143" s="16">
        <v>0</v>
      </c>
      <c r="AZ143" s="1">
        <v>0</v>
      </c>
      <c r="BA143" s="1">
        <v>0</v>
      </c>
      <c r="BB143" s="17">
        <v>0</v>
      </c>
      <c r="BC143" s="16">
        <v>0</v>
      </c>
      <c r="BD143" s="17">
        <v>0</v>
      </c>
      <c r="BE143" s="18">
        <v>122</v>
      </c>
      <c r="BF143" s="16">
        <v>0</v>
      </c>
      <c r="BG143" s="1">
        <v>0</v>
      </c>
      <c r="BH143" s="1"/>
      <c r="BI143" s="1">
        <v>0</v>
      </c>
      <c r="BJ143" s="16">
        <v>0</v>
      </c>
      <c r="BK143" s="1">
        <v>1</v>
      </c>
      <c r="BL143" s="16">
        <v>77.709999999999994</v>
      </c>
      <c r="BM143" s="1"/>
      <c r="BN143" s="1"/>
      <c r="BO143" s="1"/>
      <c r="BP143" s="1"/>
      <c r="BQ143" s="1"/>
      <c r="BR143" s="1"/>
      <c r="BS143" s="1"/>
      <c r="BT143" s="17"/>
      <c r="BU143" s="16">
        <v>69.16</v>
      </c>
      <c r="BV143" s="1">
        <v>75.16</v>
      </c>
      <c r="BW143" s="1"/>
      <c r="BX143" s="1"/>
      <c r="BY143" s="1"/>
      <c r="BZ143" s="1"/>
      <c r="CA143" s="1"/>
      <c r="CB143" s="17"/>
      <c r="CC143" s="16">
        <v>65.41</v>
      </c>
      <c r="CD143" s="1"/>
      <c r="CE143" s="17"/>
      <c r="CF143" s="16"/>
      <c r="CG143" s="1"/>
      <c r="CH143" s="17"/>
      <c r="CI143" s="16"/>
      <c r="CJ143" s="17"/>
      <c r="CK143" s="16"/>
      <c r="CL143" s="17"/>
      <c r="CM143" s="16">
        <v>77.53</v>
      </c>
      <c r="CN143" s="1"/>
      <c r="CO143" s="1"/>
      <c r="CP143" s="1"/>
      <c r="CQ143" s="1"/>
      <c r="CR143" s="17"/>
      <c r="CS143" s="16">
        <v>67.62</v>
      </c>
      <c r="CT143" s="1"/>
      <c r="CU143" s="1"/>
      <c r="CV143" s="17"/>
      <c r="CW143" s="16">
        <v>77.53</v>
      </c>
      <c r="CX143" s="1"/>
      <c r="CY143" s="1"/>
      <c r="CZ143" s="17"/>
      <c r="DA143" s="18"/>
      <c r="DB143" s="6"/>
    </row>
    <row r="144" spans="1:106">
      <c r="A144" s="87" t="s">
        <v>324</v>
      </c>
      <c r="B144" s="162" t="s">
        <v>313</v>
      </c>
      <c r="C144" s="160" t="s">
        <v>66</v>
      </c>
      <c r="D144" s="161"/>
      <c r="E144" s="43">
        <v>1000</v>
      </c>
      <c r="F144" s="43"/>
      <c r="G144" s="160">
        <v>1068</v>
      </c>
      <c r="H144" s="162">
        <v>1.072289156626506</v>
      </c>
      <c r="I144" s="43">
        <v>4</v>
      </c>
      <c r="J144" s="160">
        <v>0</v>
      </c>
      <c r="K144" s="161">
        <v>0</v>
      </c>
      <c r="L144" s="161">
        <v>1</v>
      </c>
      <c r="M144" s="161">
        <v>1</v>
      </c>
      <c r="N144" s="162">
        <v>0</v>
      </c>
      <c r="O144" s="160">
        <v>110</v>
      </c>
      <c r="P144" s="160">
        <v>1</v>
      </c>
      <c r="Q144" s="161">
        <v>0</v>
      </c>
      <c r="R144" s="161">
        <v>0</v>
      </c>
      <c r="S144" s="162">
        <v>0</v>
      </c>
      <c r="T144" s="160">
        <v>1000</v>
      </c>
      <c r="U144" s="160">
        <v>0</v>
      </c>
      <c r="V144" s="161">
        <v>0</v>
      </c>
      <c r="W144" s="161">
        <v>0</v>
      </c>
      <c r="X144" s="161">
        <v>0</v>
      </c>
      <c r="Y144" s="162">
        <v>0</v>
      </c>
      <c r="Z144" s="43">
        <v>0</v>
      </c>
      <c r="AA144" s="43">
        <v>0</v>
      </c>
      <c r="AB144" s="43">
        <v>0</v>
      </c>
      <c r="AC144" s="160">
        <v>0</v>
      </c>
      <c r="AD144" s="162">
        <v>0</v>
      </c>
      <c r="AE144" s="160">
        <v>0</v>
      </c>
      <c r="AF144" s="161">
        <v>0</v>
      </c>
      <c r="AG144" s="161">
        <v>1</v>
      </c>
      <c r="AH144" s="43">
        <v>1</v>
      </c>
      <c r="AI144" s="160">
        <v>301</v>
      </c>
      <c r="AJ144" s="162">
        <v>675</v>
      </c>
      <c r="AK144" s="160">
        <v>10</v>
      </c>
      <c r="AL144" s="162">
        <v>1</v>
      </c>
      <c r="AM144" s="160">
        <v>0</v>
      </c>
      <c r="AN144" s="161">
        <v>0</v>
      </c>
      <c r="AO144" s="161">
        <v>0</v>
      </c>
      <c r="AP144" s="161">
        <v>0</v>
      </c>
      <c r="AQ144" s="161">
        <v>0</v>
      </c>
      <c r="AR144" s="161">
        <v>0</v>
      </c>
      <c r="AS144" s="161">
        <v>0</v>
      </c>
      <c r="AT144" s="161">
        <v>0</v>
      </c>
      <c r="AU144" s="161">
        <v>0</v>
      </c>
      <c r="AV144" s="161">
        <v>0</v>
      </c>
      <c r="AW144" s="161">
        <v>0</v>
      </c>
      <c r="AX144" s="162">
        <v>0</v>
      </c>
      <c r="AY144" s="160">
        <v>0</v>
      </c>
      <c r="AZ144" s="161">
        <v>0</v>
      </c>
      <c r="BA144" s="161">
        <v>0</v>
      </c>
      <c r="BB144" s="162">
        <v>0</v>
      </c>
      <c r="BC144" s="160">
        <v>0</v>
      </c>
      <c r="BD144" s="162">
        <v>0</v>
      </c>
      <c r="BE144" s="43">
        <v>117</v>
      </c>
      <c r="BF144" s="160">
        <v>1</v>
      </c>
      <c r="BG144" s="161">
        <v>0</v>
      </c>
      <c r="BH144" s="161"/>
      <c r="BI144" s="161">
        <v>0</v>
      </c>
      <c r="BJ144" s="160">
        <v>0</v>
      </c>
      <c r="BK144" s="161">
        <v>1</v>
      </c>
      <c r="BL144" s="160">
        <v>78.03</v>
      </c>
      <c r="BM144" s="161">
        <v>77.81</v>
      </c>
      <c r="BN144" s="161"/>
      <c r="BO144" s="161"/>
      <c r="BP144" s="161"/>
      <c r="BQ144" s="161"/>
      <c r="BR144" s="161"/>
      <c r="BS144" s="161"/>
      <c r="BT144" s="162"/>
      <c r="BU144" s="160"/>
      <c r="BV144" s="161"/>
      <c r="BW144" s="161"/>
      <c r="BX144" s="161"/>
      <c r="BY144" s="161"/>
      <c r="BZ144" s="161"/>
      <c r="CA144" s="161"/>
      <c r="CB144" s="162"/>
      <c r="CC144" s="160">
        <v>64.12</v>
      </c>
      <c r="CD144" s="161">
        <v>68.849999999999994</v>
      </c>
      <c r="CE144" s="162"/>
      <c r="CF144" s="160"/>
      <c r="CG144" s="161"/>
      <c r="CH144" s="162"/>
      <c r="CI144" s="160"/>
      <c r="CJ144" s="162"/>
      <c r="CK144" s="160"/>
      <c r="CL144" s="162"/>
      <c r="CM144" s="160"/>
      <c r="CN144" s="161"/>
      <c r="CO144" s="161"/>
      <c r="CP144" s="161"/>
      <c r="CQ144" s="161"/>
      <c r="CR144" s="162"/>
      <c r="CS144" s="160"/>
      <c r="CT144" s="161"/>
      <c r="CU144" s="161"/>
      <c r="CV144" s="162"/>
      <c r="CW144" s="160"/>
      <c r="CX144" s="161"/>
      <c r="CY144" s="161"/>
      <c r="CZ144" s="162"/>
      <c r="DA144" s="43"/>
      <c r="DB144" s="6"/>
    </row>
    <row r="145" spans="1:106">
      <c r="A145" s="42" t="s">
        <v>324</v>
      </c>
      <c r="B145" s="17" t="s">
        <v>313</v>
      </c>
      <c r="C145" s="16" t="s">
        <v>114</v>
      </c>
      <c r="D145" s="1"/>
      <c r="E145" s="18">
        <v>100</v>
      </c>
      <c r="F145" s="18"/>
      <c r="G145" s="16">
        <v>2539</v>
      </c>
      <c r="H145" s="17">
        <v>2.1035625517812759</v>
      </c>
      <c r="I145" s="18">
        <v>2</v>
      </c>
      <c r="J145" s="16">
        <v>0</v>
      </c>
      <c r="K145" s="1">
        <v>1</v>
      </c>
      <c r="L145" s="1">
        <v>1</v>
      </c>
      <c r="M145" s="1">
        <v>0</v>
      </c>
      <c r="N145" s="17">
        <v>0</v>
      </c>
      <c r="O145" s="16">
        <v>1100</v>
      </c>
      <c r="P145" s="16">
        <v>0</v>
      </c>
      <c r="Q145" s="1">
        <v>0</v>
      </c>
      <c r="R145" s="1">
        <v>0</v>
      </c>
      <c r="S145" s="17">
        <v>1</v>
      </c>
      <c r="T145" s="16">
        <v>100</v>
      </c>
      <c r="U145" s="16">
        <v>0</v>
      </c>
      <c r="V145" s="1">
        <v>2</v>
      </c>
      <c r="W145" s="1">
        <v>1</v>
      </c>
      <c r="X145" s="1">
        <v>1</v>
      </c>
      <c r="Y145" s="17">
        <v>0</v>
      </c>
      <c r="Z145" s="18">
        <v>2110</v>
      </c>
      <c r="AA145" s="18">
        <v>4</v>
      </c>
      <c r="AB145" s="18">
        <v>3</v>
      </c>
      <c r="AC145" s="16">
        <v>2</v>
      </c>
      <c r="AD145" s="17">
        <v>3</v>
      </c>
      <c r="AE145" s="16">
        <v>0</v>
      </c>
      <c r="AF145" s="1">
        <v>0</v>
      </c>
      <c r="AG145" s="1">
        <v>1</v>
      </c>
      <c r="AH145" s="18">
        <v>1</v>
      </c>
      <c r="AI145" s="16">
        <v>1752</v>
      </c>
      <c r="AJ145" s="17">
        <v>1601</v>
      </c>
      <c r="AK145" s="16">
        <v>16</v>
      </c>
      <c r="AL145" s="17"/>
      <c r="AM145" s="16">
        <v>2</v>
      </c>
      <c r="AN145" s="1">
        <v>4</v>
      </c>
      <c r="AO145" s="1">
        <v>8</v>
      </c>
      <c r="AP145" s="1">
        <v>0</v>
      </c>
      <c r="AQ145" s="1">
        <v>0</v>
      </c>
      <c r="AR145" s="1">
        <v>0</v>
      </c>
      <c r="AS145" s="1">
        <v>18</v>
      </c>
      <c r="AT145" s="1">
        <v>4</v>
      </c>
      <c r="AU145" s="1">
        <v>107</v>
      </c>
      <c r="AV145" s="1">
        <v>26</v>
      </c>
      <c r="AW145" s="1">
        <v>491</v>
      </c>
      <c r="AX145" s="17">
        <v>0</v>
      </c>
      <c r="AY145" s="16">
        <v>0</v>
      </c>
      <c r="AZ145" s="1">
        <v>0</v>
      </c>
      <c r="BA145" s="1">
        <v>0</v>
      </c>
      <c r="BB145" s="17">
        <v>0</v>
      </c>
      <c r="BC145" s="16">
        <v>0</v>
      </c>
      <c r="BD145" s="17">
        <v>0</v>
      </c>
      <c r="BE145" s="18">
        <v>118</v>
      </c>
      <c r="BF145" s="16">
        <v>1</v>
      </c>
      <c r="BG145" s="1">
        <v>1</v>
      </c>
      <c r="BH145" s="1"/>
      <c r="BI145" s="1">
        <v>0</v>
      </c>
      <c r="BJ145" s="16">
        <v>0</v>
      </c>
      <c r="BK145" s="1">
        <v>1</v>
      </c>
      <c r="BL145" s="16"/>
      <c r="BM145" s="1"/>
      <c r="BN145" s="1"/>
      <c r="BO145" s="1"/>
      <c r="BP145" s="1"/>
      <c r="BQ145" s="1"/>
      <c r="BR145" s="1"/>
      <c r="BS145" s="1"/>
      <c r="BT145" s="17"/>
      <c r="BU145" s="16"/>
      <c r="BV145" s="1"/>
      <c r="BW145" s="1"/>
      <c r="BX145" s="1"/>
      <c r="BY145" s="1"/>
      <c r="BZ145" s="1"/>
      <c r="CA145" s="1"/>
      <c r="CB145" s="17"/>
      <c r="CC145" s="16"/>
      <c r="CD145" s="1"/>
      <c r="CE145" s="17"/>
      <c r="CF145" s="16"/>
      <c r="CG145" s="1"/>
      <c r="CH145" s="17"/>
      <c r="CI145" s="16"/>
      <c r="CJ145" s="17"/>
      <c r="CK145" s="16"/>
      <c r="CL145" s="17"/>
      <c r="CM145" s="16"/>
      <c r="CN145" s="1"/>
      <c r="CO145" s="1"/>
      <c r="CP145" s="1"/>
      <c r="CQ145" s="1"/>
      <c r="CR145" s="17"/>
      <c r="CS145" s="16"/>
      <c r="CT145" s="1"/>
      <c r="CU145" s="1"/>
      <c r="CV145" s="17"/>
      <c r="CW145" s="16"/>
      <c r="CX145" s="1"/>
      <c r="CY145" s="1"/>
      <c r="CZ145" s="17"/>
      <c r="DA145" s="18"/>
      <c r="DB145" s="6"/>
    </row>
    <row r="146" spans="1:106" ht="17" thickBot="1">
      <c r="A146" s="55" t="s">
        <v>324</v>
      </c>
      <c r="B146" s="38" t="s">
        <v>313</v>
      </c>
      <c r="C146" s="22" t="s">
        <v>102</v>
      </c>
      <c r="D146" s="37"/>
      <c r="E146" s="39">
        <v>1000</v>
      </c>
      <c r="F146" s="39"/>
      <c r="G146" s="22">
        <v>4174</v>
      </c>
      <c r="H146" s="38">
        <v>1.2974821262045384</v>
      </c>
      <c r="I146" s="39">
        <v>3</v>
      </c>
      <c r="J146" s="22">
        <v>0</v>
      </c>
      <c r="K146" s="37">
        <v>0</v>
      </c>
      <c r="L146" s="37">
        <v>1</v>
      </c>
      <c r="M146" s="37">
        <v>1</v>
      </c>
      <c r="N146" s="38">
        <v>0</v>
      </c>
      <c r="O146" s="22">
        <v>110</v>
      </c>
      <c r="P146" s="22">
        <v>1</v>
      </c>
      <c r="Q146" s="37">
        <v>0</v>
      </c>
      <c r="R146" s="37">
        <v>0</v>
      </c>
      <c r="S146" s="38">
        <v>0</v>
      </c>
      <c r="T146" s="22">
        <v>1000</v>
      </c>
      <c r="U146" s="22">
        <v>0</v>
      </c>
      <c r="V146" s="37">
        <v>4</v>
      </c>
      <c r="W146" s="37">
        <v>1</v>
      </c>
      <c r="X146" s="37">
        <v>1</v>
      </c>
      <c r="Y146" s="38">
        <v>0</v>
      </c>
      <c r="Z146" s="39">
        <v>4110</v>
      </c>
      <c r="AA146" s="39">
        <v>6</v>
      </c>
      <c r="AB146" s="39">
        <v>1</v>
      </c>
      <c r="AC146" s="22">
        <v>1</v>
      </c>
      <c r="AD146" s="38">
        <v>3</v>
      </c>
      <c r="AE146" s="22">
        <v>0</v>
      </c>
      <c r="AF146" s="37">
        <v>1</v>
      </c>
      <c r="AG146" s="37">
        <v>0</v>
      </c>
      <c r="AH146" s="39">
        <v>10</v>
      </c>
      <c r="AI146" s="22">
        <v>1892</v>
      </c>
      <c r="AJ146" s="38">
        <v>3687</v>
      </c>
      <c r="AK146" s="22">
        <v>12</v>
      </c>
      <c r="AL146" s="38">
        <v>1</v>
      </c>
      <c r="AM146" s="22">
        <v>5</v>
      </c>
      <c r="AN146" s="37">
        <v>10</v>
      </c>
      <c r="AO146" s="37">
        <v>33</v>
      </c>
      <c r="AP146" s="37">
        <v>0</v>
      </c>
      <c r="AQ146" s="37">
        <v>0</v>
      </c>
      <c r="AR146" s="37">
        <v>19</v>
      </c>
      <c r="AS146" s="37">
        <v>238</v>
      </c>
      <c r="AT146" s="37">
        <v>10</v>
      </c>
      <c r="AU146" s="37">
        <v>776</v>
      </c>
      <c r="AV146" s="37">
        <v>38</v>
      </c>
      <c r="AW146" s="37">
        <v>479</v>
      </c>
      <c r="AX146" s="38">
        <v>9</v>
      </c>
      <c r="AY146" s="22">
        <v>0</v>
      </c>
      <c r="AZ146" s="37">
        <v>0</v>
      </c>
      <c r="BA146" s="37">
        <v>0</v>
      </c>
      <c r="BB146" s="38">
        <v>0</v>
      </c>
      <c r="BC146" s="22"/>
      <c r="BD146" s="38">
        <v>0</v>
      </c>
      <c r="BE146" s="39">
        <v>126</v>
      </c>
      <c r="BF146" s="22">
        <v>0</v>
      </c>
      <c r="BG146" s="37">
        <v>1</v>
      </c>
      <c r="BH146" s="37">
        <v>0</v>
      </c>
      <c r="BI146" s="37">
        <v>0</v>
      </c>
      <c r="BJ146" s="22">
        <v>0</v>
      </c>
      <c r="BK146" s="37">
        <v>1</v>
      </c>
      <c r="BL146" s="22"/>
      <c r="BM146" s="37"/>
      <c r="BN146" s="37"/>
      <c r="BO146" s="37"/>
      <c r="BP146" s="37"/>
      <c r="BQ146" s="37"/>
      <c r="BR146" s="37"/>
      <c r="BS146" s="37"/>
      <c r="BT146" s="38"/>
      <c r="BU146" s="22"/>
      <c r="BV146" s="37"/>
      <c r="BW146" s="37"/>
      <c r="BX146" s="37"/>
      <c r="BY146" s="37"/>
      <c r="BZ146" s="37"/>
      <c r="CA146" s="37"/>
      <c r="CB146" s="38"/>
      <c r="CC146" s="22"/>
      <c r="CD146" s="37"/>
      <c r="CE146" s="38"/>
      <c r="CF146" s="22"/>
      <c r="CG146" s="37"/>
      <c r="CH146" s="38"/>
      <c r="CI146" s="22"/>
      <c r="CJ146" s="38"/>
      <c r="CK146" s="22"/>
      <c r="CL146" s="38"/>
      <c r="CM146" s="22"/>
      <c r="CN146" s="37"/>
      <c r="CO146" s="37"/>
      <c r="CP146" s="37"/>
      <c r="CQ146" s="37"/>
      <c r="CR146" s="38"/>
      <c r="CS146" s="22"/>
      <c r="CT146" s="37"/>
      <c r="CU146" s="37"/>
      <c r="CV146" s="38"/>
      <c r="CW146" s="22"/>
      <c r="CX146" s="37"/>
      <c r="CY146" s="37"/>
      <c r="CZ146" s="38"/>
      <c r="DA146" s="39"/>
      <c r="DB146" s="6"/>
    </row>
    <row r="147" spans="1:106">
      <c r="A147" s="42" t="s">
        <v>324</v>
      </c>
      <c r="B147" s="17" t="s">
        <v>314</v>
      </c>
      <c r="C147" s="16" t="s">
        <v>74</v>
      </c>
      <c r="D147" s="1"/>
      <c r="E147" s="18">
        <v>1000</v>
      </c>
      <c r="F147" s="18"/>
      <c r="G147" s="16">
        <v>2016</v>
      </c>
      <c r="H147" s="17">
        <v>0.78291262135922335</v>
      </c>
      <c r="I147" s="18">
        <v>2</v>
      </c>
      <c r="J147" s="16">
        <v>0</v>
      </c>
      <c r="K147" s="1">
        <v>0</v>
      </c>
      <c r="L147" s="1">
        <v>1</v>
      </c>
      <c r="M147" s="1">
        <v>0</v>
      </c>
      <c r="N147" s="17">
        <v>0</v>
      </c>
      <c r="O147" s="16">
        <v>100</v>
      </c>
      <c r="P147" s="16">
        <v>1</v>
      </c>
      <c r="Q147" s="1">
        <v>0</v>
      </c>
      <c r="R147" s="1">
        <v>0</v>
      </c>
      <c r="S147" s="17">
        <v>0</v>
      </c>
      <c r="T147" s="16">
        <v>1000</v>
      </c>
      <c r="U147" s="16">
        <v>0</v>
      </c>
      <c r="V147" s="1">
        <v>3</v>
      </c>
      <c r="W147" s="1">
        <v>0</v>
      </c>
      <c r="X147" s="1">
        <v>0</v>
      </c>
      <c r="Y147" s="17">
        <v>0</v>
      </c>
      <c r="Z147" s="18">
        <v>3000</v>
      </c>
      <c r="AA147" s="18">
        <v>3</v>
      </c>
      <c r="AB147" s="18">
        <v>2</v>
      </c>
      <c r="AC147" s="16">
        <v>1</v>
      </c>
      <c r="AD147" s="17">
        <v>1</v>
      </c>
      <c r="AE147" s="16">
        <v>0</v>
      </c>
      <c r="AF147" s="1">
        <v>0</v>
      </c>
      <c r="AG147" s="1">
        <v>1</v>
      </c>
      <c r="AH147" s="18">
        <v>1</v>
      </c>
      <c r="AI147" s="16">
        <v>1390</v>
      </c>
      <c r="AJ147" s="17">
        <v>2016</v>
      </c>
      <c r="AK147" s="16">
        <v>6</v>
      </c>
      <c r="AL147" s="17">
        <v>1</v>
      </c>
      <c r="AM147" s="16">
        <v>1</v>
      </c>
      <c r="AN147" s="1">
        <v>4</v>
      </c>
      <c r="AO147" s="1">
        <v>11</v>
      </c>
      <c r="AP147" s="1">
        <v>0</v>
      </c>
      <c r="AQ147" s="1">
        <v>0</v>
      </c>
      <c r="AR147" s="1">
        <v>10</v>
      </c>
      <c r="AS147" s="1">
        <v>15</v>
      </c>
      <c r="AT147" s="1">
        <v>48</v>
      </c>
      <c r="AU147" s="1">
        <v>92</v>
      </c>
      <c r="AV147" s="1">
        <v>0</v>
      </c>
      <c r="AW147" s="1">
        <v>0</v>
      </c>
      <c r="AX147" s="17">
        <v>0</v>
      </c>
      <c r="AY147" s="16">
        <v>0</v>
      </c>
      <c r="AZ147" s="1">
        <v>0</v>
      </c>
      <c r="BA147" s="1">
        <v>0</v>
      </c>
      <c r="BB147" s="17">
        <v>0</v>
      </c>
      <c r="BC147" s="16">
        <v>0</v>
      </c>
      <c r="BD147" s="17">
        <v>0</v>
      </c>
      <c r="BE147" s="18">
        <v>102</v>
      </c>
      <c r="BF147" s="16">
        <v>1</v>
      </c>
      <c r="BG147" s="1">
        <v>0</v>
      </c>
      <c r="BH147" s="1"/>
      <c r="BI147" s="1">
        <v>0</v>
      </c>
      <c r="BJ147" s="16">
        <v>0</v>
      </c>
      <c r="BK147" s="1">
        <v>1</v>
      </c>
      <c r="BL147" s="16"/>
      <c r="BM147" s="1"/>
      <c r="BN147" s="1"/>
      <c r="BO147" s="1"/>
      <c r="BP147" s="1"/>
      <c r="BQ147" s="1"/>
      <c r="BR147" s="1"/>
      <c r="BS147" s="1"/>
      <c r="BT147" s="17"/>
      <c r="BU147" s="16"/>
      <c r="BV147" s="1"/>
      <c r="BW147" s="1"/>
      <c r="BX147" s="1"/>
      <c r="BY147" s="1"/>
      <c r="BZ147" s="1"/>
      <c r="CA147" s="1"/>
      <c r="CB147" s="17"/>
      <c r="CC147" s="16"/>
      <c r="CD147" s="1"/>
      <c r="CE147" s="17"/>
      <c r="CF147" s="16"/>
      <c r="CG147" s="1"/>
      <c r="CH147" s="17"/>
      <c r="CI147" s="16"/>
      <c r="CJ147" s="17"/>
      <c r="CK147" s="16"/>
      <c r="CL147" s="17"/>
      <c r="CM147" s="16"/>
      <c r="CN147" s="1"/>
      <c r="CO147" s="1"/>
      <c r="CP147" s="1"/>
      <c r="CQ147" s="1"/>
      <c r="CR147" s="17"/>
      <c r="CS147" s="16"/>
      <c r="CT147" s="1"/>
      <c r="CU147" s="1"/>
      <c r="CV147" s="17"/>
      <c r="CW147" s="16"/>
      <c r="CX147" s="1"/>
      <c r="CY147" s="1"/>
      <c r="CZ147" s="17"/>
      <c r="DA147" s="18"/>
      <c r="DB147" s="6"/>
    </row>
    <row r="148" spans="1:106">
      <c r="A148" s="42" t="s">
        <v>324</v>
      </c>
      <c r="B148" s="17" t="s">
        <v>314</v>
      </c>
      <c r="C148" s="16" t="s">
        <v>75</v>
      </c>
      <c r="D148" s="1"/>
      <c r="E148" s="18">
        <v>1000</v>
      </c>
      <c r="F148" s="18"/>
      <c r="G148" s="16">
        <v>2395</v>
      </c>
      <c r="H148" s="17">
        <v>1.0463084316295326</v>
      </c>
      <c r="I148" s="18">
        <v>3</v>
      </c>
      <c r="J148" s="16">
        <v>0</v>
      </c>
      <c r="K148" s="1">
        <v>1</v>
      </c>
      <c r="L148" s="1">
        <v>1</v>
      </c>
      <c r="M148" s="1">
        <v>0</v>
      </c>
      <c r="N148" s="17">
        <v>0</v>
      </c>
      <c r="O148" s="16">
        <v>1100</v>
      </c>
      <c r="P148" s="16">
        <v>1</v>
      </c>
      <c r="Q148" s="1">
        <v>0</v>
      </c>
      <c r="R148" s="1">
        <v>0</v>
      </c>
      <c r="S148" s="17">
        <v>0</v>
      </c>
      <c r="T148" s="16">
        <v>1000</v>
      </c>
      <c r="U148" s="16">
        <v>0</v>
      </c>
      <c r="V148" s="1">
        <v>1</v>
      </c>
      <c r="W148" s="1">
        <v>1</v>
      </c>
      <c r="X148" s="1">
        <v>1</v>
      </c>
      <c r="Y148" s="17">
        <v>0</v>
      </c>
      <c r="Z148" s="18">
        <v>1110</v>
      </c>
      <c r="AA148" s="18">
        <v>3</v>
      </c>
      <c r="AB148" s="18">
        <v>2</v>
      </c>
      <c r="AC148" s="16">
        <v>1</v>
      </c>
      <c r="AD148" s="17">
        <v>2</v>
      </c>
      <c r="AE148" s="16">
        <v>0</v>
      </c>
      <c r="AF148" s="1">
        <v>0</v>
      </c>
      <c r="AG148" s="1">
        <v>1</v>
      </c>
      <c r="AH148" s="18">
        <v>1</v>
      </c>
      <c r="AI148" s="16">
        <v>385</v>
      </c>
      <c r="AJ148" s="17">
        <v>2114</v>
      </c>
      <c r="AK148" s="16">
        <v>5</v>
      </c>
      <c r="AL148" s="17">
        <v>1</v>
      </c>
      <c r="AM148" s="16">
        <v>1</v>
      </c>
      <c r="AN148" s="1">
        <v>7</v>
      </c>
      <c r="AO148" s="1">
        <v>33</v>
      </c>
      <c r="AP148" s="1">
        <v>0</v>
      </c>
      <c r="AQ148" s="1">
        <v>0</v>
      </c>
      <c r="AR148" s="1">
        <v>14</v>
      </c>
      <c r="AS148" s="1">
        <v>99</v>
      </c>
      <c r="AT148" s="1">
        <v>9</v>
      </c>
      <c r="AU148" s="1">
        <v>87</v>
      </c>
      <c r="AV148" s="1">
        <v>40</v>
      </c>
      <c r="AW148" s="1">
        <v>159</v>
      </c>
      <c r="AX148" s="17">
        <v>0</v>
      </c>
      <c r="AY148" s="16">
        <v>0</v>
      </c>
      <c r="AZ148" s="1">
        <v>0</v>
      </c>
      <c r="BA148" s="1">
        <v>0</v>
      </c>
      <c r="BB148" s="17">
        <v>0</v>
      </c>
      <c r="BC148" s="16">
        <v>0</v>
      </c>
      <c r="BD148" s="17">
        <v>0</v>
      </c>
      <c r="BE148" s="18">
        <v>110</v>
      </c>
      <c r="BF148" s="16">
        <v>0</v>
      </c>
      <c r="BG148" s="1">
        <v>0</v>
      </c>
      <c r="BH148" s="1"/>
      <c r="BI148" s="1">
        <v>0</v>
      </c>
      <c r="BJ148" s="16">
        <v>0</v>
      </c>
      <c r="BK148" s="1">
        <v>1</v>
      </c>
      <c r="BL148" s="16"/>
      <c r="BM148" s="1"/>
      <c r="BN148" s="1"/>
      <c r="BO148" s="1"/>
      <c r="BP148" s="1"/>
      <c r="BQ148" s="1"/>
      <c r="BR148" s="1"/>
      <c r="BS148" s="1"/>
      <c r="BT148" s="17"/>
      <c r="BU148" s="16"/>
      <c r="BV148" s="1"/>
      <c r="BW148" s="1"/>
      <c r="BX148" s="1"/>
      <c r="BY148" s="1"/>
      <c r="BZ148" s="1"/>
      <c r="CA148" s="1"/>
      <c r="CB148" s="17"/>
      <c r="CC148" s="16"/>
      <c r="CD148" s="1"/>
      <c r="CE148" s="17"/>
      <c r="CF148" s="16"/>
      <c r="CG148" s="1"/>
      <c r="CH148" s="17"/>
      <c r="CI148" s="16"/>
      <c r="CJ148" s="17"/>
      <c r="CK148" s="16"/>
      <c r="CL148" s="17"/>
      <c r="CM148" s="16"/>
      <c r="CN148" s="1"/>
      <c r="CO148" s="1"/>
      <c r="CP148" s="1"/>
      <c r="CQ148" s="1"/>
      <c r="CR148" s="17"/>
      <c r="CS148" s="16"/>
      <c r="CT148" s="1"/>
      <c r="CU148" s="1"/>
      <c r="CV148" s="17"/>
      <c r="CW148" s="16"/>
      <c r="CX148" s="1"/>
      <c r="CY148" s="1"/>
      <c r="CZ148" s="17"/>
      <c r="DA148" s="18"/>
      <c r="DB148" s="6"/>
    </row>
    <row r="149" spans="1:106">
      <c r="A149" s="42" t="s">
        <v>324</v>
      </c>
      <c r="B149" s="17" t="s">
        <v>314</v>
      </c>
      <c r="C149" s="16" t="s">
        <v>101</v>
      </c>
      <c r="D149" s="1"/>
      <c r="E149" s="18">
        <v>100</v>
      </c>
      <c r="F149" s="18"/>
      <c r="G149" s="16">
        <v>1019</v>
      </c>
      <c r="H149" s="17">
        <v>1.0592515592515592</v>
      </c>
      <c r="I149" s="18">
        <v>2</v>
      </c>
      <c r="J149" s="16">
        <v>0</v>
      </c>
      <c r="K149" s="1">
        <v>1</v>
      </c>
      <c r="L149" s="1">
        <v>0</v>
      </c>
      <c r="M149" s="1">
        <v>0</v>
      </c>
      <c r="N149" s="17">
        <v>0</v>
      </c>
      <c r="O149" s="16">
        <v>1000</v>
      </c>
      <c r="P149" s="16">
        <v>0</v>
      </c>
      <c r="Q149" s="1">
        <v>0</v>
      </c>
      <c r="R149" s="1">
        <v>0</v>
      </c>
      <c r="S149" s="17">
        <v>1</v>
      </c>
      <c r="T149" s="16">
        <v>100</v>
      </c>
      <c r="U149" s="16">
        <v>0</v>
      </c>
      <c r="V149" s="1">
        <v>2</v>
      </c>
      <c r="W149" s="1">
        <v>0</v>
      </c>
      <c r="X149" s="1">
        <v>0</v>
      </c>
      <c r="Y149" s="17">
        <v>0</v>
      </c>
      <c r="Z149" s="18">
        <v>2000</v>
      </c>
      <c r="AA149" s="18">
        <v>2</v>
      </c>
      <c r="AB149" s="18">
        <v>2</v>
      </c>
      <c r="AC149" s="16">
        <v>1</v>
      </c>
      <c r="AD149" s="17">
        <v>3</v>
      </c>
      <c r="AE149" s="16">
        <v>0</v>
      </c>
      <c r="AF149" s="1">
        <v>0</v>
      </c>
      <c r="AG149" s="1">
        <v>1</v>
      </c>
      <c r="AH149" s="18">
        <v>1</v>
      </c>
      <c r="AI149" s="16">
        <v>653</v>
      </c>
      <c r="AJ149" s="17">
        <v>1019</v>
      </c>
      <c r="AK149" s="16">
        <v>5</v>
      </c>
      <c r="AL149" s="17">
        <v>1</v>
      </c>
      <c r="AM149" s="16">
        <v>1</v>
      </c>
      <c r="AN149" s="1">
        <v>4</v>
      </c>
      <c r="AO149" s="1">
        <v>15</v>
      </c>
      <c r="AP149" s="1">
        <v>0</v>
      </c>
      <c r="AQ149" s="1">
        <v>0</v>
      </c>
      <c r="AR149" s="1">
        <v>0</v>
      </c>
      <c r="AS149" s="1">
        <v>0</v>
      </c>
      <c r="AT149" s="1">
        <v>0</v>
      </c>
      <c r="AU149" s="1">
        <v>0</v>
      </c>
      <c r="AV149" s="1">
        <v>0</v>
      </c>
      <c r="AW149" s="1">
        <v>0</v>
      </c>
      <c r="AX149" s="17">
        <v>0</v>
      </c>
      <c r="AY149" s="16">
        <v>0</v>
      </c>
      <c r="AZ149" s="1">
        <v>0</v>
      </c>
      <c r="BA149" s="1">
        <v>0</v>
      </c>
      <c r="BB149" s="17">
        <v>0</v>
      </c>
      <c r="BC149" s="16">
        <v>0</v>
      </c>
      <c r="BD149" s="17">
        <v>0</v>
      </c>
      <c r="BE149" s="18">
        <v>104</v>
      </c>
      <c r="BF149" s="16">
        <v>0</v>
      </c>
      <c r="BG149" s="1">
        <v>1</v>
      </c>
      <c r="BH149" s="1"/>
      <c r="BI149" s="1">
        <v>0</v>
      </c>
      <c r="BJ149" s="16">
        <v>0</v>
      </c>
      <c r="BK149" s="1">
        <v>1</v>
      </c>
      <c r="BL149" s="16"/>
      <c r="BM149" s="1"/>
      <c r="BN149" s="1"/>
      <c r="BO149" s="1"/>
      <c r="BP149" s="1"/>
      <c r="BQ149" s="1"/>
      <c r="BR149" s="1"/>
      <c r="BS149" s="1"/>
      <c r="BT149" s="17"/>
      <c r="BU149" s="16"/>
      <c r="BV149" s="1"/>
      <c r="BW149" s="1"/>
      <c r="BX149" s="1"/>
      <c r="BY149" s="1"/>
      <c r="BZ149" s="1"/>
      <c r="CA149" s="1"/>
      <c r="CB149" s="17"/>
      <c r="CC149" s="16">
        <v>65.94</v>
      </c>
      <c r="CD149" s="1"/>
      <c r="CE149" s="17"/>
      <c r="CF149" s="16"/>
      <c r="CG149" s="1"/>
      <c r="CH149" s="17"/>
      <c r="CI149" s="16"/>
      <c r="CJ149" s="17"/>
      <c r="CK149" s="16"/>
      <c r="CL149" s="17"/>
      <c r="CM149" s="16">
        <v>81.069999999999993</v>
      </c>
      <c r="CN149" s="1">
        <v>81.28</v>
      </c>
      <c r="CO149" s="1">
        <v>80.430000000000007</v>
      </c>
      <c r="CP149" s="1"/>
      <c r="CQ149" s="1"/>
      <c r="CR149" s="17"/>
      <c r="CS149" s="16"/>
      <c r="CT149" s="1"/>
      <c r="CU149" s="1"/>
      <c r="CV149" s="17"/>
      <c r="CW149" s="16"/>
      <c r="CX149" s="1"/>
      <c r="CY149" s="1"/>
      <c r="CZ149" s="17"/>
      <c r="DA149" s="18">
        <v>59.34</v>
      </c>
      <c r="DB149" s="6"/>
    </row>
    <row r="150" spans="1:106">
      <c r="A150" s="42" t="s">
        <v>324</v>
      </c>
      <c r="B150" s="17" t="s">
        <v>314</v>
      </c>
      <c r="C150" s="16" t="s">
        <v>106</v>
      </c>
      <c r="D150" s="1" t="s">
        <v>1</v>
      </c>
      <c r="E150" s="18">
        <v>1000</v>
      </c>
      <c r="F150" s="18"/>
      <c r="G150" s="16">
        <v>1648</v>
      </c>
      <c r="H150" s="17">
        <v>2.157068062827225</v>
      </c>
      <c r="I150" s="18">
        <v>2</v>
      </c>
      <c r="J150" s="16">
        <v>0</v>
      </c>
      <c r="K150" s="1">
        <v>0</v>
      </c>
      <c r="L150" s="1">
        <v>1</v>
      </c>
      <c r="M150" s="1">
        <v>1</v>
      </c>
      <c r="N150" s="17">
        <v>0</v>
      </c>
      <c r="O150" s="16">
        <v>110</v>
      </c>
      <c r="P150" s="16">
        <v>1</v>
      </c>
      <c r="Q150" s="1">
        <v>0</v>
      </c>
      <c r="R150" s="1">
        <v>0</v>
      </c>
      <c r="S150" s="17">
        <v>0</v>
      </c>
      <c r="T150" s="16">
        <v>1000</v>
      </c>
      <c r="U150" s="16">
        <v>0</v>
      </c>
      <c r="V150" s="1">
        <v>1</v>
      </c>
      <c r="W150" s="1">
        <v>0</v>
      </c>
      <c r="X150" s="1">
        <v>0</v>
      </c>
      <c r="Y150" s="17">
        <v>0</v>
      </c>
      <c r="Z150" s="18">
        <v>1000</v>
      </c>
      <c r="AA150" s="18">
        <v>1</v>
      </c>
      <c r="AB150" s="18">
        <v>2</v>
      </c>
      <c r="AC150" s="16">
        <v>1</v>
      </c>
      <c r="AD150" s="17">
        <v>2</v>
      </c>
      <c r="AE150" s="16">
        <v>0</v>
      </c>
      <c r="AF150" s="1">
        <v>0</v>
      </c>
      <c r="AG150" s="1">
        <v>1</v>
      </c>
      <c r="AH150" s="18">
        <v>1</v>
      </c>
      <c r="AI150" s="16">
        <v>201</v>
      </c>
      <c r="AJ150" s="17">
        <v>1648</v>
      </c>
      <c r="AK150" s="16">
        <v>7</v>
      </c>
      <c r="AL150" s="17">
        <v>1</v>
      </c>
      <c r="AM150" s="16">
        <v>1</v>
      </c>
      <c r="AN150" s="1">
        <v>4</v>
      </c>
      <c r="AO150" s="1">
        <v>17</v>
      </c>
      <c r="AP150" s="1">
        <v>0</v>
      </c>
      <c r="AQ150" s="1">
        <v>0</v>
      </c>
      <c r="AR150" s="1">
        <v>0</v>
      </c>
      <c r="AS150" s="1">
        <v>26</v>
      </c>
      <c r="AT150" s="1">
        <v>0</v>
      </c>
      <c r="AU150" s="1">
        <v>0</v>
      </c>
      <c r="AV150" s="1">
        <v>601</v>
      </c>
      <c r="AW150" s="1">
        <v>121</v>
      </c>
      <c r="AX150" s="17">
        <v>0</v>
      </c>
      <c r="AY150" s="16">
        <v>0</v>
      </c>
      <c r="AZ150" s="1">
        <v>0</v>
      </c>
      <c r="BA150" s="1">
        <v>0</v>
      </c>
      <c r="BB150" s="17">
        <v>0</v>
      </c>
      <c r="BC150" s="16">
        <v>0</v>
      </c>
      <c r="BD150" s="17">
        <v>0</v>
      </c>
      <c r="BE150" s="18">
        <v>134</v>
      </c>
      <c r="BF150" s="16">
        <v>0</v>
      </c>
      <c r="BG150" s="1">
        <v>1</v>
      </c>
      <c r="BH150" s="1"/>
      <c r="BI150" s="1">
        <v>0</v>
      </c>
      <c r="BJ150" s="16">
        <v>0</v>
      </c>
      <c r="BK150" s="1">
        <v>1</v>
      </c>
      <c r="BL150" s="16"/>
      <c r="BM150" s="1"/>
      <c r="BN150" s="1"/>
      <c r="BO150" s="1"/>
      <c r="BP150" s="1"/>
      <c r="BQ150" s="1"/>
      <c r="BR150" s="1"/>
      <c r="BS150" s="1"/>
      <c r="BT150" s="17"/>
      <c r="BU150" s="16"/>
      <c r="BV150" s="1"/>
      <c r="BW150" s="1"/>
      <c r="BX150" s="1"/>
      <c r="BY150" s="1"/>
      <c r="BZ150" s="1"/>
      <c r="CA150" s="1"/>
      <c r="CB150" s="17"/>
      <c r="CC150" s="16"/>
      <c r="CD150" s="1"/>
      <c r="CE150" s="17"/>
      <c r="CF150" s="16"/>
      <c r="CG150" s="1"/>
      <c r="CH150" s="17"/>
      <c r="CI150" s="16"/>
      <c r="CJ150" s="17"/>
      <c r="CK150" s="16"/>
      <c r="CL150" s="17"/>
      <c r="CM150" s="16"/>
      <c r="CN150" s="1"/>
      <c r="CO150" s="1"/>
      <c r="CP150" s="1"/>
      <c r="CQ150" s="1"/>
      <c r="CR150" s="17"/>
      <c r="CS150" s="16"/>
      <c r="CT150" s="1"/>
      <c r="CU150" s="1"/>
      <c r="CV150" s="17"/>
      <c r="CW150" s="16"/>
      <c r="CX150" s="1"/>
      <c r="CY150" s="1"/>
      <c r="CZ150" s="17"/>
      <c r="DA150" s="18"/>
      <c r="DB150" s="6"/>
    </row>
    <row r="151" spans="1:106">
      <c r="A151" s="42" t="s">
        <v>324</v>
      </c>
      <c r="B151" s="17" t="s">
        <v>314</v>
      </c>
      <c r="C151" s="16" t="s">
        <v>150</v>
      </c>
      <c r="D151" s="1"/>
      <c r="E151" s="18">
        <v>1000</v>
      </c>
      <c r="F151" s="18"/>
      <c r="G151" s="16">
        <v>3594</v>
      </c>
      <c r="H151" s="17">
        <v>2.1354723707664882</v>
      </c>
      <c r="I151" s="18">
        <v>5</v>
      </c>
      <c r="J151" s="16">
        <v>0</v>
      </c>
      <c r="K151" s="1">
        <v>0</v>
      </c>
      <c r="L151" s="1">
        <v>1</v>
      </c>
      <c r="M151" s="1">
        <v>0</v>
      </c>
      <c r="N151" s="17">
        <v>0</v>
      </c>
      <c r="O151" s="16">
        <v>100</v>
      </c>
      <c r="P151" s="16">
        <v>1</v>
      </c>
      <c r="Q151" s="1">
        <v>0</v>
      </c>
      <c r="R151" s="1">
        <v>0</v>
      </c>
      <c r="S151" s="17">
        <v>0</v>
      </c>
      <c r="T151" s="16">
        <v>1000</v>
      </c>
      <c r="U151" s="16">
        <v>0</v>
      </c>
      <c r="V151" s="1">
        <v>1</v>
      </c>
      <c r="W151" s="1">
        <v>1</v>
      </c>
      <c r="X151" s="1">
        <v>1</v>
      </c>
      <c r="Y151" s="17">
        <v>0</v>
      </c>
      <c r="Z151" s="18">
        <v>1110</v>
      </c>
      <c r="AA151" s="18">
        <v>3</v>
      </c>
      <c r="AB151" s="18">
        <v>1</v>
      </c>
      <c r="AC151" s="16">
        <v>1</v>
      </c>
      <c r="AD151" s="17">
        <v>3</v>
      </c>
      <c r="AE151" s="16">
        <v>0</v>
      </c>
      <c r="AF151" s="1">
        <v>1</v>
      </c>
      <c r="AG151" s="1">
        <v>0</v>
      </c>
      <c r="AH151" s="18">
        <v>10</v>
      </c>
      <c r="AI151" s="16">
        <v>790</v>
      </c>
      <c r="AJ151" s="17">
        <v>2372</v>
      </c>
      <c r="AK151" s="16">
        <v>5</v>
      </c>
      <c r="AL151" s="17">
        <v>1</v>
      </c>
      <c r="AM151" s="16">
        <v>1</v>
      </c>
      <c r="AN151" s="1">
        <v>3</v>
      </c>
      <c r="AO151" s="1">
        <v>45</v>
      </c>
      <c r="AP151" s="1">
        <v>0</v>
      </c>
      <c r="AQ151" s="1">
        <v>0</v>
      </c>
      <c r="AR151" s="1">
        <v>8</v>
      </c>
      <c r="AS151" s="1">
        <v>32</v>
      </c>
      <c r="AT151" s="1">
        <v>11</v>
      </c>
      <c r="AU151" s="1">
        <v>150</v>
      </c>
      <c r="AV151" s="1">
        <v>59</v>
      </c>
      <c r="AW151" s="1">
        <v>224</v>
      </c>
      <c r="AX151" s="17">
        <v>0</v>
      </c>
      <c r="AY151" s="16">
        <v>0</v>
      </c>
      <c r="AZ151" s="1">
        <v>0</v>
      </c>
      <c r="BA151" s="1">
        <v>0</v>
      </c>
      <c r="BB151" s="17">
        <v>0</v>
      </c>
      <c r="BC151" s="16">
        <v>0</v>
      </c>
      <c r="BD151" s="17">
        <v>0</v>
      </c>
      <c r="BE151" s="18">
        <v>115</v>
      </c>
      <c r="BF151" s="16">
        <v>0</v>
      </c>
      <c r="BG151" s="1">
        <v>0</v>
      </c>
      <c r="BH151" s="1"/>
      <c r="BI151" s="1">
        <v>0</v>
      </c>
      <c r="BJ151" s="16">
        <v>0</v>
      </c>
      <c r="BK151" s="1">
        <v>1</v>
      </c>
      <c r="BL151" s="16">
        <v>79.7</v>
      </c>
      <c r="BM151" s="1">
        <v>78.989999999999995</v>
      </c>
      <c r="BN151" s="1"/>
      <c r="BO151" s="1"/>
      <c r="BP151" s="1"/>
      <c r="BQ151" s="1"/>
      <c r="BR151" s="1"/>
      <c r="BS151" s="1"/>
      <c r="BT151" s="17"/>
      <c r="BU151" s="16">
        <v>83.31</v>
      </c>
      <c r="BV151" s="1">
        <v>84.02</v>
      </c>
      <c r="BW151" s="1"/>
      <c r="BX151" s="1"/>
      <c r="BY151" s="1"/>
      <c r="BZ151" s="1"/>
      <c r="CA151" s="1"/>
      <c r="CB151" s="17"/>
      <c r="CC151" s="16">
        <v>79.58</v>
      </c>
      <c r="CD151" s="1"/>
      <c r="CE151" s="17"/>
      <c r="CF151" s="16">
        <v>59.05</v>
      </c>
      <c r="CG151" s="1"/>
      <c r="CH151" s="17"/>
      <c r="CI151" s="16"/>
      <c r="CJ151" s="17"/>
      <c r="CK151" s="16"/>
      <c r="CL151" s="17"/>
      <c r="CM151" s="16"/>
      <c r="CN151" s="1"/>
      <c r="CO151" s="1"/>
      <c r="CP151" s="1"/>
      <c r="CQ151" s="1"/>
      <c r="CR151" s="17"/>
      <c r="CS151" s="16"/>
      <c r="CT151" s="1"/>
      <c r="CU151" s="1"/>
      <c r="CV151" s="17"/>
      <c r="CW151" s="16"/>
      <c r="CX151" s="1"/>
      <c r="CY151" s="1"/>
      <c r="CZ151" s="17"/>
      <c r="DA151" s="18"/>
      <c r="DB151" s="6"/>
    </row>
    <row r="152" spans="1:106">
      <c r="A152" s="42" t="s">
        <v>324</v>
      </c>
      <c r="B152" s="17" t="s">
        <v>314</v>
      </c>
      <c r="C152" s="16" t="s">
        <v>108</v>
      </c>
      <c r="D152" s="1"/>
      <c r="E152" s="18">
        <v>110</v>
      </c>
      <c r="F152" s="18"/>
      <c r="G152" s="16">
        <v>3769</v>
      </c>
      <c r="H152" s="17">
        <v>5.6422155688622757</v>
      </c>
      <c r="I152" s="18">
        <v>2</v>
      </c>
      <c r="J152" s="16">
        <v>0</v>
      </c>
      <c r="K152" s="1">
        <v>0</v>
      </c>
      <c r="L152" s="1">
        <v>1</v>
      </c>
      <c r="M152" s="1">
        <v>0</v>
      </c>
      <c r="N152" s="17">
        <v>0</v>
      </c>
      <c r="O152" s="16">
        <v>100</v>
      </c>
      <c r="P152" s="16">
        <v>0</v>
      </c>
      <c r="Q152" s="1">
        <v>1</v>
      </c>
      <c r="R152" s="1">
        <v>0</v>
      </c>
      <c r="S152" s="17">
        <v>1</v>
      </c>
      <c r="T152" s="16">
        <v>110</v>
      </c>
      <c r="U152" s="16">
        <v>0</v>
      </c>
      <c r="V152" s="1">
        <v>5</v>
      </c>
      <c r="W152" s="1">
        <v>0</v>
      </c>
      <c r="X152" s="1">
        <v>0</v>
      </c>
      <c r="Y152" s="17">
        <v>0</v>
      </c>
      <c r="Z152" s="18">
        <v>5000</v>
      </c>
      <c r="AA152" s="18">
        <v>5</v>
      </c>
      <c r="AB152" s="18">
        <v>1</v>
      </c>
      <c r="AC152" s="16">
        <v>1</v>
      </c>
      <c r="AD152" s="17">
        <v>3</v>
      </c>
      <c r="AE152" s="16">
        <v>0</v>
      </c>
      <c r="AF152" s="1">
        <v>0</v>
      </c>
      <c r="AG152" s="1">
        <v>1</v>
      </c>
      <c r="AH152" s="18">
        <v>1</v>
      </c>
      <c r="AI152" s="16">
        <v>1493</v>
      </c>
      <c r="AJ152" s="17">
        <v>3035</v>
      </c>
      <c r="AK152" s="16">
        <v>5</v>
      </c>
      <c r="AL152" s="17">
        <v>1</v>
      </c>
      <c r="AM152" s="16">
        <v>50</v>
      </c>
      <c r="AN152" s="1">
        <v>3</v>
      </c>
      <c r="AO152" s="1">
        <v>11</v>
      </c>
      <c r="AP152" s="1">
        <v>0</v>
      </c>
      <c r="AQ152" s="1">
        <v>0</v>
      </c>
      <c r="AR152" s="1">
        <v>6</v>
      </c>
      <c r="AS152" s="1">
        <v>143</v>
      </c>
      <c r="AT152" s="1">
        <v>10</v>
      </c>
      <c r="AU152" s="1">
        <v>626</v>
      </c>
      <c r="AV152" s="1">
        <v>7</v>
      </c>
      <c r="AW152" s="1">
        <v>364</v>
      </c>
      <c r="AX152" s="17">
        <v>0</v>
      </c>
      <c r="AY152" s="16">
        <v>0</v>
      </c>
      <c r="AZ152" s="1">
        <v>0</v>
      </c>
      <c r="BA152" s="1">
        <v>0</v>
      </c>
      <c r="BB152" s="17">
        <v>0</v>
      </c>
      <c r="BC152" s="16">
        <v>0</v>
      </c>
      <c r="BD152" s="17">
        <v>0</v>
      </c>
      <c r="BE152" s="18">
        <v>127</v>
      </c>
      <c r="BF152" s="16">
        <v>0</v>
      </c>
      <c r="BG152" s="1">
        <v>0</v>
      </c>
      <c r="BH152" s="1"/>
      <c r="BI152" s="1">
        <v>0</v>
      </c>
      <c r="BJ152" s="16">
        <v>0</v>
      </c>
      <c r="BK152" s="1">
        <v>1</v>
      </c>
      <c r="BL152" s="16"/>
      <c r="BM152" s="1"/>
      <c r="BN152" s="1"/>
      <c r="BO152" s="1"/>
      <c r="BP152" s="1"/>
      <c r="BQ152" s="1"/>
      <c r="BR152" s="1"/>
      <c r="BS152" s="1"/>
      <c r="BT152" s="17"/>
      <c r="BU152" s="16">
        <v>81.55</v>
      </c>
      <c r="BV152" s="1">
        <v>82.09</v>
      </c>
      <c r="BW152" s="1"/>
      <c r="BX152" s="1"/>
      <c r="BY152" s="1"/>
      <c r="BZ152" s="1"/>
      <c r="CA152" s="1"/>
      <c r="CB152" s="17"/>
      <c r="CC152" s="16"/>
      <c r="CD152" s="1"/>
      <c r="CE152" s="17"/>
      <c r="CF152" s="16"/>
      <c r="CG152" s="1"/>
      <c r="CH152" s="17"/>
      <c r="CI152" s="16"/>
      <c r="CJ152" s="17"/>
      <c r="CK152" s="16"/>
      <c r="CL152" s="17"/>
      <c r="CM152" s="16"/>
      <c r="CN152" s="1"/>
      <c r="CO152" s="1"/>
      <c r="CP152" s="1"/>
      <c r="CQ152" s="1"/>
      <c r="CR152" s="17"/>
      <c r="CS152" s="16"/>
      <c r="CT152" s="1"/>
      <c r="CU152" s="1"/>
      <c r="CV152" s="17"/>
      <c r="CW152" s="16">
        <v>68.099999999999994</v>
      </c>
      <c r="CX152" s="1">
        <v>73.48</v>
      </c>
      <c r="CY152" s="1"/>
      <c r="CZ152" s="17"/>
      <c r="DA152" s="18">
        <v>57.29</v>
      </c>
      <c r="DB152" s="6"/>
    </row>
    <row r="153" spans="1:106">
      <c r="A153" s="42" t="s">
        <v>324</v>
      </c>
      <c r="B153" s="17" t="s">
        <v>314</v>
      </c>
      <c r="C153" s="16" t="s">
        <v>155</v>
      </c>
      <c r="D153" s="1"/>
      <c r="E153" s="18">
        <v>1000</v>
      </c>
      <c r="F153" s="18"/>
      <c r="G153" s="16">
        <v>5241</v>
      </c>
      <c r="H153" s="17">
        <v>2.4838862559241708</v>
      </c>
      <c r="I153" s="18">
        <v>3</v>
      </c>
      <c r="J153" s="16">
        <v>0</v>
      </c>
      <c r="K153" s="1">
        <v>0</v>
      </c>
      <c r="L153" s="1">
        <v>1</v>
      </c>
      <c r="M153" s="1">
        <v>0</v>
      </c>
      <c r="N153" s="17">
        <v>0</v>
      </c>
      <c r="O153" s="16">
        <v>100</v>
      </c>
      <c r="P153" s="16">
        <v>1</v>
      </c>
      <c r="Q153" s="1">
        <v>0</v>
      </c>
      <c r="R153" s="1">
        <v>0</v>
      </c>
      <c r="S153" s="17">
        <v>0</v>
      </c>
      <c r="T153" s="16">
        <v>1000</v>
      </c>
      <c r="U153" s="16">
        <v>0</v>
      </c>
      <c r="V153" s="1">
        <v>0</v>
      </c>
      <c r="W153" s="1">
        <v>1</v>
      </c>
      <c r="X153" s="1">
        <v>1</v>
      </c>
      <c r="Y153" s="17">
        <v>0</v>
      </c>
      <c r="Z153" s="18">
        <v>110</v>
      </c>
      <c r="AA153" s="18">
        <v>2</v>
      </c>
      <c r="AB153" s="18">
        <v>1</v>
      </c>
      <c r="AC153" s="16">
        <v>1</v>
      </c>
      <c r="AD153" s="17">
        <v>3</v>
      </c>
      <c r="AE153" s="16">
        <v>0</v>
      </c>
      <c r="AF153" s="1">
        <v>0</v>
      </c>
      <c r="AG153" s="1">
        <v>1</v>
      </c>
      <c r="AH153" s="18">
        <v>1</v>
      </c>
      <c r="AI153" s="16">
        <v>569</v>
      </c>
      <c r="AJ153" s="17">
        <v>3399</v>
      </c>
      <c r="AK153" s="16">
        <v>6</v>
      </c>
      <c r="AL153" s="17">
        <v>1</v>
      </c>
      <c r="AM153" s="16">
        <v>1</v>
      </c>
      <c r="AN153" s="1">
        <v>21</v>
      </c>
      <c r="AO153" s="1">
        <v>127</v>
      </c>
      <c r="AP153" s="1">
        <v>0</v>
      </c>
      <c r="AQ153" s="1">
        <v>0</v>
      </c>
      <c r="AR153" s="1">
        <v>9</v>
      </c>
      <c r="AS153" s="1">
        <v>48</v>
      </c>
      <c r="AT153" s="1">
        <v>22</v>
      </c>
      <c r="AU153" s="1">
        <v>62</v>
      </c>
      <c r="AV153" s="1">
        <v>0</v>
      </c>
      <c r="AW153" s="1">
        <v>0</v>
      </c>
      <c r="AX153" s="17">
        <v>0</v>
      </c>
      <c r="AY153" s="16">
        <v>0</v>
      </c>
      <c r="AZ153" s="1">
        <v>0</v>
      </c>
      <c r="BA153" s="1">
        <v>0</v>
      </c>
      <c r="BB153" s="17">
        <v>0</v>
      </c>
      <c r="BC153" s="16">
        <v>0</v>
      </c>
      <c r="BD153" s="17">
        <v>0</v>
      </c>
      <c r="BE153" s="18">
        <v>132</v>
      </c>
      <c r="BF153" s="16">
        <v>0</v>
      </c>
      <c r="BG153" s="1">
        <v>1</v>
      </c>
      <c r="BH153" s="1"/>
      <c r="BI153" s="1">
        <v>0</v>
      </c>
      <c r="BJ153" s="16">
        <v>0</v>
      </c>
      <c r="BK153" s="1">
        <v>1</v>
      </c>
      <c r="BL153" s="16"/>
      <c r="BM153" s="1"/>
      <c r="BN153" s="1"/>
      <c r="BO153" s="1"/>
      <c r="BP153" s="1"/>
      <c r="BQ153" s="1"/>
      <c r="BR153" s="1"/>
      <c r="BS153" s="1"/>
      <c r="BT153" s="17"/>
      <c r="BU153" s="16"/>
      <c r="BV153" s="1"/>
      <c r="BW153" s="1"/>
      <c r="BX153" s="1"/>
      <c r="BY153" s="1"/>
      <c r="BZ153" s="1"/>
      <c r="CA153" s="1"/>
      <c r="CB153" s="17"/>
      <c r="CC153" s="16"/>
      <c r="CD153" s="1"/>
      <c r="CE153" s="17"/>
      <c r="CF153" s="16"/>
      <c r="CG153" s="1"/>
      <c r="CH153" s="17"/>
      <c r="CI153" s="16"/>
      <c r="CJ153" s="17"/>
      <c r="CK153" s="16"/>
      <c r="CL153" s="17"/>
      <c r="CM153" s="16"/>
      <c r="CN153" s="1"/>
      <c r="CO153" s="1"/>
      <c r="CP153" s="1"/>
      <c r="CQ153" s="1"/>
      <c r="CR153" s="17"/>
      <c r="CS153" s="16"/>
      <c r="CT153" s="1"/>
      <c r="CU153" s="1"/>
      <c r="CV153" s="17"/>
      <c r="CW153" s="16"/>
      <c r="CX153" s="1"/>
      <c r="CY153" s="1"/>
      <c r="CZ153" s="17"/>
      <c r="DA153" s="18"/>
      <c r="DB153" s="6"/>
    </row>
    <row r="154" spans="1:106">
      <c r="A154" s="42" t="s">
        <v>324</v>
      </c>
      <c r="B154" s="17" t="s">
        <v>314</v>
      </c>
      <c r="C154" s="16" t="s">
        <v>162</v>
      </c>
      <c r="D154" s="1"/>
      <c r="E154" s="18">
        <v>1000</v>
      </c>
      <c r="F154" s="18"/>
      <c r="G154" s="16">
        <v>5331</v>
      </c>
      <c r="H154" s="17">
        <v>2.8863021115322143</v>
      </c>
      <c r="I154" s="18">
        <v>3</v>
      </c>
      <c r="J154" s="16">
        <v>0</v>
      </c>
      <c r="K154" s="1">
        <v>0</v>
      </c>
      <c r="L154" s="1">
        <v>1</v>
      </c>
      <c r="M154" s="1">
        <v>0</v>
      </c>
      <c r="N154" s="17">
        <v>0</v>
      </c>
      <c r="O154" s="16">
        <v>100</v>
      </c>
      <c r="P154" s="16">
        <v>1</v>
      </c>
      <c r="Q154" s="1">
        <v>0</v>
      </c>
      <c r="R154" s="1">
        <v>0</v>
      </c>
      <c r="S154" s="17">
        <v>0</v>
      </c>
      <c r="T154" s="16">
        <v>1000</v>
      </c>
      <c r="U154" s="16">
        <v>0</v>
      </c>
      <c r="V154" s="1">
        <v>0</v>
      </c>
      <c r="W154" s="1">
        <v>1</v>
      </c>
      <c r="X154" s="1">
        <v>1</v>
      </c>
      <c r="Y154" s="17">
        <v>0</v>
      </c>
      <c r="Z154" s="18">
        <v>110</v>
      </c>
      <c r="AA154" s="18">
        <v>2</v>
      </c>
      <c r="AB154" s="18">
        <v>3</v>
      </c>
      <c r="AC154" s="16">
        <v>3</v>
      </c>
      <c r="AD154" s="17">
        <v>3</v>
      </c>
      <c r="AE154" s="16">
        <v>0</v>
      </c>
      <c r="AF154" s="1">
        <v>0</v>
      </c>
      <c r="AG154" s="1">
        <v>1</v>
      </c>
      <c r="AH154" s="18">
        <v>1</v>
      </c>
      <c r="AI154" s="16">
        <v>563</v>
      </c>
      <c r="AJ154" s="17">
        <v>4342</v>
      </c>
      <c r="AK154" s="16">
        <v>15</v>
      </c>
      <c r="AL154" s="17">
        <v>1</v>
      </c>
      <c r="AM154" s="16">
        <v>1</v>
      </c>
      <c r="AN154" s="1">
        <v>0</v>
      </c>
      <c r="AO154" s="1">
        <v>7</v>
      </c>
      <c r="AP154" s="1">
        <v>0</v>
      </c>
      <c r="AQ154" s="1">
        <v>0</v>
      </c>
      <c r="AR154" s="1">
        <v>11</v>
      </c>
      <c r="AS154" s="1">
        <v>114</v>
      </c>
      <c r="AT154" s="1">
        <v>0</v>
      </c>
      <c r="AU154" s="1">
        <v>0</v>
      </c>
      <c r="AV154" s="1">
        <v>23</v>
      </c>
      <c r="AW154" s="1">
        <v>304</v>
      </c>
      <c r="AX154" s="17">
        <v>0</v>
      </c>
      <c r="AY154" s="16">
        <v>0</v>
      </c>
      <c r="AZ154" s="1">
        <v>0</v>
      </c>
      <c r="BA154" s="1">
        <v>0</v>
      </c>
      <c r="BB154" s="17">
        <v>0</v>
      </c>
      <c r="BC154" s="16">
        <v>0</v>
      </c>
      <c r="BD154" s="17">
        <v>0</v>
      </c>
      <c r="BE154" s="18">
        <v>131</v>
      </c>
      <c r="BF154" s="16">
        <v>0</v>
      </c>
      <c r="BG154" s="1">
        <v>0</v>
      </c>
      <c r="BH154" s="1"/>
      <c r="BI154" s="1">
        <v>0</v>
      </c>
      <c r="BJ154" s="16">
        <v>0</v>
      </c>
      <c r="BK154" s="1">
        <v>1</v>
      </c>
      <c r="BL154" s="16"/>
      <c r="BM154" s="1"/>
      <c r="BN154" s="1"/>
      <c r="BO154" s="1"/>
      <c r="BP154" s="1"/>
      <c r="BQ154" s="1"/>
      <c r="BR154" s="1"/>
      <c r="BS154" s="1"/>
      <c r="BT154" s="17"/>
      <c r="BU154" s="16"/>
      <c r="BV154" s="1"/>
      <c r="BW154" s="1"/>
      <c r="BX154" s="1"/>
      <c r="BY154" s="1"/>
      <c r="BZ154" s="1"/>
      <c r="CA154" s="1"/>
      <c r="CB154" s="17"/>
      <c r="CC154" s="16"/>
      <c r="CD154" s="1"/>
      <c r="CE154" s="17"/>
      <c r="CF154" s="16"/>
      <c r="CG154" s="1"/>
      <c r="CH154" s="17"/>
      <c r="CI154" s="16"/>
      <c r="CJ154" s="17"/>
      <c r="CK154" s="16"/>
      <c r="CL154" s="17"/>
      <c r="CM154" s="16"/>
      <c r="CN154" s="1"/>
      <c r="CO154" s="1"/>
      <c r="CP154" s="1"/>
      <c r="CQ154" s="1"/>
      <c r="CR154" s="17"/>
      <c r="CS154" s="16"/>
      <c r="CT154" s="1"/>
      <c r="CU154" s="1"/>
      <c r="CV154" s="17"/>
      <c r="CW154" s="16"/>
      <c r="CX154" s="1"/>
      <c r="CY154" s="1"/>
      <c r="CZ154" s="17"/>
      <c r="DA154" s="18"/>
      <c r="DB154" s="6"/>
    </row>
    <row r="155" spans="1:106">
      <c r="A155" s="42" t="s">
        <v>324</v>
      </c>
      <c r="B155" s="17" t="s">
        <v>317</v>
      </c>
      <c r="C155" s="16" t="s">
        <v>65</v>
      </c>
      <c r="D155" s="1"/>
      <c r="E155" s="18">
        <v>1000</v>
      </c>
      <c r="F155" s="18"/>
      <c r="G155" s="16">
        <v>3441</v>
      </c>
      <c r="H155" s="17">
        <v>0.9657591916923941</v>
      </c>
      <c r="I155" s="18">
        <v>2</v>
      </c>
      <c r="J155" s="16">
        <v>0</v>
      </c>
      <c r="K155" s="1">
        <v>0</v>
      </c>
      <c r="L155" s="1">
        <v>1</v>
      </c>
      <c r="M155" s="1">
        <v>0</v>
      </c>
      <c r="N155" s="17">
        <v>0</v>
      </c>
      <c r="O155" s="16">
        <v>100</v>
      </c>
      <c r="P155" s="16">
        <v>1</v>
      </c>
      <c r="Q155" s="1">
        <v>0</v>
      </c>
      <c r="R155" s="1">
        <v>0</v>
      </c>
      <c r="S155" s="17">
        <v>0</v>
      </c>
      <c r="T155" s="16">
        <v>1000</v>
      </c>
      <c r="U155" s="16">
        <v>0</v>
      </c>
      <c r="V155" s="1">
        <v>2</v>
      </c>
      <c r="W155" s="1">
        <v>1</v>
      </c>
      <c r="X155" s="1">
        <v>1</v>
      </c>
      <c r="Y155" s="17">
        <v>0</v>
      </c>
      <c r="Z155" s="18">
        <v>2110</v>
      </c>
      <c r="AA155" s="18">
        <v>4</v>
      </c>
      <c r="AB155" s="18">
        <v>3</v>
      </c>
      <c r="AC155" s="16">
        <v>2</v>
      </c>
      <c r="AD155" s="17">
        <v>2</v>
      </c>
      <c r="AE155" s="16">
        <v>0</v>
      </c>
      <c r="AF155" s="1">
        <v>0</v>
      </c>
      <c r="AG155" s="1">
        <v>1</v>
      </c>
      <c r="AH155" s="18">
        <v>1</v>
      </c>
      <c r="AI155" s="16">
        <v>2558</v>
      </c>
      <c r="AJ155" s="17">
        <v>3441</v>
      </c>
      <c r="AK155" s="16">
        <v>15</v>
      </c>
      <c r="AL155" s="17">
        <v>1</v>
      </c>
      <c r="AM155" s="16">
        <v>1</v>
      </c>
      <c r="AN155" s="1">
        <v>6</v>
      </c>
      <c r="AO155" s="1">
        <v>20</v>
      </c>
      <c r="AP155" s="1">
        <v>0</v>
      </c>
      <c r="AQ155" s="1">
        <v>0</v>
      </c>
      <c r="AR155" s="1">
        <v>19</v>
      </c>
      <c r="AS155" s="1">
        <v>48</v>
      </c>
      <c r="AT155" s="1">
        <v>12</v>
      </c>
      <c r="AU155" s="1">
        <v>30</v>
      </c>
      <c r="AV155" s="1">
        <v>75</v>
      </c>
      <c r="AW155" s="1">
        <v>207</v>
      </c>
      <c r="AX155" s="17">
        <v>0</v>
      </c>
      <c r="AY155" s="16">
        <v>0</v>
      </c>
      <c r="AZ155" s="1">
        <v>0</v>
      </c>
      <c r="BA155" s="1">
        <v>0</v>
      </c>
      <c r="BB155" s="17">
        <v>0</v>
      </c>
      <c r="BC155" s="16">
        <v>0</v>
      </c>
      <c r="BD155" s="17">
        <v>0</v>
      </c>
      <c r="BE155" s="18">
        <v>137</v>
      </c>
      <c r="BF155" s="16">
        <v>0</v>
      </c>
      <c r="BG155" s="1">
        <v>0</v>
      </c>
      <c r="BH155" s="1"/>
      <c r="BI155" s="1">
        <v>0</v>
      </c>
      <c r="BJ155" s="16">
        <v>0</v>
      </c>
      <c r="BK155" s="1">
        <v>1</v>
      </c>
      <c r="BL155" s="16"/>
      <c r="BM155" s="1"/>
      <c r="BN155" s="1"/>
      <c r="BO155" s="1"/>
      <c r="BP155" s="1"/>
      <c r="BQ155" s="1"/>
      <c r="BR155" s="1"/>
      <c r="BS155" s="1"/>
      <c r="BT155" s="17"/>
      <c r="BU155" s="16"/>
      <c r="BV155" s="1"/>
      <c r="BW155" s="1"/>
      <c r="BX155" s="1"/>
      <c r="BY155" s="1"/>
      <c r="BZ155" s="1"/>
      <c r="CA155" s="1"/>
      <c r="CB155" s="17"/>
      <c r="CC155" s="16"/>
      <c r="CD155" s="1"/>
      <c r="CE155" s="17"/>
      <c r="CF155" s="16"/>
      <c r="CG155" s="1"/>
      <c r="CH155" s="17"/>
      <c r="CI155" s="16"/>
      <c r="CJ155" s="17"/>
      <c r="CK155" s="16"/>
      <c r="CL155" s="17"/>
      <c r="CM155" s="16"/>
      <c r="CN155" s="1"/>
      <c r="CO155" s="1"/>
      <c r="CP155" s="1"/>
      <c r="CQ155" s="1"/>
      <c r="CR155" s="17"/>
      <c r="CS155" s="16"/>
      <c r="CT155" s="1"/>
      <c r="CU155" s="1"/>
      <c r="CV155" s="17"/>
      <c r="CW155" s="16"/>
      <c r="CX155" s="1"/>
      <c r="CY155" s="1"/>
      <c r="CZ155" s="17"/>
      <c r="DA155" s="18"/>
      <c r="DB155" s="6"/>
    </row>
    <row r="156" spans="1:106">
      <c r="A156" s="42" t="s">
        <v>324</v>
      </c>
      <c r="B156" s="17" t="s">
        <v>317</v>
      </c>
      <c r="C156" s="16" t="s">
        <v>74</v>
      </c>
      <c r="D156" s="1"/>
      <c r="E156" s="18">
        <v>100</v>
      </c>
      <c r="F156" s="18"/>
      <c r="G156" s="16">
        <v>4643</v>
      </c>
      <c r="H156" s="17">
        <v>1.2755494505494505</v>
      </c>
      <c r="I156" s="18">
        <v>4</v>
      </c>
      <c r="J156" s="16">
        <v>1</v>
      </c>
      <c r="K156" s="1">
        <v>0</v>
      </c>
      <c r="L156" s="1">
        <v>0</v>
      </c>
      <c r="M156" s="1">
        <v>0</v>
      </c>
      <c r="N156" s="17">
        <v>0</v>
      </c>
      <c r="O156" s="16">
        <v>10000</v>
      </c>
      <c r="P156" s="16">
        <v>0</v>
      </c>
      <c r="Q156" s="1">
        <v>0</v>
      </c>
      <c r="R156" s="1">
        <v>0</v>
      </c>
      <c r="S156" s="17">
        <v>1</v>
      </c>
      <c r="T156" s="16">
        <v>100</v>
      </c>
      <c r="U156" s="16">
        <v>0</v>
      </c>
      <c r="V156" s="1">
        <v>2</v>
      </c>
      <c r="W156" s="1">
        <v>0</v>
      </c>
      <c r="X156" s="1">
        <v>0</v>
      </c>
      <c r="Y156" s="17">
        <v>0</v>
      </c>
      <c r="Z156" s="18">
        <v>2000</v>
      </c>
      <c r="AA156" s="18">
        <v>2</v>
      </c>
      <c r="AB156" s="18">
        <v>2</v>
      </c>
      <c r="AC156" s="16">
        <v>1</v>
      </c>
      <c r="AD156" s="17">
        <v>5</v>
      </c>
      <c r="AE156" s="16">
        <v>0</v>
      </c>
      <c r="AF156" s="1">
        <v>0</v>
      </c>
      <c r="AG156" s="1">
        <v>1</v>
      </c>
      <c r="AH156" s="18">
        <v>1</v>
      </c>
      <c r="AI156" s="16">
        <v>3552</v>
      </c>
      <c r="AJ156" s="17">
        <v>3845</v>
      </c>
      <c r="AK156" s="16">
        <v>10</v>
      </c>
      <c r="AL156" s="17">
        <v>1</v>
      </c>
      <c r="AM156" s="16">
        <v>1</v>
      </c>
      <c r="AN156" s="1">
        <v>0</v>
      </c>
      <c r="AO156" s="1">
        <v>0</v>
      </c>
      <c r="AP156" s="1">
        <v>0</v>
      </c>
      <c r="AQ156" s="1">
        <v>0</v>
      </c>
      <c r="AR156" s="1">
        <v>45</v>
      </c>
      <c r="AS156" s="1">
        <v>77</v>
      </c>
      <c r="AT156" s="1">
        <v>6</v>
      </c>
      <c r="AU156" s="1">
        <v>58</v>
      </c>
      <c r="AV156" s="1">
        <v>32</v>
      </c>
      <c r="AW156" s="1">
        <v>442</v>
      </c>
      <c r="AX156" s="17">
        <v>0</v>
      </c>
      <c r="AY156" s="16">
        <v>0</v>
      </c>
      <c r="AZ156" s="1">
        <v>0</v>
      </c>
      <c r="BA156" s="1">
        <v>0</v>
      </c>
      <c r="BB156" s="17">
        <v>0</v>
      </c>
      <c r="BC156" s="16">
        <v>0</v>
      </c>
      <c r="BD156" s="17">
        <v>0</v>
      </c>
      <c r="BE156" s="18">
        <v>131</v>
      </c>
      <c r="BF156" s="16">
        <v>0</v>
      </c>
      <c r="BG156" s="1">
        <v>0</v>
      </c>
      <c r="BH156" s="1"/>
      <c r="BI156" s="1">
        <v>0</v>
      </c>
      <c r="BJ156" s="16">
        <v>0</v>
      </c>
      <c r="BK156" s="1">
        <v>1</v>
      </c>
      <c r="BL156" s="16"/>
      <c r="BM156" s="1"/>
      <c r="BN156" s="1"/>
      <c r="BO156" s="1"/>
      <c r="BP156" s="1"/>
      <c r="BQ156" s="1"/>
      <c r="BR156" s="1"/>
      <c r="BS156" s="1"/>
      <c r="BT156" s="17"/>
      <c r="BU156" s="16"/>
      <c r="BV156" s="1"/>
      <c r="BW156" s="1"/>
      <c r="BX156" s="1"/>
      <c r="BY156" s="1"/>
      <c r="BZ156" s="1"/>
      <c r="CA156" s="1"/>
      <c r="CB156" s="17"/>
      <c r="CC156" s="16"/>
      <c r="CD156" s="1"/>
      <c r="CE156" s="17"/>
      <c r="CF156" s="16"/>
      <c r="CG156" s="1"/>
      <c r="CH156" s="17"/>
      <c r="CI156" s="16"/>
      <c r="CJ156" s="17"/>
      <c r="CK156" s="16"/>
      <c r="CL156" s="17"/>
      <c r="CM156" s="16"/>
      <c r="CN156" s="1"/>
      <c r="CO156" s="1"/>
      <c r="CP156" s="1"/>
      <c r="CQ156" s="1"/>
      <c r="CR156" s="17"/>
      <c r="CS156" s="16"/>
      <c r="CT156" s="1"/>
      <c r="CU156" s="1"/>
      <c r="CV156" s="17"/>
      <c r="CW156" s="16"/>
      <c r="CX156" s="1"/>
      <c r="CY156" s="1"/>
      <c r="CZ156" s="17"/>
      <c r="DA156" s="18"/>
      <c r="DB156" s="6"/>
    </row>
    <row r="157" spans="1:106" ht="17" thickBot="1">
      <c r="A157" s="42" t="s">
        <v>324</v>
      </c>
      <c r="B157" s="17" t="s">
        <v>317</v>
      </c>
      <c r="C157" s="16" t="s">
        <v>359</v>
      </c>
      <c r="D157" s="1"/>
      <c r="E157" s="18">
        <v>100</v>
      </c>
      <c r="F157" s="18"/>
      <c r="G157" s="16">
        <v>2520</v>
      </c>
      <c r="H157" s="17">
        <v>2.1483375959079285</v>
      </c>
      <c r="I157" s="18">
        <v>4</v>
      </c>
      <c r="J157" s="16">
        <v>1</v>
      </c>
      <c r="K157" s="1">
        <v>0</v>
      </c>
      <c r="L157" s="1">
        <v>0</v>
      </c>
      <c r="M157" s="1">
        <v>0</v>
      </c>
      <c r="N157" s="17">
        <v>0</v>
      </c>
      <c r="O157" s="16">
        <v>10000</v>
      </c>
      <c r="P157" s="16">
        <v>0</v>
      </c>
      <c r="Q157" s="1">
        <v>0</v>
      </c>
      <c r="R157" s="1">
        <v>0</v>
      </c>
      <c r="S157" s="17">
        <v>1</v>
      </c>
      <c r="T157" s="16">
        <v>100</v>
      </c>
      <c r="U157" s="16">
        <v>0</v>
      </c>
      <c r="V157" s="1">
        <v>1</v>
      </c>
      <c r="W157" s="1">
        <v>0</v>
      </c>
      <c r="X157" s="1">
        <v>0</v>
      </c>
      <c r="Y157" s="17">
        <v>0</v>
      </c>
      <c r="Z157" s="18">
        <v>1000</v>
      </c>
      <c r="AA157" s="18">
        <v>1</v>
      </c>
      <c r="AB157" s="18">
        <v>2</v>
      </c>
      <c r="AC157" s="16">
        <v>1</v>
      </c>
      <c r="AD157" s="17">
        <v>5</v>
      </c>
      <c r="AE157" s="16">
        <v>0</v>
      </c>
      <c r="AF157" s="1">
        <v>0</v>
      </c>
      <c r="AG157" s="1">
        <v>1</v>
      </c>
      <c r="AH157" s="18">
        <v>1</v>
      </c>
      <c r="AI157" s="16">
        <v>1318</v>
      </c>
      <c r="AJ157" s="17">
        <v>1583</v>
      </c>
      <c r="AK157" s="16">
        <v>12</v>
      </c>
      <c r="AL157" s="17">
        <v>1</v>
      </c>
      <c r="AM157" s="16">
        <v>4</v>
      </c>
      <c r="AN157" s="1">
        <v>16</v>
      </c>
      <c r="AO157" s="1">
        <v>20</v>
      </c>
      <c r="AP157" s="1">
        <v>0</v>
      </c>
      <c r="AQ157" s="1">
        <v>0</v>
      </c>
      <c r="AR157" s="1">
        <v>0</v>
      </c>
      <c r="AS157" s="1">
        <v>10</v>
      </c>
      <c r="AT157" s="1">
        <v>7</v>
      </c>
      <c r="AU157" s="1">
        <v>90</v>
      </c>
      <c r="AV157" s="1">
        <v>20</v>
      </c>
      <c r="AW157" s="1">
        <v>294</v>
      </c>
      <c r="AX157" s="17">
        <v>0</v>
      </c>
      <c r="AY157" s="16">
        <v>0</v>
      </c>
      <c r="AZ157" s="1">
        <v>0</v>
      </c>
      <c r="BA157" s="1">
        <v>0</v>
      </c>
      <c r="BB157" s="17">
        <v>0</v>
      </c>
      <c r="BC157" s="16">
        <v>0</v>
      </c>
      <c r="BD157" s="17">
        <v>0</v>
      </c>
      <c r="BE157" s="18">
        <v>129</v>
      </c>
      <c r="BF157" s="16">
        <v>0</v>
      </c>
      <c r="BG157" s="1">
        <v>0</v>
      </c>
      <c r="BH157" s="1"/>
      <c r="BI157" s="1">
        <v>0</v>
      </c>
      <c r="BJ157" s="16">
        <v>0</v>
      </c>
      <c r="BK157" s="1">
        <v>1</v>
      </c>
      <c r="BL157" s="16">
        <v>77.069999999999993</v>
      </c>
      <c r="BM157" s="1">
        <v>77.83</v>
      </c>
      <c r="BN157" s="1">
        <v>77.91</v>
      </c>
      <c r="BO157" s="1"/>
      <c r="BP157" s="1"/>
      <c r="BQ157" s="1"/>
      <c r="BR157" s="1"/>
      <c r="BS157" s="1"/>
      <c r="BT157" s="17"/>
      <c r="BU157" s="16"/>
      <c r="BV157" s="1"/>
      <c r="BW157" s="1"/>
      <c r="BX157" s="1"/>
      <c r="BY157" s="1"/>
      <c r="BZ157" s="1"/>
      <c r="CA157" s="1"/>
      <c r="CB157" s="17"/>
      <c r="CC157" s="16"/>
      <c r="CD157" s="1"/>
      <c r="CE157" s="17"/>
      <c r="CF157" s="16">
        <v>60.83</v>
      </c>
      <c r="CG157" s="1"/>
      <c r="CH157" s="17"/>
      <c r="CI157" s="16">
        <v>63.59</v>
      </c>
      <c r="CJ157" s="17"/>
      <c r="CK157" s="16"/>
      <c r="CL157" s="17"/>
      <c r="CM157" s="16"/>
      <c r="CN157" s="1"/>
      <c r="CO157" s="1"/>
      <c r="CP157" s="1"/>
      <c r="CQ157" s="1"/>
      <c r="CR157" s="17"/>
      <c r="CS157" s="16"/>
      <c r="CT157" s="1"/>
      <c r="CU157" s="1"/>
      <c r="CV157" s="17"/>
      <c r="CW157" s="16"/>
      <c r="CX157" s="1"/>
      <c r="CY157" s="1"/>
      <c r="CZ157" s="17"/>
      <c r="DA157" s="18"/>
      <c r="DB157" s="6"/>
    </row>
    <row r="158" spans="1:106" ht="17" thickBot="1">
      <c r="A158" s="88" t="s">
        <v>324</v>
      </c>
      <c r="B158" s="200" t="s">
        <v>316</v>
      </c>
      <c r="C158" s="201" t="s">
        <v>67</v>
      </c>
      <c r="D158" s="202"/>
      <c r="E158" s="46">
        <v>1100</v>
      </c>
      <c r="F158" s="46"/>
      <c r="G158" s="201">
        <v>3026</v>
      </c>
      <c r="H158" s="200">
        <v>1.2730332351703828</v>
      </c>
      <c r="I158" s="46">
        <v>6</v>
      </c>
      <c r="J158" s="201">
        <v>0</v>
      </c>
      <c r="K158" s="202">
        <v>0</v>
      </c>
      <c r="L158" s="202">
        <v>1</v>
      </c>
      <c r="M158" s="202">
        <v>1</v>
      </c>
      <c r="N158" s="200">
        <v>0</v>
      </c>
      <c r="O158" s="201">
        <v>110</v>
      </c>
      <c r="P158" s="201">
        <v>0</v>
      </c>
      <c r="Q158" s="202">
        <v>0</v>
      </c>
      <c r="R158" s="202">
        <v>0</v>
      </c>
      <c r="S158" s="200">
        <v>1</v>
      </c>
      <c r="T158" s="201">
        <v>100</v>
      </c>
      <c r="U158" s="201">
        <v>1</v>
      </c>
      <c r="V158" s="202">
        <v>0</v>
      </c>
      <c r="W158" s="202">
        <v>1</v>
      </c>
      <c r="X158" s="202">
        <v>0</v>
      </c>
      <c r="Y158" s="200">
        <v>0</v>
      </c>
      <c r="Z158" s="46">
        <v>10100</v>
      </c>
      <c r="AA158" s="46">
        <v>2</v>
      </c>
      <c r="AB158" s="46">
        <v>3</v>
      </c>
      <c r="AC158" s="201">
        <v>2</v>
      </c>
      <c r="AD158" s="200">
        <v>3</v>
      </c>
      <c r="AE158" s="201">
        <v>1</v>
      </c>
      <c r="AF158" s="202">
        <v>0</v>
      </c>
      <c r="AG158" s="202">
        <v>1</v>
      </c>
      <c r="AH158" s="46">
        <v>101</v>
      </c>
      <c r="AI158" s="201">
        <v>241</v>
      </c>
      <c r="AJ158" s="200">
        <v>1617</v>
      </c>
      <c r="AK158" s="201">
        <v>16</v>
      </c>
      <c r="AL158" s="200">
        <v>1</v>
      </c>
      <c r="AM158" s="201">
        <v>4</v>
      </c>
      <c r="AN158" s="202">
        <v>9</v>
      </c>
      <c r="AO158" s="202">
        <v>38</v>
      </c>
      <c r="AP158" s="202">
        <v>0</v>
      </c>
      <c r="AQ158" s="202">
        <v>0</v>
      </c>
      <c r="AR158" s="202">
        <v>7</v>
      </c>
      <c r="AS158" s="202">
        <v>251</v>
      </c>
      <c r="AT158" s="202">
        <v>8</v>
      </c>
      <c r="AU158" s="202">
        <v>37</v>
      </c>
      <c r="AV158" s="202">
        <v>9</v>
      </c>
      <c r="AW158" s="202">
        <v>520</v>
      </c>
      <c r="AX158" s="200">
        <v>0</v>
      </c>
      <c r="AY158" s="201">
        <v>0</v>
      </c>
      <c r="AZ158" s="202">
        <v>0</v>
      </c>
      <c r="BA158" s="202">
        <v>0</v>
      </c>
      <c r="BB158" s="200">
        <v>0</v>
      </c>
      <c r="BC158" s="201">
        <v>0</v>
      </c>
      <c r="BD158" s="200">
        <v>0</v>
      </c>
      <c r="BE158" s="46">
        <v>147</v>
      </c>
      <c r="BF158" s="201">
        <v>0</v>
      </c>
      <c r="BG158" s="202">
        <v>0</v>
      </c>
      <c r="BH158" s="202"/>
      <c r="BI158" s="202">
        <v>0</v>
      </c>
      <c r="BJ158" s="201">
        <v>1</v>
      </c>
      <c r="BK158" s="202">
        <v>0</v>
      </c>
      <c r="BL158" s="201">
        <v>81.67</v>
      </c>
      <c r="BM158" s="202">
        <v>83.71</v>
      </c>
      <c r="BN158" s="202"/>
      <c r="BO158" s="202"/>
      <c r="BP158" s="202"/>
      <c r="BQ158" s="202"/>
      <c r="BR158" s="202"/>
      <c r="BS158" s="202"/>
      <c r="BT158" s="200"/>
      <c r="BU158" s="201">
        <v>81.430000000000007</v>
      </c>
      <c r="BV158" s="202"/>
      <c r="BW158" s="202"/>
      <c r="BX158" s="202"/>
      <c r="BY158" s="202"/>
      <c r="BZ158" s="202"/>
      <c r="CA158" s="202"/>
      <c r="CB158" s="200"/>
      <c r="CC158" s="201">
        <v>79.150000000000006</v>
      </c>
      <c r="CD158" s="202"/>
      <c r="CE158" s="200"/>
      <c r="CF158" s="201">
        <v>60.23</v>
      </c>
      <c r="CG158" s="202"/>
      <c r="CH158" s="200"/>
      <c r="CI158" s="201">
        <v>55.06</v>
      </c>
      <c r="CJ158" s="200">
        <v>62.23</v>
      </c>
      <c r="CK158" s="201"/>
      <c r="CL158" s="200"/>
      <c r="CM158" s="201"/>
      <c r="CN158" s="202"/>
      <c r="CO158" s="202"/>
      <c r="CP158" s="202"/>
      <c r="CQ158" s="202"/>
      <c r="CR158" s="200"/>
      <c r="CS158" s="201"/>
      <c r="CT158" s="202"/>
      <c r="CU158" s="202"/>
      <c r="CV158" s="200"/>
      <c r="CW158" s="201"/>
      <c r="CX158" s="202"/>
      <c r="CY158" s="202"/>
      <c r="CZ158" s="200"/>
      <c r="DA158" s="46"/>
      <c r="DB158" s="6"/>
    </row>
    <row r="159" spans="1:106">
      <c r="A159" s="42" t="s">
        <v>324</v>
      </c>
      <c r="B159" s="17" t="s">
        <v>318</v>
      </c>
      <c r="C159" s="16" t="s">
        <v>65</v>
      </c>
      <c r="D159" s="1"/>
      <c r="E159" s="18">
        <v>1100</v>
      </c>
      <c r="F159" s="18"/>
      <c r="G159" s="16">
        <v>2734</v>
      </c>
      <c r="H159" s="17">
        <v>1.2878002826189354</v>
      </c>
      <c r="I159" s="18">
        <v>5</v>
      </c>
      <c r="J159" s="16">
        <v>0</v>
      </c>
      <c r="K159" s="1">
        <v>0</v>
      </c>
      <c r="L159" s="1">
        <v>1</v>
      </c>
      <c r="M159" s="1">
        <v>1</v>
      </c>
      <c r="N159" s="17">
        <v>0</v>
      </c>
      <c r="O159" s="16">
        <v>110</v>
      </c>
      <c r="P159" s="16">
        <v>1</v>
      </c>
      <c r="Q159" s="1">
        <v>0</v>
      </c>
      <c r="R159" s="1">
        <v>0</v>
      </c>
      <c r="S159" s="17">
        <v>1</v>
      </c>
      <c r="T159" s="16">
        <v>1100</v>
      </c>
      <c r="U159" s="16">
        <v>0</v>
      </c>
      <c r="V159" s="1">
        <v>1</v>
      </c>
      <c r="W159" s="1">
        <v>1</v>
      </c>
      <c r="X159" s="1">
        <v>1</v>
      </c>
      <c r="Y159" s="17">
        <v>0</v>
      </c>
      <c r="Z159" s="18">
        <v>1110</v>
      </c>
      <c r="AA159" s="18">
        <v>3</v>
      </c>
      <c r="AB159" s="18">
        <v>1</v>
      </c>
      <c r="AC159" s="16">
        <v>1</v>
      </c>
      <c r="AD159" s="17">
        <v>3</v>
      </c>
      <c r="AE159" s="16">
        <v>0</v>
      </c>
      <c r="AF159" s="1">
        <v>1</v>
      </c>
      <c r="AG159" s="1">
        <v>1</v>
      </c>
      <c r="AH159" s="18">
        <v>11</v>
      </c>
      <c r="AI159" s="16">
        <v>828</v>
      </c>
      <c r="AJ159" s="17">
        <v>2734</v>
      </c>
      <c r="AK159" s="16">
        <v>16</v>
      </c>
      <c r="AL159" s="17">
        <v>1</v>
      </c>
      <c r="AM159" s="16">
        <v>4</v>
      </c>
      <c r="AN159" s="1">
        <v>8</v>
      </c>
      <c r="AO159" s="1">
        <v>45</v>
      </c>
      <c r="AP159" s="1">
        <v>0</v>
      </c>
      <c r="AQ159" s="1">
        <v>0</v>
      </c>
      <c r="AR159" s="1">
        <v>7</v>
      </c>
      <c r="AS159" s="1">
        <v>247</v>
      </c>
      <c r="AT159" s="1">
        <v>9</v>
      </c>
      <c r="AU159" s="1">
        <v>115</v>
      </c>
      <c r="AV159" s="1">
        <v>44</v>
      </c>
      <c r="AW159" s="1">
        <v>464</v>
      </c>
      <c r="AX159" s="17">
        <v>1</v>
      </c>
      <c r="AY159" s="16">
        <v>0</v>
      </c>
      <c r="AZ159" s="1">
        <v>0</v>
      </c>
      <c r="BA159" s="1">
        <v>0</v>
      </c>
      <c r="BB159" s="17">
        <v>0</v>
      </c>
      <c r="BC159" s="16">
        <v>0</v>
      </c>
      <c r="BD159" s="17">
        <v>0</v>
      </c>
      <c r="BE159" s="18">
        <v>107</v>
      </c>
      <c r="BF159" s="16">
        <v>0</v>
      </c>
      <c r="BG159" s="1">
        <v>0</v>
      </c>
      <c r="BH159" s="1"/>
      <c r="BI159" s="1">
        <v>0</v>
      </c>
      <c r="BJ159" s="16">
        <v>0</v>
      </c>
      <c r="BK159" s="1">
        <v>1</v>
      </c>
      <c r="BL159" s="16">
        <v>80.48</v>
      </c>
      <c r="BM159" s="1">
        <v>79.67</v>
      </c>
      <c r="BN159" s="1">
        <v>80.09</v>
      </c>
      <c r="BO159" s="1"/>
      <c r="BP159" s="1"/>
      <c r="BQ159" s="1"/>
      <c r="BR159" s="1"/>
      <c r="BS159" s="1"/>
      <c r="BT159" s="17"/>
      <c r="BU159" s="16">
        <v>80.7</v>
      </c>
      <c r="BV159" s="1">
        <v>81.61</v>
      </c>
      <c r="BW159" s="1"/>
      <c r="BX159" s="1"/>
      <c r="BY159" s="1"/>
      <c r="BZ159" s="1"/>
      <c r="CA159" s="1"/>
      <c r="CB159" s="17"/>
      <c r="CC159" s="16">
        <v>80.33</v>
      </c>
      <c r="CD159" s="1"/>
      <c r="CE159" s="17"/>
      <c r="CF159" s="16">
        <v>55.51</v>
      </c>
      <c r="CG159" s="1"/>
      <c r="CH159" s="17"/>
      <c r="CI159" s="16"/>
      <c r="CJ159" s="17"/>
      <c r="CK159" s="16"/>
      <c r="CL159" s="17"/>
      <c r="CM159" s="16"/>
      <c r="CN159" s="1"/>
      <c r="CO159" s="1"/>
      <c r="CP159" s="1"/>
      <c r="CQ159" s="1"/>
      <c r="CR159" s="17"/>
      <c r="CS159" s="16"/>
      <c r="CT159" s="1"/>
      <c r="CU159" s="1"/>
      <c r="CV159" s="17"/>
      <c r="CW159" s="16"/>
      <c r="CX159" s="1"/>
      <c r="CY159" s="1"/>
      <c r="CZ159" s="17"/>
      <c r="DA159" s="18"/>
      <c r="DB159" s="6"/>
    </row>
    <row r="160" spans="1:106">
      <c r="A160" s="42" t="s">
        <v>324</v>
      </c>
      <c r="B160" s="17" t="s">
        <v>318</v>
      </c>
      <c r="C160" s="16" t="s">
        <v>67</v>
      </c>
      <c r="D160" s="1"/>
      <c r="E160" s="18">
        <v>100</v>
      </c>
      <c r="F160" s="18"/>
      <c r="G160" s="16">
        <v>2359</v>
      </c>
      <c r="H160" s="17">
        <v>1.7168850072780204</v>
      </c>
      <c r="I160" s="18">
        <v>2</v>
      </c>
      <c r="J160" s="16">
        <v>0</v>
      </c>
      <c r="K160" s="1">
        <v>1</v>
      </c>
      <c r="L160" s="1">
        <v>0</v>
      </c>
      <c r="M160" s="1">
        <v>0</v>
      </c>
      <c r="N160" s="17">
        <v>0</v>
      </c>
      <c r="O160" s="16">
        <v>1000</v>
      </c>
      <c r="P160" s="16">
        <v>0</v>
      </c>
      <c r="Q160" s="1">
        <v>0</v>
      </c>
      <c r="R160" s="1">
        <v>0</v>
      </c>
      <c r="S160" s="17">
        <v>1</v>
      </c>
      <c r="T160" s="16">
        <v>100</v>
      </c>
      <c r="U160" s="16">
        <v>0</v>
      </c>
      <c r="V160" s="1">
        <v>0</v>
      </c>
      <c r="W160" s="1">
        <v>0</v>
      </c>
      <c r="X160" s="1">
        <v>0</v>
      </c>
      <c r="Y160" s="17">
        <v>0</v>
      </c>
      <c r="Z160" s="18">
        <v>0</v>
      </c>
      <c r="AA160" s="18">
        <v>0</v>
      </c>
      <c r="AB160" s="18">
        <v>2</v>
      </c>
      <c r="AC160" s="16">
        <v>1</v>
      </c>
      <c r="AD160" s="17">
        <v>4</v>
      </c>
      <c r="AE160" s="16">
        <v>0</v>
      </c>
      <c r="AF160" s="1">
        <v>0</v>
      </c>
      <c r="AG160" s="1">
        <v>1</v>
      </c>
      <c r="AH160" s="18">
        <v>1</v>
      </c>
      <c r="AI160" s="16">
        <v>1270</v>
      </c>
      <c r="AJ160" s="17">
        <v>1505</v>
      </c>
      <c r="AK160" s="16">
        <v>24</v>
      </c>
      <c r="AL160" s="17">
        <v>1</v>
      </c>
      <c r="AM160" s="16">
        <v>3</v>
      </c>
      <c r="AN160" s="1">
        <v>6</v>
      </c>
      <c r="AO160" s="1">
        <v>18</v>
      </c>
      <c r="AP160" s="1">
        <v>0</v>
      </c>
      <c r="AQ160" s="1">
        <v>121</v>
      </c>
      <c r="AR160" s="1">
        <v>10</v>
      </c>
      <c r="AS160" s="1">
        <v>222</v>
      </c>
      <c r="AT160" s="1">
        <v>11</v>
      </c>
      <c r="AU160" s="1">
        <v>104</v>
      </c>
      <c r="AV160" s="1">
        <v>0</v>
      </c>
      <c r="AW160" s="1">
        <v>0</v>
      </c>
      <c r="AX160" s="17">
        <v>0</v>
      </c>
      <c r="AY160" s="16">
        <v>0</v>
      </c>
      <c r="AZ160" s="1">
        <v>0</v>
      </c>
      <c r="BA160" s="1">
        <v>0</v>
      </c>
      <c r="BB160" s="17">
        <v>0</v>
      </c>
      <c r="BC160" s="16">
        <v>0</v>
      </c>
      <c r="BD160" s="17">
        <v>0</v>
      </c>
      <c r="BE160" s="18">
        <v>97</v>
      </c>
      <c r="BF160" s="16">
        <v>0</v>
      </c>
      <c r="BG160" s="1">
        <v>0</v>
      </c>
      <c r="BH160" s="1"/>
      <c r="BI160" s="1">
        <v>0</v>
      </c>
      <c r="BJ160" s="16">
        <v>0</v>
      </c>
      <c r="BK160" s="1">
        <v>1</v>
      </c>
      <c r="BL160" s="16"/>
      <c r="BM160" s="1"/>
      <c r="BN160" s="1"/>
      <c r="BO160" s="1"/>
      <c r="BP160" s="1"/>
      <c r="BQ160" s="1"/>
      <c r="BR160" s="1"/>
      <c r="BS160" s="1"/>
      <c r="BT160" s="17"/>
      <c r="BU160" s="16"/>
      <c r="BV160" s="1"/>
      <c r="BW160" s="1"/>
      <c r="BX160" s="1"/>
      <c r="BY160" s="1"/>
      <c r="BZ160" s="1"/>
      <c r="CA160" s="1"/>
      <c r="CB160" s="17"/>
      <c r="CC160" s="16"/>
      <c r="CD160" s="1"/>
      <c r="CE160" s="17"/>
      <c r="CF160" s="16"/>
      <c r="CG160" s="1"/>
      <c r="CH160" s="17"/>
      <c r="CI160" s="16"/>
      <c r="CJ160" s="17"/>
      <c r="CK160" s="16"/>
      <c r="CL160" s="17"/>
      <c r="CM160" s="16"/>
      <c r="CN160" s="1"/>
      <c r="CO160" s="1"/>
      <c r="CP160" s="1"/>
      <c r="CQ160" s="1"/>
      <c r="CR160" s="17"/>
      <c r="CS160" s="16"/>
      <c r="CT160" s="1"/>
      <c r="CU160" s="1"/>
      <c r="CV160" s="17"/>
      <c r="CW160" s="16"/>
      <c r="CX160" s="1"/>
      <c r="CY160" s="1"/>
      <c r="CZ160" s="17"/>
      <c r="DA160" s="18"/>
      <c r="DB160" s="6"/>
    </row>
    <row r="161" spans="1:106" ht="17" thickBot="1">
      <c r="A161" s="42" t="s">
        <v>324</v>
      </c>
      <c r="B161" s="17" t="s">
        <v>318</v>
      </c>
      <c r="C161" s="16" t="s">
        <v>74</v>
      </c>
      <c r="D161" s="1"/>
      <c r="E161" s="18">
        <v>1100</v>
      </c>
      <c r="F161" s="18"/>
      <c r="G161" s="16">
        <v>4854</v>
      </c>
      <c r="H161" s="17">
        <v>1.3642495784148398</v>
      </c>
      <c r="I161" s="18">
        <v>6</v>
      </c>
      <c r="J161" s="16">
        <v>0</v>
      </c>
      <c r="K161" s="1">
        <v>1</v>
      </c>
      <c r="L161" s="1">
        <v>0</v>
      </c>
      <c r="M161" s="1">
        <v>1</v>
      </c>
      <c r="N161" s="17">
        <v>0</v>
      </c>
      <c r="O161" s="16">
        <v>1010</v>
      </c>
      <c r="P161" s="16">
        <v>1</v>
      </c>
      <c r="Q161" s="1">
        <v>0</v>
      </c>
      <c r="R161" s="1">
        <v>0</v>
      </c>
      <c r="S161" s="17">
        <v>1</v>
      </c>
      <c r="T161" s="16">
        <v>1100</v>
      </c>
      <c r="U161" s="16">
        <v>0</v>
      </c>
      <c r="V161" s="1">
        <v>0</v>
      </c>
      <c r="W161" s="1">
        <v>1</v>
      </c>
      <c r="X161" s="1">
        <v>1</v>
      </c>
      <c r="Y161" s="17">
        <v>0</v>
      </c>
      <c r="Z161" s="18">
        <v>110</v>
      </c>
      <c r="AA161" s="18">
        <v>2</v>
      </c>
      <c r="AB161" s="18">
        <v>1</v>
      </c>
      <c r="AC161" s="16">
        <v>1</v>
      </c>
      <c r="AD161" s="17">
        <v>2</v>
      </c>
      <c r="AE161" s="16">
        <v>0</v>
      </c>
      <c r="AF161" s="1">
        <v>1</v>
      </c>
      <c r="AG161" s="1">
        <v>1</v>
      </c>
      <c r="AH161" s="18">
        <v>11</v>
      </c>
      <c r="AI161" s="16">
        <v>660</v>
      </c>
      <c r="AJ161" s="17">
        <v>4854</v>
      </c>
      <c r="AK161" s="16">
        <v>4</v>
      </c>
      <c r="AL161" s="17">
        <v>1</v>
      </c>
      <c r="AM161" s="16">
        <v>2</v>
      </c>
      <c r="AN161" s="1">
        <v>9</v>
      </c>
      <c r="AO161" s="1">
        <v>128</v>
      </c>
      <c r="AP161" s="1">
        <v>0</v>
      </c>
      <c r="AQ161" s="1">
        <v>0</v>
      </c>
      <c r="AR161" s="1">
        <v>9</v>
      </c>
      <c r="AS161" s="1">
        <v>357</v>
      </c>
      <c r="AT161" s="1">
        <v>12</v>
      </c>
      <c r="AU161" s="1">
        <v>187</v>
      </c>
      <c r="AV161" s="1">
        <v>48</v>
      </c>
      <c r="AW161" s="1">
        <v>136</v>
      </c>
      <c r="AX161" s="17">
        <v>1</v>
      </c>
      <c r="AY161" s="16">
        <v>0</v>
      </c>
      <c r="AZ161" s="1">
        <v>0</v>
      </c>
      <c r="BA161" s="1">
        <v>0</v>
      </c>
      <c r="BB161" s="17">
        <v>0</v>
      </c>
      <c r="BC161" s="16">
        <v>0</v>
      </c>
      <c r="BD161" s="17">
        <v>0</v>
      </c>
      <c r="BE161" s="18">
        <v>99</v>
      </c>
      <c r="BF161" s="16">
        <v>0</v>
      </c>
      <c r="BG161" s="1">
        <v>1</v>
      </c>
      <c r="BH161" s="1"/>
      <c r="BI161" s="1">
        <v>0</v>
      </c>
      <c r="BJ161" s="16">
        <v>0</v>
      </c>
      <c r="BK161" s="1">
        <v>1</v>
      </c>
      <c r="BL161" s="16">
        <v>78.180000000000007</v>
      </c>
      <c r="BM161" s="1">
        <v>80.790000000000006</v>
      </c>
      <c r="BN161" s="1">
        <v>78.81</v>
      </c>
      <c r="BO161" s="1">
        <v>78.58</v>
      </c>
      <c r="BP161" s="1">
        <v>77.599999999999994</v>
      </c>
      <c r="BQ161" s="1"/>
      <c r="BR161" s="1"/>
      <c r="BS161" s="1"/>
      <c r="BT161" s="17"/>
      <c r="BU161" s="16">
        <v>80.62</v>
      </c>
      <c r="BV161" s="1">
        <v>79.61</v>
      </c>
      <c r="BW161" s="1">
        <v>79.58</v>
      </c>
      <c r="BX161" s="1"/>
      <c r="BY161" s="1"/>
      <c r="BZ161" s="1"/>
      <c r="CA161" s="1"/>
      <c r="CB161" s="17"/>
      <c r="CC161" s="16">
        <v>77.75</v>
      </c>
      <c r="CD161" s="1">
        <v>72.02</v>
      </c>
      <c r="CE161" s="17">
        <v>73.319999999999993</v>
      </c>
      <c r="CF161" s="16"/>
      <c r="CG161" s="1"/>
      <c r="CH161" s="17"/>
      <c r="CI161" s="16"/>
      <c r="CJ161" s="17"/>
      <c r="CK161" s="16"/>
      <c r="CL161" s="17"/>
      <c r="CM161" s="16"/>
      <c r="CN161" s="1"/>
      <c r="CO161" s="1"/>
      <c r="CP161" s="1"/>
      <c r="CQ161" s="1"/>
      <c r="CR161" s="17"/>
      <c r="CS161" s="16"/>
      <c r="CT161" s="1"/>
      <c r="CU161" s="1"/>
      <c r="CV161" s="17"/>
      <c r="CW161" s="16"/>
      <c r="CX161" s="1"/>
      <c r="CY161" s="1"/>
      <c r="CZ161" s="17"/>
      <c r="DA161" s="18"/>
      <c r="DB161" s="6"/>
    </row>
    <row r="162" spans="1:106">
      <c r="A162" s="87" t="s">
        <v>324</v>
      </c>
      <c r="B162" s="162" t="s">
        <v>306</v>
      </c>
      <c r="C162" s="160" t="s">
        <v>111</v>
      </c>
      <c r="D162" s="161"/>
      <c r="E162" s="43">
        <v>1100</v>
      </c>
      <c r="F162" s="43"/>
      <c r="G162" s="160">
        <v>5438</v>
      </c>
      <c r="H162" s="162">
        <v>1.4532335649385355</v>
      </c>
      <c r="I162" s="43">
        <v>3</v>
      </c>
      <c r="J162" s="160">
        <v>1</v>
      </c>
      <c r="K162" s="161">
        <v>0</v>
      </c>
      <c r="L162" s="161">
        <v>1</v>
      </c>
      <c r="M162" s="161">
        <v>0</v>
      </c>
      <c r="N162" s="162">
        <v>0</v>
      </c>
      <c r="O162" s="160">
        <v>10100</v>
      </c>
      <c r="P162" s="160">
        <v>1</v>
      </c>
      <c r="Q162" s="161">
        <v>0</v>
      </c>
      <c r="R162" s="161">
        <v>0</v>
      </c>
      <c r="S162" s="162">
        <v>1</v>
      </c>
      <c r="T162" s="160">
        <v>1100</v>
      </c>
      <c r="U162" s="160">
        <v>0</v>
      </c>
      <c r="V162" s="161">
        <v>2</v>
      </c>
      <c r="W162" s="161">
        <v>0</v>
      </c>
      <c r="X162" s="161">
        <v>0</v>
      </c>
      <c r="Y162" s="162">
        <v>0</v>
      </c>
      <c r="Z162" s="43">
        <v>2000</v>
      </c>
      <c r="AA162" s="43">
        <v>2</v>
      </c>
      <c r="AB162" s="43">
        <v>2</v>
      </c>
      <c r="AC162" s="160">
        <v>1</v>
      </c>
      <c r="AD162" s="162">
        <v>3</v>
      </c>
      <c r="AE162" s="160">
        <v>0</v>
      </c>
      <c r="AF162" s="161">
        <v>0</v>
      </c>
      <c r="AG162" s="161">
        <v>1</v>
      </c>
      <c r="AH162" s="43">
        <v>1</v>
      </c>
      <c r="AI162" s="160">
        <v>400</v>
      </c>
      <c r="AJ162" s="162">
        <v>4249</v>
      </c>
      <c r="AK162" s="160"/>
      <c r="AL162" s="162">
        <v>1</v>
      </c>
      <c r="AM162" s="160">
        <v>2</v>
      </c>
      <c r="AN162" s="161">
        <v>8</v>
      </c>
      <c r="AO162" s="161">
        <v>41</v>
      </c>
      <c r="AP162" s="161">
        <v>0</v>
      </c>
      <c r="AQ162" s="161">
        <v>0</v>
      </c>
      <c r="AR162" s="161">
        <v>11</v>
      </c>
      <c r="AS162" s="161">
        <v>284</v>
      </c>
      <c r="AT162" s="161">
        <v>17</v>
      </c>
      <c r="AU162" s="161">
        <v>263</v>
      </c>
      <c r="AV162" s="161">
        <v>144</v>
      </c>
      <c r="AW162" s="161">
        <v>622</v>
      </c>
      <c r="AX162" s="162">
        <v>0</v>
      </c>
      <c r="AY162" s="160">
        <v>0</v>
      </c>
      <c r="AZ162" s="161">
        <v>0</v>
      </c>
      <c r="BA162" s="161">
        <v>0</v>
      </c>
      <c r="BB162" s="162">
        <v>0</v>
      </c>
      <c r="BC162" s="160">
        <v>0</v>
      </c>
      <c r="BD162" s="162">
        <v>0</v>
      </c>
      <c r="BE162" s="43">
        <v>102</v>
      </c>
      <c r="BF162" s="160">
        <v>0</v>
      </c>
      <c r="BG162" s="161">
        <v>0</v>
      </c>
      <c r="BH162" s="161"/>
      <c r="BI162" s="161">
        <v>0</v>
      </c>
      <c r="BJ162" s="160">
        <v>0</v>
      </c>
      <c r="BK162" s="161">
        <v>1</v>
      </c>
      <c r="BL162" s="160">
        <v>76.819999999999993</v>
      </c>
      <c r="BM162" s="161">
        <v>80.03</v>
      </c>
      <c r="BN162" s="161"/>
      <c r="BO162" s="161"/>
      <c r="BP162" s="161"/>
      <c r="BQ162" s="161"/>
      <c r="BR162" s="161"/>
      <c r="BS162" s="161"/>
      <c r="BT162" s="162"/>
      <c r="BU162" s="160">
        <v>77.14</v>
      </c>
      <c r="BV162" s="161"/>
      <c r="BW162" s="161"/>
      <c r="BX162" s="161"/>
      <c r="BY162" s="161"/>
      <c r="BZ162" s="161"/>
      <c r="CA162" s="161"/>
      <c r="CB162" s="162"/>
      <c r="CC162" s="160">
        <v>69.47</v>
      </c>
      <c r="CD162" s="161"/>
      <c r="CE162" s="162"/>
      <c r="CF162" s="160"/>
      <c r="CG162" s="161"/>
      <c r="CH162" s="162"/>
      <c r="CI162" s="160"/>
      <c r="CJ162" s="162"/>
      <c r="CK162" s="160"/>
      <c r="CL162" s="162"/>
      <c r="CM162" s="160"/>
      <c r="CN162" s="161"/>
      <c r="CO162" s="161"/>
      <c r="CP162" s="161"/>
      <c r="CQ162" s="161"/>
      <c r="CR162" s="162"/>
      <c r="CS162" s="160"/>
      <c r="CT162" s="161"/>
      <c r="CU162" s="161"/>
      <c r="CV162" s="162"/>
      <c r="CW162" s="160"/>
      <c r="CX162" s="161"/>
      <c r="CY162" s="161"/>
      <c r="CZ162" s="162"/>
      <c r="DA162" s="43"/>
      <c r="DB162" s="6"/>
    </row>
    <row r="163" spans="1:106" ht="17" thickBot="1">
      <c r="A163" s="55" t="s">
        <v>324</v>
      </c>
      <c r="B163" s="38" t="s">
        <v>306</v>
      </c>
      <c r="C163" s="22" t="s">
        <v>99</v>
      </c>
      <c r="D163" s="37"/>
      <c r="E163" s="39">
        <v>1000</v>
      </c>
      <c r="F163" s="39"/>
      <c r="G163" s="22">
        <v>9552</v>
      </c>
      <c r="H163" s="38">
        <v>1.7890990822251358</v>
      </c>
      <c r="I163" s="39">
        <v>4</v>
      </c>
      <c r="J163" s="22">
        <v>0</v>
      </c>
      <c r="K163" s="37">
        <v>1</v>
      </c>
      <c r="L163" s="37">
        <v>1</v>
      </c>
      <c r="M163" s="37">
        <v>0</v>
      </c>
      <c r="N163" s="38">
        <v>0</v>
      </c>
      <c r="O163" s="22">
        <v>1100</v>
      </c>
      <c r="P163" s="22">
        <v>1</v>
      </c>
      <c r="Q163" s="37">
        <v>0</v>
      </c>
      <c r="R163" s="37">
        <v>0</v>
      </c>
      <c r="S163" s="38">
        <v>0</v>
      </c>
      <c r="T163" s="22">
        <v>1000</v>
      </c>
      <c r="U163" s="22">
        <v>0</v>
      </c>
      <c r="V163" s="37">
        <v>2</v>
      </c>
      <c r="W163" s="37">
        <v>0</v>
      </c>
      <c r="X163" s="37">
        <v>0</v>
      </c>
      <c r="Y163" s="38">
        <v>0</v>
      </c>
      <c r="Z163" s="39">
        <v>2000</v>
      </c>
      <c r="AA163" s="39">
        <v>2</v>
      </c>
      <c r="AB163" s="39">
        <v>2</v>
      </c>
      <c r="AC163" s="22">
        <v>1</v>
      </c>
      <c r="AD163" s="38">
        <v>1</v>
      </c>
      <c r="AE163" s="22">
        <v>0</v>
      </c>
      <c r="AF163" s="37">
        <v>1</v>
      </c>
      <c r="AG163" s="37">
        <v>1</v>
      </c>
      <c r="AH163" s="39">
        <v>11</v>
      </c>
      <c r="AI163" s="22">
        <v>1792</v>
      </c>
      <c r="AJ163" s="38">
        <v>6608</v>
      </c>
      <c r="AK163" s="22">
        <v>24</v>
      </c>
      <c r="AL163" s="38">
        <v>1</v>
      </c>
      <c r="AM163" s="22">
        <v>1</v>
      </c>
      <c r="AN163" s="37">
        <v>11</v>
      </c>
      <c r="AO163" s="37">
        <v>218</v>
      </c>
      <c r="AP163" s="37">
        <v>0</v>
      </c>
      <c r="AQ163" s="37">
        <v>0</v>
      </c>
      <c r="AR163" s="37">
        <v>13</v>
      </c>
      <c r="AS163" s="37">
        <v>421</v>
      </c>
      <c r="AT163" s="37">
        <v>10</v>
      </c>
      <c r="AU163" s="37">
        <v>193</v>
      </c>
      <c r="AV163" s="37">
        <v>51</v>
      </c>
      <c r="AW163" s="37">
        <v>1546</v>
      </c>
      <c r="AX163" s="38">
        <v>0</v>
      </c>
      <c r="AY163" s="22">
        <v>0</v>
      </c>
      <c r="AZ163" s="37">
        <v>0</v>
      </c>
      <c r="BA163" s="37">
        <v>0</v>
      </c>
      <c r="BB163" s="38">
        <v>0</v>
      </c>
      <c r="BC163" s="22">
        <v>0</v>
      </c>
      <c r="BD163" s="38">
        <v>0</v>
      </c>
      <c r="BE163" s="39">
        <v>117</v>
      </c>
      <c r="BF163" s="22">
        <v>2</v>
      </c>
      <c r="BG163" s="37">
        <v>1</v>
      </c>
      <c r="BH163" s="37"/>
      <c r="BI163" s="37">
        <v>0</v>
      </c>
      <c r="BJ163" s="22">
        <v>0</v>
      </c>
      <c r="BK163" s="37">
        <v>1</v>
      </c>
      <c r="BL163" s="22"/>
      <c r="BM163" s="37"/>
      <c r="BN163" s="37"/>
      <c r="BO163" s="37"/>
      <c r="BP163" s="37"/>
      <c r="BQ163" s="37"/>
      <c r="BR163" s="37"/>
      <c r="BS163" s="37"/>
      <c r="BT163" s="38"/>
      <c r="BU163" s="22"/>
      <c r="BV163" s="37"/>
      <c r="BW163" s="37"/>
      <c r="BX163" s="37"/>
      <c r="BY163" s="37"/>
      <c r="BZ163" s="37"/>
      <c r="CA163" s="37"/>
      <c r="CB163" s="38"/>
      <c r="CC163" s="22"/>
      <c r="CD163" s="37"/>
      <c r="CE163" s="38"/>
      <c r="CF163" s="22"/>
      <c r="CG163" s="37"/>
      <c r="CH163" s="38"/>
      <c r="CI163" s="22"/>
      <c r="CJ163" s="38"/>
      <c r="CK163" s="22"/>
      <c r="CL163" s="38"/>
      <c r="CM163" s="22"/>
      <c r="CN163" s="37"/>
      <c r="CO163" s="37"/>
      <c r="CP163" s="37"/>
      <c r="CQ163" s="37"/>
      <c r="CR163" s="38"/>
      <c r="CS163" s="22"/>
      <c r="CT163" s="37"/>
      <c r="CU163" s="37"/>
      <c r="CV163" s="38"/>
      <c r="CW163" s="22"/>
      <c r="CX163" s="37"/>
      <c r="CY163" s="37"/>
      <c r="CZ163" s="38"/>
      <c r="DA163" s="39"/>
      <c r="DB163" s="6"/>
    </row>
    <row r="164" spans="1:106">
      <c r="A164" s="42" t="s">
        <v>324</v>
      </c>
      <c r="B164" s="17" t="s">
        <v>307</v>
      </c>
      <c r="C164" s="16" t="s">
        <v>75</v>
      </c>
      <c r="D164" s="1"/>
      <c r="E164" s="18">
        <v>1000</v>
      </c>
      <c r="F164" s="18"/>
      <c r="G164" s="16">
        <v>3757</v>
      </c>
      <c r="H164" s="17">
        <v>1.0685437997724687</v>
      </c>
      <c r="I164" s="18">
        <v>2</v>
      </c>
      <c r="J164" s="16">
        <v>0</v>
      </c>
      <c r="K164" s="1">
        <v>0</v>
      </c>
      <c r="L164" s="1">
        <v>0</v>
      </c>
      <c r="M164" s="1">
        <v>0</v>
      </c>
      <c r="N164" s="17">
        <v>1</v>
      </c>
      <c r="O164" s="16">
        <v>1</v>
      </c>
      <c r="P164" s="16">
        <v>1</v>
      </c>
      <c r="Q164" s="1">
        <v>0</v>
      </c>
      <c r="R164" s="1">
        <v>0</v>
      </c>
      <c r="S164" s="17">
        <v>0</v>
      </c>
      <c r="T164" s="16">
        <v>1000</v>
      </c>
      <c r="U164" s="16">
        <v>0</v>
      </c>
      <c r="V164" s="1">
        <v>4</v>
      </c>
      <c r="W164" s="1">
        <v>0</v>
      </c>
      <c r="X164" s="1">
        <v>1</v>
      </c>
      <c r="Y164" s="17">
        <v>0</v>
      </c>
      <c r="Z164" s="18">
        <v>4010</v>
      </c>
      <c r="AA164" s="18">
        <v>5</v>
      </c>
      <c r="AB164" s="18">
        <v>0</v>
      </c>
      <c r="AC164" s="16">
        <v>0</v>
      </c>
      <c r="AD164" s="17">
        <v>0</v>
      </c>
      <c r="AE164" s="16">
        <v>0</v>
      </c>
      <c r="AF164" s="1">
        <v>1</v>
      </c>
      <c r="AG164" s="1">
        <v>0</v>
      </c>
      <c r="AH164" s="18">
        <v>10</v>
      </c>
      <c r="AI164" s="16">
        <v>1900</v>
      </c>
      <c r="AJ164" s="17">
        <v>2379</v>
      </c>
      <c r="AK164" s="16">
        <v>10</v>
      </c>
      <c r="AL164" s="17"/>
      <c r="AM164" s="16">
        <v>5</v>
      </c>
      <c r="AN164" s="1">
        <v>0</v>
      </c>
      <c r="AO164" s="1">
        <v>21</v>
      </c>
      <c r="AP164" s="1">
        <v>0</v>
      </c>
      <c r="AQ164" s="1">
        <v>0</v>
      </c>
      <c r="AR164" s="1">
        <v>9</v>
      </c>
      <c r="AS164" s="1">
        <v>200</v>
      </c>
      <c r="AT164" s="1">
        <v>7</v>
      </c>
      <c r="AU164" s="1">
        <v>502</v>
      </c>
      <c r="AV164" s="1">
        <v>15</v>
      </c>
      <c r="AW164" s="1">
        <v>761</v>
      </c>
      <c r="AX164" s="17">
        <v>0</v>
      </c>
      <c r="AY164" s="16">
        <v>0</v>
      </c>
      <c r="AZ164" s="1">
        <v>0</v>
      </c>
      <c r="BA164" s="1">
        <v>0</v>
      </c>
      <c r="BB164" s="17">
        <v>0</v>
      </c>
      <c r="BC164" s="16">
        <v>0</v>
      </c>
      <c r="BD164" s="17">
        <v>0</v>
      </c>
      <c r="BE164" s="18">
        <v>125</v>
      </c>
      <c r="BF164" s="16">
        <v>0</v>
      </c>
      <c r="BG164" s="1">
        <v>0</v>
      </c>
      <c r="BH164" s="1"/>
      <c r="BI164" s="1">
        <v>0</v>
      </c>
      <c r="BJ164" s="16">
        <v>0</v>
      </c>
      <c r="BK164" s="1">
        <v>1</v>
      </c>
      <c r="BL164" s="16"/>
      <c r="BM164" s="1"/>
      <c r="BN164" s="1"/>
      <c r="BO164" s="1"/>
      <c r="BP164" s="1"/>
      <c r="BQ164" s="1"/>
      <c r="BR164" s="1"/>
      <c r="BS164" s="1"/>
      <c r="BT164" s="17"/>
      <c r="BU164" s="16">
        <v>76.150000000000006</v>
      </c>
      <c r="BV164" s="1">
        <v>77.08</v>
      </c>
      <c r="BW164" s="1">
        <v>76.37</v>
      </c>
      <c r="BX164" s="1"/>
      <c r="BY164" s="1"/>
      <c r="BZ164" s="1"/>
      <c r="CA164" s="1"/>
      <c r="CB164" s="17"/>
      <c r="CC164" s="16"/>
      <c r="CD164" s="1"/>
      <c r="CE164" s="17"/>
      <c r="CF164" s="16"/>
      <c r="CG164" s="1"/>
      <c r="CH164" s="17"/>
      <c r="CI164" s="16"/>
      <c r="CJ164" s="17"/>
      <c r="CK164" s="16"/>
      <c r="CL164" s="17"/>
      <c r="CM164" s="16"/>
      <c r="CN164" s="1"/>
      <c r="CO164" s="1"/>
      <c r="CP164" s="1"/>
      <c r="CQ164" s="1"/>
      <c r="CR164" s="17"/>
      <c r="CS164" s="16">
        <v>69.31</v>
      </c>
      <c r="CT164" s="1">
        <v>68.22</v>
      </c>
      <c r="CU164" s="1">
        <v>68.569999999999993</v>
      </c>
      <c r="CV164" s="17">
        <v>68.290000000000006</v>
      </c>
      <c r="CW164" s="16">
        <v>68.540000000000006</v>
      </c>
      <c r="CX164" s="1">
        <v>68.5</v>
      </c>
      <c r="CY164" s="1"/>
      <c r="CZ164" s="17"/>
      <c r="DA164" s="18"/>
      <c r="DB164" s="6"/>
    </row>
    <row r="165" spans="1:106" ht="17" thickBot="1">
      <c r="A165" s="42" t="s">
        <v>324</v>
      </c>
      <c r="B165" s="17" t="s">
        <v>307</v>
      </c>
      <c r="C165" s="16" t="s">
        <v>95</v>
      </c>
      <c r="D165" s="1"/>
      <c r="E165" s="18">
        <v>1000</v>
      </c>
      <c r="F165" s="18"/>
      <c r="G165" s="16">
        <v>1260</v>
      </c>
      <c r="H165" s="17">
        <v>1.2316715542521994</v>
      </c>
      <c r="I165" s="18">
        <v>3</v>
      </c>
      <c r="J165" s="16">
        <v>0</v>
      </c>
      <c r="K165" s="1">
        <v>0</v>
      </c>
      <c r="L165" s="1">
        <v>0</v>
      </c>
      <c r="M165" s="1">
        <v>1</v>
      </c>
      <c r="N165" s="17">
        <v>1</v>
      </c>
      <c r="O165" s="16">
        <v>11</v>
      </c>
      <c r="P165" s="16">
        <v>1</v>
      </c>
      <c r="Q165" s="1">
        <v>0</v>
      </c>
      <c r="R165" s="1">
        <v>0</v>
      </c>
      <c r="S165" s="17">
        <v>0</v>
      </c>
      <c r="T165" s="16">
        <v>1000</v>
      </c>
      <c r="U165" s="16">
        <v>0</v>
      </c>
      <c r="V165" s="1">
        <v>0</v>
      </c>
      <c r="W165" s="1">
        <v>1</v>
      </c>
      <c r="X165" s="1">
        <v>0</v>
      </c>
      <c r="Y165" s="17">
        <v>0</v>
      </c>
      <c r="Z165" s="18">
        <v>100</v>
      </c>
      <c r="AA165" s="18">
        <v>1</v>
      </c>
      <c r="AB165" s="18">
        <v>1</v>
      </c>
      <c r="AC165" s="16">
        <v>1</v>
      </c>
      <c r="AD165" s="17">
        <v>2</v>
      </c>
      <c r="AE165" s="16">
        <v>0</v>
      </c>
      <c r="AF165" s="1">
        <v>1</v>
      </c>
      <c r="AG165" s="1">
        <v>1</v>
      </c>
      <c r="AH165" s="18">
        <v>11</v>
      </c>
      <c r="AI165" s="16">
        <v>267</v>
      </c>
      <c r="AJ165" s="17">
        <v>1023</v>
      </c>
      <c r="AK165" s="16">
        <v>3</v>
      </c>
      <c r="AL165" s="17">
        <v>1</v>
      </c>
      <c r="AM165" s="16">
        <v>1</v>
      </c>
      <c r="AN165" s="1">
        <v>7</v>
      </c>
      <c r="AO165" s="1">
        <v>27</v>
      </c>
      <c r="AP165" s="1">
        <v>0</v>
      </c>
      <c r="AQ165" s="1">
        <v>0</v>
      </c>
      <c r="AR165" s="1">
        <v>0</v>
      </c>
      <c r="AS165" s="1">
        <v>81</v>
      </c>
      <c r="AT165" s="1">
        <v>0</v>
      </c>
      <c r="AU165" s="1">
        <v>0</v>
      </c>
      <c r="AV165" s="1">
        <v>0</v>
      </c>
      <c r="AW165" s="1">
        <v>52</v>
      </c>
      <c r="AX165" s="17">
        <v>0</v>
      </c>
      <c r="AY165" s="16">
        <v>0</v>
      </c>
      <c r="AZ165" s="1">
        <v>0</v>
      </c>
      <c r="BA165" s="1">
        <v>0</v>
      </c>
      <c r="BB165" s="17">
        <v>0</v>
      </c>
      <c r="BC165" s="16">
        <v>0</v>
      </c>
      <c r="BD165" s="17">
        <v>0</v>
      </c>
      <c r="BE165" s="18">
        <v>96</v>
      </c>
      <c r="BF165" s="16">
        <v>1</v>
      </c>
      <c r="BG165" s="1">
        <v>0</v>
      </c>
      <c r="BH165" s="1"/>
      <c r="BI165" s="1">
        <v>0</v>
      </c>
      <c r="BJ165" s="16">
        <v>0</v>
      </c>
      <c r="BK165" s="1">
        <v>1</v>
      </c>
      <c r="BL165" s="16">
        <v>76.41</v>
      </c>
      <c r="BM165" s="1">
        <v>78.760000000000005</v>
      </c>
      <c r="BN165" s="1">
        <v>77.88</v>
      </c>
      <c r="BO165" s="1"/>
      <c r="BP165" s="1"/>
      <c r="BQ165" s="1"/>
      <c r="BR165" s="1"/>
      <c r="BS165" s="1"/>
      <c r="BT165" s="17"/>
      <c r="BU165" s="16"/>
      <c r="BV165" s="1"/>
      <c r="BW165" s="1"/>
      <c r="BX165" s="1"/>
      <c r="BY165" s="1"/>
      <c r="BZ165" s="1"/>
      <c r="CA165" s="1"/>
      <c r="CB165" s="17"/>
      <c r="CC165" s="16">
        <v>71.430000000000007</v>
      </c>
      <c r="CD165" s="1">
        <v>70.13</v>
      </c>
      <c r="CE165" s="17"/>
      <c r="CF165" s="16"/>
      <c r="CG165" s="1"/>
      <c r="CH165" s="17"/>
      <c r="CI165" s="16"/>
      <c r="CJ165" s="17"/>
      <c r="CK165" s="16"/>
      <c r="CL165" s="17"/>
      <c r="CM165" s="16"/>
      <c r="CN165" s="1"/>
      <c r="CO165" s="1"/>
      <c r="CP165" s="1"/>
      <c r="CQ165" s="1"/>
      <c r="CR165" s="17"/>
      <c r="CS165" s="16"/>
      <c r="CT165" s="1"/>
      <c r="CU165" s="1"/>
      <c r="CV165" s="17"/>
      <c r="CW165" s="16"/>
      <c r="CX165" s="1"/>
      <c r="CY165" s="1"/>
      <c r="CZ165" s="17"/>
      <c r="DA165" s="18"/>
      <c r="DB165" s="6"/>
    </row>
    <row r="166" spans="1:106">
      <c r="A166" s="87" t="s">
        <v>324</v>
      </c>
      <c r="B166" s="162" t="s">
        <v>308</v>
      </c>
      <c r="C166" s="160" t="s">
        <v>66</v>
      </c>
      <c r="D166" s="161"/>
      <c r="E166" s="43">
        <v>100</v>
      </c>
      <c r="F166" s="43"/>
      <c r="G166" s="160">
        <v>2633</v>
      </c>
      <c r="H166" s="162">
        <v>1.4530905077262692</v>
      </c>
      <c r="I166" s="43">
        <v>3</v>
      </c>
      <c r="J166" s="160">
        <v>0</v>
      </c>
      <c r="K166" s="161">
        <v>1</v>
      </c>
      <c r="L166" s="161">
        <v>1</v>
      </c>
      <c r="M166" s="161">
        <v>0</v>
      </c>
      <c r="N166" s="162">
        <v>0</v>
      </c>
      <c r="O166" s="160">
        <v>1100</v>
      </c>
      <c r="P166" s="160">
        <v>0</v>
      </c>
      <c r="Q166" s="161">
        <v>0</v>
      </c>
      <c r="R166" s="161">
        <v>0</v>
      </c>
      <c r="S166" s="162">
        <v>1</v>
      </c>
      <c r="T166" s="160">
        <v>100</v>
      </c>
      <c r="U166" s="160">
        <v>0</v>
      </c>
      <c r="V166" s="161">
        <v>2</v>
      </c>
      <c r="W166" s="161">
        <v>1</v>
      </c>
      <c r="X166" s="161">
        <v>0</v>
      </c>
      <c r="Y166" s="162">
        <v>0</v>
      </c>
      <c r="Z166" s="43">
        <v>2100</v>
      </c>
      <c r="AA166" s="43">
        <v>3</v>
      </c>
      <c r="AB166" s="43">
        <v>1</v>
      </c>
      <c r="AC166" s="160">
        <v>1</v>
      </c>
      <c r="AD166" s="162">
        <v>3</v>
      </c>
      <c r="AE166" s="160">
        <v>0</v>
      </c>
      <c r="AF166" s="161">
        <v>0</v>
      </c>
      <c r="AG166" s="161">
        <v>1</v>
      </c>
      <c r="AH166" s="43">
        <v>1</v>
      </c>
      <c r="AI166" s="160">
        <v>1086</v>
      </c>
      <c r="AJ166" s="162">
        <v>1656</v>
      </c>
      <c r="AK166" s="160"/>
      <c r="AL166" s="162"/>
      <c r="AM166" s="160">
        <v>2</v>
      </c>
      <c r="AN166" s="161">
        <v>3</v>
      </c>
      <c r="AO166" s="161">
        <v>53</v>
      </c>
      <c r="AP166" s="161">
        <v>0</v>
      </c>
      <c r="AQ166" s="161">
        <v>0</v>
      </c>
      <c r="AR166" s="161">
        <v>5</v>
      </c>
      <c r="AS166" s="161">
        <v>153</v>
      </c>
      <c r="AT166" s="161">
        <v>20</v>
      </c>
      <c r="AU166" s="161">
        <v>111</v>
      </c>
      <c r="AV166" s="161">
        <v>9</v>
      </c>
      <c r="AW166" s="161">
        <v>271</v>
      </c>
      <c r="AX166" s="162">
        <v>0</v>
      </c>
      <c r="AY166" s="160">
        <v>0</v>
      </c>
      <c r="AZ166" s="161">
        <v>0</v>
      </c>
      <c r="BA166" s="161">
        <v>0</v>
      </c>
      <c r="BB166" s="162">
        <v>1</v>
      </c>
      <c r="BC166" s="160">
        <v>1</v>
      </c>
      <c r="BD166" s="162">
        <v>1</v>
      </c>
      <c r="BE166" s="43">
        <v>114</v>
      </c>
      <c r="BF166" s="160">
        <v>0</v>
      </c>
      <c r="BG166" s="161">
        <v>0</v>
      </c>
      <c r="BH166" s="161"/>
      <c r="BI166" s="161">
        <v>0</v>
      </c>
      <c r="BJ166" s="160">
        <v>0</v>
      </c>
      <c r="BK166" s="161">
        <v>1</v>
      </c>
      <c r="BL166" s="160"/>
      <c r="BM166" s="161"/>
      <c r="BN166" s="161"/>
      <c r="BO166" s="161"/>
      <c r="BP166" s="161"/>
      <c r="BQ166" s="161"/>
      <c r="BR166" s="161"/>
      <c r="BS166" s="161"/>
      <c r="BT166" s="162"/>
      <c r="BU166" s="160"/>
      <c r="BV166" s="161"/>
      <c r="BW166" s="161"/>
      <c r="BX166" s="161"/>
      <c r="BY166" s="161"/>
      <c r="BZ166" s="161"/>
      <c r="CA166" s="161"/>
      <c r="CB166" s="162"/>
      <c r="CC166" s="160"/>
      <c r="CD166" s="161"/>
      <c r="CE166" s="162"/>
      <c r="CF166" s="160"/>
      <c r="CG166" s="161"/>
      <c r="CH166" s="162"/>
      <c r="CI166" s="160"/>
      <c r="CJ166" s="162"/>
      <c r="CK166" s="160"/>
      <c r="CL166" s="162"/>
      <c r="CM166" s="160"/>
      <c r="CN166" s="161"/>
      <c r="CO166" s="161"/>
      <c r="CP166" s="161"/>
      <c r="CQ166" s="161"/>
      <c r="CR166" s="162"/>
      <c r="CS166" s="160"/>
      <c r="CT166" s="161"/>
      <c r="CU166" s="161"/>
      <c r="CV166" s="162"/>
      <c r="CW166" s="160"/>
      <c r="CX166" s="161"/>
      <c r="CY166" s="161"/>
      <c r="CZ166" s="162"/>
      <c r="DA166" s="43"/>
      <c r="DB166" s="6"/>
    </row>
    <row r="167" spans="1:106">
      <c r="A167" s="42" t="s">
        <v>324</v>
      </c>
      <c r="B167" s="17" t="s">
        <v>308</v>
      </c>
      <c r="C167" s="16" t="s">
        <v>68</v>
      </c>
      <c r="D167" s="1"/>
      <c r="E167" s="18">
        <v>100</v>
      </c>
      <c r="F167" s="18"/>
      <c r="G167" s="16">
        <v>3833</v>
      </c>
      <c r="H167" s="17">
        <v>2.2507339988256021</v>
      </c>
      <c r="I167" s="18">
        <v>5</v>
      </c>
      <c r="J167" s="16">
        <v>0</v>
      </c>
      <c r="K167" s="1">
        <v>0</v>
      </c>
      <c r="L167" s="1">
        <v>1</v>
      </c>
      <c r="M167" s="1">
        <v>0</v>
      </c>
      <c r="N167" s="17">
        <v>0</v>
      </c>
      <c r="O167" s="16">
        <v>100</v>
      </c>
      <c r="P167" s="16">
        <v>0</v>
      </c>
      <c r="Q167" s="1">
        <v>0</v>
      </c>
      <c r="R167" s="1">
        <v>0</v>
      </c>
      <c r="S167" s="17">
        <v>1</v>
      </c>
      <c r="T167" s="16">
        <v>100</v>
      </c>
      <c r="U167" s="16">
        <v>0</v>
      </c>
      <c r="V167" s="1">
        <v>2</v>
      </c>
      <c r="W167" s="1">
        <v>1</v>
      </c>
      <c r="X167" s="1">
        <v>1</v>
      </c>
      <c r="Y167" s="17">
        <v>0</v>
      </c>
      <c r="Z167" s="18">
        <v>2110</v>
      </c>
      <c r="AA167" s="18">
        <v>4</v>
      </c>
      <c r="AB167" s="18">
        <v>1</v>
      </c>
      <c r="AC167" s="16">
        <v>1</v>
      </c>
      <c r="AD167" s="17">
        <v>3</v>
      </c>
      <c r="AE167" s="16">
        <v>0</v>
      </c>
      <c r="AF167" s="1">
        <v>0</v>
      </c>
      <c r="AG167" s="1">
        <v>1</v>
      </c>
      <c r="AH167" s="18">
        <v>1</v>
      </c>
      <c r="AI167" s="16">
        <v>50</v>
      </c>
      <c r="AJ167" s="17">
        <v>2288</v>
      </c>
      <c r="AK167" s="16">
        <v>19</v>
      </c>
      <c r="AL167" s="17">
        <v>1</v>
      </c>
      <c r="AM167" s="16">
        <v>1</v>
      </c>
      <c r="AN167" s="1">
        <v>0</v>
      </c>
      <c r="AO167" s="1">
        <v>14</v>
      </c>
      <c r="AP167" s="1">
        <v>0</v>
      </c>
      <c r="AQ167" s="1">
        <v>0</v>
      </c>
      <c r="AR167" s="1">
        <v>4</v>
      </c>
      <c r="AS167" s="1">
        <v>148</v>
      </c>
      <c r="AT167" s="1">
        <v>5</v>
      </c>
      <c r="AU167" s="1">
        <v>101</v>
      </c>
      <c r="AV167" s="1">
        <v>7</v>
      </c>
      <c r="AW167" s="1">
        <v>33</v>
      </c>
      <c r="AX167" s="17">
        <v>0</v>
      </c>
      <c r="AY167" s="16">
        <v>0</v>
      </c>
      <c r="AZ167" s="1">
        <v>0</v>
      </c>
      <c r="BA167" s="1">
        <v>0</v>
      </c>
      <c r="BB167" s="17">
        <v>0</v>
      </c>
      <c r="BC167" s="16">
        <v>0</v>
      </c>
      <c r="BD167" s="17">
        <v>0</v>
      </c>
      <c r="BE167" s="18">
        <v>136</v>
      </c>
      <c r="BF167" s="16">
        <v>0</v>
      </c>
      <c r="BG167" s="1">
        <v>1</v>
      </c>
      <c r="BH167" s="1"/>
      <c r="BI167" s="1">
        <v>0</v>
      </c>
      <c r="BJ167" s="16">
        <v>1</v>
      </c>
      <c r="BK167" s="1">
        <v>0</v>
      </c>
      <c r="BL167" s="16"/>
      <c r="BM167" s="1"/>
      <c r="BN167" s="1"/>
      <c r="BO167" s="1"/>
      <c r="BP167" s="1"/>
      <c r="BQ167" s="1"/>
      <c r="BR167" s="1"/>
      <c r="BS167" s="1"/>
      <c r="BT167" s="17"/>
      <c r="BU167" s="16"/>
      <c r="BV167" s="1"/>
      <c r="BW167" s="1"/>
      <c r="BX167" s="1"/>
      <c r="BY167" s="1"/>
      <c r="BZ167" s="1"/>
      <c r="CA167" s="1"/>
      <c r="CB167" s="17"/>
      <c r="CC167" s="16"/>
      <c r="CD167" s="1"/>
      <c r="CE167" s="17"/>
      <c r="CF167" s="16"/>
      <c r="CG167" s="1"/>
      <c r="CH167" s="17"/>
      <c r="CI167" s="16"/>
      <c r="CJ167" s="17"/>
      <c r="CK167" s="16"/>
      <c r="CL167" s="17"/>
      <c r="CM167" s="16"/>
      <c r="CN167" s="1"/>
      <c r="CO167" s="1"/>
      <c r="CP167" s="1"/>
      <c r="CQ167" s="1"/>
      <c r="CR167" s="17"/>
      <c r="CS167" s="16"/>
      <c r="CT167" s="1"/>
      <c r="CU167" s="1"/>
      <c r="CV167" s="17"/>
      <c r="CW167" s="16"/>
      <c r="CX167" s="1"/>
      <c r="CY167" s="1"/>
      <c r="CZ167" s="17"/>
      <c r="DA167" s="18"/>
      <c r="DB167" s="6"/>
    </row>
    <row r="168" spans="1:106">
      <c r="A168" s="42" t="s">
        <v>324</v>
      </c>
      <c r="B168" s="17" t="s">
        <v>308</v>
      </c>
      <c r="C168" s="16" t="s">
        <v>93</v>
      </c>
      <c r="D168" s="1" t="s">
        <v>0</v>
      </c>
      <c r="E168" s="18">
        <v>100</v>
      </c>
      <c r="F168" s="18"/>
      <c r="G168" s="16">
        <v>1704</v>
      </c>
      <c r="H168" s="17">
        <v>2.2689747003994674</v>
      </c>
      <c r="I168" s="18">
        <v>2</v>
      </c>
      <c r="J168" s="16">
        <v>0</v>
      </c>
      <c r="K168" s="1">
        <v>1</v>
      </c>
      <c r="L168" s="1">
        <v>1</v>
      </c>
      <c r="M168" s="1">
        <v>0</v>
      </c>
      <c r="N168" s="17">
        <v>0</v>
      </c>
      <c r="O168" s="16">
        <v>1100</v>
      </c>
      <c r="P168" s="16">
        <v>0</v>
      </c>
      <c r="Q168" s="1">
        <v>0</v>
      </c>
      <c r="R168" s="1">
        <v>0</v>
      </c>
      <c r="S168" s="17">
        <v>1</v>
      </c>
      <c r="T168" s="16">
        <v>100</v>
      </c>
      <c r="U168" s="16">
        <v>0</v>
      </c>
      <c r="V168" s="1">
        <v>0</v>
      </c>
      <c r="W168" s="1">
        <v>1</v>
      </c>
      <c r="X168" s="1">
        <v>1</v>
      </c>
      <c r="Y168" s="17">
        <v>0</v>
      </c>
      <c r="Z168" s="18">
        <v>110</v>
      </c>
      <c r="AA168" s="18">
        <v>2</v>
      </c>
      <c r="AB168" s="18">
        <v>1</v>
      </c>
      <c r="AC168" s="16">
        <v>1</v>
      </c>
      <c r="AD168" s="17">
        <v>3</v>
      </c>
      <c r="AE168" s="16">
        <v>0</v>
      </c>
      <c r="AF168" s="1">
        <v>0</v>
      </c>
      <c r="AG168" s="1">
        <v>1</v>
      </c>
      <c r="AH168" s="18">
        <v>1</v>
      </c>
      <c r="AI168" s="16">
        <v>1128</v>
      </c>
      <c r="AJ168" s="17">
        <v>1175</v>
      </c>
      <c r="AK168" s="16"/>
      <c r="AL168" s="17">
        <v>1</v>
      </c>
      <c r="AM168" s="16">
        <v>1</v>
      </c>
      <c r="AN168" s="1">
        <v>5</v>
      </c>
      <c r="AO168" s="1">
        <v>22</v>
      </c>
      <c r="AP168" s="1">
        <v>0</v>
      </c>
      <c r="AQ168" s="1">
        <v>0</v>
      </c>
      <c r="AR168" s="1">
        <v>0</v>
      </c>
      <c r="AS168" s="1">
        <v>4</v>
      </c>
      <c r="AT168" s="1">
        <v>28</v>
      </c>
      <c r="AU168" s="1">
        <v>105</v>
      </c>
      <c r="AV168" s="1">
        <v>0</v>
      </c>
      <c r="AW168" s="1">
        <v>0</v>
      </c>
      <c r="AX168" s="17">
        <v>0</v>
      </c>
      <c r="AY168" s="16">
        <v>0</v>
      </c>
      <c r="AZ168" s="1">
        <v>0</v>
      </c>
      <c r="BA168" s="1">
        <v>0</v>
      </c>
      <c r="BB168" s="17">
        <v>0</v>
      </c>
      <c r="BC168" s="16">
        <v>0</v>
      </c>
      <c r="BD168" s="17">
        <v>0</v>
      </c>
      <c r="BE168" s="18">
        <v>113</v>
      </c>
      <c r="BF168" s="16">
        <v>0</v>
      </c>
      <c r="BG168" s="1">
        <v>0</v>
      </c>
      <c r="BH168" s="1"/>
      <c r="BI168" s="1">
        <v>0</v>
      </c>
      <c r="BJ168" s="16">
        <v>0</v>
      </c>
      <c r="BK168" s="1">
        <v>1</v>
      </c>
      <c r="BL168" s="16"/>
      <c r="BM168" s="1"/>
      <c r="BN168" s="1"/>
      <c r="BO168" s="1"/>
      <c r="BP168" s="1"/>
      <c r="BQ168" s="1"/>
      <c r="BR168" s="1"/>
      <c r="BS168" s="1"/>
      <c r="BT168" s="17"/>
      <c r="BU168" s="16"/>
      <c r="BV168" s="1"/>
      <c r="BW168" s="1"/>
      <c r="BX168" s="1"/>
      <c r="BY168" s="1"/>
      <c r="BZ168" s="1"/>
      <c r="CA168" s="1"/>
      <c r="CB168" s="17"/>
      <c r="CC168" s="16"/>
      <c r="CD168" s="1"/>
      <c r="CE168" s="17"/>
      <c r="CF168" s="16"/>
      <c r="CG168" s="1"/>
      <c r="CH168" s="17"/>
      <c r="CI168" s="16"/>
      <c r="CJ168" s="17"/>
      <c r="CK168" s="16"/>
      <c r="CL168" s="17"/>
      <c r="CM168" s="16"/>
      <c r="CN168" s="1"/>
      <c r="CO168" s="1"/>
      <c r="CP168" s="1"/>
      <c r="CQ168" s="1"/>
      <c r="CR168" s="17"/>
      <c r="CS168" s="16"/>
      <c r="CT168" s="1"/>
      <c r="CU168" s="1"/>
      <c r="CV168" s="17"/>
      <c r="CW168" s="16"/>
      <c r="CX168" s="1"/>
      <c r="CY168" s="1"/>
      <c r="CZ168" s="17"/>
      <c r="DA168" s="18"/>
      <c r="DB168" s="6"/>
    </row>
    <row r="169" spans="1:106">
      <c r="A169" s="42" t="s">
        <v>324</v>
      </c>
      <c r="B169" s="17" t="s">
        <v>308</v>
      </c>
      <c r="C169" s="16" t="s">
        <v>149</v>
      </c>
      <c r="D169" s="1"/>
      <c r="E169" s="18">
        <v>1000</v>
      </c>
      <c r="F169" s="18"/>
      <c r="G169" s="16">
        <v>1880</v>
      </c>
      <c r="H169" s="17">
        <v>0.84456424079065584</v>
      </c>
      <c r="I169" s="18">
        <v>4</v>
      </c>
      <c r="J169" s="16">
        <v>0</v>
      </c>
      <c r="K169" s="1">
        <v>0</v>
      </c>
      <c r="L169" s="1">
        <v>1</v>
      </c>
      <c r="M169" s="1">
        <v>1</v>
      </c>
      <c r="N169" s="17">
        <v>0</v>
      </c>
      <c r="O169" s="16">
        <v>110</v>
      </c>
      <c r="P169" s="16">
        <v>1</v>
      </c>
      <c r="Q169" s="1">
        <v>0</v>
      </c>
      <c r="R169" s="1">
        <v>0</v>
      </c>
      <c r="S169" s="17">
        <v>0</v>
      </c>
      <c r="T169" s="16">
        <v>1000</v>
      </c>
      <c r="U169" s="16">
        <v>0</v>
      </c>
      <c r="V169" s="1">
        <v>1</v>
      </c>
      <c r="W169" s="1">
        <v>1</v>
      </c>
      <c r="X169" s="1">
        <v>0</v>
      </c>
      <c r="Y169" s="17">
        <v>0</v>
      </c>
      <c r="Z169" s="18">
        <v>1100</v>
      </c>
      <c r="AA169" s="18">
        <v>2</v>
      </c>
      <c r="AB169" s="18">
        <v>1</v>
      </c>
      <c r="AC169" s="16">
        <v>1</v>
      </c>
      <c r="AD169" s="17">
        <v>2</v>
      </c>
      <c r="AE169" s="16">
        <v>0</v>
      </c>
      <c r="AF169" s="1">
        <v>1</v>
      </c>
      <c r="AG169" s="1">
        <v>0</v>
      </c>
      <c r="AH169" s="18">
        <v>10</v>
      </c>
      <c r="AI169" s="16">
        <v>896</v>
      </c>
      <c r="AJ169" s="17">
        <v>1803</v>
      </c>
      <c r="AK169" s="16"/>
      <c r="AL169" s="17"/>
      <c r="AM169" s="16">
        <v>1</v>
      </c>
      <c r="AN169" s="1">
        <v>0</v>
      </c>
      <c r="AO169" s="1">
        <v>0</v>
      </c>
      <c r="AP169" s="1">
        <v>0</v>
      </c>
      <c r="AQ169" s="1">
        <v>0</v>
      </c>
      <c r="AR169" s="1">
        <v>0</v>
      </c>
      <c r="AS169" s="1">
        <v>0</v>
      </c>
      <c r="AT169" s="1">
        <v>0</v>
      </c>
      <c r="AU169" s="1">
        <v>11</v>
      </c>
      <c r="AV169" s="1">
        <v>9</v>
      </c>
      <c r="AW169" s="1">
        <v>114</v>
      </c>
      <c r="AX169" s="17">
        <v>0</v>
      </c>
      <c r="AY169" s="16">
        <v>0</v>
      </c>
      <c r="AZ169" s="1">
        <v>0</v>
      </c>
      <c r="BA169" s="1">
        <v>0</v>
      </c>
      <c r="BB169" s="17">
        <v>0</v>
      </c>
      <c r="BC169" s="16">
        <v>0</v>
      </c>
      <c r="BD169" s="17">
        <v>0</v>
      </c>
      <c r="BE169" s="18">
        <v>112</v>
      </c>
      <c r="BF169" s="16">
        <v>0</v>
      </c>
      <c r="BG169" s="1">
        <v>0</v>
      </c>
      <c r="BH169" s="1"/>
      <c r="BI169" s="1">
        <v>0</v>
      </c>
      <c r="BJ169" s="16">
        <v>0</v>
      </c>
      <c r="BK169" s="1">
        <v>1</v>
      </c>
      <c r="BL169" s="16"/>
      <c r="BM169" s="1"/>
      <c r="BN169" s="1"/>
      <c r="BO169" s="1"/>
      <c r="BP169" s="1"/>
      <c r="BQ169" s="1"/>
      <c r="BR169" s="1"/>
      <c r="BS169" s="1"/>
      <c r="BT169" s="17"/>
      <c r="BU169" s="16"/>
      <c r="BV169" s="1"/>
      <c r="BW169" s="1"/>
      <c r="BX169" s="1"/>
      <c r="BY169" s="1"/>
      <c r="BZ169" s="1"/>
      <c r="CA169" s="1"/>
      <c r="CB169" s="17"/>
      <c r="CC169" s="16"/>
      <c r="CD169" s="1"/>
      <c r="CE169" s="17"/>
      <c r="CF169" s="16"/>
      <c r="CG169" s="1"/>
      <c r="CH169" s="17"/>
      <c r="CI169" s="16"/>
      <c r="CJ169" s="17"/>
      <c r="CK169" s="16"/>
      <c r="CL169" s="17"/>
      <c r="CM169" s="16"/>
      <c r="CN169" s="1"/>
      <c r="CO169" s="1"/>
      <c r="CP169" s="1"/>
      <c r="CQ169" s="1"/>
      <c r="CR169" s="17"/>
      <c r="CS169" s="16"/>
      <c r="CT169" s="1"/>
      <c r="CU169" s="1"/>
      <c r="CV169" s="17"/>
      <c r="CW169" s="16"/>
      <c r="CX169" s="1"/>
      <c r="CY169" s="1"/>
      <c r="CZ169" s="17"/>
      <c r="DA169" s="18"/>
      <c r="DB169" s="6"/>
    </row>
    <row r="170" spans="1:106" ht="17" thickBot="1">
      <c r="A170" s="55" t="s">
        <v>324</v>
      </c>
      <c r="B170" s="38" t="s">
        <v>308</v>
      </c>
      <c r="C170" s="22" t="s">
        <v>107</v>
      </c>
      <c r="D170" s="37" t="s">
        <v>1</v>
      </c>
      <c r="E170" s="39">
        <v>1000</v>
      </c>
      <c r="F170" s="39"/>
      <c r="G170" s="22">
        <v>1756</v>
      </c>
      <c r="H170" s="38">
        <v>1.4253246753246753</v>
      </c>
      <c r="I170" s="39">
        <v>3</v>
      </c>
      <c r="J170" s="22">
        <v>0</v>
      </c>
      <c r="K170" s="37">
        <v>0</v>
      </c>
      <c r="L170" s="37">
        <v>0</v>
      </c>
      <c r="M170" s="37">
        <v>1</v>
      </c>
      <c r="N170" s="38">
        <v>0</v>
      </c>
      <c r="O170" s="22">
        <v>10</v>
      </c>
      <c r="P170" s="22">
        <v>1</v>
      </c>
      <c r="Q170" s="37">
        <v>0</v>
      </c>
      <c r="R170" s="37">
        <v>0</v>
      </c>
      <c r="S170" s="38">
        <v>0</v>
      </c>
      <c r="T170" s="22">
        <v>1000</v>
      </c>
      <c r="U170" s="22">
        <v>0</v>
      </c>
      <c r="V170" s="37">
        <v>1</v>
      </c>
      <c r="W170" s="37">
        <v>1</v>
      </c>
      <c r="X170" s="37">
        <v>1</v>
      </c>
      <c r="Y170" s="38">
        <v>0</v>
      </c>
      <c r="Z170" s="39">
        <v>1110</v>
      </c>
      <c r="AA170" s="39">
        <v>3</v>
      </c>
      <c r="AB170" s="39">
        <v>1</v>
      </c>
      <c r="AC170" s="22">
        <v>1</v>
      </c>
      <c r="AD170" s="38">
        <v>1</v>
      </c>
      <c r="AE170" s="22">
        <v>0</v>
      </c>
      <c r="AF170" s="37">
        <v>1</v>
      </c>
      <c r="AG170" s="37">
        <v>0</v>
      </c>
      <c r="AH170" s="39">
        <v>10</v>
      </c>
      <c r="AI170" s="22">
        <v>988</v>
      </c>
      <c r="AJ170" s="38">
        <v>1232</v>
      </c>
      <c r="AK170" s="22">
        <v>16</v>
      </c>
      <c r="AL170" s="38">
        <v>1</v>
      </c>
      <c r="AM170" s="22">
        <v>3</v>
      </c>
      <c r="AN170" s="37">
        <v>6</v>
      </c>
      <c r="AO170" s="37">
        <v>49</v>
      </c>
      <c r="AP170" s="37">
        <v>0</v>
      </c>
      <c r="AQ170" s="37">
        <v>0</v>
      </c>
      <c r="AR170" s="37">
        <v>5</v>
      </c>
      <c r="AS170" s="37">
        <v>228</v>
      </c>
      <c r="AT170" s="37">
        <v>11</v>
      </c>
      <c r="AU170" s="37">
        <v>244</v>
      </c>
      <c r="AV170" s="37">
        <v>71</v>
      </c>
      <c r="AW170" s="37">
        <v>203</v>
      </c>
      <c r="AX170" s="38">
        <v>0</v>
      </c>
      <c r="AY170" s="22">
        <v>0</v>
      </c>
      <c r="AZ170" s="37">
        <v>0</v>
      </c>
      <c r="BA170" s="37">
        <v>0</v>
      </c>
      <c r="BB170" s="38">
        <v>1</v>
      </c>
      <c r="BC170" s="22">
        <v>1</v>
      </c>
      <c r="BD170" s="38">
        <v>1</v>
      </c>
      <c r="BE170" s="39">
        <v>112</v>
      </c>
      <c r="BF170" s="22">
        <v>0</v>
      </c>
      <c r="BG170" s="37">
        <v>0</v>
      </c>
      <c r="BH170" s="37"/>
      <c r="BI170" s="37">
        <v>0</v>
      </c>
      <c r="BJ170" s="22">
        <v>0</v>
      </c>
      <c r="BK170" s="37">
        <v>1</v>
      </c>
      <c r="BL170" s="22"/>
      <c r="BM170" s="37"/>
      <c r="BN170" s="37"/>
      <c r="BO170" s="37"/>
      <c r="BP170" s="37"/>
      <c r="BQ170" s="37"/>
      <c r="BR170" s="37"/>
      <c r="BS170" s="37"/>
      <c r="BT170" s="38"/>
      <c r="BU170" s="22">
        <v>79.510000000000005</v>
      </c>
      <c r="BV170" s="37">
        <v>78.180000000000007</v>
      </c>
      <c r="BW170" s="37">
        <v>79.569999999999993</v>
      </c>
      <c r="BX170" s="37">
        <v>79.459999999999994</v>
      </c>
      <c r="BY170" s="37"/>
      <c r="BZ170" s="37"/>
      <c r="CA170" s="37"/>
      <c r="CB170" s="38"/>
      <c r="CC170" s="22">
        <v>72.53</v>
      </c>
      <c r="CD170" s="37"/>
      <c r="CE170" s="38"/>
      <c r="CF170" s="22"/>
      <c r="CG170" s="37"/>
      <c r="CH170" s="38"/>
      <c r="CI170" s="22"/>
      <c r="CJ170" s="38"/>
      <c r="CK170" s="22"/>
      <c r="CL170" s="38"/>
      <c r="CM170" s="22"/>
      <c r="CN170" s="37"/>
      <c r="CO170" s="37"/>
      <c r="CP170" s="37"/>
      <c r="CQ170" s="37"/>
      <c r="CR170" s="38"/>
      <c r="CS170" s="22"/>
      <c r="CT170" s="37"/>
      <c r="CU170" s="37"/>
      <c r="CV170" s="38"/>
      <c r="CW170" s="22"/>
      <c r="CX170" s="37"/>
      <c r="CY170" s="37"/>
      <c r="CZ170" s="38"/>
      <c r="DA170" s="39"/>
      <c r="DB170" s="6"/>
    </row>
  </sheetData>
  <mergeCells count="28">
    <mergeCell ref="A1:B1"/>
    <mergeCell ref="AM1:AX1"/>
    <mergeCell ref="AY1:BD1"/>
    <mergeCell ref="A2:B2"/>
    <mergeCell ref="J2:N2"/>
    <mergeCell ref="P2:S2"/>
    <mergeCell ref="U2:Y2"/>
    <mergeCell ref="AC2:AD2"/>
    <mergeCell ref="AE2:AG2"/>
    <mergeCell ref="AI2:AJ2"/>
    <mergeCell ref="BU2:CB2"/>
    <mergeCell ref="AK2:AL2"/>
    <mergeCell ref="AN2:AO2"/>
    <mergeCell ref="AP2:AQ2"/>
    <mergeCell ref="AR2:AS2"/>
    <mergeCell ref="AT2:AU2"/>
    <mergeCell ref="AV2:AW2"/>
    <mergeCell ref="AY2:BB2"/>
    <mergeCell ref="BF2:BI2"/>
    <mergeCell ref="BJ2:BK2"/>
    <mergeCell ref="BL2:BT2"/>
    <mergeCell ref="CW2:CZ2"/>
    <mergeCell ref="CC2:CE2"/>
    <mergeCell ref="CF2:CH2"/>
    <mergeCell ref="CI2:CJ2"/>
    <mergeCell ref="CK2:CL2"/>
    <mergeCell ref="CM2:CR2"/>
    <mergeCell ref="CS2:CV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26E6D0-439D-3A4D-AB84-F87EE39BAC1C}">
  <dimension ref="A1:CT381"/>
  <sheetViews>
    <sheetView zoomScale="80" zoomScaleNormal="80" workbookViewId="0">
      <selection activeCell="A30" sqref="A30"/>
    </sheetView>
  </sheetViews>
  <sheetFormatPr baseColWidth="10" defaultRowHeight="16"/>
  <cols>
    <col min="1" max="1" width="22.33203125" style="151" bestFit="1" customWidth="1"/>
    <col min="2" max="2" width="16.83203125" style="151" bestFit="1" customWidth="1"/>
    <col min="3" max="4" width="11.5" style="163" bestFit="1" customWidth="1"/>
    <col min="5" max="5" width="10.5" style="163" bestFit="1" customWidth="1"/>
    <col min="6" max="6" width="7.83203125" style="163" bestFit="1" customWidth="1"/>
    <col min="7" max="9" width="6.6640625" style="163" customWidth="1"/>
    <col min="10" max="10" width="12.1640625" style="163" bestFit="1" customWidth="1"/>
    <col min="11" max="11" width="5.1640625" style="163" bestFit="1" customWidth="1"/>
    <col min="12" max="12" width="9.33203125" style="163" customWidth="1"/>
    <col min="13" max="13" width="5.1640625" style="163" bestFit="1" customWidth="1"/>
    <col min="14" max="14" width="6.1640625" style="163" bestFit="1" customWidth="1"/>
    <col min="15" max="15" width="4.33203125" style="163" bestFit="1" customWidth="1"/>
    <col min="16" max="17" width="5.1640625" style="163" bestFit="1" customWidth="1"/>
    <col min="18" max="18" width="12.1640625" style="3" bestFit="1" customWidth="1"/>
    <col min="19" max="22" width="7" style="163" customWidth="1"/>
    <col min="23" max="23" width="11" style="163" bestFit="1" customWidth="1"/>
    <col min="24" max="27" width="6.1640625" style="163" customWidth="1"/>
    <col min="28" max="28" width="10.1640625" style="163" bestFit="1" customWidth="1"/>
    <col min="29" max="29" width="10.6640625" style="163" bestFit="1" customWidth="1"/>
    <col min="30" max="33" width="5.5" style="163" customWidth="1"/>
    <col min="34" max="34" width="12.1640625" style="163" bestFit="1" customWidth="1"/>
    <col min="35" max="35" width="2.6640625" style="163" bestFit="1" customWidth="1"/>
    <col min="36" max="36" width="3.83203125" style="163" bestFit="1" customWidth="1"/>
    <col min="37" max="37" width="3.1640625" style="163" customWidth="1"/>
    <col min="38" max="38" width="4.5" style="163" customWidth="1"/>
    <col min="39" max="39" width="5.33203125" style="163" bestFit="1" customWidth="1"/>
    <col min="40" max="40" width="3.1640625" style="163" bestFit="1" customWidth="1"/>
    <col min="41" max="41" width="2.83203125" style="163" bestFit="1" customWidth="1"/>
    <col min="42" max="42" width="3" style="163" bestFit="1" customWidth="1"/>
    <col min="43" max="43" width="2.83203125" style="163" bestFit="1" customWidth="1"/>
    <col min="44" max="44" width="3.1640625" style="163" bestFit="1" customWidth="1"/>
    <col min="45" max="45" width="4.33203125" style="163" bestFit="1" customWidth="1"/>
    <col min="46" max="46" width="6.6640625" style="163" bestFit="1" customWidth="1"/>
    <col min="47" max="47" width="7" style="163" bestFit="1" customWidth="1"/>
    <col min="48" max="48" width="7.33203125" style="163" bestFit="1" customWidth="1"/>
    <col min="49" max="49" width="6.1640625" style="163" bestFit="1" customWidth="1"/>
    <col min="50" max="50" width="10.83203125" style="163" bestFit="1" customWidth="1"/>
    <col min="51" max="51" width="11.6640625" style="163" customWidth="1"/>
    <col min="52" max="54" width="12.1640625" style="163" bestFit="1" customWidth="1"/>
    <col min="55" max="55" width="10.33203125" style="163" bestFit="1" customWidth="1"/>
    <col min="56" max="60" width="12.1640625" style="163" bestFit="1" customWidth="1"/>
    <col min="61" max="63" width="7.1640625" style="163" customWidth="1"/>
    <col min="64" max="64" width="5.1640625" style="163" customWidth="1"/>
    <col min="65" max="65" width="6" style="163" customWidth="1"/>
    <col min="66" max="66" width="7.1640625" style="163" customWidth="1"/>
    <col min="67" max="67" width="11.33203125" style="163" bestFit="1" customWidth="1"/>
    <col min="68" max="68" width="11.5" style="163" bestFit="1" customWidth="1"/>
    <col min="69" max="69" width="8.6640625" style="163" bestFit="1" customWidth="1"/>
    <col min="70" max="70" width="6.83203125" style="163" bestFit="1" customWidth="1"/>
    <col min="71" max="71" width="4.6640625" style="163" bestFit="1" customWidth="1"/>
    <col min="72" max="72" width="4.1640625" style="163" bestFit="1" customWidth="1"/>
    <col min="73" max="73" width="6.1640625" style="163" bestFit="1" customWidth="1"/>
    <col min="74" max="74" width="8.33203125" style="163" bestFit="1" customWidth="1"/>
    <col min="75" max="78" width="8" style="163" customWidth="1"/>
    <col min="79" max="79" width="8.1640625" style="163" bestFit="1" customWidth="1"/>
    <col min="80" max="81" width="6.1640625" style="163" bestFit="1" customWidth="1"/>
    <col min="82" max="82" width="4.5" style="163" bestFit="1" customWidth="1"/>
    <col min="83" max="87" width="6.1640625" style="163" bestFit="1" customWidth="1"/>
    <col min="88" max="89" width="4.1640625" style="163" bestFit="1" customWidth="1"/>
    <col min="90" max="94" width="5.83203125" style="163" customWidth="1"/>
    <col min="95" max="96" width="8.83203125" style="163" customWidth="1"/>
    <col min="97" max="16384" width="10.83203125" style="163"/>
  </cols>
  <sheetData>
    <row r="1" spans="1:98" s="203" customFormat="1" ht="25" thickBot="1">
      <c r="A1" s="344" t="s">
        <v>586</v>
      </c>
      <c r="B1" s="344"/>
      <c r="C1" s="344"/>
      <c r="D1" s="344"/>
      <c r="E1" s="344"/>
      <c r="BW1" s="204"/>
      <c r="BX1" s="204"/>
      <c r="BY1" s="204"/>
      <c r="BZ1" s="204"/>
      <c r="CA1" s="204"/>
      <c r="CB1" s="204"/>
      <c r="CC1" s="204"/>
      <c r="CD1" s="204"/>
      <c r="CE1" s="204"/>
      <c r="CF1" s="204"/>
      <c r="CG1" s="204"/>
      <c r="CH1" s="204"/>
      <c r="CI1" s="204"/>
      <c r="CJ1" s="204"/>
      <c r="CK1" s="204"/>
    </row>
    <row r="2" spans="1:98" ht="17" thickBot="1">
      <c r="C2" s="151"/>
      <c r="D2" s="151"/>
      <c r="E2" s="151"/>
      <c r="F2" s="151"/>
      <c r="G2" s="151"/>
      <c r="H2" s="151"/>
      <c r="I2" s="151"/>
      <c r="J2" s="151"/>
      <c r="K2" s="317" t="s">
        <v>339</v>
      </c>
      <c r="L2" s="318"/>
      <c r="M2" s="318"/>
      <c r="N2" s="318"/>
      <c r="O2" s="318"/>
      <c r="P2" s="319"/>
      <c r="Q2" s="151"/>
      <c r="R2" s="72"/>
      <c r="S2" s="151"/>
      <c r="T2" s="151"/>
      <c r="U2" s="151"/>
      <c r="V2" s="151"/>
      <c r="W2" s="151"/>
      <c r="X2" s="317" t="s">
        <v>37</v>
      </c>
      <c r="Y2" s="318"/>
      <c r="Z2" s="318"/>
      <c r="AA2" s="318"/>
      <c r="AB2" s="318"/>
      <c r="AC2" s="318"/>
      <c r="AD2" s="323"/>
      <c r="AE2" s="323"/>
      <c r="AF2" s="323"/>
      <c r="AG2" s="323"/>
      <c r="AH2" s="323"/>
      <c r="AI2" s="318"/>
      <c r="AJ2" s="318"/>
      <c r="AK2" s="318"/>
      <c r="AL2" s="318"/>
      <c r="AM2" s="318"/>
      <c r="AN2" s="318"/>
      <c r="AO2" s="318"/>
      <c r="AP2" s="318"/>
      <c r="AQ2" s="318"/>
      <c r="AR2" s="319"/>
      <c r="AS2" s="317" t="s">
        <v>337</v>
      </c>
      <c r="AT2" s="318"/>
      <c r="AU2" s="318"/>
      <c r="AV2" s="318"/>
      <c r="AW2" s="318"/>
      <c r="AX2" s="318"/>
      <c r="AY2" s="318"/>
      <c r="AZ2" s="318"/>
      <c r="BA2" s="318"/>
      <c r="BB2" s="318"/>
      <c r="BC2" s="318"/>
      <c r="BD2" s="318"/>
      <c r="BE2" s="318"/>
      <c r="BF2" s="318"/>
      <c r="BG2" s="318"/>
      <c r="BH2" s="319"/>
      <c r="BI2" s="151"/>
      <c r="BJ2" s="151"/>
      <c r="BK2" s="151"/>
      <c r="BL2" s="151"/>
      <c r="BM2" s="151"/>
      <c r="BN2" s="151"/>
      <c r="BO2" s="151"/>
      <c r="BP2" s="151"/>
      <c r="BW2" s="317" t="s">
        <v>329</v>
      </c>
      <c r="BX2" s="318"/>
      <c r="BY2" s="318"/>
      <c r="BZ2" s="318"/>
      <c r="CA2" s="318"/>
      <c r="CB2" s="318"/>
      <c r="CC2" s="318"/>
      <c r="CD2" s="318"/>
      <c r="CE2" s="318"/>
      <c r="CF2" s="318"/>
      <c r="CG2" s="318"/>
      <c r="CH2" s="318"/>
      <c r="CI2" s="318"/>
      <c r="CJ2" s="318"/>
      <c r="CK2" s="319"/>
      <c r="CL2" s="322" t="s">
        <v>587</v>
      </c>
      <c r="CM2" s="323"/>
      <c r="CN2" s="323"/>
      <c r="CO2" s="323"/>
      <c r="CP2" s="323"/>
      <c r="CQ2" s="323"/>
      <c r="CR2" s="324"/>
    </row>
    <row r="3" spans="1:98" ht="17" thickBot="1">
      <c r="A3" s="205"/>
      <c r="B3" s="205"/>
      <c r="C3" s="205"/>
      <c r="D3" s="205"/>
      <c r="E3" s="151"/>
      <c r="F3" s="151"/>
      <c r="G3" s="308" t="s">
        <v>367</v>
      </c>
      <c r="H3" s="309"/>
      <c r="I3" s="310"/>
      <c r="J3" s="67" t="s">
        <v>363</v>
      </c>
      <c r="K3" s="322" t="s">
        <v>368</v>
      </c>
      <c r="L3" s="324"/>
      <c r="M3" s="322" t="s">
        <v>369</v>
      </c>
      <c r="N3" s="324"/>
      <c r="O3" s="322" t="s">
        <v>370</v>
      </c>
      <c r="P3" s="324"/>
      <c r="Q3" s="151"/>
      <c r="R3" s="72"/>
      <c r="S3" s="322" t="s">
        <v>371</v>
      </c>
      <c r="T3" s="323"/>
      <c r="U3" s="323"/>
      <c r="V3" s="324"/>
      <c r="W3" s="7" t="s">
        <v>35</v>
      </c>
      <c r="X3" s="342" t="s">
        <v>366</v>
      </c>
      <c r="Y3" s="343"/>
      <c r="Z3" s="343"/>
      <c r="AA3" s="343"/>
      <c r="AB3" s="343"/>
      <c r="AC3" s="343"/>
      <c r="AD3" s="322" t="s">
        <v>16</v>
      </c>
      <c r="AE3" s="323"/>
      <c r="AF3" s="323"/>
      <c r="AG3" s="324"/>
      <c r="AH3" s="145" t="s">
        <v>37</v>
      </c>
      <c r="AI3" s="322" t="s">
        <v>372</v>
      </c>
      <c r="AJ3" s="323"/>
      <c r="AK3" s="323"/>
      <c r="AL3" s="324"/>
      <c r="AM3" s="7" t="s">
        <v>37</v>
      </c>
      <c r="AN3" s="322" t="s">
        <v>347</v>
      </c>
      <c r="AO3" s="323"/>
      <c r="AP3" s="323"/>
      <c r="AQ3" s="323"/>
      <c r="AR3" s="323"/>
      <c r="AS3" s="322" t="s">
        <v>366</v>
      </c>
      <c r="AT3" s="323"/>
      <c r="AU3" s="323"/>
      <c r="AV3" s="323"/>
      <c r="AW3" s="323"/>
      <c r="AX3" s="7" t="s">
        <v>561</v>
      </c>
      <c r="AY3" s="322" t="s">
        <v>16</v>
      </c>
      <c r="AZ3" s="323"/>
      <c r="BA3" s="323"/>
      <c r="BB3" s="323"/>
      <c r="BC3" s="7" t="s">
        <v>11</v>
      </c>
      <c r="BD3" s="322" t="s">
        <v>372</v>
      </c>
      <c r="BE3" s="323"/>
      <c r="BF3" s="323"/>
      <c r="BG3" s="323"/>
      <c r="BH3" s="323"/>
      <c r="BI3" s="322" t="s">
        <v>588</v>
      </c>
      <c r="BJ3" s="323"/>
      <c r="BK3" s="324"/>
      <c r="BL3" s="322" t="s">
        <v>589</v>
      </c>
      <c r="BM3" s="323"/>
      <c r="BN3" s="324"/>
      <c r="BO3" s="7" t="s">
        <v>444</v>
      </c>
      <c r="BP3" s="151"/>
      <c r="BR3" s="322" t="s">
        <v>590</v>
      </c>
      <c r="BS3" s="323"/>
      <c r="BT3" s="323"/>
      <c r="BU3" s="324"/>
      <c r="BV3" s="145" t="s">
        <v>31</v>
      </c>
      <c r="BW3" s="339" t="s">
        <v>20</v>
      </c>
      <c r="BX3" s="340"/>
      <c r="BY3" s="340"/>
      <c r="BZ3" s="341"/>
      <c r="CA3" s="322" t="s">
        <v>21</v>
      </c>
      <c r="CB3" s="323"/>
      <c r="CC3" s="323"/>
      <c r="CD3" s="324"/>
      <c r="CE3" s="322" t="s">
        <v>591</v>
      </c>
      <c r="CF3" s="323"/>
      <c r="CG3" s="323"/>
      <c r="CH3" s="324"/>
      <c r="CI3" s="322" t="s">
        <v>12</v>
      </c>
      <c r="CJ3" s="323"/>
      <c r="CK3" s="323"/>
      <c r="CL3" s="322" t="s">
        <v>20</v>
      </c>
      <c r="CM3" s="323"/>
      <c r="CN3" s="323"/>
      <c r="CO3" s="323"/>
      <c r="CP3" s="323"/>
      <c r="CQ3" s="322" t="s">
        <v>591</v>
      </c>
      <c r="CR3" s="324"/>
    </row>
    <row r="4" spans="1:98" ht="17" thickBot="1">
      <c r="A4" s="7" t="s">
        <v>32</v>
      </c>
      <c r="B4" s="7" t="s">
        <v>33</v>
      </c>
      <c r="C4" s="7" t="s">
        <v>592</v>
      </c>
      <c r="D4" s="7" t="s">
        <v>373</v>
      </c>
      <c r="E4" s="146" t="s">
        <v>35</v>
      </c>
      <c r="F4" s="7" t="s">
        <v>593</v>
      </c>
      <c r="G4" s="151">
        <v>1</v>
      </c>
      <c r="H4" s="151">
        <v>2</v>
      </c>
      <c r="I4" s="152">
        <v>3</v>
      </c>
      <c r="J4" s="173" t="s">
        <v>38</v>
      </c>
      <c r="K4" s="150" t="s">
        <v>55</v>
      </c>
      <c r="L4" s="152" t="s">
        <v>54</v>
      </c>
      <c r="M4" s="150" t="s">
        <v>55</v>
      </c>
      <c r="N4" s="152" t="s">
        <v>374</v>
      </c>
      <c r="O4" s="150" t="s">
        <v>55</v>
      </c>
      <c r="P4" s="152" t="s">
        <v>374</v>
      </c>
      <c r="Q4" s="7" t="s">
        <v>594</v>
      </c>
      <c r="R4" s="206" t="s">
        <v>41</v>
      </c>
      <c r="S4" s="150" t="s">
        <v>368</v>
      </c>
      <c r="T4" s="151" t="s">
        <v>369</v>
      </c>
      <c r="U4" s="151" t="s">
        <v>17</v>
      </c>
      <c r="V4" s="152" t="s">
        <v>375</v>
      </c>
      <c r="W4" s="173" t="s">
        <v>328</v>
      </c>
      <c r="X4" s="150">
        <v>1</v>
      </c>
      <c r="Y4" s="151">
        <v>2</v>
      </c>
      <c r="Z4" s="151">
        <v>3</v>
      </c>
      <c r="AA4" s="151">
        <v>4</v>
      </c>
      <c r="AB4" s="7" t="s">
        <v>430</v>
      </c>
      <c r="AC4" s="145" t="s">
        <v>13</v>
      </c>
      <c r="AD4" s="150">
        <v>1</v>
      </c>
      <c r="AE4" s="151">
        <v>2</v>
      </c>
      <c r="AF4" s="151">
        <v>3</v>
      </c>
      <c r="AG4" s="152">
        <v>4</v>
      </c>
      <c r="AH4" s="150" t="s">
        <v>38</v>
      </c>
      <c r="AI4" s="150">
        <v>1</v>
      </c>
      <c r="AJ4" s="151">
        <v>2</v>
      </c>
      <c r="AK4" s="151">
        <v>3</v>
      </c>
      <c r="AL4" s="152">
        <v>4</v>
      </c>
      <c r="AM4" s="173" t="s">
        <v>38</v>
      </c>
      <c r="AN4" s="150">
        <v>1</v>
      </c>
      <c r="AO4" s="151">
        <v>2</v>
      </c>
      <c r="AP4" s="151">
        <v>3</v>
      </c>
      <c r="AQ4" s="151">
        <v>4</v>
      </c>
      <c r="AR4" s="151">
        <v>5</v>
      </c>
      <c r="AS4" s="150" t="s">
        <v>595</v>
      </c>
      <c r="AT4" s="151" t="s">
        <v>596</v>
      </c>
      <c r="AU4" s="151" t="s">
        <v>597</v>
      </c>
      <c r="AV4" s="151" t="s">
        <v>598</v>
      </c>
      <c r="AW4" s="151" t="s">
        <v>599</v>
      </c>
      <c r="AX4" s="47" t="s">
        <v>600</v>
      </c>
      <c r="AY4" s="150" t="s">
        <v>360</v>
      </c>
      <c r="AZ4" s="151" t="s">
        <v>44</v>
      </c>
      <c r="BA4" s="151" t="s">
        <v>361</v>
      </c>
      <c r="BB4" s="151" t="s">
        <v>46</v>
      </c>
      <c r="BC4" s="47" t="s">
        <v>289</v>
      </c>
      <c r="BD4" s="150" t="s">
        <v>360</v>
      </c>
      <c r="BE4" s="151" t="s">
        <v>44</v>
      </c>
      <c r="BF4" s="151" t="s">
        <v>361</v>
      </c>
      <c r="BG4" s="151" t="s">
        <v>46</v>
      </c>
      <c r="BH4" s="151" t="s">
        <v>47</v>
      </c>
      <c r="BI4" s="150" t="s">
        <v>368</v>
      </c>
      <c r="BJ4" s="151" t="s">
        <v>369</v>
      </c>
      <c r="BK4" s="152" t="s">
        <v>17</v>
      </c>
      <c r="BL4" s="150" t="s">
        <v>368</v>
      </c>
      <c r="BM4" s="151" t="s">
        <v>369</v>
      </c>
      <c r="BN4" s="152" t="s">
        <v>17</v>
      </c>
      <c r="BO4" s="150" t="s">
        <v>601</v>
      </c>
      <c r="BP4" s="7" t="s">
        <v>362</v>
      </c>
      <c r="BQ4" s="146" t="s">
        <v>341</v>
      </c>
      <c r="BR4" s="150" t="s">
        <v>16</v>
      </c>
      <c r="BS4" s="151" t="s">
        <v>15</v>
      </c>
      <c r="BT4" s="151" t="s">
        <v>17</v>
      </c>
      <c r="BU4" s="152" t="s">
        <v>347</v>
      </c>
      <c r="BV4" s="150" t="s">
        <v>38</v>
      </c>
      <c r="BW4" s="150">
        <v>1</v>
      </c>
      <c r="BX4" s="207">
        <v>2</v>
      </c>
      <c r="BY4" s="151">
        <v>3</v>
      </c>
      <c r="BZ4" s="152">
        <v>4</v>
      </c>
      <c r="CA4" s="150">
        <v>1</v>
      </c>
      <c r="CB4" s="151">
        <v>2</v>
      </c>
      <c r="CC4" s="151">
        <v>3</v>
      </c>
      <c r="CD4" s="152">
        <v>4</v>
      </c>
      <c r="CE4" s="150">
        <v>1</v>
      </c>
      <c r="CF4" s="151">
        <v>2</v>
      </c>
      <c r="CG4" s="151">
        <v>3</v>
      </c>
      <c r="CH4" s="152">
        <v>4</v>
      </c>
      <c r="CI4" s="150">
        <v>1</v>
      </c>
      <c r="CJ4" s="151">
        <v>2</v>
      </c>
      <c r="CK4" s="151">
        <v>3</v>
      </c>
      <c r="CL4" s="150">
        <v>1</v>
      </c>
      <c r="CM4" s="151">
        <v>2</v>
      </c>
      <c r="CN4" s="151">
        <v>3</v>
      </c>
      <c r="CO4" s="151">
        <v>4</v>
      </c>
      <c r="CP4" s="151">
        <v>5</v>
      </c>
      <c r="CQ4" s="150">
        <v>1</v>
      </c>
      <c r="CR4" s="152">
        <v>2</v>
      </c>
    </row>
    <row r="5" spans="1:98">
      <c r="A5" s="87" t="s">
        <v>323</v>
      </c>
      <c r="B5" s="7" t="s">
        <v>214</v>
      </c>
      <c r="C5" s="9"/>
      <c r="D5" s="11" t="s">
        <v>132</v>
      </c>
      <c r="E5" s="9"/>
      <c r="F5" s="9">
        <v>8</v>
      </c>
      <c r="G5" s="11">
        <v>0</v>
      </c>
      <c r="H5" s="8">
        <v>0</v>
      </c>
      <c r="I5" s="8">
        <v>1</v>
      </c>
      <c r="J5" s="9">
        <v>1</v>
      </c>
      <c r="K5" s="11">
        <v>143</v>
      </c>
      <c r="L5" s="41">
        <v>464</v>
      </c>
      <c r="M5" s="11">
        <v>63</v>
      </c>
      <c r="N5" s="8">
        <v>197</v>
      </c>
      <c r="O5" s="11">
        <v>0</v>
      </c>
      <c r="P5" s="41">
        <v>0</v>
      </c>
      <c r="Q5" s="9">
        <v>559</v>
      </c>
      <c r="R5" s="208">
        <v>1.2533632286995515</v>
      </c>
      <c r="S5" s="11">
        <v>1</v>
      </c>
      <c r="T5" s="8">
        <v>1</v>
      </c>
      <c r="U5" s="8">
        <v>0</v>
      </c>
      <c r="V5" s="41">
        <v>0</v>
      </c>
      <c r="W5" s="11">
        <v>1100</v>
      </c>
      <c r="X5" s="11">
        <v>1</v>
      </c>
      <c r="Y5" s="8">
        <v>0</v>
      </c>
      <c r="Z5" s="8">
        <v>0</v>
      </c>
      <c r="AA5" s="41">
        <v>0</v>
      </c>
      <c r="AB5" s="9">
        <v>1000</v>
      </c>
      <c r="AC5" s="11">
        <v>0</v>
      </c>
      <c r="AD5" s="11">
        <v>0</v>
      </c>
      <c r="AE5" s="8">
        <v>0</v>
      </c>
      <c r="AF5" s="8">
        <v>1</v>
      </c>
      <c r="AG5" s="41">
        <v>1</v>
      </c>
      <c r="AH5" s="11">
        <v>11</v>
      </c>
      <c r="AI5" s="11">
        <v>0</v>
      </c>
      <c r="AJ5" s="8">
        <v>0</v>
      </c>
      <c r="AK5" s="8">
        <v>0</v>
      </c>
      <c r="AL5" s="41">
        <v>0</v>
      </c>
      <c r="AM5" s="9">
        <v>0</v>
      </c>
      <c r="AN5" s="11">
        <v>0</v>
      </c>
      <c r="AO5" s="8">
        <v>0</v>
      </c>
      <c r="AP5" s="8">
        <v>0</v>
      </c>
      <c r="AQ5" s="8">
        <v>0</v>
      </c>
      <c r="AR5" s="8">
        <v>0</v>
      </c>
      <c r="AS5" s="11">
        <v>0</v>
      </c>
      <c r="AT5" s="8">
        <v>0</v>
      </c>
      <c r="AU5" s="8">
        <v>1</v>
      </c>
      <c r="AV5" s="8">
        <v>0</v>
      </c>
      <c r="AW5" s="41">
        <v>0</v>
      </c>
      <c r="AX5" s="11">
        <v>1</v>
      </c>
      <c r="AY5" s="11">
        <v>0</v>
      </c>
      <c r="AZ5" s="8">
        <v>0</v>
      </c>
      <c r="BA5" s="8">
        <v>0</v>
      </c>
      <c r="BB5" s="41">
        <v>1</v>
      </c>
      <c r="BC5" s="9">
        <v>1</v>
      </c>
      <c r="BD5" s="102">
        <v>0</v>
      </c>
      <c r="BE5" s="100">
        <v>0</v>
      </c>
      <c r="BF5" s="100">
        <v>0</v>
      </c>
      <c r="BG5" s="100">
        <v>0</v>
      </c>
      <c r="BH5" s="100">
        <v>0</v>
      </c>
      <c r="BI5" s="11">
        <v>1</v>
      </c>
      <c r="BJ5" s="8">
        <v>1</v>
      </c>
      <c r="BK5" s="41">
        <v>0</v>
      </c>
      <c r="BL5" s="11">
        <v>0</v>
      </c>
      <c r="BM5" s="8">
        <v>0</v>
      </c>
      <c r="BN5" s="41">
        <v>0</v>
      </c>
      <c r="BO5" s="11">
        <v>1</v>
      </c>
      <c r="BP5" s="9">
        <v>67</v>
      </c>
      <c r="BQ5" s="8">
        <v>1</v>
      </c>
      <c r="BR5" s="11">
        <v>0</v>
      </c>
      <c r="BS5" s="8">
        <v>0</v>
      </c>
      <c r="BT5" s="8">
        <v>0</v>
      </c>
      <c r="BU5" s="41">
        <v>0</v>
      </c>
      <c r="BV5" s="11">
        <v>0</v>
      </c>
      <c r="BW5" s="208"/>
      <c r="BX5" s="54"/>
      <c r="BY5" s="54"/>
      <c r="BZ5" s="10"/>
      <c r="CA5" s="208"/>
      <c r="CB5" s="54"/>
      <c r="CC5" s="54"/>
      <c r="CD5" s="54"/>
      <c r="CE5" s="208"/>
      <c r="CF5" s="54"/>
      <c r="CG5" s="54"/>
      <c r="CH5" s="10"/>
      <c r="CI5" s="208"/>
      <c r="CJ5" s="54"/>
      <c r="CK5" s="54"/>
      <c r="CL5" s="208"/>
      <c r="CM5" s="54"/>
      <c r="CN5" s="54"/>
      <c r="CO5" s="54"/>
      <c r="CP5" s="10"/>
      <c r="CQ5" s="208"/>
      <c r="CR5" s="10"/>
      <c r="CS5" s="3"/>
      <c r="CT5" s="3"/>
    </row>
    <row r="6" spans="1:98">
      <c r="A6" s="42" t="s">
        <v>323</v>
      </c>
      <c r="B6" s="173" t="s">
        <v>214</v>
      </c>
      <c r="C6" s="12"/>
      <c r="D6" s="14" t="s">
        <v>167</v>
      </c>
      <c r="E6" s="12"/>
      <c r="F6" s="12">
        <v>16</v>
      </c>
      <c r="G6" s="14">
        <v>1</v>
      </c>
      <c r="H6" s="163">
        <v>0</v>
      </c>
      <c r="I6" s="163">
        <v>1</v>
      </c>
      <c r="J6" s="12">
        <v>101</v>
      </c>
      <c r="K6" s="14">
        <v>148</v>
      </c>
      <c r="L6" s="26">
        <v>246</v>
      </c>
      <c r="M6" s="14">
        <v>22</v>
      </c>
      <c r="N6" s="163">
        <v>272</v>
      </c>
      <c r="O6" s="14">
        <v>0</v>
      </c>
      <c r="P6" s="26">
        <v>0</v>
      </c>
      <c r="Q6" s="12">
        <v>441</v>
      </c>
      <c r="R6" s="209">
        <v>1.3569230769230769</v>
      </c>
      <c r="S6" s="14">
        <v>1</v>
      </c>
      <c r="T6" s="163">
        <v>1</v>
      </c>
      <c r="U6" s="163">
        <v>0</v>
      </c>
      <c r="V6" s="26">
        <v>0</v>
      </c>
      <c r="W6" s="14">
        <v>1100</v>
      </c>
      <c r="X6" s="14">
        <v>1</v>
      </c>
      <c r="Y6" s="163">
        <v>1</v>
      </c>
      <c r="Z6" s="163">
        <v>0</v>
      </c>
      <c r="AA6" s="26">
        <v>0</v>
      </c>
      <c r="AB6" s="12">
        <v>1100</v>
      </c>
      <c r="AC6" s="14">
        <v>1</v>
      </c>
      <c r="AD6" s="14">
        <v>0</v>
      </c>
      <c r="AE6" s="163">
        <v>1</v>
      </c>
      <c r="AF6" s="163">
        <v>1</v>
      </c>
      <c r="AG6" s="26">
        <v>0</v>
      </c>
      <c r="AH6" s="14">
        <v>110</v>
      </c>
      <c r="AI6" s="14">
        <v>0</v>
      </c>
      <c r="AJ6" s="163">
        <v>0</v>
      </c>
      <c r="AK6" s="163">
        <v>0</v>
      </c>
      <c r="AL6" s="26">
        <v>0</v>
      </c>
      <c r="AM6" s="12">
        <v>0</v>
      </c>
      <c r="AN6" s="14">
        <v>0</v>
      </c>
      <c r="AO6" s="163">
        <v>0</v>
      </c>
      <c r="AP6" s="163">
        <v>0</v>
      </c>
      <c r="AQ6" s="163">
        <v>0</v>
      </c>
      <c r="AR6" s="163">
        <v>0</v>
      </c>
      <c r="AS6" s="14">
        <v>0</v>
      </c>
      <c r="AT6" s="163">
        <v>0</v>
      </c>
      <c r="AU6" s="163">
        <v>1</v>
      </c>
      <c r="AV6" s="163">
        <v>1</v>
      </c>
      <c r="AW6" s="26">
        <v>0</v>
      </c>
      <c r="AX6" s="14">
        <v>2</v>
      </c>
      <c r="AY6" s="14">
        <v>0</v>
      </c>
      <c r="AZ6" s="163">
        <v>0</v>
      </c>
      <c r="BA6" s="163">
        <v>0</v>
      </c>
      <c r="BB6" s="26">
        <v>1</v>
      </c>
      <c r="BC6" s="12">
        <v>1</v>
      </c>
      <c r="BD6" s="23">
        <v>0</v>
      </c>
      <c r="BE6" s="24">
        <v>0</v>
      </c>
      <c r="BF6" s="24">
        <v>0</v>
      </c>
      <c r="BG6" s="24">
        <v>0</v>
      </c>
      <c r="BH6" s="24">
        <v>0</v>
      </c>
      <c r="BI6" s="14">
        <v>1</v>
      </c>
      <c r="BJ6" s="163">
        <v>1</v>
      </c>
      <c r="BK6" s="26">
        <v>0</v>
      </c>
      <c r="BL6" s="14">
        <v>0</v>
      </c>
      <c r="BM6" s="163">
        <v>0</v>
      </c>
      <c r="BN6" s="26">
        <v>0</v>
      </c>
      <c r="BO6" s="14">
        <v>1</v>
      </c>
      <c r="BP6" s="12"/>
      <c r="BQ6" s="163">
        <v>1</v>
      </c>
      <c r="BR6" s="14">
        <v>0</v>
      </c>
      <c r="BS6" s="163">
        <v>0</v>
      </c>
      <c r="BT6" s="163">
        <v>0</v>
      </c>
      <c r="BU6" s="26">
        <v>0</v>
      </c>
      <c r="BV6" s="14">
        <v>0</v>
      </c>
      <c r="BW6" s="209"/>
      <c r="BX6" s="3"/>
      <c r="BY6" s="3"/>
      <c r="BZ6" s="40"/>
      <c r="CA6" s="209"/>
      <c r="CB6" s="3"/>
      <c r="CC6" s="3"/>
      <c r="CD6" s="3"/>
      <c r="CE6" s="209"/>
      <c r="CF6" s="3"/>
      <c r="CG6" s="3"/>
      <c r="CH6" s="40"/>
      <c r="CI6" s="209"/>
      <c r="CJ6" s="3"/>
      <c r="CK6" s="3"/>
      <c r="CL6" s="209"/>
      <c r="CM6" s="3"/>
      <c r="CN6" s="3"/>
      <c r="CO6" s="3"/>
      <c r="CP6" s="40"/>
      <c r="CQ6" s="209"/>
      <c r="CR6" s="40"/>
      <c r="CS6" s="3"/>
      <c r="CT6" s="3"/>
    </row>
    <row r="7" spans="1:98" ht="17" thickBot="1">
      <c r="A7" s="55" t="s">
        <v>323</v>
      </c>
      <c r="B7" s="47" t="s">
        <v>214</v>
      </c>
      <c r="C7" s="33"/>
      <c r="D7" s="34" t="s">
        <v>388</v>
      </c>
      <c r="E7" s="33"/>
      <c r="F7" s="33">
        <v>25</v>
      </c>
      <c r="G7" s="34">
        <v>1</v>
      </c>
      <c r="H7" s="36">
        <v>0</v>
      </c>
      <c r="I7" s="36">
        <v>1</v>
      </c>
      <c r="J7" s="33">
        <v>101</v>
      </c>
      <c r="K7" s="34">
        <v>52</v>
      </c>
      <c r="L7" s="35">
        <v>195</v>
      </c>
      <c r="M7" s="34">
        <v>19</v>
      </c>
      <c r="N7" s="36">
        <v>204</v>
      </c>
      <c r="O7" s="34">
        <v>0</v>
      </c>
      <c r="P7" s="35">
        <v>0</v>
      </c>
      <c r="Q7" s="33">
        <v>697</v>
      </c>
      <c r="R7" s="210">
        <v>1.636150234741784</v>
      </c>
      <c r="S7" s="34">
        <v>1</v>
      </c>
      <c r="T7" s="36">
        <v>1</v>
      </c>
      <c r="U7" s="36">
        <v>0</v>
      </c>
      <c r="V7" s="35">
        <v>0</v>
      </c>
      <c r="W7" s="34">
        <v>1100</v>
      </c>
      <c r="X7" s="34">
        <v>1</v>
      </c>
      <c r="Y7" s="36">
        <v>0</v>
      </c>
      <c r="Z7" s="36">
        <v>0</v>
      </c>
      <c r="AA7" s="35">
        <v>1</v>
      </c>
      <c r="AB7" s="33">
        <v>1001</v>
      </c>
      <c r="AC7" s="34">
        <v>1</v>
      </c>
      <c r="AD7" s="34">
        <v>0</v>
      </c>
      <c r="AE7" s="36">
        <v>0</v>
      </c>
      <c r="AF7" s="36">
        <v>1</v>
      </c>
      <c r="AG7" s="35">
        <v>1</v>
      </c>
      <c r="AH7" s="34">
        <v>11</v>
      </c>
      <c r="AI7" s="34">
        <v>0</v>
      </c>
      <c r="AJ7" s="36">
        <v>0</v>
      </c>
      <c r="AK7" s="36">
        <v>0</v>
      </c>
      <c r="AL7" s="35">
        <v>0</v>
      </c>
      <c r="AM7" s="33">
        <v>0</v>
      </c>
      <c r="AN7" s="34">
        <v>0</v>
      </c>
      <c r="AO7" s="36">
        <v>0</v>
      </c>
      <c r="AP7" s="36">
        <v>0</v>
      </c>
      <c r="AQ7" s="36">
        <v>0</v>
      </c>
      <c r="AR7" s="36">
        <v>0</v>
      </c>
      <c r="AS7" s="34">
        <v>0</v>
      </c>
      <c r="AT7" s="36">
        <v>0</v>
      </c>
      <c r="AU7" s="36">
        <v>1</v>
      </c>
      <c r="AV7" s="36">
        <v>0</v>
      </c>
      <c r="AW7" s="35">
        <v>0</v>
      </c>
      <c r="AX7" s="34">
        <v>1</v>
      </c>
      <c r="AY7" s="34">
        <v>0</v>
      </c>
      <c r="AZ7" s="36">
        <v>0</v>
      </c>
      <c r="BA7" s="36">
        <v>0</v>
      </c>
      <c r="BB7" s="35">
        <v>1</v>
      </c>
      <c r="BC7" s="33">
        <v>1</v>
      </c>
      <c r="BD7" s="105">
        <v>0</v>
      </c>
      <c r="BE7" s="103">
        <v>0</v>
      </c>
      <c r="BF7" s="103">
        <v>0</v>
      </c>
      <c r="BG7" s="103">
        <v>0</v>
      </c>
      <c r="BH7" s="103">
        <v>0</v>
      </c>
      <c r="BI7" s="34">
        <v>1</v>
      </c>
      <c r="BJ7" s="36">
        <v>1</v>
      </c>
      <c r="BK7" s="35">
        <v>0</v>
      </c>
      <c r="BL7" s="34">
        <v>0</v>
      </c>
      <c r="BM7" s="36">
        <v>0</v>
      </c>
      <c r="BN7" s="35">
        <v>0</v>
      </c>
      <c r="BO7" s="34">
        <v>1</v>
      </c>
      <c r="BP7" s="33">
        <v>72</v>
      </c>
      <c r="BQ7" s="36">
        <v>1</v>
      </c>
      <c r="BR7" s="34">
        <v>0</v>
      </c>
      <c r="BS7" s="36">
        <v>0</v>
      </c>
      <c r="BT7" s="36">
        <v>0</v>
      </c>
      <c r="BU7" s="35">
        <v>0</v>
      </c>
      <c r="BV7" s="34">
        <v>0</v>
      </c>
      <c r="BW7" s="210"/>
      <c r="BX7" s="51"/>
      <c r="BY7" s="51"/>
      <c r="BZ7" s="48"/>
      <c r="CA7" s="210"/>
      <c r="CB7" s="51"/>
      <c r="CC7" s="51"/>
      <c r="CD7" s="51"/>
      <c r="CE7" s="210"/>
      <c r="CF7" s="51"/>
      <c r="CG7" s="51"/>
      <c r="CH7" s="48"/>
      <c r="CI7" s="210"/>
      <c r="CJ7" s="51"/>
      <c r="CK7" s="51"/>
      <c r="CL7" s="210"/>
      <c r="CM7" s="51"/>
      <c r="CN7" s="51"/>
      <c r="CO7" s="51"/>
      <c r="CP7" s="48"/>
      <c r="CQ7" s="210"/>
      <c r="CR7" s="48"/>
      <c r="CS7" s="3"/>
      <c r="CT7" s="3"/>
    </row>
    <row r="8" spans="1:98">
      <c r="A8" s="87" t="s">
        <v>323</v>
      </c>
      <c r="B8" s="7" t="s">
        <v>217</v>
      </c>
      <c r="C8" s="9"/>
      <c r="D8" s="11" t="s">
        <v>132</v>
      </c>
      <c r="E8" s="9"/>
      <c r="F8" s="9">
        <v>4</v>
      </c>
      <c r="G8" s="11">
        <v>0</v>
      </c>
      <c r="H8" s="8">
        <v>0</v>
      </c>
      <c r="I8" s="8">
        <v>1</v>
      </c>
      <c r="J8" s="9">
        <v>1</v>
      </c>
      <c r="K8" s="11">
        <v>0</v>
      </c>
      <c r="L8" s="41">
        <v>340</v>
      </c>
      <c r="M8" s="11">
        <v>35</v>
      </c>
      <c r="N8" s="8">
        <v>69</v>
      </c>
      <c r="O8" s="11">
        <v>0</v>
      </c>
      <c r="P8" s="41">
        <v>0</v>
      </c>
      <c r="Q8" s="9">
        <v>391</v>
      </c>
      <c r="R8" s="208">
        <v>6.2063492063492065</v>
      </c>
      <c r="S8" s="11">
        <v>1</v>
      </c>
      <c r="T8" s="8">
        <v>1</v>
      </c>
      <c r="U8" s="8">
        <v>0</v>
      </c>
      <c r="V8" s="41">
        <v>0</v>
      </c>
      <c r="W8" s="11">
        <v>1100</v>
      </c>
      <c r="X8" s="11">
        <v>0</v>
      </c>
      <c r="Y8" s="8">
        <v>1</v>
      </c>
      <c r="Z8" s="8">
        <v>0</v>
      </c>
      <c r="AA8" s="41">
        <v>0</v>
      </c>
      <c r="AB8" s="9">
        <v>100</v>
      </c>
      <c r="AC8" s="11">
        <v>1</v>
      </c>
      <c r="AD8" s="11">
        <v>0</v>
      </c>
      <c r="AE8" s="8">
        <v>1</v>
      </c>
      <c r="AF8" s="8">
        <v>0</v>
      </c>
      <c r="AG8" s="41">
        <v>0</v>
      </c>
      <c r="AH8" s="11">
        <v>100</v>
      </c>
      <c r="AI8" s="11">
        <v>0</v>
      </c>
      <c r="AJ8" s="8">
        <v>0</v>
      </c>
      <c r="AK8" s="8">
        <v>0</v>
      </c>
      <c r="AL8" s="41">
        <v>0</v>
      </c>
      <c r="AM8" s="9">
        <v>0</v>
      </c>
      <c r="AN8" s="11">
        <v>0</v>
      </c>
      <c r="AO8" s="8">
        <v>0</v>
      </c>
      <c r="AP8" s="8">
        <v>0</v>
      </c>
      <c r="AQ8" s="8">
        <v>0</v>
      </c>
      <c r="AR8" s="8">
        <v>0</v>
      </c>
      <c r="AS8" s="11">
        <v>0</v>
      </c>
      <c r="AT8" s="8">
        <v>1</v>
      </c>
      <c r="AU8" s="8">
        <v>0</v>
      </c>
      <c r="AV8" s="8">
        <v>0</v>
      </c>
      <c r="AW8" s="41">
        <v>0</v>
      </c>
      <c r="AX8" s="11">
        <v>1</v>
      </c>
      <c r="AY8" s="11">
        <v>0</v>
      </c>
      <c r="AZ8" s="8">
        <v>0</v>
      </c>
      <c r="BA8" s="8">
        <v>1</v>
      </c>
      <c r="BB8" s="41">
        <v>0</v>
      </c>
      <c r="BC8" s="9">
        <v>1</v>
      </c>
      <c r="BD8" s="102">
        <v>0</v>
      </c>
      <c r="BE8" s="100">
        <v>0</v>
      </c>
      <c r="BF8" s="100">
        <v>0</v>
      </c>
      <c r="BG8" s="100">
        <v>0</v>
      </c>
      <c r="BH8" s="100">
        <v>0</v>
      </c>
      <c r="BI8" s="11">
        <v>1</v>
      </c>
      <c r="BJ8" s="8">
        <v>1</v>
      </c>
      <c r="BK8" s="41">
        <v>0</v>
      </c>
      <c r="BL8" s="11">
        <v>0</v>
      </c>
      <c r="BM8" s="8">
        <v>0</v>
      </c>
      <c r="BN8" s="41">
        <v>0</v>
      </c>
      <c r="BO8" s="11">
        <v>1</v>
      </c>
      <c r="BP8" s="9">
        <v>96</v>
      </c>
      <c r="BQ8" s="8">
        <v>2</v>
      </c>
      <c r="BR8" s="11">
        <v>0</v>
      </c>
      <c r="BS8" s="8">
        <v>0</v>
      </c>
      <c r="BT8" s="8">
        <v>0</v>
      </c>
      <c r="BU8" s="41">
        <v>0</v>
      </c>
      <c r="BV8" s="11">
        <v>0</v>
      </c>
      <c r="BW8" s="208"/>
      <c r="BX8" s="54"/>
      <c r="BY8" s="54"/>
      <c r="BZ8" s="10"/>
      <c r="CA8" s="208"/>
      <c r="CB8" s="54"/>
      <c r="CC8" s="54"/>
      <c r="CD8" s="54"/>
      <c r="CE8" s="208"/>
      <c r="CF8" s="54"/>
      <c r="CG8" s="54"/>
      <c r="CH8" s="10"/>
      <c r="CI8" s="208"/>
      <c r="CJ8" s="54"/>
      <c r="CK8" s="54"/>
      <c r="CL8" s="208"/>
      <c r="CM8" s="54"/>
      <c r="CN8" s="54"/>
      <c r="CO8" s="54"/>
      <c r="CP8" s="10"/>
      <c r="CQ8" s="208"/>
      <c r="CR8" s="10"/>
      <c r="CS8" s="3"/>
      <c r="CT8" s="3"/>
    </row>
    <row r="9" spans="1:98">
      <c r="A9" s="42" t="s">
        <v>323</v>
      </c>
      <c r="B9" s="173" t="s">
        <v>217</v>
      </c>
      <c r="C9" s="12"/>
      <c r="D9" s="14" t="s">
        <v>167</v>
      </c>
      <c r="E9" s="12" t="s">
        <v>1</v>
      </c>
      <c r="F9" s="12">
        <v>3</v>
      </c>
      <c r="G9" s="14">
        <v>0</v>
      </c>
      <c r="H9" s="163">
        <v>0</v>
      </c>
      <c r="I9" s="163">
        <v>1</v>
      </c>
      <c r="J9" s="12">
        <v>1</v>
      </c>
      <c r="K9" s="14">
        <v>215</v>
      </c>
      <c r="L9" s="26">
        <v>574</v>
      </c>
      <c r="M9" s="14">
        <v>0</v>
      </c>
      <c r="N9" s="163">
        <v>172</v>
      </c>
      <c r="O9" s="14">
        <v>0</v>
      </c>
      <c r="P9" s="26">
        <v>0</v>
      </c>
      <c r="Q9" s="12">
        <v>574</v>
      </c>
      <c r="R9" s="209">
        <v>0.21900038153376575</v>
      </c>
      <c r="S9" s="14">
        <v>1</v>
      </c>
      <c r="T9" s="163">
        <v>1</v>
      </c>
      <c r="U9" s="163">
        <v>0</v>
      </c>
      <c r="V9" s="26">
        <v>0</v>
      </c>
      <c r="W9" s="14">
        <v>1100</v>
      </c>
      <c r="X9" s="14">
        <v>1</v>
      </c>
      <c r="Y9" s="163">
        <v>1</v>
      </c>
      <c r="Z9" s="163">
        <v>0</v>
      </c>
      <c r="AA9" s="26">
        <v>0</v>
      </c>
      <c r="AB9" s="12">
        <v>1100</v>
      </c>
      <c r="AC9" s="14">
        <v>1</v>
      </c>
      <c r="AD9" s="14">
        <v>0</v>
      </c>
      <c r="AE9" s="163">
        <v>1</v>
      </c>
      <c r="AF9" s="163">
        <v>0</v>
      </c>
      <c r="AG9" s="26">
        <v>0</v>
      </c>
      <c r="AH9" s="14">
        <v>100</v>
      </c>
      <c r="AI9" s="14">
        <v>0</v>
      </c>
      <c r="AJ9" s="163">
        <v>0</v>
      </c>
      <c r="AK9" s="163">
        <v>0</v>
      </c>
      <c r="AL9" s="26">
        <v>0</v>
      </c>
      <c r="AM9" s="12">
        <v>0</v>
      </c>
      <c r="AN9" s="14">
        <v>0</v>
      </c>
      <c r="AO9" s="163">
        <v>0</v>
      </c>
      <c r="AP9" s="163">
        <v>0</v>
      </c>
      <c r="AQ9" s="163">
        <v>0</v>
      </c>
      <c r="AR9" s="163">
        <v>0</v>
      </c>
      <c r="AS9" s="14">
        <v>1</v>
      </c>
      <c r="AT9" s="163">
        <v>0</v>
      </c>
      <c r="AU9" s="163">
        <v>0</v>
      </c>
      <c r="AV9" s="163">
        <v>1</v>
      </c>
      <c r="AW9" s="26">
        <v>0</v>
      </c>
      <c r="AX9" s="14">
        <v>2</v>
      </c>
      <c r="AY9" s="14">
        <v>1</v>
      </c>
      <c r="AZ9" s="163">
        <v>0</v>
      </c>
      <c r="BA9" s="163">
        <v>0</v>
      </c>
      <c r="BB9" s="26">
        <v>0</v>
      </c>
      <c r="BC9" s="12">
        <v>1</v>
      </c>
      <c r="BD9" s="23">
        <v>0</v>
      </c>
      <c r="BE9" s="24">
        <v>0</v>
      </c>
      <c r="BF9" s="24">
        <v>0</v>
      </c>
      <c r="BG9" s="24">
        <v>0</v>
      </c>
      <c r="BH9" s="24">
        <v>0</v>
      </c>
      <c r="BI9" s="14">
        <v>1</v>
      </c>
      <c r="BJ9" s="163">
        <v>1</v>
      </c>
      <c r="BK9" s="26">
        <v>0</v>
      </c>
      <c r="BL9" s="14">
        <v>0</v>
      </c>
      <c r="BM9" s="163">
        <v>0</v>
      </c>
      <c r="BN9" s="26">
        <v>0</v>
      </c>
      <c r="BO9" s="14">
        <v>1</v>
      </c>
      <c r="BP9" s="12">
        <v>92</v>
      </c>
      <c r="BQ9" s="163">
        <v>2</v>
      </c>
      <c r="BR9" s="14">
        <v>0</v>
      </c>
      <c r="BS9" s="163">
        <v>0</v>
      </c>
      <c r="BT9" s="163">
        <v>0</v>
      </c>
      <c r="BU9" s="26">
        <v>0</v>
      </c>
      <c r="BV9" s="14">
        <v>0</v>
      </c>
      <c r="BW9" s="209"/>
      <c r="BX9" s="3"/>
      <c r="BY9" s="3"/>
      <c r="BZ9" s="40"/>
      <c r="CA9" s="209"/>
      <c r="CB9" s="3"/>
      <c r="CC9" s="3"/>
      <c r="CD9" s="3"/>
      <c r="CE9" s="209"/>
      <c r="CF9" s="3"/>
      <c r="CG9" s="3"/>
      <c r="CH9" s="40"/>
      <c r="CI9" s="209"/>
      <c r="CJ9" s="3"/>
      <c r="CK9" s="3"/>
      <c r="CL9" s="209"/>
      <c r="CM9" s="3"/>
      <c r="CN9" s="3"/>
      <c r="CO9" s="3"/>
      <c r="CP9" s="40"/>
      <c r="CQ9" s="209"/>
      <c r="CR9" s="40"/>
      <c r="CS9" s="3"/>
      <c r="CT9" s="3"/>
    </row>
    <row r="10" spans="1:98" ht="17" thickBot="1">
      <c r="A10" s="55" t="s">
        <v>323</v>
      </c>
      <c r="B10" s="47" t="s">
        <v>217</v>
      </c>
      <c r="C10" s="33"/>
      <c r="D10" s="34" t="s">
        <v>167</v>
      </c>
      <c r="E10" s="33" t="s">
        <v>0</v>
      </c>
      <c r="F10" s="33">
        <v>7</v>
      </c>
      <c r="G10" s="34">
        <v>1</v>
      </c>
      <c r="H10" s="36">
        <v>0</v>
      </c>
      <c r="I10" s="36">
        <v>1</v>
      </c>
      <c r="J10" s="33">
        <v>101</v>
      </c>
      <c r="K10" s="34">
        <v>147</v>
      </c>
      <c r="L10" s="35">
        <v>372</v>
      </c>
      <c r="M10" s="34">
        <v>65</v>
      </c>
      <c r="N10" s="36">
        <v>152</v>
      </c>
      <c r="O10" s="34">
        <v>0</v>
      </c>
      <c r="P10" s="35">
        <v>0</v>
      </c>
      <c r="Q10" s="33">
        <v>605</v>
      </c>
      <c r="R10" s="210">
        <v>1.811377245508982</v>
      </c>
      <c r="S10" s="34">
        <v>1</v>
      </c>
      <c r="T10" s="36">
        <v>1</v>
      </c>
      <c r="U10" s="36">
        <v>0</v>
      </c>
      <c r="V10" s="35">
        <v>0</v>
      </c>
      <c r="W10" s="34">
        <v>1100</v>
      </c>
      <c r="X10" s="34">
        <v>0</v>
      </c>
      <c r="Y10" s="36">
        <v>1</v>
      </c>
      <c r="Z10" s="36">
        <v>0</v>
      </c>
      <c r="AA10" s="35">
        <v>1</v>
      </c>
      <c r="AB10" s="33">
        <v>101</v>
      </c>
      <c r="AC10" s="34">
        <v>1</v>
      </c>
      <c r="AD10" s="34">
        <v>0</v>
      </c>
      <c r="AE10" s="36">
        <v>1</v>
      </c>
      <c r="AF10" s="36">
        <v>1</v>
      </c>
      <c r="AG10" s="35">
        <v>0</v>
      </c>
      <c r="AH10" s="34">
        <v>110</v>
      </c>
      <c r="AI10" s="34">
        <v>0</v>
      </c>
      <c r="AJ10" s="36">
        <v>0</v>
      </c>
      <c r="AK10" s="36">
        <v>0</v>
      </c>
      <c r="AL10" s="35">
        <v>0</v>
      </c>
      <c r="AM10" s="33">
        <v>0</v>
      </c>
      <c r="AN10" s="34">
        <v>0</v>
      </c>
      <c r="AO10" s="36">
        <v>0</v>
      </c>
      <c r="AP10" s="36">
        <v>0</v>
      </c>
      <c r="AQ10" s="36">
        <v>0</v>
      </c>
      <c r="AR10" s="36">
        <v>0</v>
      </c>
      <c r="AS10" s="34">
        <v>1</v>
      </c>
      <c r="AT10" s="36">
        <v>0</v>
      </c>
      <c r="AU10" s="36">
        <v>1</v>
      </c>
      <c r="AV10" s="36">
        <v>0</v>
      </c>
      <c r="AW10" s="35">
        <v>0</v>
      </c>
      <c r="AX10" s="34">
        <v>2</v>
      </c>
      <c r="AY10" s="34">
        <v>1</v>
      </c>
      <c r="AZ10" s="36">
        <v>0</v>
      </c>
      <c r="BA10" s="36">
        <v>0</v>
      </c>
      <c r="BB10" s="35">
        <v>0</v>
      </c>
      <c r="BC10" s="33">
        <v>1</v>
      </c>
      <c r="BD10" s="105">
        <v>0</v>
      </c>
      <c r="BE10" s="103">
        <v>0</v>
      </c>
      <c r="BF10" s="103">
        <v>0</v>
      </c>
      <c r="BG10" s="103">
        <v>0</v>
      </c>
      <c r="BH10" s="103">
        <v>0</v>
      </c>
      <c r="BI10" s="34">
        <v>1</v>
      </c>
      <c r="BJ10" s="36">
        <v>1</v>
      </c>
      <c r="BK10" s="35">
        <v>0</v>
      </c>
      <c r="BL10" s="34">
        <v>0</v>
      </c>
      <c r="BM10" s="36">
        <v>0</v>
      </c>
      <c r="BN10" s="35">
        <v>0</v>
      </c>
      <c r="BO10" s="34">
        <v>1</v>
      </c>
      <c r="BP10" s="33">
        <v>92</v>
      </c>
      <c r="BQ10" s="36">
        <v>2</v>
      </c>
      <c r="BR10" s="34">
        <v>0</v>
      </c>
      <c r="BS10" s="36">
        <v>0</v>
      </c>
      <c r="BT10" s="36">
        <v>0</v>
      </c>
      <c r="BU10" s="35">
        <v>0</v>
      </c>
      <c r="BV10" s="34">
        <v>0</v>
      </c>
      <c r="BW10" s="210"/>
      <c r="BX10" s="51"/>
      <c r="BY10" s="51"/>
      <c r="BZ10" s="48"/>
      <c r="CA10" s="210"/>
      <c r="CB10" s="51"/>
      <c r="CC10" s="51"/>
      <c r="CD10" s="51"/>
      <c r="CE10" s="210"/>
      <c r="CF10" s="51"/>
      <c r="CG10" s="51"/>
      <c r="CH10" s="48"/>
      <c r="CI10" s="210"/>
      <c r="CJ10" s="51"/>
      <c r="CK10" s="51"/>
      <c r="CL10" s="210"/>
      <c r="CM10" s="51"/>
      <c r="CN10" s="51"/>
      <c r="CO10" s="51"/>
      <c r="CP10" s="48"/>
      <c r="CQ10" s="210"/>
      <c r="CR10" s="48"/>
      <c r="CS10" s="3"/>
      <c r="CT10" s="3"/>
    </row>
    <row r="11" spans="1:98" ht="17" thickBot="1">
      <c r="A11" s="88" t="s">
        <v>323</v>
      </c>
      <c r="B11" s="185" t="s">
        <v>421</v>
      </c>
      <c r="C11" s="27"/>
      <c r="D11" s="28" t="s">
        <v>422</v>
      </c>
      <c r="E11" s="27"/>
      <c r="F11" s="27">
        <v>14</v>
      </c>
      <c r="G11" s="28">
        <v>1</v>
      </c>
      <c r="H11" s="30">
        <v>0</v>
      </c>
      <c r="I11" s="30">
        <v>1</v>
      </c>
      <c r="J11" s="27">
        <v>101</v>
      </c>
      <c r="K11" s="28">
        <v>68</v>
      </c>
      <c r="L11" s="29">
        <v>545</v>
      </c>
      <c r="M11" s="28">
        <v>163</v>
      </c>
      <c r="N11" s="30">
        <v>278</v>
      </c>
      <c r="O11" s="28">
        <v>0</v>
      </c>
      <c r="P11" s="29">
        <v>0</v>
      </c>
      <c r="Q11" s="27">
        <v>663</v>
      </c>
      <c r="R11" s="211">
        <v>1.438177874186551</v>
      </c>
      <c r="S11" s="28">
        <v>1</v>
      </c>
      <c r="T11" s="30">
        <v>1</v>
      </c>
      <c r="U11" s="30">
        <v>0</v>
      </c>
      <c r="V11" s="29">
        <v>0</v>
      </c>
      <c r="W11" s="28">
        <v>1100</v>
      </c>
      <c r="X11" s="28">
        <v>1</v>
      </c>
      <c r="Y11" s="30">
        <v>0</v>
      </c>
      <c r="Z11" s="30">
        <v>0</v>
      </c>
      <c r="AA11" s="29">
        <v>0</v>
      </c>
      <c r="AB11" s="27">
        <v>1000</v>
      </c>
      <c r="AC11" s="28">
        <v>1</v>
      </c>
      <c r="AD11" s="28">
        <v>1</v>
      </c>
      <c r="AE11" s="30">
        <v>1</v>
      </c>
      <c r="AF11" s="30">
        <v>0</v>
      </c>
      <c r="AG11" s="29">
        <v>0</v>
      </c>
      <c r="AH11" s="28">
        <v>1100</v>
      </c>
      <c r="AI11" s="28">
        <v>0</v>
      </c>
      <c r="AJ11" s="30">
        <v>0</v>
      </c>
      <c r="AK11" s="30">
        <v>0</v>
      </c>
      <c r="AL11" s="29">
        <v>0</v>
      </c>
      <c r="AM11" s="27">
        <v>0</v>
      </c>
      <c r="AN11" s="28">
        <v>0</v>
      </c>
      <c r="AO11" s="30">
        <v>0</v>
      </c>
      <c r="AP11" s="30">
        <v>0</v>
      </c>
      <c r="AQ11" s="30">
        <v>0</v>
      </c>
      <c r="AR11" s="30">
        <v>0</v>
      </c>
      <c r="AS11" s="28">
        <v>1</v>
      </c>
      <c r="AT11" s="30">
        <v>0</v>
      </c>
      <c r="AU11" s="30">
        <v>0</v>
      </c>
      <c r="AV11" s="30">
        <v>0</v>
      </c>
      <c r="AW11" s="29">
        <v>0</v>
      </c>
      <c r="AX11" s="28">
        <v>1</v>
      </c>
      <c r="AY11" s="28">
        <v>0</v>
      </c>
      <c r="AZ11" s="30">
        <v>0</v>
      </c>
      <c r="BA11" s="30">
        <v>1</v>
      </c>
      <c r="BB11" s="29">
        <v>0</v>
      </c>
      <c r="BC11" s="27">
        <v>1</v>
      </c>
      <c r="BD11" s="28">
        <v>0</v>
      </c>
      <c r="BE11" s="30">
        <v>0</v>
      </c>
      <c r="BF11" s="30">
        <v>0</v>
      </c>
      <c r="BG11" s="30">
        <v>0</v>
      </c>
      <c r="BH11" s="30">
        <v>0</v>
      </c>
      <c r="BI11" s="28">
        <v>0</v>
      </c>
      <c r="BJ11" s="30">
        <v>1</v>
      </c>
      <c r="BK11" s="29">
        <v>0</v>
      </c>
      <c r="BL11" s="28">
        <v>0</v>
      </c>
      <c r="BM11" s="30">
        <v>0</v>
      </c>
      <c r="BN11" s="29">
        <v>0</v>
      </c>
      <c r="BO11" s="28">
        <v>0</v>
      </c>
      <c r="BP11" s="27">
        <v>72</v>
      </c>
      <c r="BQ11" s="30">
        <v>1</v>
      </c>
      <c r="BR11" s="28"/>
      <c r="BS11" s="30"/>
      <c r="BT11" s="30"/>
      <c r="BU11" s="29"/>
      <c r="BV11" s="28">
        <v>0</v>
      </c>
      <c r="BW11" s="211"/>
      <c r="BX11" s="77"/>
      <c r="BY11" s="77"/>
      <c r="BZ11" s="45"/>
      <c r="CA11" s="211"/>
      <c r="CB11" s="77"/>
      <c r="CC11" s="77"/>
      <c r="CD11" s="77"/>
      <c r="CE11" s="211"/>
      <c r="CF11" s="77"/>
      <c r="CG11" s="77"/>
      <c r="CH11" s="45"/>
      <c r="CI11" s="211"/>
      <c r="CJ11" s="77"/>
      <c r="CK11" s="77"/>
      <c r="CL11" s="211"/>
      <c r="CM11" s="77"/>
      <c r="CN11" s="77"/>
      <c r="CO11" s="77"/>
      <c r="CP11" s="45"/>
      <c r="CQ11" s="211"/>
      <c r="CR11" s="45"/>
      <c r="CS11" s="3"/>
      <c r="CT11" s="3"/>
    </row>
    <row r="12" spans="1:98" ht="17" thickBot="1">
      <c r="A12" s="88" t="s">
        <v>323</v>
      </c>
      <c r="B12" s="185" t="s">
        <v>219</v>
      </c>
      <c r="C12" s="27"/>
      <c r="D12" s="28" t="s">
        <v>132</v>
      </c>
      <c r="E12" s="27"/>
      <c r="F12" s="27"/>
      <c r="G12" s="28"/>
      <c r="H12" s="30"/>
      <c r="I12" s="30"/>
      <c r="J12" s="27">
        <v>0</v>
      </c>
      <c r="K12" s="28"/>
      <c r="L12" s="29"/>
      <c r="M12" s="28"/>
      <c r="N12" s="30"/>
      <c r="O12" s="28"/>
      <c r="P12" s="29"/>
      <c r="Q12" s="27"/>
      <c r="R12" s="211"/>
      <c r="S12" s="28"/>
      <c r="T12" s="30"/>
      <c r="U12" s="30"/>
      <c r="V12" s="29"/>
      <c r="W12" s="28">
        <v>0</v>
      </c>
      <c r="X12" s="28"/>
      <c r="Y12" s="30"/>
      <c r="Z12" s="30"/>
      <c r="AA12" s="29"/>
      <c r="AB12" s="27">
        <v>0</v>
      </c>
      <c r="AC12" s="28"/>
      <c r="AD12" s="28"/>
      <c r="AE12" s="30"/>
      <c r="AF12" s="30"/>
      <c r="AG12" s="29"/>
      <c r="AH12" s="28">
        <v>0</v>
      </c>
      <c r="AI12" s="28"/>
      <c r="AJ12" s="30"/>
      <c r="AK12" s="30"/>
      <c r="AL12" s="29"/>
      <c r="AM12" s="27">
        <v>0</v>
      </c>
      <c r="AN12" s="28"/>
      <c r="AO12" s="30"/>
      <c r="AP12" s="30"/>
      <c r="AQ12" s="30"/>
      <c r="AR12" s="30"/>
      <c r="AS12" s="28"/>
      <c r="AT12" s="30"/>
      <c r="AU12" s="30"/>
      <c r="AV12" s="30"/>
      <c r="AW12" s="29"/>
      <c r="AX12" s="28">
        <v>0</v>
      </c>
      <c r="AY12" s="28"/>
      <c r="AZ12" s="30"/>
      <c r="BA12" s="30"/>
      <c r="BB12" s="29"/>
      <c r="BC12" s="27">
        <v>0</v>
      </c>
      <c r="BD12" s="28"/>
      <c r="BE12" s="30"/>
      <c r="BF12" s="30"/>
      <c r="BG12" s="30"/>
      <c r="BH12" s="30"/>
      <c r="BI12" s="28"/>
      <c r="BJ12" s="30"/>
      <c r="BK12" s="29"/>
      <c r="BL12" s="28"/>
      <c r="BM12" s="30"/>
      <c r="BN12" s="29"/>
      <c r="BO12" s="28"/>
      <c r="BP12" s="27"/>
      <c r="BQ12" s="30"/>
      <c r="BR12" s="28"/>
      <c r="BS12" s="30"/>
      <c r="BT12" s="30"/>
      <c r="BU12" s="29"/>
      <c r="BV12" s="28">
        <v>0</v>
      </c>
      <c r="BW12" s="211"/>
      <c r="BX12" s="77"/>
      <c r="BY12" s="77"/>
      <c r="BZ12" s="45"/>
      <c r="CA12" s="211"/>
      <c r="CB12" s="77"/>
      <c r="CC12" s="77"/>
      <c r="CD12" s="77"/>
      <c r="CE12" s="211"/>
      <c r="CF12" s="77"/>
      <c r="CG12" s="77"/>
      <c r="CH12" s="45"/>
      <c r="CI12" s="211"/>
      <c r="CJ12" s="77"/>
      <c r="CK12" s="77"/>
      <c r="CL12" s="211"/>
      <c r="CM12" s="77"/>
      <c r="CN12" s="77"/>
      <c r="CO12" s="77"/>
      <c r="CP12" s="45"/>
      <c r="CQ12" s="211"/>
      <c r="CR12" s="45"/>
      <c r="CS12" s="3"/>
      <c r="CT12" s="3"/>
    </row>
    <row r="13" spans="1:98">
      <c r="A13" s="87" t="s">
        <v>323</v>
      </c>
      <c r="B13" s="7" t="s">
        <v>220</v>
      </c>
      <c r="C13" s="9"/>
      <c r="D13" s="11" t="s">
        <v>189</v>
      </c>
      <c r="E13" s="9"/>
      <c r="F13" s="9">
        <v>20</v>
      </c>
      <c r="G13" s="11">
        <v>1</v>
      </c>
      <c r="H13" s="8">
        <v>0</v>
      </c>
      <c r="I13" s="8">
        <v>1</v>
      </c>
      <c r="J13" s="9">
        <v>101</v>
      </c>
      <c r="K13" s="11">
        <v>68</v>
      </c>
      <c r="L13" s="41">
        <v>516</v>
      </c>
      <c r="M13" s="11">
        <v>79</v>
      </c>
      <c r="N13" s="8">
        <v>735</v>
      </c>
      <c r="O13" s="11">
        <v>0</v>
      </c>
      <c r="P13" s="41">
        <v>0</v>
      </c>
      <c r="Q13" s="9">
        <v>1750</v>
      </c>
      <c r="R13" s="208">
        <v>2.2407170294494239</v>
      </c>
      <c r="S13" s="11">
        <v>1</v>
      </c>
      <c r="T13" s="8">
        <v>1</v>
      </c>
      <c r="U13" s="8">
        <v>0</v>
      </c>
      <c r="V13" s="41">
        <v>0</v>
      </c>
      <c r="W13" s="11">
        <v>1100</v>
      </c>
      <c r="X13" s="11">
        <v>1</v>
      </c>
      <c r="Y13" s="8">
        <v>20</v>
      </c>
      <c r="Z13" s="8">
        <v>0</v>
      </c>
      <c r="AA13" s="41">
        <v>0</v>
      </c>
      <c r="AB13" s="9">
        <v>3000</v>
      </c>
      <c r="AC13" s="11">
        <v>0</v>
      </c>
      <c r="AD13" s="11">
        <v>0</v>
      </c>
      <c r="AE13" s="8">
        <v>1</v>
      </c>
      <c r="AF13" s="8">
        <v>1</v>
      </c>
      <c r="AG13" s="41">
        <v>0</v>
      </c>
      <c r="AH13" s="11">
        <v>110</v>
      </c>
      <c r="AI13" s="11">
        <v>0</v>
      </c>
      <c r="AJ13" s="8">
        <v>0</v>
      </c>
      <c r="AK13" s="8">
        <v>0</v>
      </c>
      <c r="AL13" s="41">
        <v>0</v>
      </c>
      <c r="AM13" s="9">
        <v>0</v>
      </c>
      <c r="AN13" s="11">
        <v>0</v>
      </c>
      <c r="AO13" s="8">
        <v>0</v>
      </c>
      <c r="AP13" s="8">
        <v>0</v>
      </c>
      <c r="AQ13" s="8">
        <v>0</v>
      </c>
      <c r="AR13" s="8">
        <v>0</v>
      </c>
      <c r="AS13" s="11">
        <v>1</v>
      </c>
      <c r="AT13" s="8">
        <v>0</v>
      </c>
      <c r="AU13" s="8">
        <v>0</v>
      </c>
      <c r="AV13" s="8">
        <v>1</v>
      </c>
      <c r="AW13" s="41">
        <v>0</v>
      </c>
      <c r="AX13" s="11">
        <v>2</v>
      </c>
      <c r="AY13" s="11">
        <v>0</v>
      </c>
      <c r="AZ13" s="8">
        <v>0</v>
      </c>
      <c r="BA13" s="8">
        <v>0</v>
      </c>
      <c r="BB13" s="41">
        <v>1</v>
      </c>
      <c r="BC13" s="9">
        <v>1</v>
      </c>
      <c r="BD13" s="11">
        <v>0</v>
      </c>
      <c r="BE13" s="8">
        <v>0</v>
      </c>
      <c r="BF13" s="8">
        <v>0</v>
      </c>
      <c r="BG13" s="8">
        <v>0</v>
      </c>
      <c r="BH13" s="8">
        <v>0</v>
      </c>
      <c r="BI13" s="11">
        <v>0</v>
      </c>
      <c r="BJ13" s="8">
        <v>1</v>
      </c>
      <c r="BK13" s="41">
        <v>0</v>
      </c>
      <c r="BL13" s="11">
        <v>0</v>
      </c>
      <c r="BM13" s="8">
        <v>0</v>
      </c>
      <c r="BN13" s="41">
        <v>0</v>
      </c>
      <c r="BO13" s="11">
        <v>1</v>
      </c>
      <c r="BP13" s="9">
        <v>90</v>
      </c>
      <c r="BQ13" s="8">
        <v>1</v>
      </c>
      <c r="BR13" s="11"/>
      <c r="BS13" s="8"/>
      <c r="BT13" s="8"/>
      <c r="BU13" s="41"/>
      <c r="BV13" s="11">
        <v>0</v>
      </c>
      <c r="BW13" s="208"/>
      <c r="BX13" s="54"/>
      <c r="BY13" s="54"/>
      <c r="BZ13" s="10"/>
      <c r="CA13" s="208"/>
      <c r="CB13" s="54"/>
      <c r="CC13" s="54"/>
      <c r="CD13" s="54"/>
      <c r="CE13" s="208"/>
      <c r="CF13" s="54"/>
      <c r="CG13" s="54"/>
      <c r="CH13" s="10"/>
      <c r="CI13" s="208"/>
      <c r="CJ13" s="54"/>
      <c r="CK13" s="54"/>
      <c r="CL13" s="208"/>
      <c r="CM13" s="54"/>
      <c r="CN13" s="54"/>
      <c r="CO13" s="54"/>
      <c r="CP13" s="10"/>
      <c r="CQ13" s="208"/>
      <c r="CR13" s="10"/>
      <c r="CS13" s="3"/>
      <c r="CT13" s="3"/>
    </row>
    <row r="14" spans="1:98">
      <c r="A14" s="42" t="s">
        <v>323</v>
      </c>
      <c r="B14" s="173" t="s">
        <v>220</v>
      </c>
      <c r="C14" s="12"/>
      <c r="D14" s="14" t="s">
        <v>194</v>
      </c>
      <c r="E14" s="12"/>
      <c r="F14" s="12">
        <v>7</v>
      </c>
      <c r="G14" s="14">
        <v>1</v>
      </c>
      <c r="H14" s="163">
        <v>0</v>
      </c>
      <c r="I14" s="163">
        <v>1</v>
      </c>
      <c r="J14" s="12">
        <v>101</v>
      </c>
      <c r="K14" s="14">
        <v>275</v>
      </c>
      <c r="L14" s="26">
        <v>1214</v>
      </c>
      <c r="M14" s="14">
        <v>142</v>
      </c>
      <c r="N14" s="163">
        <v>397</v>
      </c>
      <c r="O14" s="14">
        <v>0</v>
      </c>
      <c r="P14" s="26">
        <v>0</v>
      </c>
      <c r="Q14" s="12">
        <v>1214</v>
      </c>
      <c r="R14" s="209">
        <v>2.1795332136445245</v>
      </c>
      <c r="S14" s="14">
        <v>1</v>
      </c>
      <c r="T14" s="163">
        <v>1</v>
      </c>
      <c r="U14" s="163">
        <v>0</v>
      </c>
      <c r="V14" s="26">
        <v>0</v>
      </c>
      <c r="W14" s="14">
        <v>1100</v>
      </c>
      <c r="X14" s="14">
        <v>0</v>
      </c>
      <c r="Y14" s="163">
        <v>1</v>
      </c>
      <c r="Z14" s="163">
        <v>0</v>
      </c>
      <c r="AA14" s="26">
        <v>0</v>
      </c>
      <c r="AB14" s="12">
        <v>100</v>
      </c>
      <c r="AC14" s="14">
        <v>1</v>
      </c>
      <c r="AD14" s="14">
        <v>0</v>
      </c>
      <c r="AE14" s="163">
        <v>1</v>
      </c>
      <c r="AF14" s="163">
        <v>0</v>
      </c>
      <c r="AG14" s="26">
        <v>0</v>
      </c>
      <c r="AH14" s="14">
        <v>100</v>
      </c>
      <c r="AI14" s="14">
        <v>0</v>
      </c>
      <c r="AJ14" s="163">
        <v>0</v>
      </c>
      <c r="AK14" s="163">
        <v>0</v>
      </c>
      <c r="AL14" s="26">
        <v>0</v>
      </c>
      <c r="AM14" s="12">
        <v>0</v>
      </c>
      <c r="AN14" s="14">
        <v>0</v>
      </c>
      <c r="AO14" s="163">
        <v>0</v>
      </c>
      <c r="AP14" s="163">
        <v>0</v>
      </c>
      <c r="AQ14" s="163">
        <v>0</v>
      </c>
      <c r="AR14" s="163">
        <v>0</v>
      </c>
      <c r="AS14" s="14">
        <v>1</v>
      </c>
      <c r="AT14" s="163">
        <v>0</v>
      </c>
      <c r="AU14" s="163">
        <v>0</v>
      </c>
      <c r="AV14" s="163">
        <v>0</v>
      </c>
      <c r="AW14" s="26">
        <v>0</v>
      </c>
      <c r="AX14" s="14">
        <v>1</v>
      </c>
      <c r="AY14" s="14">
        <v>1</v>
      </c>
      <c r="AZ14" s="163">
        <v>0</v>
      </c>
      <c r="BA14" s="163">
        <v>0</v>
      </c>
      <c r="BB14" s="26">
        <v>0</v>
      </c>
      <c r="BC14" s="12">
        <v>1</v>
      </c>
      <c r="BD14" s="23">
        <v>0</v>
      </c>
      <c r="BE14" s="24">
        <v>0</v>
      </c>
      <c r="BF14" s="24">
        <v>0</v>
      </c>
      <c r="BG14" s="24">
        <v>0</v>
      </c>
      <c r="BH14" s="24">
        <v>0</v>
      </c>
      <c r="BI14" s="14">
        <v>1</v>
      </c>
      <c r="BJ14" s="163">
        <v>1</v>
      </c>
      <c r="BK14" s="26">
        <v>0</v>
      </c>
      <c r="BL14" s="14">
        <v>0</v>
      </c>
      <c r="BM14" s="163">
        <v>0</v>
      </c>
      <c r="BN14" s="26">
        <v>0</v>
      </c>
      <c r="BO14" s="14">
        <v>1</v>
      </c>
      <c r="BP14" s="12">
        <v>66</v>
      </c>
      <c r="BQ14" s="163">
        <v>2</v>
      </c>
      <c r="BR14" s="14"/>
      <c r="BU14" s="26"/>
      <c r="BV14" s="14">
        <v>0</v>
      </c>
      <c r="BW14" s="209"/>
      <c r="BX14" s="3"/>
      <c r="BY14" s="3"/>
      <c r="BZ14" s="40"/>
      <c r="CA14" s="209"/>
      <c r="CB14" s="3"/>
      <c r="CC14" s="3"/>
      <c r="CD14" s="3"/>
      <c r="CE14" s="209"/>
      <c r="CF14" s="3"/>
      <c r="CG14" s="3"/>
      <c r="CH14" s="40"/>
      <c r="CI14" s="209"/>
      <c r="CJ14" s="3"/>
      <c r="CK14" s="3"/>
      <c r="CL14" s="209"/>
      <c r="CM14" s="3"/>
      <c r="CN14" s="3"/>
      <c r="CO14" s="3"/>
      <c r="CP14" s="40"/>
      <c r="CQ14" s="209"/>
      <c r="CR14" s="40"/>
      <c r="CS14" s="3"/>
      <c r="CT14" s="3"/>
    </row>
    <row r="15" spans="1:98">
      <c r="A15" s="42" t="s">
        <v>323</v>
      </c>
      <c r="B15" s="173" t="s">
        <v>220</v>
      </c>
      <c r="C15" s="12"/>
      <c r="D15" s="14" t="s">
        <v>393</v>
      </c>
      <c r="E15" s="12"/>
      <c r="F15" s="12">
        <v>4</v>
      </c>
      <c r="G15" s="14">
        <v>0</v>
      </c>
      <c r="H15" s="163">
        <v>0</v>
      </c>
      <c r="I15" s="163">
        <v>1</v>
      </c>
      <c r="J15" s="12">
        <v>1</v>
      </c>
      <c r="K15" s="14">
        <v>174</v>
      </c>
      <c r="L15" s="26">
        <v>490</v>
      </c>
      <c r="M15" s="14">
        <v>133</v>
      </c>
      <c r="N15" s="163">
        <v>297</v>
      </c>
      <c r="O15" s="14">
        <v>0</v>
      </c>
      <c r="P15" s="26">
        <v>0</v>
      </c>
      <c r="Q15" s="12">
        <v>786</v>
      </c>
      <c r="R15" s="209">
        <v>2.68259385665529</v>
      </c>
      <c r="S15" s="14">
        <v>1</v>
      </c>
      <c r="T15" s="163">
        <v>1</v>
      </c>
      <c r="U15" s="163">
        <v>0</v>
      </c>
      <c r="V15" s="26">
        <v>0</v>
      </c>
      <c r="W15" s="14">
        <v>1100</v>
      </c>
      <c r="X15" s="14">
        <v>1</v>
      </c>
      <c r="Y15" s="163">
        <v>0</v>
      </c>
      <c r="Z15" s="163">
        <v>0</v>
      </c>
      <c r="AA15" s="26">
        <v>0</v>
      </c>
      <c r="AB15" s="12">
        <v>1000</v>
      </c>
      <c r="AC15" s="14">
        <v>0</v>
      </c>
      <c r="AD15" s="14">
        <v>0</v>
      </c>
      <c r="AE15" s="163">
        <v>1</v>
      </c>
      <c r="AF15" s="163">
        <v>0</v>
      </c>
      <c r="AG15" s="26">
        <v>0</v>
      </c>
      <c r="AH15" s="14">
        <v>100</v>
      </c>
      <c r="AI15" s="14">
        <v>0</v>
      </c>
      <c r="AJ15" s="163">
        <v>0</v>
      </c>
      <c r="AK15" s="163">
        <v>0</v>
      </c>
      <c r="AL15" s="26">
        <v>0</v>
      </c>
      <c r="AM15" s="12">
        <v>0</v>
      </c>
      <c r="AN15" s="14">
        <v>0</v>
      </c>
      <c r="AO15" s="163">
        <v>0</v>
      </c>
      <c r="AP15" s="163">
        <v>0</v>
      </c>
      <c r="AQ15" s="163">
        <v>0</v>
      </c>
      <c r="AR15" s="163">
        <v>0</v>
      </c>
      <c r="AS15" s="14">
        <v>1</v>
      </c>
      <c r="AT15" s="163">
        <v>0</v>
      </c>
      <c r="AU15" s="163">
        <v>0</v>
      </c>
      <c r="AV15" s="163">
        <v>0</v>
      </c>
      <c r="AW15" s="26">
        <v>0</v>
      </c>
      <c r="AX15" s="14">
        <v>1</v>
      </c>
      <c r="AY15" s="14">
        <v>1</v>
      </c>
      <c r="AZ15" s="163">
        <v>0</v>
      </c>
      <c r="BA15" s="163">
        <v>0</v>
      </c>
      <c r="BB15" s="26">
        <v>0</v>
      </c>
      <c r="BC15" s="12">
        <v>1</v>
      </c>
      <c r="BD15" s="23">
        <v>0</v>
      </c>
      <c r="BE15" s="24">
        <v>0</v>
      </c>
      <c r="BF15" s="24">
        <v>0</v>
      </c>
      <c r="BG15" s="24">
        <v>0</v>
      </c>
      <c r="BH15" s="24">
        <v>0</v>
      </c>
      <c r="BI15" s="14">
        <v>1</v>
      </c>
      <c r="BJ15" s="163">
        <v>1</v>
      </c>
      <c r="BK15" s="26">
        <v>0</v>
      </c>
      <c r="BL15" s="14">
        <v>0</v>
      </c>
      <c r="BM15" s="163">
        <v>0</v>
      </c>
      <c r="BN15" s="26">
        <v>0</v>
      </c>
      <c r="BO15" s="14">
        <v>0</v>
      </c>
      <c r="BP15" s="12">
        <v>84</v>
      </c>
      <c r="BQ15" s="163">
        <v>2</v>
      </c>
      <c r="BR15" s="14"/>
      <c r="BU15" s="26"/>
      <c r="BV15" s="14">
        <v>0</v>
      </c>
      <c r="BW15" s="209"/>
      <c r="BX15" s="3"/>
      <c r="BY15" s="3"/>
      <c r="BZ15" s="40"/>
      <c r="CA15" s="209"/>
      <c r="CB15" s="3"/>
      <c r="CC15" s="3"/>
      <c r="CD15" s="3"/>
      <c r="CE15" s="209"/>
      <c r="CF15" s="3"/>
      <c r="CG15" s="3"/>
      <c r="CH15" s="40"/>
      <c r="CI15" s="209"/>
      <c r="CJ15" s="3"/>
      <c r="CK15" s="3"/>
      <c r="CL15" s="209"/>
      <c r="CM15" s="3"/>
      <c r="CN15" s="3"/>
      <c r="CO15" s="3"/>
      <c r="CP15" s="40"/>
      <c r="CQ15" s="209"/>
      <c r="CR15" s="40"/>
      <c r="CS15" s="3"/>
      <c r="CT15" s="3"/>
    </row>
    <row r="16" spans="1:98">
      <c r="A16" s="42" t="s">
        <v>323</v>
      </c>
      <c r="B16" s="173" t="s">
        <v>220</v>
      </c>
      <c r="C16" s="12"/>
      <c r="D16" s="14" t="s">
        <v>131</v>
      </c>
      <c r="E16" s="12"/>
      <c r="F16" s="12">
        <v>8</v>
      </c>
      <c r="G16" s="14">
        <v>0</v>
      </c>
      <c r="H16" s="163">
        <v>1</v>
      </c>
      <c r="I16" s="163">
        <v>1</v>
      </c>
      <c r="J16" s="12">
        <v>11</v>
      </c>
      <c r="K16" s="14">
        <v>0</v>
      </c>
      <c r="L16" s="26">
        <v>988</v>
      </c>
      <c r="M16" s="14">
        <v>52</v>
      </c>
      <c r="N16" s="163">
        <v>307</v>
      </c>
      <c r="O16" s="14">
        <v>0</v>
      </c>
      <c r="P16" s="26">
        <v>0</v>
      </c>
      <c r="Q16" s="12">
        <v>1075</v>
      </c>
      <c r="R16" s="209">
        <v>1.8067226890756303</v>
      </c>
      <c r="S16" s="14">
        <v>1</v>
      </c>
      <c r="T16" s="163">
        <v>1</v>
      </c>
      <c r="U16" s="163">
        <v>0</v>
      </c>
      <c r="V16" s="26">
        <v>0</v>
      </c>
      <c r="W16" s="14">
        <v>1100</v>
      </c>
      <c r="X16" s="14">
        <v>0</v>
      </c>
      <c r="Y16" s="163">
        <v>1</v>
      </c>
      <c r="Z16" s="163">
        <v>0</v>
      </c>
      <c r="AA16" s="26">
        <v>0</v>
      </c>
      <c r="AB16" s="12">
        <v>100</v>
      </c>
      <c r="AC16" s="14">
        <v>1</v>
      </c>
      <c r="AD16" s="14">
        <v>0</v>
      </c>
      <c r="AE16" s="163">
        <v>1</v>
      </c>
      <c r="AF16" s="163">
        <v>0</v>
      </c>
      <c r="AG16" s="26">
        <v>0</v>
      </c>
      <c r="AH16" s="14">
        <v>100</v>
      </c>
      <c r="AI16" s="14">
        <v>0</v>
      </c>
      <c r="AJ16" s="163">
        <v>0</v>
      </c>
      <c r="AK16" s="163">
        <v>0</v>
      </c>
      <c r="AL16" s="26">
        <v>0</v>
      </c>
      <c r="AM16" s="12">
        <v>0</v>
      </c>
      <c r="AN16" s="14">
        <v>0</v>
      </c>
      <c r="AO16" s="163">
        <v>0</v>
      </c>
      <c r="AP16" s="163">
        <v>0</v>
      </c>
      <c r="AQ16" s="163">
        <v>0</v>
      </c>
      <c r="AR16" s="163">
        <v>0</v>
      </c>
      <c r="AS16" s="14">
        <v>0</v>
      </c>
      <c r="AT16" s="163">
        <v>1</v>
      </c>
      <c r="AU16" s="163">
        <v>0</v>
      </c>
      <c r="AV16" s="163">
        <v>0</v>
      </c>
      <c r="AW16" s="26">
        <v>0</v>
      </c>
      <c r="AX16" s="14">
        <v>1</v>
      </c>
      <c r="AY16" s="14">
        <v>1</v>
      </c>
      <c r="AZ16" s="163">
        <v>0</v>
      </c>
      <c r="BA16" s="163">
        <v>0</v>
      </c>
      <c r="BB16" s="26">
        <v>1</v>
      </c>
      <c r="BC16" s="12">
        <v>2</v>
      </c>
      <c r="BD16" s="23">
        <v>0</v>
      </c>
      <c r="BE16" s="24">
        <v>0</v>
      </c>
      <c r="BF16" s="24">
        <v>0</v>
      </c>
      <c r="BG16" s="24">
        <v>0</v>
      </c>
      <c r="BH16" s="24">
        <v>0</v>
      </c>
      <c r="BI16" s="14">
        <v>1</v>
      </c>
      <c r="BJ16" s="163">
        <v>1</v>
      </c>
      <c r="BK16" s="26">
        <v>0</v>
      </c>
      <c r="BL16" s="14">
        <v>0</v>
      </c>
      <c r="BM16" s="163">
        <v>0</v>
      </c>
      <c r="BN16" s="26">
        <v>0</v>
      </c>
      <c r="BO16" s="14">
        <v>1</v>
      </c>
      <c r="BP16" s="12">
        <v>96</v>
      </c>
      <c r="BQ16" s="163">
        <v>2</v>
      </c>
      <c r="BR16" s="14"/>
      <c r="BU16" s="26"/>
      <c r="BV16" s="14">
        <v>0</v>
      </c>
      <c r="BW16" s="209"/>
      <c r="BX16" s="3"/>
      <c r="BY16" s="3"/>
      <c r="BZ16" s="40"/>
      <c r="CA16" s="209"/>
      <c r="CB16" s="3"/>
      <c r="CC16" s="3"/>
      <c r="CD16" s="3"/>
      <c r="CE16" s="209"/>
      <c r="CF16" s="3"/>
      <c r="CG16" s="3"/>
      <c r="CH16" s="40"/>
      <c r="CI16" s="209"/>
      <c r="CJ16" s="3"/>
      <c r="CK16" s="3"/>
      <c r="CL16" s="209"/>
      <c r="CM16" s="3"/>
      <c r="CN16" s="3"/>
      <c r="CO16" s="3"/>
      <c r="CP16" s="40"/>
      <c r="CQ16" s="209"/>
      <c r="CR16" s="40"/>
      <c r="CS16" s="3"/>
      <c r="CT16" s="3"/>
    </row>
    <row r="17" spans="1:98">
      <c r="A17" s="42" t="s">
        <v>323</v>
      </c>
      <c r="B17" s="173" t="s">
        <v>220</v>
      </c>
      <c r="C17" s="12"/>
      <c r="D17" s="14" t="s">
        <v>201</v>
      </c>
      <c r="E17" s="12"/>
      <c r="F17" s="12">
        <v>3</v>
      </c>
      <c r="G17" s="14">
        <v>0</v>
      </c>
      <c r="H17" s="163">
        <v>0</v>
      </c>
      <c r="I17" s="163">
        <v>1</v>
      </c>
      <c r="J17" s="12">
        <v>1</v>
      </c>
      <c r="K17" s="14">
        <v>0</v>
      </c>
      <c r="L17" s="26">
        <v>641</v>
      </c>
      <c r="M17" s="14">
        <v>500</v>
      </c>
      <c r="N17" s="163">
        <v>669</v>
      </c>
      <c r="O17" s="14">
        <v>0</v>
      </c>
      <c r="P17" s="26">
        <v>0</v>
      </c>
      <c r="Q17" s="12">
        <v>1081</v>
      </c>
      <c r="R17" s="209">
        <v>1.3683544303797468</v>
      </c>
      <c r="S17" s="14">
        <v>1</v>
      </c>
      <c r="T17" s="163">
        <v>1</v>
      </c>
      <c r="U17" s="163">
        <v>0</v>
      </c>
      <c r="V17" s="26">
        <v>0</v>
      </c>
      <c r="W17" s="14">
        <v>1100</v>
      </c>
      <c r="X17" s="14">
        <v>0</v>
      </c>
      <c r="Y17" s="163">
        <v>0</v>
      </c>
      <c r="Z17" s="163">
        <v>0</v>
      </c>
      <c r="AA17" s="26">
        <v>1</v>
      </c>
      <c r="AB17" s="12">
        <v>1</v>
      </c>
      <c r="AC17" s="14">
        <v>1</v>
      </c>
      <c r="AD17" s="14">
        <v>0</v>
      </c>
      <c r="AE17" s="163">
        <v>1</v>
      </c>
      <c r="AF17" s="163">
        <v>0</v>
      </c>
      <c r="AG17" s="26">
        <v>0</v>
      </c>
      <c r="AH17" s="14">
        <v>100</v>
      </c>
      <c r="AI17" s="14">
        <v>0</v>
      </c>
      <c r="AJ17" s="163">
        <v>0</v>
      </c>
      <c r="AK17" s="163">
        <v>0</v>
      </c>
      <c r="AL17" s="26">
        <v>0</v>
      </c>
      <c r="AM17" s="12">
        <v>0</v>
      </c>
      <c r="AN17" s="14">
        <v>0</v>
      </c>
      <c r="AO17" s="163">
        <v>0</v>
      </c>
      <c r="AP17" s="163">
        <v>0</v>
      </c>
      <c r="AQ17" s="163">
        <v>0</v>
      </c>
      <c r="AR17" s="163">
        <v>0</v>
      </c>
      <c r="AS17" s="14">
        <v>1</v>
      </c>
      <c r="AT17" s="163">
        <v>1</v>
      </c>
      <c r="AU17" s="163">
        <v>0</v>
      </c>
      <c r="AV17" s="163">
        <v>0</v>
      </c>
      <c r="AW17" s="26">
        <v>0</v>
      </c>
      <c r="AX17" s="14">
        <v>2</v>
      </c>
      <c r="AY17" s="14">
        <v>1</v>
      </c>
      <c r="AZ17" s="163">
        <v>1</v>
      </c>
      <c r="BA17" s="163">
        <v>0</v>
      </c>
      <c r="BB17" s="26">
        <v>0</v>
      </c>
      <c r="BC17" s="12">
        <v>2</v>
      </c>
      <c r="BD17" s="23">
        <v>0</v>
      </c>
      <c r="BE17" s="24">
        <v>0</v>
      </c>
      <c r="BF17" s="24">
        <v>0</v>
      </c>
      <c r="BG17" s="24">
        <v>0</v>
      </c>
      <c r="BH17" s="24">
        <v>0</v>
      </c>
      <c r="BI17" s="14">
        <v>1</v>
      </c>
      <c r="BJ17" s="163">
        <v>1</v>
      </c>
      <c r="BK17" s="26">
        <v>0</v>
      </c>
      <c r="BL17" s="14">
        <v>0</v>
      </c>
      <c r="BM17" s="163">
        <v>0</v>
      </c>
      <c r="BN17" s="26">
        <v>0</v>
      </c>
      <c r="BO17" s="14">
        <v>0</v>
      </c>
      <c r="BP17" s="12">
        <v>107</v>
      </c>
      <c r="BQ17" s="163">
        <v>2</v>
      </c>
      <c r="BR17" s="14"/>
      <c r="BU17" s="26"/>
      <c r="BV17" s="14">
        <v>0</v>
      </c>
      <c r="BW17" s="209"/>
      <c r="BX17" s="3"/>
      <c r="BY17" s="3"/>
      <c r="BZ17" s="40"/>
      <c r="CA17" s="209"/>
      <c r="CB17" s="3"/>
      <c r="CC17" s="3"/>
      <c r="CD17" s="3"/>
      <c r="CE17" s="209"/>
      <c r="CF17" s="3"/>
      <c r="CG17" s="3"/>
      <c r="CH17" s="40"/>
      <c r="CI17" s="209"/>
      <c r="CJ17" s="3"/>
      <c r="CK17" s="3"/>
      <c r="CL17" s="209"/>
      <c r="CM17" s="3"/>
      <c r="CN17" s="3"/>
      <c r="CO17" s="3"/>
      <c r="CP17" s="40"/>
      <c r="CQ17" s="209"/>
      <c r="CR17" s="40"/>
      <c r="CS17" s="3"/>
      <c r="CT17" s="3"/>
    </row>
    <row r="18" spans="1:98">
      <c r="A18" s="42" t="s">
        <v>323</v>
      </c>
      <c r="B18" s="173" t="s">
        <v>220</v>
      </c>
      <c r="C18" s="12"/>
      <c r="D18" s="14" t="s">
        <v>394</v>
      </c>
      <c r="E18" s="12"/>
      <c r="F18" s="12">
        <v>8</v>
      </c>
      <c r="G18" s="14">
        <v>1</v>
      </c>
      <c r="H18" s="163">
        <v>0</v>
      </c>
      <c r="I18" s="163">
        <v>1</v>
      </c>
      <c r="J18" s="12">
        <v>101</v>
      </c>
      <c r="K18" s="14">
        <v>267</v>
      </c>
      <c r="L18" s="26">
        <v>418</v>
      </c>
      <c r="M18" s="14">
        <v>50</v>
      </c>
      <c r="N18" s="163">
        <v>196</v>
      </c>
      <c r="O18" s="14">
        <v>0</v>
      </c>
      <c r="P18" s="26">
        <v>0</v>
      </c>
      <c r="Q18" s="12">
        <v>558</v>
      </c>
      <c r="R18" s="209">
        <v>1.3222748815165877</v>
      </c>
      <c r="S18" s="14">
        <v>1</v>
      </c>
      <c r="T18" s="163">
        <v>1</v>
      </c>
      <c r="U18" s="163">
        <v>0</v>
      </c>
      <c r="V18" s="26">
        <v>0</v>
      </c>
      <c r="W18" s="14">
        <v>1100</v>
      </c>
      <c r="X18" s="14">
        <v>1</v>
      </c>
      <c r="Y18" s="163">
        <v>1</v>
      </c>
      <c r="Z18" s="163">
        <v>0</v>
      </c>
      <c r="AA18" s="26">
        <v>0</v>
      </c>
      <c r="AB18" s="12">
        <v>1100</v>
      </c>
      <c r="AC18" s="14">
        <v>0</v>
      </c>
      <c r="AD18" s="14">
        <v>0</v>
      </c>
      <c r="AE18" s="163">
        <v>1</v>
      </c>
      <c r="AF18" s="163">
        <v>1</v>
      </c>
      <c r="AG18" s="26">
        <v>0</v>
      </c>
      <c r="AH18" s="14">
        <v>110</v>
      </c>
      <c r="AI18" s="14">
        <v>0</v>
      </c>
      <c r="AJ18" s="163">
        <v>0</v>
      </c>
      <c r="AK18" s="163">
        <v>0</v>
      </c>
      <c r="AL18" s="26">
        <v>0</v>
      </c>
      <c r="AM18" s="12">
        <v>0</v>
      </c>
      <c r="AN18" s="14">
        <v>0</v>
      </c>
      <c r="AO18" s="163">
        <v>0</v>
      </c>
      <c r="AP18" s="163">
        <v>0</v>
      </c>
      <c r="AQ18" s="163">
        <v>0</v>
      </c>
      <c r="AR18" s="163">
        <v>0</v>
      </c>
      <c r="AS18" s="14">
        <v>0</v>
      </c>
      <c r="AT18" s="163">
        <v>0</v>
      </c>
      <c r="AU18" s="163">
        <v>1</v>
      </c>
      <c r="AV18" s="163">
        <v>0</v>
      </c>
      <c r="AW18" s="26">
        <v>0</v>
      </c>
      <c r="AX18" s="14">
        <v>1</v>
      </c>
      <c r="AY18" s="14">
        <v>0</v>
      </c>
      <c r="AZ18" s="163">
        <v>0</v>
      </c>
      <c r="BA18" s="163">
        <v>0</v>
      </c>
      <c r="BB18" s="26">
        <v>1</v>
      </c>
      <c r="BC18" s="12">
        <v>1</v>
      </c>
      <c r="BD18" s="23">
        <v>0</v>
      </c>
      <c r="BE18" s="24">
        <v>0</v>
      </c>
      <c r="BF18" s="24">
        <v>0</v>
      </c>
      <c r="BG18" s="24">
        <v>0</v>
      </c>
      <c r="BH18" s="24">
        <v>0</v>
      </c>
      <c r="BI18" s="14">
        <v>1</v>
      </c>
      <c r="BJ18" s="163">
        <v>1</v>
      </c>
      <c r="BK18" s="26">
        <v>0</v>
      </c>
      <c r="BL18" s="14">
        <v>0</v>
      </c>
      <c r="BM18" s="163">
        <v>0</v>
      </c>
      <c r="BN18" s="26">
        <v>0</v>
      </c>
      <c r="BO18" s="14">
        <v>0</v>
      </c>
      <c r="BP18" s="12">
        <v>70</v>
      </c>
      <c r="BQ18" s="163">
        <v>1</v>
      </c>
      <c r="BR18" s="14"/>
      <c r="BU18" s="26"/>
      <c r="BV18" s="14">
        <v>0</v>
      </c>
      <c r="BW18" s="209"/>
      <c r="BX18" s="3"/>
      <c r="BY18" s="3"/>
      <c r="BZ18" s="40"/>
      <c r="CA18" s="209"/>
      <c r="CB18" s="3"/>
      <c r="CC18" s="3"/>
      <c r="CD18" s="3"/>
      <c r="CE18" s="209"/>
      <c r="CF18" s="3"/>
      <c r="CG18" s="3"/>
      <c r="CH18" s="40"/>
      <c r="CI18" s="209"/>
      <c r="CJ18" s="3"/>
      <c r="CK18" s="3"/>
      <c r="CL18" s="209"/>
      <c r="CM18" s="3"/>
      <c r="CN18" s="3"/>
      <c r="CO18" s="3"/>
      <c r="CP18" s="40"/>
      <c r="CQ18" s="209"/>
      <c r="CR18" s="40"/>
      <c r="CS18" s="3"/>
      <c r="CT18" s="3"/>
    </row>
    <row r="19" spans="1:98">
      <c r="A19" s="42" t="s">
        <v>323</v>
      </c>
      <c r="B19" s="173" t="s">
        <v>220</v>
      </c>
      <c r="C19" s="12"/>
      <c r="D19" s="14" t="s">
        <v>167</v>
      </c>
      <c r="E19" s="12"/>
      <c r="F19" s="12">
        <v>32</v>
      </c>
      <c r="G19" s="14">
        <v>1</v>
      </c>
      <c r="H19" s="163">
        <v>0</v>
      </c>
      <c r="I19" s="163">
        <v>1</v>
      </c>
      <c r="J19" s="12">
        <v>101</v>
      </c>
      <c r="K19" s="14">
        <v>61</v>
      </c>
      <c r="L19" s="26">
        <v>1054</v>
      </c>
      <c r="M19" s="14">
        <v>43</v>
      </c>
      <c r="N19" s="163">
        <v>444</v>
      </c>
      <c r="O19" s="14">
        <v>50</v>
      </c>
      <c r="P19" s="26">
        <v>319</v>
      </c>
      <c r="Q19" s="12">
        <v>2434</v>
      </c>
      <c r="R19" s="209">
        <v>1.4175888177053</v>
      </c>
      <c r="S19" s="14">
        <v>1</v>
      </c>
      <c r="T19" s="163">
        <v>1</v>
      </c>
      <c r="U19" s="163">
        <v>1</v>
      </c>
      <c r="V19" s="26">
        <v>0</v>
      </c>
      <c r="W19" s="14">
        <v>1110</v>
      </c>
      <c r="X19" s="14">
        <v>1</v>
      </c>
      <c r="Y19" s="163">
        <v>1</v>
      </c>
      <c r="Z19" s="163">
        <v>0</v>
      </c>
      <c r="AA19" s="26">
        <v>0</v>
      </c>
      <c r="AB19" s="12">
        <v>1100</v>
      </c>
      <c r="AC19" s="14">
        <v>1</v>
      </c>
      <c r="AD19" s="14">
        <v>0</v>
      </c>
      <c r="AE19" s="163">
        <v>1</v>
      </c>
      <c r="AF19" s="163">
        <v>1</v>
      </c>
      <c r="AG19" s="26">
        <v>0</v>
      </c>
      <c r="AH19" s="14">
        <v>110</v>
      </c>
      <c r="AI19" s="14">
        <v>0</v>
      </c>
      <c r="AJ19" s="163">
        <v>0</v>
      </c>
      <c r="AK19" s="163">
        <v>1</v>
      </c>
      <c r="AL19" s="26">
        <v>1</v>
      </c>
      <c r="AM19" s="12">
        <v>11</v>
      </c>
      <c r="AN19" s="14">
        <v>0</v>
      </c>
      <c r="AO19" s="163">
        <v>0</v>
      </c>
      <c r="AP19" s="163">
        <v>0</v>
      </c>
      <c r="AQ19" s="163">
        <v>0</v>
      </c>
      <c r="AR19" s="163">
        <v>0</v>
      </c>
      <c r="AS19" s="14">
        <v>0</v>
      </c>
      <c r="AT19" s="163">
        <v>1</v>
      </c>
      <c r="AU19" s="163">
        <v>0</v>
      </c>
      <c r="AV19" s="163">
        <v>0</v>
      </c>
      <c r="AW19" s="26">
        <v>0</v>
      </c>
      <c r="AX19" s="14">
        <v>1</v>
      </c>
      <c r="AY19" s="14">
        <v>0</v>
      </c>
      <c r="AZ19" s="163">
        <v>0</v>
      </c>
      <c r="BA19" s="163">
        <v>0</v>
      </c>
      <c r="BB19" s="26">
        <v>1</v>
      </c>
      <c r="BC19" s="12">
        <v>1</v>
      </c>
      <c r="BD19" s="14">
        <v>0</v>
      </c>
      <c r="BE19" s="163">
        <v>1</v>
      </c>
      <c r="BF19" s="163">
        <v>0</v>
      </c>
      <c r="BG19" s="163">
        <v>0</v>
      </c>
      <c r="BH19" s="163">
        <v>0</v>
      </c>
      <c r="BI19" s="14">
        <v>1</v>
      </c>
      <c r="BJ19" s="163">
        <v>1</v>
      </c>
      <c r="BK19" s="26">
        <v>0</v>
      </c>
      <c r="BL19" s="14">
        <v>0</v>
      </c>
      <c r="BM19" s="163">
        <v>0</v>
      </c>
      <c r="BN19" s="26">
        <v>0</v>
      </c>
      <c r="BO19" s="14">
        <v>1</v>
      </c>
      <c r="BP19" s="12">
        <v>99</v>
      </c>
      <c r="BQ19" s="163">
        <v>1</v>
      </c>
      <c r="BR19" s="14"/>
      <c r="BU19" s="26"/>
      <c r="BV19" s="14">
        <v>0</v>
      </c>
      <c r="BW19" s="209"/>
      <c r="BX19" s="3"/>
      <c r="BY19" s="3"/>
      <c r="BZ19" s="40"/>
      <c r="CA19" s="209"/>
      <c r="CB19" s="3"/>
      <c r="CC19" s="3"/>
      <c r="CD19" s="3"/>
      <c r="CE19" s="209"/>
      <c r="CF19" s="3"/>
      <c r="CG19" s="3"/>
      <c r="CH19" s="40"/>
      <c r="CI19" s="209"/>
      <c r="CJ19" s="3"/>
      <c r="CK19" s="3"/>
      <c r="CL19" s="209"/>
      <c r="CM19" s="3"/>
      <c r="CN19" s="3"/>
      <c r="CO19" s="3"/>
      <c r="CP19" s="40"/>
      <c r="CQ19" s="209"/>
      <c r="CR19" s="40"/>
      <c r="CS19" s="3"/>
      <c r="CT19" s="3"/>
    </row>
    <row r="20" spans="1:98">
      <c r="A20" s="42" t="s">
        <v>323</v>
      </c>
      <c r="B20" s="173" t="s">
        <v>220</v>
      </c>
      <c r="C20" s="12"/>
      <c r="D20" s="14" t="s">
        <v>388</v>
      </c>
      <c r="E20" s="12"/>
      <c r="F20" s="12">
        <v>7</v>
      </c>
      <c r="G20" s="14">
        <v>0</v>
      </c>
      <c r="H20" s="163">
        <v>0</v>
      </c>
      <c r="I20" s="163">
        <v>1</v>
      </c>
      <c r="J20" s="12">
        <v>1</v>
      </c>
      <c r="K20" s="14">
        <v>115</v>
      </c>
      <c r="L20" s="26">
        <v>482</v>
      </c>
      <c r="M20" s="14">
        <v>158</v>
      </c>
      <c r="N20" s="163">
        <v>275</v>
      </c>
      <c r="O20" s="14">
        <v>0</v>
      </c>
      <c r="P20" s="26">
        <v>0</v>
      </c>
      <c r="Q20" s="12">
        <v>870</v>
      </c>
      <c r="R20" s="209">
        <v>1.5480427046263345</v>
      </c>
      <c r="S20" s="14">
        <v>1</v>
      </c>
      <c r="T20" s="163">
        <v>1</v>
      </c>
      <c r="U20" s="163">
        <v>0</v>
      </c>
      <c r="V20" s="26">
        <v>0</v>
      </c>
      <c r="W20" s="14">
        <v>1100</v>
      </c>
      <c r="X20" s="14">
        <v>1</v>
      </c>
      <c r="Y20" s="163">
        <v>1</v>
      </c>
      <c r="Z20" s="163">
        <v>0</v>
      </c>
      <c r="AA20" s="26">
        <v>0</v>
      </c>
      <c r="AB20" s="12">
        <v>1100</v>
      </c>
      <c r="AC20" s="14">
        <v>0</v>
      </c>
      <c r="AD20" s="14">
        <v>0</v>
      </c>
      <c r="AE20" s="163">
        <v>1</v>
      </c>
      <c r="AF20" s="163">
        <v>0</v>
      </c>
      <c r="AG20" s="26">
        <v>0</v>
      </c>
      <c r="AH20" s="14">
        <v>100</v>
      </c>
      <c r="AI20" s="14">
        <v>0</v>
      </c>
      <c r="AJ20" s="163">
        <v>0</v>
      </c>
      <c r="AK20" s="163">
        <v>0</v>
      </c>
      <c r="AL20" s="26">
        <v>0</v>
      </c>
      <c r="AM20" s="12">
        <v>0</v>
      </c>
      <c r="AN20" s="14">
        <v>0</v>
      </c>
      <c r="AO20" s="163">
        <v>0</v>
      </c>
      <c r="AP20" s="163">
        <v>0</v>
      </c>
      <c r="AQ20" s="163">
        <v>0</v>
      </c>
      <c r="AR20" s="163">
        <v>0</v>
      </c>
      <c r="AS20" s="14">
        <v>1</v>
      </c>
      <c r="AT20" s="163">
        <v>0</v>
      </c>
      <c r="AU20" s="163">
        <v>0</v>
      </c>
      <c r="AV20" s="163">
        <v>0</v>
      </c>
      <c r="AW20" s="26">
        <v>0</v>
      </c>
      <c r="AX20" s="14">
        <v>1</v>
      </c>
      <c r="AY20" s="14">
        <v>1</v>
      </c>
      <c r="AZ20" s="163">
        <v>0</v>
      </c>
      <c r="BA20" s="163">
        <v>0</v>
      </c>
      <c r="BB20" s="26">
        <v>1</v>
      </c>
      <c r="BC20" s="12">
        <v>2</v>
      </c>
      <c r="BD20" s="14">
        <v>0</v>
      </c>
      <c r="BE20" s="163">
        <v>0</v>
      </c>
      <c r="BF20" s="163">
        <v>0</v>
      </c>
      <c r="BG20" s="163">
        <v>0</v>
      </c>
      <c r="BH20" s="163">
        <v>0</v>
      </c>
      <c r="BI20" s="14">
        <v>1</v>
      </c>
      <c r="BJ20" s="163">
        <v>1</v>
      </c>
      <c r="BK20" s="26">
        <v>0</v>
      </c>
      <c r="BL20" s="14">
        <v>0</v>
      </c>
      <c r="BM20" s="163">
        <v>0</v>
      </c>
      <c r="BN20" s="26">
        <v>0</v>
      </c>
      <c r="BO20" s="14">
        <v>1</v>
      </c>
      <c r="BP20" s="12">
        <v>98</v>
      </c>
      <c r="BQ20" s="163">
        <v>2</v>
      </c>
      <c r="BR20" s="14"/>
      <c r="BU20" s="26"/>
      <c r="BV20" s="14">
        <v>0</v>
      </c>
      <c r="BW20" s="209"/>
      <c r="BX20" s="3"/>
      <c r="BY20" s="3"/>
      <c r="BZ20" s="40"/>
      <c r="CA20" s="209"/>
      <c r="CB20" s="3"/>
      <c r="CC20" s="3"/>
      <c r="CD20" s="3"/>
      <c r="CE20" s="209"/>
      <c r="CF20" s="3"/>
      <c r="CG20" s="3"/>
      <c r="CH20" s="40"/>
      <c r="CI20" s="209"/>
      <c r="CJ20" s="3"/>
      <c r="CK20" s="3"/>
      <c r="CL20" s="209"/>
      <c r="CM20" s="3"/>
      <c r="CN20" s="3"/>
      <c r="CO20" s="3"/>
      <c r="CP20" s="40"/>
      <c r="CQ20" s="209"/>
      <c r="CR20" s="40"/>
      <c r="CS20" s="3"/>
      <c r="CT20" s="3"/>
    </row>
    <row r="21" spans="1:98">
      <c r="A21" s="42" t="s">
        <v>323</v>
      </c>
      <c r="B21" s="173" t="s">
        <v>220</v>
      </c>
      <c r="C21" s="12"/>
      <c r="D21" s="14" t="s">
        <v>174</v>
      </c>
      <c r="E21" s="12"/>
      <c r="F21" s="12">
        <v>10</v>
      </c>
      <c r="G21" s="14">
        <v>0</v>
      </c>
      <c r="H21" s="163">
        <v>0</v>
      </c>
      <c r="I21" s="163">
        <v>1</v>
      </c>
      <c r="J21" s="12">
        <v>1</v>
      </c>
      <c r="K21" s="14">
        <v>12</v>
      </c>
      <c r="L21" s="26">
        <v>366</v>
      </c>
      <c r="M21" s="14">
        <v>23</v>
      </c>
      <c r="N21" s="163">
        <v>333</v>
      </c>
      <c r="O21" s="14">
        <v>0</v>
      </c>
      <c r="P21" s="26">
        <v>0</v>
      </c>
      <c r="Q21" s="12">
        <v>823</v>
      </c>
      <c r="R21" s="209">
        <v>1.1304945054945055</v>
      </c>
      <c r="S21" s="14">
        <v>1</v>
      </c>
      <c r="T21" s="163">
        <v>1</v>
      </c>
      <c r="U21" s="163">
        <v>0</v>
      </c>
      <c r="V21" s="26">
        <v>0</v>
      </c>
      <c r="W21" s="14">
        <v>1100</v>
      </c>
      <c r="X21" s="14">
        <v>1</v>
      </c>
      <c r="Y21" s="163">
        <v>0</v>
      </c>
      <c r="Z21" s="163">
        <v>0</v>
      </c>
      <c r="AA21" s="26">
        <v>0</v>
      </c>
      <c r="AB21" s="12">
        <v>1000</v>
      </c>
      <c r="AC21" s="14">
        <v>0</v>
      </c>
      <c r="AD21" s="14">
        <v>1</v>
      </c>
      <c r="AE21" s="163">
        <v>1</v>
      </c>
      <c r="AF21" s="163">
        <v>0</v>
      </c>
      <c r="AG21" s="26">
        <v>0</v>
      </c>
      <c r="AH21" s="14">
        <v>1100</v>
      </c>
      <c r="AI21" s="14">
        <v>0</v>
      </c>
      <c r="AJ21" s="163">
        <v>0</v>
      </c>
      <c r="AK21" s="163">
        <v>0</v>
      </c>
      <c r="AL21" s="26">
        <v>0</v>
      </c>
      <c r="AM21" s="12">
        <v>0</v>
      </c>
      <c r="AN21" s="14">
        <v>0</v>
      </c>
      <c r="AO21" s="163">
        <v>0</v>
      </c>
      <c r="AP21" s="163">
        <v>0</v>
      </c>
      <c r="AQ21" s="163">
        <v>0</v>
      </c>
      <c r="AR21" s="163">
        <v>0</v>
      </c>
      <c r="AS21" s="14">
        <v>1</v>
      </c>
      <c r="AT21" s="163">
        <v>0</v>
      </c>
      <c r="AU21" s="163">
        <v>0</v>
      </c>
      <c r="AV21" s="163">
        <v>0</v>
      </c>
      <c r="AW21" s="26">
        <v>0</v>
      </c>
      <c r="AX21" s="14">
        <v>1</v>
      </c>
      <c r="AY21" s="14">
        <v>1</v>
      </c>
      <c r="AZ21" s="163">
        <v>0</v>
      </c>
      <c r="BA21" s="163">
        <v>0</v>
      </c>
      <c r="BB21" s="26">
        <v>0</v>
      </c>
      <c r="BC21" s="12">
        <v>1</v>
      </c>
      <c r="BD21" s="23">
        <v>0</v>
      </c>
      <c r="BE21" s="24">
        <v>0</v>
      </c>
      <c r="BF21" s="24">
        <v>0</v>
      </c>
      <c r="BG21" s="24">
        <v>0</v>
      </c>
      <c r="BH21" s="24">
        <v>0</v>
      </c>
      <c r="BI21" s="14">
        <v>1</v>
      </c>
      <c r="BJ21" s="163">
        <v>1</v>
      </c>
      <c r="BK21" s="26">
        <v>0</v>
      </c>
      <c r="BL21" s="14">
        <v>0</v>
      </c>
      <c r="BM21" s="163">
        <v>0</v>
      </c>
      <c r="BN21" s="26">
        <v>0</v>
      </c>
      <c r="BO21" s="14">
        <v>1</v>
      </c>
      <c r="BP21" s="12">
        <v>58</v>
      </c>
      <c r="BQ21" s="163">
        <v>2</v>
      </c>
      <c r="BR21" s="14"/>
      <c r="BU21" s="26"/>
      <c r="BV21" s="14">
        <v>0</v>
      </c>
      <c r="BW21" s="209"/>
      <c r="BX21" s="3"/>
      <c r="BY21" s="3"/>
      <c r="BZ21" s="40"/>
      <c r="CA21" s="209"/>
      <c r="CB21" s="3"/>
      <c r="CC21" s="3"/>
      <c r="CD21" s="3"/>
      <c r="CE21" s="209"/>
      <c r="CF21" s="3"/>
      <c r="CG21" s="3"/>
      <c r="CH21" s="40"/>
      <c r="CI21" s="209"/>
      <c r="CJ21" s="3"/>
      <c r="CK21" s="3"/>
      <c r="CL21" s="209"/>
      <c r="CM21" s="3"/>
      <c r="CN21" s="3"/>
      <c r="CO21" s="3"/>
      <c r="CP21" s="40"/>
      <c r="CQ21" s="209"/>
      <c r="CR21" s="40"/>
      <c r="CS21" s="3"/>
      <c r="CT21" s="3"/>
    </row>
    <row r="22" spans="1:98" ht="17" thickBot="1">
      <c r="A22" s="42" t="s">
        <v>323</v>
      </c>
      <c r="B22" s="173" t="s">
        <v>220</v>
      </c>
      <c r="C22" s="12"/>
      <c r="D22" s="14" t="s">
        <v>395</v>
      </c>
      <c r="E22" s="12"/>
      <c r="F22" s="12">
        <v>2</v>
      </c>
      <c r="G22" s="14">
        <v>0</v>
      </c>
      <c r="H22" s="163">
        <v>0</v>
      </c>
      <c r="I22" s="163">
        <v>1</v>
      </c>
      <c r="J22" s="12">
        <v>1</v>
      </c>
      <c r="K22" s="14">
        <v>0</v>
      </c>
      <c r="L22" s="26">
        <v>417</v>
      </c>
      <c r="M22" s="14">
        <v>0</v>
      </c>
      <c r="N22" s="163">
        <v>410</v>
      </c>
      <c r="O22" s="14">
        <v>0</v>
      </c>
      <c r="P22" s="26">
        <v>0</v>
      </c>
      <c r="Q22" s="12">
        <v>559</v>
      </c>
      <c r="R22" s="209">
        <v>1.3634146341463416</v>
      </c>
      <c r="S22" s="14">
        <v>1</v>
      </c>
      <c r="T22" s="163">
        <v>1</v>
      </c>
      <c r="U22" s="163">
        <v>0</v>
      </c>
      <c r="V22" s="26">
        <v>0</v>
      </c>
      <c r="W22" s="14">
        <v>1100</v>
      </c>
      <c r="X22" s="14">
        <v>0</v>
      </c>
      <c r="Y22" s="163">
        <v>1</v>
      </c>
      <c r="Z22" s="163">
        <v>0</v>
      </c>
      <c r="AA22" s="26">
        <v>0</v>
      </c>
      <c r="AB22" s="12">
        <v>100</v>
      </c>
      <c r="AC22" s="14">
        <v>1</v>
      </c>
      <c r="AD22" s="14">
        <v>0</v>
      </c>
      <c r="AE22" s="163">
        <v>1</v>
      </c>
      <c r="AF22" s="163">
        <v>0</v>
      </c>
      <c r="AG22" s="26">
        <v>0</v>
      </c>
      <c r="AH22" s="14">
        <v>100</v>
      </c>
      <c r="AI22" s="14">
        <v>0</v>
      </c>
      <c r="AJ22" s="163">
        <v>0</v>
      </c>
      <c r="AK22" s="163">
        <v>0</v>
      </c>
      <c r="AL22" s="26">
        <v>0</v>
      </c>
      <c r="AM22" s="12">
        <v>0</v>
      </c>
      <c r="AN22" s="14">
        <v>0</v>
      </c>
      <c r="AO22" s="163">
        <v>0</v>
      </c>
      <c r="AP22" s="163">
        <v>0</v>
      </c>
      <c r="AQ22" s="163">
        <v>0</v>
      </c>
      <c r="AR22" s="163">
        <v>0</v>
      </c>
      <c r="AS22" s="14">
        <v>0</v>
      </c>
      <c r="AT22" s="163">
        <v>0</v>
      </c>
      <c r="AU22" s="163">
        <v>0</v>
      </c>
      <c r="AV22" s="163">
        <v>1</v>
      </c>
      <c r="AW22" s="26">
        <v>0</v>
      </c>
      <c r="AX22" s="14">
        <v>1</v>
      </c>
      <c r="AY22" s="14">
        <v>0</v>
      </c>
      <c r="AZ22" s="163">
        <v>1</v>
      </c>
      <c r="BA22" s="163">
        <v>0</v>
      </c>
      <c r="BB22" s="26">
        <v>1</v>
      </c>
      <c r="BC22" s="12">
        <v>2</v>
      </c>
      <c r="BD22" s="23">
        <v>0</v>
      </c>
      <c r="BE22" s="24">
        <v>0</v>
      </c>
      <c r="BF22" s="24">
        <v>0</v>
      </c>
      <c r="BG22" s="24">
        <v>0</v>
      </c>
      <c r="BH22" s="24">
        <v>0</v>
      </c>
      <c r="BI22" s="14">
        <v>1</v>
      </c>
      <c r="BJ22" s="163">
        <v>1</v>
      </c>
      <c r="BK22" s="26">
        <v>0</v>
      </c>
      <c r="BL22" s="14">
        <v>0</v>
      </c>
      <c r="BM22" s="163">
        <v>0</v>
      </c>
      <c r="BN22" s="26">
        <v>0</v>
      </c>
      <c r="BO22" s="14">
        <v>0</v>
      </c>
      <c r="BP22" s="12">
        <v>69</v>
      </c>
      <c r="BQ22" s="163">
        <v>2</v>
      </c>
      <c r="BR22" s="14"/>
      <c r="BU22" s="26"/>
      <c r="BV22" s="14">
        <v>0</v>
      </c>
      <c r="BW22" s="209"/>
      <c r="BX22" s="3"/>
      <c r="BY22" s="3"/>
      <c r="BZ22" s="40"/>
      <c r="CA22" s="209"/>
      <c r="CB22" s="3"/>
      <c r="CC22" s="3"/>
      <c r="CD22" s="3"/>
      <c r="CE22" s="209"/>
      <c r="CF22" s="3"/>
      <c r="CG22" s="3"/>
      <c r="CH22" s="40"/>
      <c r="CI22" s="209"/>
      <c r="CJ22" s="3"/>
      <c r="CK22" s="3"/>
      <c r="CL22" s="209"/>
      <c r="CM22" s="3"/>
      <c r="CN22" s="3"/>
      <c r="CO22" s="3"/>
      <c r="CP22" s="40"/>
      <c r="CQ22" s="209"/>
      <c r="CR22" s="40"/>
      <c r="CS22" s="3"/>
      <c r="CT22" s="3"/>
    </row>
    <row r="23" spans="1:98" ht="17" thickBot="1">
      <c r="A23" s="88" t="s">
        <v>324</v>
      </c>
      <c r="B23" s="185" t="s">
        <v>308</v>
      </c>
      <c r="C23" s="27"/>
      <c r="D23" s="28" t="s">
        <v>132</v>
      </c>
      <c r="E23" s="27"/>
      <c r="F23" s="27">
        <v>38</v>
      </c>
      <c r="G23" s="28">
        <v>1</v>
      </c>
      <c r="H23" s="30">
        <v>0</v>
      </c>
      <c r="I23" s="30">
        <v>1</v>
      </c>
      <c r="J23" s="27">
        <v>101</v>
      </c>
      <c r="K23" s="28">
        <v>40</v>
      </c>
      <c r="L23" s="29">
        <v>344</v>
      </c>
      <c r="M23" s="28">
        <v>25</v>
      </c>
      <c r="N23" s="30">
        <v>412</v>
      </c>
      <c r="O23" s="28">
        <v>88</v>
      </c>
      <c r="P23" s="29">
        <v>694</v>
      </c>
      <c r="Q23" s="27">
        <v>1474</v>
      </c>
      <c r="R23" s="211">
        <v>2.1869436201780417</v>
      </c>
      <c r="S23" s="28">
        <v>1</v>
      </c>
      <c r="T23" s="30">
        <v>1</v>
      </c>
      <c r="U23" s="30">
        <v>1</v>
      </c>
      <c r="V23" s="29">
        <v>0</v>
      </c>
      <c r="W23" s="28">
        <v>1110</v>
      </c>
      <c r="X23" s="28">
        <v>1</v>
      </c>
      <c r="Y23" s="30">
        <v>0</v>
      </c>
      <c r="Z23" s="30">
        <v>1</v>
      </c>
      <c r="AA23" s="29">
        <v>0</v>
      </c>
      <c r="AB23" s="27">
        <v>1010</v>
      </c>
      <c r="AC23" s="28">
        <v>0</v>
      </c>
      <c r="AD23" s="28">
        <v>0</v>
      </c>
      <c r="AE23" s="30">
        <v>0</v>
      </c>
      <c r="AF23" s="30">
        <v>1</v>
      </c>
      <c r="AG23" s="29">
        <v>0</v>
      </c>
      <c r="AH23" s="28">
        <v>10</v>
      </c>
      <c r="AI23" s="28">
        <v>0</v>
      </c>
      <c r="AJ23" s="30">
        <v>0</v>
      </c>
      <c r="AK23" s="30">
        <v>1</v>
      </c>
      <c r="AL23" s="29">
        <v>0</v>
      </c>
      <c r="AM23" s="27">
        <v>10</v>
      </c>
      <c r="AN23" s="28">
        <v>0</v>
      </c>
      <c r="AO23" s="30">
        <v>0</v>
      </c>
      <c r="AP23" s="30">
        <v>0</v>
      </c>
      <c r="AQ23" s="30">
        <v>0</v>
      </c>
      <c r="AR23" s="30">
        <v>0</v>
      </c>
      <c r="AS23" s="28">
        <v>0</v>
      </c>
      <c r="AT23" s="30">
        <v>0</v>
      </c>
      <c r="AU23" s="30">
        <v>0</v>
      </c>
      <c r="AV23" s="30">
        <v>0</v>
      </c>
      <c r="AW23" s="29">
        <v>0</v>
      </c>
      <c r="AX23" s="28">
        <v>0</v>
      </c>
      <c r="AY23" s="28">
        <v>0</v>
      </c>
      <c r="AZ23" s="30">
        <v>0</v>
      </c>
      <c r="BA23" s="30">
        <v>1</v>
      </c>
      <c r="BB23" s="29">
        <v>0</v>
      </c>
      <c r="BC23" s="27">
        <v>1</v>
      </c>
      <c r="BD23" s="28">
        <v>0</v>
      </c>
      <c r="BE23" s="30">
        <v>1</v>
      </c>
      <c r="BF23" s="30">
        <v>1</v>
      </c>
      <c r="BG23" s="30">
        <v>0</v>
      </c>
      <c r="BH23" s="30">
        <v>0</v>
      </c>
      <c r="BI23" s="28">
        <v>0</v>
      </c>
      <c r="BJ23" s="30">
        <v>0</v>
      </c>
      <c r="BK23" s="29">
        <v>0</v>
      </c>
      <c r="BL23" s="28">
        <v>0</v>
      </c>
      <c r="BM23" s="30">
        <v>0</v>
      </c>
      <c r="BN23" s="29">
        <v>0</v>
      </c>
      <c r="BO23" s="28">
        <v>1</v>
      </c>
      <c r="BP23" s="27">
        <v>117</v>
      </c>
      <c r="BQ23" s="30">
        <v>1</v>
      </c>
      <c r="BR23" s="28">
        <v>0</v>
      </c>
      <c r="BS23" s="30">
        <v>1</v>
      </c>
      <c r="BT23" s="30">
        <v>0</v>
      </c>
      <c r="BU23" s="29">
        <v>0</v>
      </c>
      <c r="BV23" s="28">
        <v>100</v>
      </c>
      <c r="BW23" s="211"/>
      <c r="BX23" s="77"/>
      <c r="BY23" s="77"/>
      <c r="BZ23" s="45"/>
      <c r="CA23" s="211"/>
      <c r="CB23" s="77"/>
      <c r="CC23" s="77"/>
      <c r="CD23" s="77"/>
      <c r="CE23" s="211"/>
      <c r="CF23" s="77"/>
      <c r="CG23" s="77"/>
      <c r="CH23" s="45"/>
      <c r="CI23" s="211"/>
      <c r="CJ23" s="77"/>
      <c r="CK23" s="77"/>
      <c r="CL23" s="211">
        <v>88.816441061855144</v>
      </c>
      <c r="CM23" s="77">
        <v>86.567352478721759</v>
      </c>
      <c r="CN23" s="77">
        <v>86.571821853417589</v>
      </c>
      <c r="CO23" s="77">
        <v>86.403648982514028</v>
      </c>
      <c r="CP23" s="45">
        <v>86.47595978895707</v>
      </c>
      <c r="CQ23" s="211">
        <v>87.700448594708405</v>
      </c>
      <c r="CR23" s="45"/>
      <c r="CS23" s="3"/>
      <c r="CT23" s="3"/>
    </row>
    <row r="24" spans="1:98">
      <c r="A24" s="87" t="s">
        <v>324</v>
      </c>
      <c r="B24" s="7" t="s">
        <v>307</v>
      </c>
      <c r="C24" s="9"/>
      <c r="D24" s="11" t="s">
        <v>132</v>
      </c>
      <c r="E24" s="9"/>
      <c r="F24" s="9">
        <v>25</v>
      </c>
      <c r="G24" s="11">
        <v>0</v>
      </c>
      <c r="H24" s="8">
        <v>0</v>
      </c>
      <c r="I24" s="8">
        <v>1</v>
      </c>
      <c r="J24" s="9">
        <v>1</v>
      </c>
      <c r="K24" s="11">
        <v>67</v>
      </c>
      <c r="L24" s="41">
        <v>244</v>
      </c>
      <c r="M24" s="11">
        <v>11</v>
      </c>
      <c r="N24" s="8">
        <v>47</v>
      </c>
      <c r="O24" s="11">
        <v>0</v>
      </c>
      <c r="P24" s="41">
        <v>0</v>
      </c>
      <c r="Q24" s="9">
        <v>357</v>
      </c>
      <c r="R24" s="208">
        <v>1.4631147540983607</v>
      </c>
      <c r="S24" s="11">
        <v>1</v>
      </c>
      <c r="T24" s="8">
        <v>1</v>
      </c>
      <c r="U24" s="8">
        <v>0</v>
      </c>
      <c r="V24" s="41">
        <v>0</v>
      </c>
      <c r="W24" s="11">
        <v>1100</v>
      </c>
      <c r="X24" s="11">
        <v>1</v>
      </c>
      <c r="Y24" s="8">
        <v>0</v>
      </c>
      <c r="Z24" s="8">
        <v>0</v>
      </c>
      <c r="AA24" s="41">
        <v>1</v>
      </c>
      <c r="AB24" s="9">
        <v>1001</v>
      </c>
      <c r="AC24" s="11">
        <v>1</v>
      </c>
      <c r="AD24" s="11">
        <v>0</v>
      </c>
      <c r="AE24" s="8">
        <v>0</v>
      </c>
      <c r="AF24" s="8">
        <v>1</v>
      </c>
      <c r="AG24" s="41">
        <v>1</v>
      </c>
      <c r="AH24" s="11">
        <v>11</v>
      </c>
      <c r="AI24" s="11">
        <v>0</v>
      </c>
      <c r="AJ24" s="8">
        <v>0</v>
      </c>
      <c r="AK24" s="8">
        <v>0</v>
      </c>
      <c r="AL24" s="41">
        <v>0</v>
      </c>
      <c r="AM24" s="9">
        <v>0</v>
      </c>
      <c r="AN24" s="11">
        <v>0</v>
      </c>
      <c r="AO24" s="8">
        <v>0</v>
      </c>
      <c r="AP24" s="8">
        <v>0</v>
      </c>
      <c r="AQ24" s="8">
        <v>0</v>
      </c>
      <c r="AR24" s="8">
        <v>0</v>
      </c>
      <c r="AS24" s="11">
        <v>1</v>
      </c>
      <c r="AT24" s="8">
        <v>1</v>
      </c>
      <c r="AU24" s="8">
        <v>0</v>
      </c>
      <c r="AV24" s="8">
        <v>1</v>
      </c>
      <c r="AW24" s="41">
        <v>0</v>
      </c>
      <c r="AX24" s="11">
        <v>3</v>
      </c>
      <c r="AY24" s="11">
        <v>0</v>
      </c>
      <c r="AZ24" s="8">
        <v>0</v>
      </c>
      <c r="BA24" s="8">
        <v>0</v>
      </c>
      <c r="BB24" s="41">
        <v>1</v>
      </c>
      <c r="BC24" s="9">
        <v>1</v>
      </c>
      <c r="BD24" s="11">
        <v>0</v>
      </c>
      <c r="BE24" s="8">
        <v>0</v>
      </c>
      <c r="BF24" s="8">
        <v>0</v>
      </c>
      <c r="BG24" s="8">
        <v>0</v>
      </c>
      <c r="BH24" s="8">
        <v>0</v>
      </c>
      <c r="BI24" s="11">
        <v>1</v>
      </c>
      <c r="BJ24" s="8">
        <v>1</v>
      </c>
      <c r="BK24" s="41">
        <v>0</v>
      </c>
      <c r="BL24" s="11">
        <v>0</v>
      </c>
      <c r="BM24" s="8">
        <v>0</v>
      </c>
      <c r="BN24" s="41">
        <v>0</v>
      </c>
      <c r="BO24" s="11">
        <v>1</v>
      </c>
      <c r="BP24" s="9">
        <v>50</v>
      </c>
      <c r="BQ24" s="8">
        <v>2</v>
      </c>
      <c r="BR24" s="11">
        <v>1</v>
      </c>
      <c r="BS24" s="8">
        <v>0</v>
      </c>
      <c r="BT24" s="8">
        <v>0</v>
      </c>
      <c r="BU24" s="41">
        <v>0</v>
      </c>
      <c r="BV24" s="11">
        <v>1000</v>
      </c>
      <c r="BW24" s="208"/>
      <c r="BX24" s="54"/>
      <c r="BY24" s="54"/>
      <c r="BZ24" s="10"/>
      <c r="CA24" s="208"/>
      <c r="CB24" s="54"/>
      <c r="CC24" s="54"/>
      <c r="CD24" s="54"/>
      <c r="CE24" s="208"/>
      <c r="CF24" s="54"/>
      <c r="CG24" s="54"/>
      <c r="CH24" s="10"/>
      <c r="CI24" s="208"/>
      <c r="CJ24" s="54"/>
      <c r="CK24" s="54"/>
      <c r="CL24" s="208"/>
      <c r="CM24" s="54"/>
      <c r="CN24" s="54"/>
      <c r="CO24" s="54"/>
      <c r="CP24" s="10"/>
      <c r="CQ24" s="208"/>
      <c r="CR24" s="10"/>
      <c r="CS24" s="3"/>
      <c r="CT24" s="3"/>
    </row>
    <row r="25" spans="1:98" ht="17" thickBot="1">
      <c r="A25" s="55" t="s">
        <v>324</v>
      </c>
      <c r="B25" s="47" t="s">
        <v>307</v>
      </c>
      <c r="C25" s="33"/>
      <c r="D25" s="34" t="s">
        <v>167</v>
      </c>
      <c r="E25" s="33"/>
      <c r="F25" s="33">
        <v>13</v>
      </c>
      <c r="G25" s="34">
        <v>0</v>
      </c>
      <c r="H25" s="36">
        <v>0</v>
      </c>
      <c r="I25" s="36">
        <v>1</v>
      </c>
      <c r="J25" s="33">
        <v>1</v>
      </c>
      <c r="K25" s="34">
        <v>38</v>
      </c>
      <c r="L25" s="35">
        <v>269</v>
      </c>
      <c r="M25" s="34">
        <v>54</v>
      </c>
      <c r="N25" s="36">
        <v>84</v>
      </c>
      <c r="O25" s="34">
        <v>82</v>
      </c>
      <c r="P25" s="35">
        <v>154</v>
      </c>
      <c r="Q25" s="33">
        <v>487</v>
      </c>
      <c r="R25" s="210">
        <v>1.4198250728862973</v>
      </c>
      <c r="S25" s="34">
        <v>1</v>
      </c>
      <c r="T25" s="36">
        <v>1</v>
      </c>
      <c r="U25" s="36">
        <v>1</v>
      </c>
      <c r="V25" s="35">
        <v>0</v>
      </c>
      <c r="W25" s="34">
        <v>1110</v>
      </c>
      <c r="X25" s="34">
        <v>1</v>
      </c>
      <c r="Y25" s="36">
        <v>0</v>
      </c>
      <c r="Z25" s="36">
        <v>0</v>
      </c>
      <c r="AA25" s="35">
        <v>0</v>
      </c>
      <c r="AB25" s="33">
        <v>1000</v>
      </c>
      <c r="AC25" s="34">
        <v>0</v>
      </c>
      <c r="AD25" s="34">
        <v>0</v>
      </c>
      <c r="AE25" s="36">
        <v>0</v>
      </c>
      <c r="AF25" s="36">
        <v>1</v>
      </c>
      <c r="AG25" s="35">
        <v>0</v>
      </c>
      <c r="AH25" s="34">
        <v>10</v>
      </c>
      <c r="AI25" s="34">
        <v>0</v>
      </c>
      <c r="AJ25" s="36">
        <v>0</v>
      </c>
      <c r="AK25" s="36">
        <v>1</v>
      </c>
      <c r="AL25" s="35">
        <v>1</v>
      </c>
      <c r="AM25" s="33">
        <v>11</v>
      </c>
      <c r="AN25" s="34">
        <v>0</v>
      </c>
      <c r="AO25" s="36">
        <v>0</v>
      </c>
      <c r="AP25" s="36">
        <v>0</v>
      </c>
      <c r="AQ25" s="36">
        <v>0</v>
      </c>
      <c r="AR25" s="36">
        <v>0</v>
      </c>
      <c r="AS25" s="34">
        <v>0</v>
      </c>
      <c r="AT25" s="36">
        <v>0</v>
      </c>
      <c r="AU25" s="36">
        <v>0</v>
      </c>
      <c r="AV25" s="36">
        <v>1</v>
      </c>
      <c r="AW25" s="35">
        <v>0</v>
      </c>
      <c r="AX25" s="34">
        <v>1</v>
      </c>
      <c r="AY25" s="34">
        <v>0</v>
      </c>
      <c r="AZ25" s="36">
        <v>0</v>
      </c>
      <c r="BA25" s="36">
        <v>0</v>
      </c>
      <c r="BB25" s="35">
        <v>1</v>
      </c>
      <c r="BC25" s="33">
        <v>1</v>
      </c>
      <c r="BD25" s="34">
        <v>0</v>
      </c>
      <c r="BE25" s="36">
        <v>1</v>
      </c>
      <c r="BF25" s="36">
        <v>1</v>
      </c>
      <c r="BG25" s="36">
        <v>1</v>
      </c>
      <c r="BH25" s="36">
        <v>0</v>
      </c>
      <c r="BI25" s="34">
        <v>1</v>
      </c>
      <c r="BJ25" s="36">
        <v>0</v>
      </c>
      <c r="BK25" s="35">
        <v>0</v>
      </c>
      <c r="BL25" s="34">
        <v>0</v>
      </c>
      <c r="BM25" s="36">
        <v>0</v>
      </c>
      <c r="BN25" s="35">
        <v>0</v>
      </c>
      <c r="BO25" s="34">
        <v>1</v>
      </c>
      <c r="BP25" s="33">
        <v>62</v>
      </c>
      <c r="BQ25" s="36">
        <v>2</v>
      </c>
      <c r="BR25" s="34">
        <v>0</v>
      </c>
      <c r="BS25" s="36">
        <v>0</v>
      </c>
      <c r="BT25" s="36">
        <v>0</v>
      </c>
      <c r="BU25" s="35">
        <v>0</v>
      </c>
      <c r="BV25" s="34">
        <v>0</v>
      </c>
      <c r="BW25" s="210"/>
      <c r="BX25" s="51"/>
      <c r="BY25" s="51"/>
      <c r="BZ25" s="48"/>
      <c r="CA25" s="210"/>
      <c r="CB25" s="51"/>
      <c r="CC25" s="51"/>
      <c r="CD25" s="51"/>
      <c r="CE25" s="210"/>
      <c r="CF25" s="51"/>
      <c r="CG25" s="51"/>
      <c r="CH25" s="48"/>
      <c r="CI25" s="210"/>
      <c r="CJ25" s="51"/>
      <c r="CK25" s="51"/>
      <c r="CL25" s="210"/>
      <c r="CM25" s="51"/>
      <c r="CN25" s="51"/>
      <c r="CO25" s="51"/>
      <c r="CP25" s="48"/>
      <c r="CQ25" s="210"/>
      <c r="CR25" s="48"/>
      <c r="CS25" s="3"/>
      <c r="CT25" s="3"/>
    </row>
    <row r="26" spans="1:98">
      <c r="A26" s="87" t="s">
        <v>324</v>
      </c>
      <c r="B26" s="7" t="s">
        <v>306</v>
      </c>
      <c r="C26" s="9"/>
      <c r="D26" s="11" t="s">
        <v>167</v>
      </c>
      <c r="E26" s="9"/>
      <c r="F26" s="9">
        <v>3</v>
      </c>
      <c r="G26" s="11">
        <v>1</v>
      </c>
      <c r="H26" s="8">
        <v>0</v>
      </c>
      <c r="I26" s="8">
        <v>1</v>
      </c>
      <c r="J26" s="9">
        <v>101</v>
      </c>
      <c r="K26" s="11">
        <v>0</v>
      </c>
      <c r="L26" s="41">
        <v>131</v>
      </c>
      <c r="M26" s="11">
        <v>31</v>
      </c>
      <c r="N26" s="8">
        <v>162</v>
      </c>
      <c r="O26" s="11">
        <v>0</v>
      </c>
      <c r="P26" s="41">
        <v>282</v>
      </c>
      <c r="Q26" s="9">
        <v>282</v>
      </c>
      <c r="R26" s="208">
        <v>1.2533333333333334</v>
      </c>
      <c r="S26" s="11">
        <v>1</v>
      </c>
      <c r="T26" s="8">
        <v>1</v>
      </c>
      <c r="U26" s="8">
        <v>1</v>
      </c>
      <c r="V26" s="41">
        <v>0</v>
      </c>
      <c r="W26" s="11">
        <v>1110</v>
      </c>
      <c r="X26" s="11">
        <v>1</v>
      </c>
      <c r="Y26" s="8">
        <v>0</v>
      </c>
      <c r="Z26" s="8">
        <v>0</v>
      </c>
      <c r="AA26" s="41">
        <v>0</v>
      </c>
      <c r="AB26" s="9">
        <v>1000</v>
      </c>
      <c r="AC26" s="11">
        <v>1</v>
      </c>
      <c r="AD26" s="11">
        <v>1</v>
      </c>
      <c r="AE26" s="8">
        <v>0</v>
      </c>
      <c r="AF26" s="8">
        <v>1</v>
      </c>
      <c r="AG26" s="41">
        <v>0</v>
      </c>
      <c r="AH26" s="11">
        <v>1010</v>
      </c>
      <c r="AI26" s="11">
        <v>0</v>
      </c>
      <c r="AJ26" s="8">
        <v>0</v>
      </c>
      <c r="AK26" s="8">
        <v>1</v>
      </c>
      <c r="AL26" s="41">
        <v>0</v>
      </c>
      <c r="AM26" s="9">
        <v>10</v>
      </c>
      <c r="AN26" s="11">
        <v>0</v>
      </c>
      <c r="AO26" s="8">
        <v>0</v>
      </c>
      <c r="AP26" s="8">
        <v>0</v>
      </c>
      <c r="AQ26" s="8">
        <v>0</v>
      </c>
      <c r="AR26" s="8">
        <v>0</v>
      </c>
      <c r="AS26" s="11">
        <v>0</v>
      </c>
      <c r="AT26" s="8">
        <v>0</v>
      </c>
      <c r="AU26" s="8">
        <v>0</v>
      </c>
      <c r="AV26" s="8">
        <v>1</v>
      </c>
      <c r="AW26" s="41">
        <v>0</v>
      </c>
      <c r="AX26" s="11">
        <v>1</v>
      </c>
      <c r="AY26" s="11">
        <v>0</v>
      </c>
      <c r="AZ26" s="8">
        <v>0</v>
      </c>
      <c r="BA26" s="8">
        <v>0</v>
      </c>
      <c r="BB26" s="41">
        <v>1</v>
      </c>
      <c r="BC26" s="9">
        <v>1</v>
      </c>
      <c r="BD26" s="11">
        <v>0</v>
      </c>
      <c r="BE26" s="8">
        <v>0</v>
      </c>
      <c r="BF26" s="8">
        <v>1</v>
      </c>
      <c r="BG26" s="8">
        <v>0</v>
      </c>
      <c r="BH26" s="8">
        <v>0</v>
      </c>
      <c r="BI26" s="11">
        <v>0</v>
      </c>
      <c r="BJ26" s="8">
        <v>1</v>
      </c>
      <c r="BK26" s="41">
        <v>0</v>
      </c>
      <c r="BL26" s="11">
        <v>0</v>
      </c>
      <c r="BM26" s="8">
        <v>1</v>
      </c>
      <c r="BN26" s="41">
        <v>0</v>
      </c>
      <c r="BO26" s="11">
        <v>0</v>
      </c>
      <c r="BP26" s="9">
        <v>84</v>
      </c>
      <c r="BQ26" s="8">
        <v>2</v>
      </c>
      <c r="BR26" s="11">
        <v>0</v>
      </c>
      <c r="BS26" s="8">
        <v>0</v>
      </c>
      <c r="BT26" s="8">
        <v>0</v>
      </c>
      <c r="BU26" s="41">
        <v>0</v>
      </c>
      <c r="BV26" s="11">
        <v>0</v>
      </c>
      <c r="BW26" s="208"/>
      <c r="BX26" s="54"/>
      <c r="BY26" s="54"/>
      <c r="BZ26" s="10"/>
      <c r="CA26" s="208"/>
      <c r="CB26" s="54"/>
      <c r="CC26" s="54"/>
      <c r="CD26" s="54"/>
      <c r="CE26" s="208"/>
      <c r="CF26" s="54"/>
      <c r="CG26" s="54"/>
      <c r="CH26" s="10"/>
      <c r="CI26" s="208"/>
      <c r="CJ26" s="54"/>
      <c r="CK26" s="54"/>
      <c r="CL26" s="208"/>
      <c r="CM26" s="54"/>
      <c r="CN26" s="54"/>
      <c r="CO26" s="54"/>
      <c r="CP26" s="10"/>
      <c r="CQ26" s="208"/>
      <c r="CR26" s="10"/>
      <c r="CS26" s="3"/>
      <c r="CT26" s="3"/>
    </row>
    <row r="27" spans="1:98">
      <c r="A27" s="42" t="s">
        <v>324</v>
      </c>
      <c r="B27" s="173" t="s">
        <v>306</v>
      </c>
      <c r="C27" s="12"/>
      <c r="D27" s="14" t="s">
        <v>168</v>
      </c>
      <c r="E27" s="12"/>
      <c r="F27" s="12">
        <v>7</v>
      </c>
      <c r="G27" s="14">
        <v>1</v>
      </c>
      <c r="H27" s="163">
        <v>0</v>
      </c>
      <c r="I27" s="163">
        <v>1</v>
      </c>
      <c r="J27" s="12">
        <v>101</v>
      </c>
      <c r="K27" s="14">
        <v>0</v>
      </c>
      <c r="L27" s="26">
        <v>0</v>
      </c>
      <c r="M27" s="14">
        <v>25</v>
      </c>
      <c r="N27" s="163">
        <v>75</v>
      </c>
      <c r="O27" s="14">
        <v>0</v>
      </c>
      <c r="P27" s="26">
        <v>73</v>
      </c>
      <c r="Q27" s="12">
        <v>186</v>
      </c>
      <c r="R27" s="209">
        <v>1.4307692307692308</v>
      </c>
      <c r="S27" s="14">
        <v>0</v>
      </c>
      <c r="T27" s="163">
        <v>1</v>
      </c>
      <c r="U27" s="163">
        <v>1</v>
      </c>
      <c r="V27" s="26">
        <v>0</v>
      </c>
      <c r="W27" s="14">
        <v>110</v>
      </c>
      <c r="X27" s="14">
        <v>0</v>
      </c>
      <c r="Y27" s="163">
        <v>0</v>
      </c>
      <c r="Z27" s="163">
        <v>0</v>
      </c>
      <c r="AA27" s="26">
        <v>0</v>
      </c>
      <c r="AB27" s="12">
        <v>0</v>
      </c>
      <c r="AC27" s="14">
        <v>0</v>
      </c>
      <c r="AD27" s="14">
        <v>1</v>
      </c>
      <c r="AE27" s="163">
        <v>0</v>
      </c>
      <c r="AF27" s="163">
        <v>1</v>
      </c>
      <c r="AG27" s="26">
        <v>0</v>
      </c>
      <c r="AH27" s="14">
        <v>1010</v>
      </c>
      <c r="AI27" s="14">
        <v>0</v>
      </c>
      <c r="AJ27" s="163">
        <v>0</v>
      </c>
      <c r="AK27" s="163">
        <v>1</v>
      </c>
      <c r="AL27" s="26">
        <v>0</v>
      </c>
      <c r="AM27" s="12">
        <v>10</v>
      </c>
      <c r="AN27" s="14">
        <v>0</v>
      </c>
      <c r="AO27" s="163">
        <v>0</v>
      </c>
      <c r="AP27" s="163">
        <v>0</v>
      </c>
      <c r="AQ27" s="163">
        <v>0</v>
      </c>
      <c r="AR27" s="163">
        <v>0</v>
      </c>
      <c r="AS27" s="14">
        <v>0</v>
      </c>
      <c r="AT27" s="163">
        <v>0</v>
      </c>
      <c r="AU27" s="163">
        <v>0</v>
      </c>
      <c r="AV27" s="163">
        <v>0</v>
      </c>
      <c r="AW27" s="26">
        <v>0</v>
      </c>
      <c r="AX27" s="14">
        <v>0</v>
      </c>
      <c r="AY27" s="14">
        <v>0</v>
      </c>
      <c r="AZ27" s="163">
        <v>0</v>
      </c>
      <c r="BA27" s="163">
        <v>0</v>
      </c>
      <c r="BB27" s="26">
        <v>0</v>
      </c>
      <c r="BC27" s="12">
        <v>0</v>
      </c>
      <c r="BD27" s="14">
        <v>0</v>
      </c>
      <c r="BE27" s="163">
        <v>0</v>
      </c>
      <c r="BF27" s="163">
        <v>0</v>
      </c>
      <c r="BG27" s="163">
        <v>0</v>
      </c>
      <c r="BH27" s="163">
        <v>1</v>
      </c>
      <c r="BI27" s="14">
        <v>0</v>
      </c>
      <c r="BJ27" s="163">
        <v>0</v>
      </c>
      <c r="BK27" s="26">
        <v>0</v>
      </c>
      <c r="BL27" s="14">
        <v>0</v>
      </c>
      <c r="BM27" s="163">
        <v>0</v>
      </c>
      <c r="BN27" s="26">
        <v>0</v>
      </c>
      <c r="BO27" s="14">
        <v>0</v>
      </c>
      <c r="BP27" s="12">
        <v>48</v>
      </c>
      <c r="BQ27" s="163">
        <v>2</v>
      </c>
      <c r="BR27" s="14">
        <v>0</v>
      </c>
      <c r="BS27" s="163">
        <v>0</v>
      </c>
      <c r="BT27" s="163">
        <v>0</v>
      </c>
      <c r="BU27" s="26">
        <v>0</v>
      </c>
      <c r="BV27" s="14">
        <v>0</v>
      </c>
      <c r="BW27" s="209"/>
      <c r="BX27" s="3"/>
      <c r="BY27" s="3"/>
      <c r="BZ27" s="40"/>
      <c r="CA27" s="209"/>
      <c r="CB27" s="3"/>
      <c r="CC27" s="3"/>
      <c r="CD27" s="3"/>
      <c r="CE27" s="209"/>
      <c r="CF27" s="3"/>
      <c r="CG27" s="3"/>
      <c r="CH27" s="40"/>
      <c r="CI27" s="209"/>
      <c r="CJ27" s="3"/>
      <c r="CK27" s="3"/>
      <c r="CL27" s="209"/>
      <c r="CM27" s="3"/>
      <c r="CN27" s="3"/>
      <c r="CO27" s="3"/>
      <c r="CP27" s="40"/>
      <c r="CQ27" s="209"/>
      <c r="CR27" s="40"/>
      <c r="CS27" s="3"/>
      <c r="CT27" s="3"/>
    </row>
    <row r="28" spans="1:98" ht="17" thickBot="1">
      <c r="A28" s="42" t="s">
        <v>324</v>
      </c>
      <c r="B28" s="173" t="s">
        <v>306</v>
      </c>
      <c r="C28" s="12"/>
      <c r="D28" s="14" t="s">
        <v>423</v>
      </c>
      <c r="E28" s="12"/>
      <c r="F28" s="12">
        <v>6</v>
      </c>
      <c r="G28" s="14">
        <v>0</v>
      </c>
      <c r="H28" s="163">
        <v>0</v>
      </c>
      <c r="I28" s="163">
        <v>1</v>
      </c>
      <c r="J28" s="12">
        <v>1</v>
      </c>
      <c r="K28" s="14">
        <v>0</v>
      </c>
      <c r="L28" s="26">
        <v>40</v>
      </c>
      <c r="M28" s="14">
        <v>67</v>
      </c>
      <c r="N28" s="163">
        <v>81</v>
      </c>
      <c r="O28" s="14">
        <v>13</v>
      </c>
      <c r="P28" s="26">
        <v>63</v>
      </c>
      <c r="Q28" s="12">
        <v>141</v>
      </c>
      <c r="R28" s="209">
        <v>1.2155172413793103</v>
      </c>
      <c r="S28" s="14">
        <v>1</v>
      </c>
      <c r="T28" s="163">
        <v>1</v>
      </c>
      <c r="U28" s="163">
        <v>1</v>
      </c>
      <c r="V28" s="26">
        <v>0</v>
      </c>
      <c r="W28" s="14">
        <v>1110</v>
      </c>
      <c r="X28" s="14">
        <v>1</v>
      </c>
      <c r="Y28" s="163">
        <v>0</v>
      </c>
      <c r="Z28" s="163">
        <v>0</v>
      </c>
      <c r="AA28" s="26">
        <v>0</v>
      </c>
      <c r="AB28" s="12">
        <v>1000</v>
      </c>
      <c r="AC28" s="14">
        <v>0</v>
      </c>
      <c r="AD28" s="14">
        <v>0</v>
      </c>
      <c r="AE28" s="163">
        <v>0</v>
      </c>
      <c r="AF28" s="163">
        <v>1</v>
      </c>
      <c r="AG28" s="26">
        <v>1</v>
      </c>
      <c r="AH28" s="14">
        <v>11</v>
      </c>
      <c r="AI28" s="14">
        <v>0</v>
      </c>
      <c r="AJ28" s="163">
        <v>0</v>
      </c>
      <c r="AK28" s="163">
        <v>1</v>
      </c>
      <c r="AL28" s="26">
        <v>0</v>
      </c>
      <c r="AM28" s="12">
        <v>10</v>
      </c>
      <c r="AN28" s="14">
        <v>0</v>
      </c>
      <c r="AO28" s="163">
        <v>0</v>
      </c>
      <c r="AP28" s="163">
        <v>0</v>
      </c>
      <c r="AQ28" s="163">
        <v>0</v>
      </c>
      <c r="AR28" s="163">
        <v>0</v>
      </c>
      <c r="AS28" s="14">
        <v>0</v>
      </c>
      <c r="AT28" s="163">
        <v>0</v>
      </c>
      <c r="AU28" s="163">
        <v>1</v>
      </c>
      <c r="AV28" s="163">
        <v>0</v>
      </c>
      <c r="AW28" s="26">
        <v>0</v>
      </c>
      <c r="AX28" s="14">
        <v>1</v>
      </c>
      <c r="AY28" s="14">
        <v>0</v>
      </c>
      <c r="AZ28" s="163">
        <v>0</v>
      </c>
      <c r="BA28" s="163">
        <v>0</v>
      </c>
      <c r="BB28" s="26">
        <v>0</v>
      </c>
      <c r="BC28" s="12">
        <v>0</v>
      </c>
      <c r="BD28" s="14">
        <v>0</v>
      </c>
      <c r="BE28" s="163">
        <v>0</v>
      </c>
      <c r="BF28" s="163">
        <v>1</v>
      </c>
      <c r="BG28" s="163">
        <v>0</v>
      </c>
      <c r="BH28" s="163">
        <v>0</v>
      </c>
      <c r="BI28" s="14">
        <v>1</v>
      </c>
      <c r="BJ28" s="163">
        <v>0</v>
      </c>
      <c r="BK28" s="26">
        <v>0</v>
      </c>
      <c r="BL28" s="14">
        <v>0</v>
      </c>
      <c r="BM28" s="163">
        <v>0</v>
      </c>
      <c r="BN28" s="26">
        <v>0</v>
      </c>
      <c r="BO28" s="14">
        <v>0</v>
      </c>
      <c r="BP28" s="12">
        <v>38</v>
      </c>
      <c r="BQ28" s="163">
        <v>2</v>
      </c>
      <c r="BR28" s="14">
        <v>0</v>
      </c>
      <c r="BS28" s="163">
        <v>0</v>
      </c>
      <c r="BT28" s="163">
        <v>0</v>
      </c>
      <c r="BU28" s="26">
        <v>0</v>
      </c>
      <c r="BV28" s="14">
        <v>0</v>
      </c>
      <c r="BW28" s="209"/>
      <c r="BX28" s="3"/>
      <c r="BY28" s="3"/>
      <c r="BZ28" s="40"/>
      <c r="CA28" s="209"/>
      <c r="CB28" s="3"/>
      <c r="CC28" s="3"/>
      <c r="CD28" s="3"/>
      <c r="CE28" s="209"/>
      <c r="CF28" s="3"/>
      <c r="CG28" s="3"/>
      <c r="CH28" s="40"/>
      <c r="CI28" s="209"/>
      <c r="CJ28" s="3"/>
      <c r="CK28" s="3"/>
      <c r="CL28" s="209"/>
      <c r="CM28" s="3"/>
      <c r="CN28" s="3"/>
      <c r="CO28" s="3"/>
      <c r="CP28" s="40"/>
      <c r="CQ28" s="209"/>
      <c r="CR28" s="40"/>
      <c r="CS28" s="3"/>
      <c r="CT28" s="3"/>
    </row>
    <row r="29" spans="1:98">
      <c r="A29" s="87" t="s">
        <v>324</v>
      </c>
      <c r="B29" s="7" t="s">
        <v>317</v>
      </c>
      <c r="C29" s="9"/>
      <c r="D29" s="11" t="s">
        <v>168</v>
      </c>
      <c r="E29" s="9"/>
      <c r="F29" s="9">
        <v>9</v>
      </c>
      <c r="G29" s="11">
        <v>0</v>
      </c>
      <c r="H29" s="8">
        <v>0</v>
      </c>
      <c r="I29" s="8">
        <v>1</v>
      </c>
      <c r="J29" s="9">
        <v>1</v>
      </c>
      <c r="K29" s="11">
        <v>922</v>
      </c>
      <c r="L29" s="41">
        <v>1980</v>
      </c>
      <c r="M29" s="11">
        <v>0</v>
      </c>
      <c r="N29" s="8">
        <v>0</v>
      </c>
      <c r="O29" s="11">
        <v>0</v>
      </c>
      <c r="P29" s="41">
        <v>5473</v>
      </c>
      <c r="Q29" s="9">
        <v>5855</v>
      </c>
      <c r="R29" s="208">
        <v>1.0697971861867348</v>
      </c>
      <c r="S29" s="11">
        <v>1</v>
      </c>
      <c r="T29" s="8">
        <v>0</v>
      </c>
      <c r="U29" s="8">
        <v>1</v>
      </c>
      <c r="V29" s="41">
        <v>0</v>
      </c>
      <c r="W29" s="11">
        <v>1010</v>
      </c>
      <c r="X29" s="11">
        <v>1</v>
      </c>
      <c r="Y29" s="8">
        <v>0</v>
      </c>
      <c r="Z29" s="8">
        <v>0</v>
      </c>
      <c r="AA29" s="41">
        <v>1</v>
      </c>
      <c r="AB29" s="9">
        <v>1001</v>
      </c>
      <c r="AC29" s="11">
        <v>1</v>
      </c>
      <c r="AD29" s="11">
        <v>0</v>
      </c>
      <c r="AE29" s="8">
        <v>0</v>
      </c>
      <c r="AF29" s="8">
        <v>0</v>
      </c>
      <c r="AG29" s="41">
        <v>0</v>
      </c>
      <c r="AH29" s="11">
        <v>0</v>
      </c>
      <c r="AI29" s="11">
        <v>0</v>
      </c>
      <c r="AJ29" s="8">
        <v>0</v>
      </c>
      <c r="AK29" s="8">
        <v>0</v>
      </c>
      <c r="AL29" s="41">
        <v>1</v>
      </c>
      <c r="AM29" s="9">
        <v>1</v>
      </c>
      <c r="AN29" s="11">
        <v>0</v>
      </c>
      <c r="AO29" s="8">
        <v>0</v>
      </c>
      <c r="AP29" s="8">
        <v>0</v>
      </c>
      <c r="AQ29" s="8">
        <v>0</v>
      </c>
      <c r="AR29" s="8">
        <v>0</v>
      </c>
      <c r="AS29" s="11">
        <v>1</v>
      </c>
      <c r="AT29" s="8">
        <v>1</v>
      </c>
      <c r="AU29" s="8">
        <v>0</v>
      </c>
      <c r="AV29" s="8">
        <v>0</v>
      </c>
      <c r="AW29" s="41">
        <v>0</v>
      </c>
      <c r="AX29" s="11">
        <v>2</v>
      </c>
      <c r="AY29" s="11">
        <v>0</v>
      </c>
      <c r="AZ29" s="8">
        <v>0</v>
      </c>
      <c r="BA29" s="8">
        <v>0</v>
      </c>
      <c r="BB29" s="41">
        <v>0</v>
      </c>
      <c r="BC29" s="9">
        <v>0</v>
      </c>
      <c r="BD29" s="11">
        <v>1</v>
      </c>
      <c r="BE29" s="8">
        <v>1</v>
      </c>
      <c r="BF29" s="8">
        <v>0</v>
      </c>
      <c r="BG29" s="8">
        <v>0</v>
      </c>
      <c r="BH29" s="8">
        <v>0</v>
      </c>
      <c r="BI29" s="11">
        <v>1</v>
      </c>
      <c r="BJ29" s="8">
        <v>0</v>
      </c>
      <c r="BK29" s="41">
        <v>1</v>
      </c>
      <c r="BL29" s="11">
        <v>0</v>
      </c>
      <c r="BM29" s="8">
        <v>0</v>
      </c>
      <c r="BN29" s="41">
        <v>0</v>
      </c>
      <c r="BO29" s="11">
        <v>0</v>
      </c>
      <c r="BP29" s="9">
        <v>133</v>
      </c>
      <c r="BQ29" s="8">
        <v>2</v>
      </c>
      <c r="BR29" s="11">
        <v>0</v>
      </c>
      <c r="BS29" s="8">
        <v>1</v>
      </c>
      <c r="BT29" s="8">
        <v>0</v>
      </c>
      <c r="BU29" s="41">
        <v>0</v>
      </c>
      <c r="BV29" s="11">
        <v>100</v>
      </c>
      <c r="BW29" s="208"/>
      <c r="BX29" s="54"/>
      <c r="BY29" s="54"/>
      <c r="BZ29" s="10"/>
      <c r="CA29" s="208"/>
      <c r="CB29" s="54"/>
      <c r="CC29" s="54"/>
      <c r="CD29" s="54"/>
      <c r="CE29" s="208"/>
      <c r="CF29" s="54"/>
      <c r="CG29" s="54"/>
      <c r="CH29" s="10"/>
      <c r="CI29" s="208"/>
      <c r="CJ29" s="54"/>
      <c r="CK29" s="54"/>
      <c r="CL29" s="208">
        <v>87.409635595533416</v>
      </c>
      <c r="CM29" s="54"/>
      <c r="CN29" s="54"/>
      <c r="CO29" s="54"/>
      <c r="CP29" s="10"/>
      <c r="CQ29" s="208"/>
      <c r="CR29" s="10"/>
      <c r="CS29" s="3"/>
      <c r="CT29" s="3"/>
    </row>
    <row r="30" spans="1:98">
      <c r="A30" s="42" t="s">
        <v>324</v>
      </c>
      <c r="B30" s="173" t="s">
        <v>315</v>
      </c>
      <c r="C30" s="12"/>
      <c r="D30" s="14" t="s">
        <v>167</v>
      </c>
      <c r="E30" s="12"/>
      <c r="F30" s="12">
        <v>13</v>
      </c>
      <c r="G30" s="14">
        <v>0</v>
      </c>
      <c r="H30" s="163">
        <v>0</v>
      </c>
      <c r="I30" s="163">
        <v>1</v>
      </c>
      <c r="J30" s="12">
        <v>1</v>
      </c>
      <c r="K30" s="14">
        <v>90</v>
      </c>
      <c r="L30" s="26">
        <v>331</v>
      </c>
      <c r="M30" s="14">
        <v>0</v>
      </c>
      <c r="N30" s="163">
        <v>54</v>
      </c>
      <c r="O30" s="14">
        <v>51</v>
      </c>
      <c r="P30" s="26">
        <v>278</v>
      </c>
      <c r="Q30" s="12">
        <v>743</v>
      </c>
      <c r="R30" s="209">
        <v>3.175213675213675</v>
      </c>
      <c r="S30" s="14">
        <v>1</v>
      </c>
      <c r="T30" s="163">
        <v>1</v>
      </c>
      <c r="U30" s="163">
        <v>1</v>
      </c>
      <c r="V30" s="26">
        <v>0</v>
      </c>
      <c r="W30" s="14">
        <v>1110</v>
      </c>
      <c r="X30" s="14">
        <v>0</v>
      </c>
      <c r="Y30" s="163">
        <v>1</v>
      </c>
      <c r="Z30" s="163">
        <v>0</v>
      </c>
      <c r="AA30" s="26">
        <v>0</v>
      </c>
      <c r="AB30" s="12">
        <v>100</v>
      </c>
      <c r="AC30" s="14">
        <v>0</v>
      </c>
      <c r="AD30" s="14">
        <v>0</v>
      </c>
      <c r="AE30" s="163">
        <v>0</v>
      </c>
      <c r="AF30" s="163">
        <v>1</v>
      </c>
      <c r="AG30" s="26">
        <v>0</v>
      </c>
      <c r="AH30" s="14">
        <v>10</v>
      </c>
      <c r="AI30" s="14">
        <v>0</v>
      </c>
      <c r="AJ30" s="163">
        <v>0</v>
      </c>
      <c r="AK30" s="163">
        <v>1</v>
      </c>
      <c r="AL30" s="26">
        <v>1</v>
      </c>
      <c r="AM30" s="12">
        <v>11</v>
      </c>
      <c r="AN30" s="14">
        <v>0</v>
      </c>
      <c r="AO30" s="163">
        <v>0</v>
      </c>
      <c r="AP30" s="163">
        <v>0</v>
      </c>
      <c r="AQ30" s="163">
        <v>0</v>
      </c>
      <c r="AR30" s="163">
        <v>0</v>
      </c>
      <c r="AS30" s="14">
        <v>0</v>
      </c>
      <c r="AT30" s="163">
        <v>0</v>
      </c>
      <c r="AU30" s="163">
        <v>1</v>
      </c>
      <c r="AV30" s="163">
        <v>0</v>
      </c>
      <c r="AW30" s="26">
        <v>0</v>
      </c>
      <c r="AX30" s="14">
        <v>1</v>
      </c>
      <c r="AY30" s="14">
        <v>0</v>
      </c>
      <c r="AZ30" s="163">
        <v>0</v>
      </c>
      <c r="BA30" s="163">
        <v>0</v>
      </c>
      <c r="BB30" s="26">
        <v>1</v>
      </c>
      <c r="BC30" s="12">
        <v>1</v>
      </c>
      <c r="BD30" s="14">
        <v>1</v>
      </c>
      <c r="BE30" s="163">
        <v>1</v>
      </c>
      <c r="BF30" s="163">
        <v>0</v>
      </c>
      <c r="BG30" s="163">
        <v>0</v>
      </c>
      <c r="BH30" s="163">
        <v>0</v>
      </c>
      <c r="BI30" s="14">
        <v>1</v>
      </c>
      <c r="BJ30" s="163">
        <v>0</v>
      </c>
      <c r="BK30" s="26">
        <v>0</v>
      </c>
      <c r="BL30" s="14">
        <v>0</v>
      </c>
      <c r="BM30" s="163">
        <v>0</v>
      </c>
      <c r="BN30" s="26">
        <v>0</v>
      </c>
      <c r="BO30" s="14">
        <v>1</v>
      </c>
      <c r="BP30" s="12"/>
      <c r="BQ30" s="163">
        <v>2</v>
      </c>
      <c r="BR30" s="14">
        <v>0</v>
      </c>
      <c r="BS30" s="163">
        <v>0</v>
      </c>
      <c r="BT30" s="163">
        <v>0</v>
      </c>
      <c r="BU30" s="26">
        <v>0</v>
      </c>
      <c r="BV30" s="14">
        <v>0</v>
      </c>
      <c r="BW30" s="209"/>
      <c r="BX30" s="3"/>
      <c r="BY30" s="3"/>
      <c r="BZ30" s="40"/>
      <c r="CA30" s="209"/>
      <c r="CB30" s="3"/>
      <c r="CC30" s="3"/>
      <c r="CD30" s="3"/>
      <c r="CE30" s="209"/>
      <c r="CF30" s="3"/>
      <c r="CG30" s="3"/>
      <c r="CH30" s="40"/>
      <c r="CI30" s="209"/>
      <c r="CJ30" s="3"/>
      <c r="CK30" s="3"/>
      <c r="CL30" s="209"/>
      <c r="CM30" s="3"/>
      <c r="CN30" s="3"/>
      <c r="CO30" s="3"/>
      <c r="CP30" s="40"/>
      <c r="CQ30" s="209">
        <v>84.63436834671549</v>
      </c>
      <c r="CR30" s="40"/>
      <c r="CS30" s="3"/>
      <c r="CT30" s="3"/>
    </row>
    <row r="31" spans="1:98">
      <c r="A31" s="42" t="s">
        <v>324</v>
      </c>
      <c r="B31" s="173" t="s">
        <v>315</v>
      </c>
      <c r="C31" s="12"/>
      <c r="D31" s="14" t="s">
        <v>168</v>
      </c>
      <c r="E31" s="12"/>
      <c r="F31" s="12">
        <v>5</v>
      </c>
      <c r="G31" s="14">
        <v>0</v>
      </c>
      <c r="H31" s="163">
        <v>0</v>
      </c>
      <c r="I31" s="163">
        <v>1</v>
      </c>
      <c r="J31" s="12">
        <v>1</v>
      </c>
      <c r="K31" s="14">
        <v>180</v>
      </c>
      <c r="L31" s="26">
        <v>312</v>
      </c>
      <c r="M31" s="14">
        <v>236</v>
      </c>
      <c r="N31" s="163">
        <v>351</v>
      </c>
      <c r="O31" s="14">
        <v>0</v>
      </c>
      <c r="P31" s="26">
        <v>0</v>
      </c>
      <c r="Q31" s="12">
        <v>648</v>
      </c>
      <c r="R31" s="209">
        <v>1.8409090909090908</v>
      </c>
      <c r="S31" s="14">
        <v>1</v>
      </c>
      <c r="T31" s="163">
        <v>1</v>
      </c>
      <c r="U31" s="163">
        <v>0</v>
      </c>
      <c r="V31" s="26">
        <v>0</v>
      </c>
      <c r="W31" s="14">
        <v>1100</v>
      </c>
      <c r="X31" s="14">
        <v>0</v>
      </c>
      <c r="Y31" s="163">
        <v>0</v>
      </c>
      <c r="Z31" s="163">
        <v>0</v>
      </c>
      <c r="AA31" s="26">
        <v>1</v>
      </c>
      <c r="AB31" s="12">
        <v>1</v>
      </c>
      <c r="AC31" s="14">
        <v>0</v>
      </c>
      <c r="AD31" s="14">
        <v>0</v>
      </c>
      <c r="AE31" s="163">
        <v>1</v>
      </c>
      <c r="AF31" s="163">
        <v>0</v>
      </c>
      <c r="AG31" s="26">
        <v>0</v>
      </c>
      <c r="AH31" s="14">
        <v>100</v>
      </c>
      <c r="AI31" s="14">
        <v>0</v>
      </c>
      <c r="AJ31" s="163">
        <v>0</v>
      </c>
      <c r="AK31" s="163">
        <v>0</v>
      </c>
      <c r="AL31" s="26">
        <v>0</v>
      </c>
      <c r="AM31" s="12">
        <v>0</v>
      </c>
      <c r="AN31" s="14">
        <v>0</v>
      </c>
      <c r="AO31" s="163">
        <v>0</v>
      </c>
      <c r="AP31" s="163">
        <v>0</v>
      </c>
      <c r="AQ31" s="163">
        <v>0</v>
      </c>
      <c r="AR31" s="163">
        <v>0</v>
      </c>
      <c r="AS31" s="14">
        <v>1</v>
      </c>
      <c r="AT31" s="163">
        <v>0</v>
      </c>
      <c r="AU31" s="163">
        <v>0</v>
      </c>
      <c r="AV31" s="163">
        <v>1</v>
      </c>
      <c r="AW31" s="26">
        <v>0</v>
      </c>
      <c r="AX31" s="14">
        <v>2</v>
      </c>
      <c r="AY31" s="14">
        <v>0</v>
      </c>
      <c r="AZ31" s="163">
        <v>0</v>
      </c>
      <c r="BA31" s="163">
        <v>1</v>
      </c>
      <c r="BB31" s="26">
        <v>0</v>
      </c>
      <c r="BC31" s="12">
        <v>1</v>
      </c>
      <c r="BD31" s="14">
        <v>0</v>
      </c>
      <c r="BE31" s="163">
        <v>0</v>
      </c>
      <c r="BF31" s="163">
        <v>0</v>
      </c>
      <c r="BG31" s="163">
        <v>0</v>
      </c>
      <c r="BH31" s="163">
        <v>0</v>
      </c>
      <c r="BI31" s="14">
        <v>1</v>
      </c>
      <c r="BJ31" s="163">
        <v>1</v>
      </c>
      <c r="BK31" s="26">
        <v>0</v>
      </c>
      <c r="BL31" s="14">
        <v>0</v>
      </c>
      <c r="BM31" s="163">
        <v>1</v>
      </c>
      <c r="BN31" s="26">
        <v>0</v>
      </c>
      <c r="BO31" s="14">
        <v>1</v>
      </c>
      <c r="BP31" s="12">
        <v>116</v>
      </c>
      <c r="BQ31" s="163">
        <v>2</v>
      </c>
      <c r="BR31" s="14">
        <v>0</v>
      </c>
      <c r="BS31" s="163">
        <v>0</v>
      </c>
      <c r="BT31" s="163">
        <v>0</v>
      </c>
      <c r="BU31" s="26">
        <v>0</v>
      </c>
      <c r="BV31" s="14">
        <v>0</v>
      </c>
      <c r="BW31" s="209"/>
      <c r="BX31" s="3"/>
      <c r="BY31" s="3"/>
      <c r="BZ31" s="40"/>
      <c r="CA31" s="209"/>
      <c r="CB31" s="3"/>
      <c r="CC31" s="3"/>
      <c r="CD31" s="3"/>
      <c r="CE31" s="209"/>
      <c r="CF31" s="3"/>
      <c r="CG31" s="3"/>
      <c r="CH31" s="40"/>
      <c r="CI31" s="209"/>
      <c r="CJ31" s="3"/>
      <c r="CK31" s="3"/>
      <c r="CL31" s="209">
        <v>83.222913404382993</v>
      </c>
      <c r="CM31" s="3"/>
      <c r="CN31" s="3"/>
      <c r="CO31" s="3"/>
      <c r="CP31" s="40"/>
      <c r="CQ31" s="209">
        <v>84.884380473056666</v>
      </c>
      <c r="CR31" s="40"/>
      <c r="CS31" s="3"/>
      <c r="CT31" s="3"/>
    </row>
    <row r="32" spans="1:98" ht="17" thickBot="1">
      <c r="A32" s="55" t="s">
        <v>324</v>
      </c>
      <c r="B32" s="47" t="s">
        <v>315</v>
      </c>
      <c r="C32" s="33"/>
      <c r="D32" s="34" t="s">
        <v>199</v>
      </c>
      <c r="E32" s="33"/>
      <c r="F32" s="33">
        <v>6</v>
      </c>
      <c r="G32" s="34">
        <v>1</v>
      </c>
      <c r="H32" s="36">
        <v>0</v>
      </c>
      <c r="I32" s="36">
        <v>1</v>
      </c>
      <c r="J32" s="33">
        <v>101</v>
      </c>
      <c r="K32" s="34">
        <v>86</v>
      </c>
      <c r="L32" s="35">
        <v>338</v>
      </c>
      <c r="M32" s="34">
        <v>0</v>
      </c>
      <c r="N32" s="36">
        <v>240</v>
      </c>
      <c r="O32" s="34">
        <v>0</v>
      </c>
      <c r="P32" s="35">
        <v>0</v>
      </c>
      <c r="Q32" s="33">
        <v>571</v>
      </c>
      <c r="R32" s="210">
        <v>1.0196428571428571</v>
      </c>
      <c r="S32" s="34">
        <v>1</v>
      </c>
      <c r="T32" s="36">
        <v>1</v>
      </c>
      <c r="U32" s="36">
        <v>0</v>
      </c>
      <c r="V32" s="35">
        <v>0</v>
      </c>
      <c r="W32" s="34">
        <v>1100</v>
      </c>
      <c r="X32" s="34">
        <v>1</v>
      </c>
      <c r="Y32" s="36">
        <v>1</v>
      </c>
      <c r="Z32" s="36">
        <v>0</v>
      </c>
      <c r="AA32" s="35">
        <v>1</v>
      </c>
      <c r="AB32" s="33">
        <v>1101</v>
      </c>
      <c r="AC32" s="34">
        <v>1</v>
      </c>
      <c r="AD32" s="34">
        <v>0</v>
      </c>
      <c r="AE32" s="36">
        <v>1</v>
      </c>
      <c r="AF32" s="36">
        <v>0</v>
      </c>
      <c r="AG32" s="35">
        <v>0</v>
      </c>
      <c r="AH32" s="34">
        <v>100</v>
      </c>
      <c r="AI32" s="34">
        <v>0</v>
      </c>
      <c r="AJ32" s="36">
        <v>0</v>
      </c>
      <c r="AK32" s="36">
        <v>0</v>
      </c>
      <c r="AL32" s="35">
        <v>0</v>
      </c>
      <c r="AM32" s="33">
        <v>0</v>
      </c>
      <c r="AN32" s="34">
        <v>0</v>
      </c>
      <c r="AO32" s="36">
        <v>0</v>
      </c>
      <c r="AP32" s="36">
        <v>0</v>
      </c>
      <c r="AQ32" s="36">
        <v>0</v>
      </c>
      <c r="AR32" s="36">
        <v>0</v>
      </c>
      <c r="AS32" s="34">
        <v>1</v>
      </c>
      <c r="AT32" s="36">
        <v>1</v>
      </c>
      <c r="AU32" s="36">
        <v>0</v>
      </c>
      <c r="AV32" s="36">
        <v>1</v>
      </c>
      <c r="AW32" s="35">
        <v>0</v>
      </c>
      <c r="AX32" s="34">
        <v>3</v>
      </c>
      <c r="AY32" s="34">
        <v>0</v>
      </c>
      <c r="AZ32" s="36">
        <v>0</v>
      </c>
      <c r="BA32" s="36">
        <v>1</v>
      </c>
      <c r="BB32" s="35">
        <v>0</v>
      </c>
      <c r="BC32" s="33">
        <v>1</v>
      </c>
      <c r="BD32" s="34">
        <v>0</v>
      </c>
      <c r="BE32" s="36">
        <v>0</v>
      </c>
      <c r="BF32" s="36">
        <v>0</v>
      </c>
      <c r="BG32" s="36">
        <v>0</v>
      </c>
      <c r="BH32" s="36">
        <v>0</v>
      </c>
      <c r="BI32" s="34">
        <v>1</v>
      </c>
      <c r="BJ32" s="36">
        <v>1</v>
      </c>
      <c r="BK32" s="35">
        <v>0</v>
      </c>
      <c r="BL32" s="34">
        <v>0</v>
      </c>
      <c r="BM32" s="36">
        <v>0</v>
      </c>
      <c r="BN32" s="35">
        <v>0</v>
      </c>
      <c r="BO32" s="34">
        <v>1</v>
      </c>
      <c r="BP32" s="33">
        <v>99</v>
      </c>
      <c r="BQ32" s="36">
        <v>1</v>
      </c>
      <c r="BR32" s="34">
        <v>0</v>
      </c>
      <c r="BS32" s="36">
        <v>0</v>
      </c>
      <c r="BT32" s="36">
        <v>0</v>
      </c>
      <c r="BU32" s="35">
        <v>0</v>
      </c>
      <c r="BV32" s="34">
        <v>0</v>
      </c>
      <c r="BW32" s="210"/>
      <c r="BX32" s="51"/>
      <c r="BY32" s="51"/>
      <c r="BZ32" s="48"/>
      <c r="CA32" s="210"/>
      <c r="CB32" s="51"/>
      <c r="CC32" s="51"/>
      <c r="CD32" s="51"/>
      <c r="CE32" s="210"/>
      <c r="CF32" s="51"/>
      <c r="CG32" s="51"/>
      <c r="CH32" s="48"/>
      <c r="CI32" s="210"/>
      <c r="CJ32" s="51"/>
      <c r="CK32" s="51"/>
      <c r="CL32" s="210"/>
      <c r="CM32" s="51"/>
      <c r="CN32" s="51"/>
      <c r="CO32" s="51"/>
      <c r="CP32" s="48"/>
      <c r="CQ32" s="210"/>
      <c r="CR32" s="48"/>
      <c r="CS32" s="3"/>
      <c r="CT32" s="3"/>
    </row>
    <row r="33" spans="1:98">
      <c r="A33" s="87" t="s">
        <v>324</v>
      </c>
      <c r="B33" s="7" t="s">
        <v>424</v>
      </c>
      <c r="C33" s="9"/>
      <c r="D33" s="11" t="s">
        <v>189</v>
      </c>
      <c r="E33" s="9"/>
      <c r="F33" s="9">
        <v>4</v>
      </c>
      <c r="G33" s="11">
        <v>1</v>
      </c>
      <c r="H33" s="8">
        <v>0</v>
      </c>
      <c r="I33" s="8">
        <v>0</v>
      </c>
      <c r="J33" s="9">
        <v>100</v>
      </c>
      <c r="K33" s="11">
        <v>414</v>
      </c>
      <c r="L33" s="41">
        <v>855</v>
      </c>
      <c r="M33" s="11">
        <v>76</v>
      </c>
      <c r="N33" s="8">
        <v>514</v>
      </c>
      <c r="O33" s="11">
        <v>0</v>
      </c>
      <c r="P33" s="41">
        <v>0</v>
      </c>
      <c r="Q33" s="9">
        <v>855</v>
      </c>
      <c r="R33" s="208">
        <v>1.0490797546012269</v>
      </c>
      <c r="S33" s="11">
        <v>1</v>
      </c>
      <c r="T33" s="8">
        <v>1</v>
      </c>
      <c r="U33" s="8">
        <v>0</v>
      </c>
      <c r="V33" s="41">
        <v>0</v>
      </c>
      <c r="W33" s="11">
        <v>1100</v>
      </c>
      <c r="X33" s="11">
        <v>1</v>
      </c>
      <c r="Y33" s="8">
        <v>0</v>
      </c>
      <c r="Z33" s="8">
        <v>0</v>
      </c>
      <c r="AA33" s="41">
        <v>0</v>
      </c>
      <c r="AB33" s="9">
        <v>1000</v>
      </c>
      <c r="AC33" s="11">
        <v>0</v>
      </c>
      <c r="AD33" s="11">
        <v>0</v>
      </c>
      <c r="AE33" s="8">
        <v>1</v>
      </c>
      <c r="AF33" s="8">
        <v>0</v>
      </c>
      <c r="AG33" s="41">
        <v>0</v>
      </c>
      <c r="AH33" s="11">
        <v>100</v>
      </c>
      <c r="AI33" s="11">
        <v>0</v>
      </c>
      <c r="AJ33" s="8">
        <v>0</v>
      </c>
      <c r="AK33" s="8">
        <v>0</v>
      </c>
      <c r="AL33" s="41">
        <v>0</v>
      </c>
      <c r="AM33" s="9">
        <v>0</v>
      </c>
      <c r="AN33" s="11">
        <v>0</v>
      </c>
      <c r="AO33" s="8">
        <v>0</v>
      </c>
      <c r="AP33" s="8">
        <v>0</v>
      </c>
      <c r="AQ33" s="8">
        <v>0</v>
      </c>
      <c r="AR33" s="8">
        <v>0</v>
      </c>
      <c r="AS33" s="11">
        <v>1</v>
      </c>
      <c r="AT33" s="8">
        <v>0</v>
      </c>
      <c r="AU33" s="8">
        <v>0</v>
      </c>
      <c r="AV33" s="8">
        <v>0</v>
      </c>
      <c r="AW33" s="41">
        <v>0</v>
      </c>
      <c r="AX33" s="11">
        <v>1</v>
      </c>
      <c r="AY33" s="11">
        <v>0</v>
      </c>
      <c r="AZ33" s="8">
        <v>0</v>
      </c>
      <c r="BA33" s="8">
        <v>0</v>
      </c>
      <c r="BB33" s="41">
        <v>1</v>
      </c>
      <c r="BC33" s="9">
        <v>1</v>
      </c>
      <c r="BD33" s="102">
        <v>0</v>
      </c>
      <c r="BE33" s="100">
        <v>0</v>
      </c>
      <c r="BF33" s="100">
        <v>0</v>
      </c>
      <c r="BG33" s="100">
        <v>0</v>
      </c>
      <c r="BH33" s="100">
        <v>0</v>
      </c>
      <c r="BI33" s="11">
        <v>1</v>
      </c>
      <c r="BJ33" s="8">
        <v>1</v>
      </c>
      <c r="BK33" s="41">
        <v>0</v>
      </c>
      <c r="BL33" s="11">
        <v>0</v>
      </c>
      <c r="BM33" s="8">
        <v>0</v>
      </c>
      <c r="BN33" s="41">
        <v>0</v>
      </c>
      <c r="BO33" s="11">
        <v>0</v>
      </c>
      <c r="BP33" s="9">
        <v>115</v>
      </c>
      <c r="BQ33" s="8">
        <v>2</v>
      </c>
      <c r="BR33" s="11">
        <v>0</v>
      </c>
      <c r="BS33" s="8">
        <v>0</v>
      </c>
      <c r="BT33" s="8">
        <v>0</v>
      </c>
      <c r="BU33" s="41">
        <v>0</v>
      </c>
      <c r="BV33" s="11">
        <v>0</v>
      </c>
      <c r="BW33" s="208"/>
      <c r="BX33" s="54"/>
      <c r="BY33" s="54"/>
      <c r="BZ33" s="10"/>
      <c r="CA33" s="208"/>
      <c r="CB33" s="54"/>
      <c r="CC33" s="54"/>
      <c r="CD33" s="54"/>
      <c r="CE33" s="208"/>
      <c r="CF33" s="54"/>
      <c r="CG33" s="54"/>
      <c r="CH33" s="10"/>
      <c r="CI33" s="208"/>
      <c r="CJ33" s="54"/>
      <c r="CK33" s="54"/>
      <c r="CL33" s="208"/>
      <c r="CM33" s="54"/>
      <c r="CN33" s="54"/>
      <c r="CO33" s="54"/>
      <c r="CP33" s="10"/>
      <c r="CQ33" s="208"/>
      <c r="CR33" s="10"/>
      <c r="CS33" s="3"/>
      <c r="CT33" s="3"/>
    </row>
    <row r="34" spans="1:98" ht="17" thickBot="1">
      <c r="A34" s="55" t="s">
        <v>324</v>
      </c>
      <c r="B34" s="47" t="s">
        <v>424</v>
      </c>
      <c r="C34" s="33"/>
      <c r="D34" s="34" t="s">
        <v>208</v>
      </c>
      <c r="E34" s="33"/>
      <c r="F34" s="33">
        <v>9</v>
      </c>
      <c r="G34" s="34">
        <v>1</v>
      </c>
      <c r="H34" s="36">
        <v>0</v>
      </c>
      <c r="I34" s="36">
        <v>1</v>
      </c>
      <c r="J34" s="33">
        <v>101</v>
      </c>
      <c r="K34" s="34">
        <v>109</v>
      </c>
      <c r="L34" s="35">
        <v>953</v>
      </c>
      <c r="M34" s="34">
        <v>93</v>
      </c>
      <c r="N34" s="36">
        <v>355</v>
      </c>
      <c r="O34" s="34">
        <v>0</v>
      </c>
      <c r="P34" s="35">
        <v>0</v>
      </c>
      <c r="Q34" s="33">
        <v>1066</v>
      </c>
      <c r="R34" s="210">
        <v>1.09783728115345</v>
      </c>
      <c r="S34" s="34">
        <v>1</v>
      </c>
      <c r="T34" s="36">
        <v>1</v>
      </c>
      <c r="U34" s="36">
        <v>0</v>
      </c>
      <c r="V34" s="35">
        <v>0</v>
      </c>
      <c r="W34" s="34">
        <v>1100</v>
      </c>
      <c r="X34" s="34">
        <v>1</v>
      </c>
      <c r="Y34" s="36">
        <v>0</v>
      </c>
      <c r="Z34" s="36">
        <v>0</v>
      </c>
      <c r="AA34" s="35">
        <v>1</v>
      </c>
      <c r="AB34" s="33">
        <v>1001</v>
      </c>
      <c r="AC34" s="34">
        <v>0</v>
      </c>
      <c r="AD34" s="34">
        <v>0</v>
      </c>
      <c r="AE34" s="36">
        <v>0</v>
      </c>
      <c r="AF34" s="36">
        <v>1</v>
      </c>
      <c r="AG34" s="35">
        <v>0</v>
      </c>
      <c r="AH34" s="34">
        <v>10</v>
      </c>
      <c r="AI34" s="34">
        <v>0</v>
      </c>
      <c r="AJ34" s="36">
        <v>0</v>
      </c>
      <c r="AK34" s="36">
        <v>0</v>
      </c>
      <c r="AL34" s="35">
        <v>0</v>
      </c>
      <c r="AM34" s="33">
        <v>0</v>
      </c>
      <c r="AN34" s="34">
        <v>0</v>
      </c>
      <c r="AO34" s="36">
        <v>0</v>
      </c>
      <c r="AP34" s="36">
        <v>0</v>
      </c>
      <c r="AQ34" s="36">
        <v>0</v>
      </c>
      <c r="AR34" s="36">
        <v>0</v>
      </c>
      <c r="AS34" s="34">
        <v>1</v>
      </c>
      <c r="AT34" s="36">
        <v>1</v>
      </c>
      <c r="AU34" s="36">
        <v>0</v>
      </c>
      <c r="AV34" s="36">
        <v>0</v>
      </c>
      <c r="AW34" s="35">
        <v>0</v>
      </c>
      <c r="AX34" s="34">
        <v>2</v>
      </c>
      <c r="AY34" s="34">
        <v>0</v>
      </c>
      <c r="AZ34" s="36">
        <v>0</v>
      </c>
      <c r="BA34" s="36">
        <v>0</v>
      </c>
      <c r="BB34" s="35">
        <v>1</v>
      </c>
      <c r="BC34" s="33">
        <v>1</v>
      </c>
      <c r="BD34" s="105">
        <v>0</v>
      </c>
      <c r="BE34" s="103">
        <v>0</v>
      </c>
      <c r="BF34" s="103">
        <v>0</v>
      </c>
      <c r="BG34" s="103">
        <v>0</v>
      </c>
      <c r="BH34" s="103">
        <v>0</v>
      </c>
      <c r="BI34" s="34">
        <v>1</v>
      </c>
      <c r="BJ34" s="36">
        <v>1</v>
      </c>
      <c r="BK34" s="35">
        <v>0</v>
      </c>
      <c r="BL34" s="34">
        <v>0</v>
      </c>
      <c r="BM34" s="36">
        <v>0</v>
      </c>
      <c r="BN34" s="35">
        <v>0</v>
      </c>
      <c r="BO34" s="34">
        <v>1</v>
      </c>
      <c r="BP34" s="33">
        <v>107</v>
      </c>
      <c r="BQ34" s="36">
        <v>2</v>
      </c>
      <c r="BR34" s="34">
        <v>0</v>
      </c>
      <c r="BS34" s="36">
        <v>0</v>
      </c>
      <c r="BT34" s="36">
        <v>0</v>
      </c>
      <c r="BU34" s="35">
        <v>0</v>
      </c>
      <c r="BV34" s="34">
        <v>0</v>
      </c>
      <c r="BW34" s="210"/>
      <c r="BX34" s="51"/>
      <c r="BY34" s="51"/>
      <c r="BZ34" s="48"/>
      <c r="CA34" s="210"/>
      <c r="CB34" s="51"/>
      <c r="CC34" s="51"/>
      <c r="CD34" s="51"/>
      <c r="CE34" s="210"/>
      <c r="CF34" s="51"/>
      <c r="CG34" s="51"/>
      <c r="CH34" s="48"/>
      <c r="CI34" s="210"/>
      <c r="CJ34" s="51"/>
      <c r="CK34" s="51"/>
      <c r="CL34" s="210"/>
      <c r="CM34" s="51"/>
      <c r="CN34" s="51"/>
      <c r="CO34" s="51"/>
      <c r="CP34" s="48"/>
      <c r="CQ34" s="210"/>
      <c r="CR34" s="48"/>
      <c r="CS34" s="3"/>
      <c r="CT34" s="3"/>
    </row>
    <row r="35" spans="1:98">
      <c r="A35" s="87" t="s">
        <v>324</v>
      </c>
      <c r="B35" s="7" t="s">
        <v>312</v>
      </c>
      <c r="C35" s="9"/>
      <c r="D35" s="11" t="s">
        <v>189</v>
      </c>
      <c r="E35" s="9"/>
      <c r="F35" s="9">
        <v>3</v>
      </c>
      <c r="G35" s="11">
        <v>0</v>
      </c>
      <c r="H35" s="8">
        <v>0</v>
      </c>
      <c r="I35" s="8">
        <v>1</v>
      </c>
      <c r="J35" s="9">
        <v>1</v>
      </c>
      <c r="K35" s="11">
        <v>0</v>
      </c>
      <c r="L35" s="41">
        <v>396</v>
      </c>
      <c r="M35" s="11">
        <v>124</v>
      </c>
      <c r="N35" s="8">
        <v>196</v>
      </c>
      <c r="O35" s="11">
        <v>0</v>
      </c>
      <c r="P35" s="41">
        <v>0</v>
      </c>
      <c r="Q35" s="9">
        <v>465</v>
      </c>
      <c r="R35" s="208">
        <v>2.3724489795918369</v>
      </c>
      <c r="S35" s="11">
        <v>1</v>
      </c>
      <c r="T35" s="8">
        <v>1</v>
      </c>
      <c r="U35" s="8">
        <v>0</v>
      </c>
      <c r="V35" s="41">
        <v>0</v>
      </c>
      <c r="W35" s="11">
        <v>1100</v>
      </c>
      <c r="X35" s="11">
        <v>0</v>
      </c>
      <c r="Y35" s="8">
        <v>1</v>
      </c>
      <c r="Z35" s="8">
        <v>0</v>
      </c>
      <c r="AA35" s="41">
        <v>0</v>
      </c>
      <c r="AB35" s="9">
        <v>100</v>
      </c>
      <c r="AC35" s="11">
        <v>0</v>
      </c>
      <c r="AD35" s="11">
        <v>0</v>
      </c>
      <c r="AE35" s="8">
        <v>1</v>
      </c>
      <c r="AF35" s="8">
        <v>0</v>
      </c>
      <c r="AG35" s="41">
        <v>0</v>
      </c>
      <c r="AH35" s="11">
        <v>100</v>
      </c>
      <c r="AI35" s="11">
        <v>0</v>
      </c>
      <c r="AJ35" s="8">
        <v>0</v>
      </c>
      <c r="AK35" s="8">
        <v>0</v>
      </c>
      <c r="AL35" s="41">
        <v>0</v>
      </c>
      <c r="AM35" s="9">
        <v>0</v>
      </c>
      <c r="AN35" s="11">
        <v>0</v>
      </c>
      <c r="AO35" s="8">
        <v>0</v>
      </c>
      <c r="AP35" s="8">
        <v>0</v>
      </c>
      <c r="AQ35" s="8">
        <v>0</v>
      </c>
      <c r="AR35" s="8">
        <v>0</v>
      </c>
      <c r="AS35" s="11">
        <v>1</v>
      </c>
      <c r="AT35" s="8">
        <v>0</v>
      </c>
      <c r="AU35" s="8">
        <v>0</v>
      </c>
      <c r="AV35" s="8">
        <v>0</v>
      </c>
      <c r="AW35" s="41">
        <v>0</v>
      </c>
      <c r="AX35" s="11">
        <v>1</v>
      </c>
      <c r="AY35" s="11">
        <v>0</v>
      </c>
      <c r="AZ35" s="8">
        <v>0</v>
      </c>
      <c r="BA35" s="8">
        <v>0</v>
      </c>
      <c r="BB35" s="41">
        <v>0</v>
      </c>
      <c r="BC35" s="9">
        <v>0</v>
      </c>
      <c r="BD35" s="102">
        <v>0</v>
      </c>
      <c r="BE35" s="100">
        <v>0</v>
      </c>
      <c r="BF35" s="100">
        <v>0</v>
      </c>
      <c r="BG35" s="100">
        <v>0</v>
      </c>
      <c r="BH35" s="100">
        <v>0</v>
      </c>
      <c r="BI35" s="11">
        <v>1</v>
      </c>
      <c r="BJ35" s="8">
        <v>1</v>
      </c>
      <c r="BK35" s="41">
        <v>0</v>
      </c>
      <c r="BL35" s="11">
        <v>0</v>
      </c>
      <c r="BM35" s="8">
        <v>0</v>
      </c>
      <c r="BN35" s="41">
        <v>0</v>
      </c>
      <c r="BO35" s="11">
        <v>0</v>
      </c>
      <c r="BP35" s="9">
        <v>80</v>
      </c>
      <c r="BQ35" s="8">
        <v>2</v>
      </c>
      <c r="BR35" s="11">
        <v>0</v>
      </c>
      <c r="BS35" s="8">
        <v>0</v>
      </c>
      <c r="BT35" s="8">
        <v>0</v>
      </c>
      <c r="BU35" s="41">
        <v>0</v>
      </c>
      <c r="BV35" s="11">
        <v>0</v>
      </c>
      <c r="BW35" s="208"/>
      <c r="BX35" s="54"/>
      <c r="BY35" s="54"/>
      <c r="BZ35" s="10"/>
      <c r="CA35" s="208"/>
      <c r="CB35" s="54"/>
      <c r="CC35" s="54"/>
      <c r="CD35" s="54"/>
      <c r="CE35" s="208"/>
      <c r="CF35" s="54"/>
      <c r="CG35" s="54"/>
      <c r="CH35" s="10"/>
      <c r="CI35" s="208"/>
      <c r="CJ35" s="54"/>
      <c r="CK35" s="54"/>
      <c r="CL35" s="208"/>
      <c r="CM35" s="54"/>
      <c r="CN35" s="54"/>
      <c r="CO35" s="54"/>
      <c r="CP35" s="10"/>
      <c r="CQ35" s="208"/>
      <c r="CR35" s="10"/>
      <c r="CS35" s="3"/>
      <c r="CT35" s="3"/>
    </row>
    <row r="36" spans="1:98">
      <c r="A36" s="42" t="s">
        <v>324</v>
      </c>
      <c r="B36" s="173" t="s">
        <v>312</v>
      </c>
      <c r="C36" s="12"/>
      <c r="D36" s="14" t="s">
        <v>194</v>
      </c>
      <c r="E36" s="12"/>
      <c r="F36" s="12">
        <v>5</v>
      </c>
      <c r="G36" s="14">
        <v>0</v>
      </c>
      <c r="H36" s="163">
        <v>0</v>
      </c>
      <c r="I36" s="163">
        <v>1</v>
      </c>
      <c r="J36" s="12">
        <v>1</v>
      </c>
      <c r="K36" s="14">
        <v>233</v>
      </c>
      <c r="L36" s="26">
        <v>883</v>
      </c>
      <c r="M36" s="14">
        <v>231</v>
      </c>
      <c r="N36" s="163">
        <v>246</v>
      </c>
      <c r="O36" s="14">
        <v>0</v>
      </c>
      <c r="P36" s="26">
        <v>0</v>
      </c>
      <c r="Q36" s="12">
        <v>994</v>
      </c>
      <c r="R36" s="209">
        <v>2.1014799154334036</v>
      </c>
      <c r="S36" s="14">
        <v>1</v>
      </c>
      <c r="T36" s="163">
        <v>1</v>
      </c>
      <c r="U36" s="163">
        <v>0</v>
      </c>
      <c r="V36" s="26">
        <v>0</v>
      </c>
      <c r="W36" s="14">
        <v>1100</v>
      </c>
      <c r="X36" s="14">
        <v>1</v>
      </c>
      <c r="Y36" s="163">
        <v>0</v>
      </c>
      <c r="Z36" s="163">
        <v>1</v>
      </c>
      <c r="AA36" s="26">
        <v>0</v>
      </c>
      <c r="AB36" s="12">
        <v>1010</v>
      </c>
      <c r="AC36" s="14">
        <v>0</v>
      </c>
      <c r="AD36" s="14">
        <v>0</v>
      </c>
      <c r="AE36" s="163">
        <v>0</v>
      </c>
      <c r="AF36" s="163">
        <v>1</v>
      </c>
      <c r="AG36" s="26">
        <v>0</v>
      </c>
      <c r="AH36" s="14">
        <v>10</v>
      </c>
      <c r="AI36" s="14">
        <v>0</v>
      </c>
      <c r="AJ36" s="163">
        <v>0</v>
      </c>
      <c r="AK36" s="163">
        <v>0</v>
      </c>
      <c r="AL36" s="26">
        <v>0</v>
      </c>
      <c r="AM36" s="12">
        <v>0</v>
      </c>
      <c r="AN36" s="14">
        <v>0</v>
      </c>
      <c r="AO36" s="163">
        <v>0</v>
      </c>
      <c r="AP36" s="163">
        <v>0</v>
      </c>
      <c r="AQ36" s="163">
        <v>0</v>
      </c>
      <c r="AR36" s="163">
        <v>0</v>
      </c>
      <c r="AS36" s="14">
        <v>1</v>
      </c>
      <c r="AT36" s="163">
        <v>1</v>
      </c>
      <c r="AU36" s="163">
        <v>0</v>
      </c>
      <c r="AV36" s="163">
        <v>0</v>
      </c>
      <c r="AW36" s="26">
        <v>0</v>
      </c>
      <c r="AX36" s="14">
        <v>2</v>
      </c>
      <c r="AY36" s="14">
        <v>0</v>
      </c>
      <c r="AZ36" s="163">
        <v>0</v>
      </c>
      <c r="BA36" s="163">
        <v>0</v>
      </c>
      <c r="BB36" s="26">
        <v>1</v>
      </c>
      <c r="BC36" s="12">
        <v>1</v>
      </c>
      <c r="BD36" s="23">
        <v>0</v>
      </c>
      <c r="BE36" s="24">
        <v>0</v>
      </c>
      <c r="BF36" s="24">
        <v>0</v>
      </c>
      <c r="BG36" s="24">
        <v>0</v>
      </c>
      <c r="BH36" s="24">
        <v>0</v>
      </c>
      <c r="BI36" s="14">
        <v>1</v>
      </c>
      <c r="BJ36" s="163">
        <v>0</v>
      </c>
      <c r="BK36" s="26">
        <v>0</v>
      </c>
      <c r="BL36" s="14">
        <v>0</v>
      </c>
      <c r="BM36" s="163">
        <v>0</v>
      </c>
      <c r="BN36" s="26">
        <v>0</v>
      </c>
      <c r="BO36" s="14">
        <v>1</v>
      </c>
      <c r="BP36" s="12">
        <v>94</v>
      </c>
      <c r="BQ36" s="163">
        <v>2</v>
      </c>
      <c r="BR36" s="14">
        <v>0</v>
      </c>
      <c r="BS36" s="163">
        <v>0</v>
      </c>
      <c r="BT36" s="163">
        <v>0</v>
      </c>
      <c r="BU36" s="26">
        <v>1</v>
      </c>
      <c r="BV36" s="14">
        <v>1</v>
      </c>
      <c r="BW36" s="209"/>
      <c r="BX36" s="3"/>
      <c r="BY36" s="3"/>
      <c r="BZ36" s="40"/>
      <c r="CA36" s="209"/>
      <c r="CB36" s="3"/>
      <c r="CC36" s="3"/>
      <c r="CD36" s="3"/>
      <c r="CE36" s="209"/>
      <c r="CF36" s="3"/>
      <c r="CG36" s="3"/>
      <c r="CH36" s="40"/>
      <c r="CI36" s="209"/>
      <c r="CJ36" s="3"/>
      <c r="CK36" s="3"/>
      <c r="CL36" s="209"/>
      <c r="CM36" s="3"/>
      <c r="CN36" s="3"/>
      <c r="CO36" s="3"/>
      <c r="CP36" s="40"/>
      <c r="CQ36" s="209"/>
      <c r="CR36" s="40"/>
      <c r="CS36" s="3"/>
      <c r="CT36" s="3"/>
    </row>
    <row r="37" spans="1:98">
      <c r="A37" s="42" t="s">
        <v>324</v>
      </c>
      <c r="B37" s="173" t="s">
        <v>312</v>
      </c>
      <c r="C37" s="12"/>
      <c r="D37" s="14" t="s">
        <v>381</v>
      </c>
      <c r="E37" s="12"/>
      <c r="F37" s="12">
        <v>10</v>
      </c>
      <c r="G37" s="14">
        <v>0</v>
      </c>
      <c r="H37" s="163">
        <v>0</v>
      </c>
      <c r="I37" s="163">
        <v>1</v>
      </c>
      <c r="J37" s="12">
        <v>1</v>
      </c>
      <c r="K37" s="14">
        <v>103</v>
      </c>
      <c r="L37" s="26">
        <v>519</v>
      </c>
      <c r="M37" s="14">
        <v>30</v>
      </c>
      <c r="N37" s="163">
        <v>189</v>
      </c>
      <c r="O37" s="14">
        <v>0</v>
      </c>
      <c r="P37" s="26">
        <v>0</v>
      </c>
      <c r="Q37" s="12">
        <v>777</v>
      </c>
      <c r="R37" s="209">
        <v>1.5508982035928143</v>
      </c>
      <c r="S37" s="14">
        <v>1</v>
      </c>
      <c r="T37" s="163">
        <v>1</v>
      </c>
      <c r="U37" s="163">
        <v>0</v>
      </c>
      <c r="V37" s="26">
        <v>0</v>
      </c>
      <c r="W37" s="14">
        <v>1100</v>
      </c>
      <c r="X37" s="14">
        <v>1</v>
      </c>
      <c r="Y37" s="163">
        <v>0</v>
      </c>
      <c r="Z37" s="163">
        <v>0</v>
      </c>
      <c r="AA37" s="26">
        <v>1</v>
      </c>
      <c r="AB37" s="12">
        <v>1001</v>
      </c>
      <c r="AC37" s="14">
        <v>1</v>
      </c>
      <c r="AD37" s="14">
        <v>0</v>
      </c>
      <c r="AE37" s="163">
        <v>1</v>
      </c>
      <c r="AF37" s="163">
        <v>1</v>
      </c>
      <c r="AG37" s="26">
        <v>0</v>
      </c>
      <c r="AH37" s="14">
        <v>110</v>
      </c>
      <c r="AI37" s="14">
        <v>0</v>
      </c>
      <c r="AJ37" s="163">
        <v>0</v>
      </c>
      <c r="AK37" s="163">
        <v>0</v>
      </c>
      <c r="AL37" s="26">
        <v>0</v>
      </c>
      <c r="AM37" s="12">
        <v>0</v>
      </c>
      <c r="AN37" s="14">
        <v>0</v>
      </c>
      <c r="AO37" s="163">
        <v>0</v>
      </c>
      <c r="AP37" s="163">
        <v>0</v>
      </c>
      <c r="AQ37" s="163">
        <v>0</v>
      </c>
      <c r="AR37" s="163">
        <v>0</v>
      </c>
      <c r="AS37" s="14">
        <v>1</v>
      </c>
      <c r="AT37" s="163">
        <v>0</v>
      </c>
      <c r="AU37" s="163">
        <v>0</v>
      </c>
      <c r="AV37" s="163">
        <v>0</v>
      </c>
      <c r="AW37" s="26">
        <v>0</v>
      </c>
      <c r="AX37" s="14">
        <v>1</v>
      </c>
      <c r="AY37" s="14">
        <v>0</v>
      </c>
      <c r="AZ37" s="163">
        <v>0</v>
      </c>
      <c r="BA37" s="163">
        <v>1</v>
      </c>
      <c r="BB37" s="26">
        <v>0</v>
      </c>
      <c r="BC37" s="12">
        <v>1</v>
      </c>
      <c r="BD37" s="23">
        <v>0</v>
      </c>
      <c r="BE37" s="24">
        <v>0</v>
      </c>
      <c r="BF37" s="24">
        <v>0</v>
      </c>
      <c r="BG37" s="24">
        <v>0</v>
      </c>
      <c r="BH37" s="24">
        <v>0</v>
      </c>
      <c r="BI37" s="14">
        <v>1</v>
      </c>
      <c r="BJ37" s="163">
        <v>1</v>
      </c>
      <c r="BK37" s="26">
        <v>0</v>
      </c>
      <c r="BL37" s="14">
        <v>0</v>
      </c>
      <c r="BM37" s="163">
        <v>0</v>
      </c>
      <c r="BN37" s="26">
        <v>0</v>
      </c>
      <c r="BO37" s="14">
        <v>0</v>
      </c>
      <c r="BP37" s="12">
        <v>90</v>
      </c>
      <c r="BQ37" s="163">
        <v>1</v>
      </c>
      <c r="BR37" s="14">
        <v>0</v>
      </c>
      <c r="BS37" s="163">
        <v>0</v>
      </c>
      <c r="BT37" s="163">
        <v>0</v>
      </c>
      <c r="BU37" s="26">
        <v>0</v>
      </c>
      <c r="BV37" s="14">
        <v>0</v>
      </c>
      <c r="BW37" s="209"/>
      <c r="BX37" s="3"/>
      <c r="BY37" s="3"/>
      <c r="BZ37" s="40"/>
      <c r="CA37" s="209"/>
      <c r="CB37" s="3"/>
      <c r="CC37" s="3"/>
      <c r="CD37" s="3"/>
      <c r="CE37" s="209"/>
      <c r="CF37" s="3"/>
      <c r="CG37" s="3"/>
      <c r="CH37" s="40"/>
      <c r="CI37" s="209"/>
      <c r="CJ37" s="3"/>
      <c r="CK37" s="3"/>
      <c r="CL37" s="209"/>
      <c r="CM37" s="3"/>
      <c r="CN37" s="3"/>
      <c r="CO37" s="3"/>
      <c r="CP37" s="40"/>
      <c r="CQ37" s="209"/>
      <c r="CR37" s="40"/>
      <c r="CS37" s="3"/>
      <c r="CT37" s="3"/>
    </row>
    <row r="38" spans="1:98">
      <c r="A38" s="42" t="s">
        <v>324</v>
      </c>
      <c r="B38" s="173" t="s">
        <v>312</v>
      </c>
      <c r="C38" s="12"/>
      <c r="D38" s="14" t="s">
        <v>208</v>
      </c>
      <c r="E38" s="12"/>
      <c r="F38" s="12">
        <v>6</v>
      </c>
      <c r="G38" s="14">
        <v>0</v>
      </c>
      <c r="H38" s="163">
        <v>0</v>
      </c>
      <c r="I38" s="163">
        <v>1</v>
      </c>
      <c r="J38" s="12">
        <v>1</v>
      </c>
      <c r="K38" s="14">
        <v>79</v>
      </c>
      <c r="L38" s="26">
        <v>343</v>
      </c>
      <c r="M38" s="14">
        <v>0</v>
      </c>
      <c r="N38" s="163">
        <v>473</v>
      </c>
      <c r="O38" s="14">
        <v>0</v>
      </c>
      <c r="P38" s="26">
        <v>0</v>
      </c>
      <c r="Q38" s="12">
        <v>495</v>
      </c>
      <c r="R38" s="209">
        <v>1.0465116279069768</v>
      </c>
      <c r="S38" s="14">
        <v>1</v>
      </c>
      <c r="T38" s="163">
        <v>1</v>
      </c>
      <c r="U38" s="163">
        <v>0</v>
      </c>
      <c r="V38" s="26">
        <v>0</v>
      </c>
      <c r="W38" s="14">
        <v>1100</v>
      </c>
      <c r="X38" s="14">
        <v>1</v>
      </c>
      <c r="Y38" s="163">
        <v>1</v>
      </c>
      <c r="Z38" s="163">
        <v>0</v>
      </c>
      <c r="AA38" s="26">
        <v>0</v>
      </c>
      <c r="AB38" s="12">
        <v>1100</v>
      </c>
      <c r="AC38" s="14">
        <v>0</v>
      </c>
      <c r="AD38" s="14">
        <v>0</v>
      </c>
      <c r="AE38" s="163">
        <v>0</v>
      </c>
      <c r="AF38" s="163">
        <v>1</v>
      </c>
      <c r="AG38" s="26">
        <v>0</v>
      </c>
      <c r="AH38" s="14">
        <v>10</v>
      </c>
      <c r="AI38" s="14">
        <v>0</v>
      </c>
      <c r="AJ38" s="163">
        <v>0</v>
      </c>
      <c r="AK38" s="163">
        <v>0</v>
      </c>
      <c r="AL38" s="26">
        <v>0</v>
      </c>
      <c r="AM38" s="12">
        <v>0</v>
      </c>
      <c r="AN38" s="14">
        <v>0</v>
      </c>
      <c r="AO38" s="163">
        <v>0</v>
      </c>
      <c r="AP38" s="163">
        <v>0</v>
      </c>
      <c r="AQ38" s="163">
        <v>0</v>
      </c>
      <c r="AR38" s="163">
        <v>0</v>
      </c>
      <c r="AS38" s="14">
        <v>1</v>
      </c>
      <c r="AT38" s="163">
        <v>0</v>
      </c>
      <c r="AU38" s="163">
        <v>0</v>
      </c>
      <c r="AV38" s="163">
        <v>0</v>
      </c>
      <c r="AW38" s="26">
        <v>0</v>
      </c>
      <c r="AX38" s="14">
        <v>1</v>
      </c>
      <c r="AY38" s="14">
        <v>0</v>
      </c>
      <c r="AZ38" s="163">
        <v>0</v>
      </c>
      <c r="BA38" s="163">
        <v>0</v>
      </c>
      <c r="BB38" s="26">
        <v>1</v>
      </c>
      <c r="BC38" s="12">
        <v>1</v>
      </c>
      <c r="BD38" s="23">
        <v>0</v>
      </c>
      <c r="BE38" s="24">
        <v>0</v>
      </c>
      <c r="BF38" s="24">
        <v>0</v>
      </c>
      <c r="BG38" s="24">
        <v>0</v>
      </c>
      <c r="BH38" s="24">
        <v>0</v>
      </c>
      <c r="BI38" s="14">
        <v>1</v>
      </c>
      <c r="BJ38" s="163">
        <v>1</v>
      </c>
      <c r="BK38" s="26">
        <v>0</v>
      </c>
      <c r="BL38" s="14">
        <v>0</v>
      </c>
      <c r="BM38" s="163">
        <v>1</v>
      </c>
      <c r="BN38" s="26">
        <v>0</v>
      </c>
      <c r="BO38" s="14">
        <v>1</v>
      </c>
      <c r="BP38" s="12">
        <v>102</v>
      </c>
      <c r="BQ38" s="163">
        <v>2</v>
      </c>
      <c r="BR38" s="14">
        <v>0</v>
      </c>
      <c r="BS38" s="163">
        <v>0</v>
      </c>
      <c r="BT38" s="163">
        <v>0</v>
      </c>
      <c r="BU38" s="26">
        <v>0</v>
      </c>
      <c r="BV38" s="14">
        <v>0</v>
      </c>
      <c r="BW38" s="209"/>
      <c r="BX38" s="3"/>
      <c r="BY38" s="3"/>
      <c r="BZ38" s="40"/>
      <c r="CA38" s="209"/>
      <c r="CB38" s="3"/>
      <c r="CC38" s="3"/>
      <c r="CD38" s="3"/>
      <c r="CE38" s="209"/>
      <c r="CF38" s="3"/>
      <c r="CG38" s="3"/>
      <c r="CH38" s="40"/>
      <c r="CI38" s="209"/>
      <c r="CJ38" s="3"/>
      <c r="CK38" s="3"/>
      <c r="CL38" s="209">
        <v>87.732659709873317</v>
      </c>
      <c r="CM38" s="3"/>
      <c r="CN38" s="3"/>
      <c r="CO38" s="3"/>
      <c r="CP38" s="40"/>
      <c r="CQ38" s="209">
        <v>88.196874250522299</v>
      </c>
      <c r="CR38" s="40"/>
      <c r="CS38" s="3"/>
      <c r="CT38" s="3"/>
    </row>
    <row r="39" spans="1:98">
      <c r="A39" s="42" t="s">
        <v>324</v>
      </c>
      <c r="B39" s="173" t="s">
        <v>312</v>
      </c>
      <c r="C39" s="12"/>
      <c r="D39" s="14" t="s">
        <v>168</v>
      </c>
      <c r="E39" s="12"/>
      <c r="F39" s="12">
        <v>8</v>
      </c>
      <c r="G39" s="14">
        <v>0</v>
      </c>
      <c r="H39" s="163">
        <v>0</v>
      </c>
      <c r="I39" s="163">
        <v>1</v>
      </c>
      <c r="J39" s="12">
        <v>1</v>
      </c>
      <c r="K39" s="14">
        <v>147</v>
      </c>
      <c r="L39" s="26">
        <v>410</v>
      </c>
      <c r="M39" s="14">
        <v>245</v>
      </c>
      <c r="N39" s="163">
        <v>258</v>
      </c>
      <c r="O39" s="14">
        <v>0</v>
      </c>
      <c r="P39" s="26">
        <v>0</v>
      </c>
      <c r="Q39" s="12">
        <v>766</v>
      </c>
      <c r="R39" s="209">
        <v>1.3851717902350813</v>
      </c>
      <c r="S39" s="14">
        <v>1</v>
      </c>
      <c r="T39" s="163">
        <v>1</v>
      </c>
      <c r="U39" s="163">
        <v>0</v>
      </c>
      <c r="V39" s="26">
        <v>0</v>
      </c>
      <c r="W39" s="14">
        <v>1100</v>
      </c>
      <c r="X39" s="14">
        <v>1</v>
      </c>
      <c r="Y39" s="163">
        <v>0</v>
      </c>
      <c r="Z39" s="163">
        <v>0</v>
      </c>
      <c r="AA39" s="26">
        <v>0</v>
      </c>
      <c r="AB39" s="12">
        <v>1000</v>
      </c>
      <c r="AC39" s="14">
        <v>1</v>
      </c>
      <c r="AD39" s="14">
        <v>0</v>
      </c>
      <c r="AE39" s="163">
        <v>0</v>
      </c>
      <c r="AF39" s="163">
        <v>1</v>
      </c>
      <c r="AG39" s="26">
        <v>1</v>
      </c>
      <c r="AH39" s="14">
        <v>11</v>
      </c>
      <c r="AI39" s="14">
        <v>0</v>
      </c>
      <c r="AJ39" s="163">
        <v>0</v>
      </c>
      <c r="AK39" s="163">
        <v>0</v>
      </c>
      <c r="AL39" s="26">
        <v>0</v>
      </c>
      <c r="AM39" s="12">
        <v>0</v>
      </c>
      <c r="AN39" s="14">
        <v>0</v>
      </c>
      <c r="AO39" s="163">
        <v>0</v>
      </c>
      <c r="AP39" s="163">
        <v>0</v>
      </c>
      <c r="AQ39" s="163">
        <v>0</v>
      </c>
      <c r="AR39" s="163">
        <v>0</v>
      </c>
      <c r="AS39" s="14">
        <v>1</v>
      </c>
      <c r="AT39" s="163">
        <v>1</v>
      </c>
      <c r="AU39" s="163">
        <v>0</v>
      </c>
      <c r="AV39" s="163">
        <v>1</v>
      </c>
      <c r="AW39" s="26">
        <v>0</v>
      </c>
      <c r="AX39" s="14">
        <v>3</v>
      </c>
      <c r="AY39" s="14">
        <v>0</v>
      </c>
      <c r="AZ39" s="163">
        <v>0</v>
      </c>
      <c r="BA39" s="163">
        <v>1</v>
      </c>
      <c r="BB39" s="26">
        <v>0</v>
      </c>
      <c r="BC39" s="12">
        <v>1</v>
      </c>
      <c r="BD39" s="23">
        <v>0</v>
      </c>
      <c r="BE39" s="24">
        <v>0</v>
      </c>
      <c r="BF39" s="24">
        <v>0</v>
      </c>
      <c r="BG39" s="24">
        <v>0</v>
      </c>
      <c r="BH39" s="24">
        <v>0</v>
      </c>
      <c r="BI39" s="14">
        <v>1</v>
      </c>
      <c r="BJ39" s="163">
        <v>0</v>
      </c>
      <c r="BK39" s="26">
        <v>0</v>
      </c>
      <c r="BL39" s="14">
        <v>0</v>
      </c>
      <c r="BM39" s="163">
        <v>0</v>
      </c>
      <c r="BN39" s="26">
        <v>0</v>
      </c>
      <c r="BO39" s="14">
        <v>0</v>
      </c>
      <c r="BP39" s="12">
        <v>96</v>
      </c>
      <c r="BQ39" s="163">
        <v>1</v>
      </c>
      <c r="BR39" s="14">
        <v>0</v>
      </c>
      <c r="BS39" s="163">
        <v>0</v>
      </c>
      <c r="BT39" s="163">
        <v>0</v>
      </c>
      <c r="BU39" s="26">
        <v>0</v>
      </c>
      <c r="BV39" s="14">
        <v>0</v>
      </c>
      <c r="BW39" s="209">
        <v>73.73</v>
      </c>
      <c r="BX39" s="3"/>
      <c r="BY39" s="3"/>
      <c r="BZ39" s="40"/>
      <c r="CA39" s="209">
        <v>72.73</v>
      </c>
      <c r="CB39" s="3"/>
      <c r="CC39" s="3"/>
      <c r="CD39" s="3"/>
      <c r="CE39" s="209">
        <v>72.22</v>
      </c>
      <c r="CF39" s="3"/>
      <c r="CG39" s="3"/>
      <c r="CH39" s="40"/>
      <c r="CI39" s="209">
        <v>65.430000000000007</v>
      </c>
      <c r="CJ39" s="3"/>
      <c r="CK39" s="3"/>
      <c r="CL39" s="209">
        <v>89.004991680388173</v>
      </c>
      <c r="CM39" s="3"/>
      <c r="CN39" s="3"/>
      <c r="CO39" s="3"/>
      <c r="CP39" s="40"/>
      <c r="CQ39" s="209">
        <v>88.523875220874501</v>
      </c>
      <c r="CR39" s="40"/>
      <c r="CS39" s="3"/>
      <c r="CT39" s="3"/>
    </row>
    <row r="40" spans="1:98">
      <c r="A40" s="42" t="s">
        <v>324</v>
      </c>
      <c r="B40" s="173" t="s">
        <v>312</v>
      </c>
      <c r="C40" s="12"/>
      <c r="D40" s="14" t="s">
        <v>199</v>
      </c>
      <c r="E40" s="12"/>
      <c r="F40" s="12">
        <v>8</v>
      </c>
      <c r="G40" s="14">
        <v>0</v>
      </c>
      <c r="H40" s="163">
        <v>0</v>
      </c>
      <c r="I40" s="163">
        <v>1</v>
      </c>
      <c r="J40" s="12">
        <v>1</v>
      </c>
      <c r="K40" s="14">
        <v>363</v>
      </c>
      <c r="L40" s="26">
        <v>434</v>
      </c>
      <c r="M40" s="14">
        <v>83</v>
      </c>
      <c r="N40" s="163">
        <v>103</v>
      </c>
      <c r="O40" s="14">
        <v>0</v>
      </c>
      <c r="P40" s="26">
        <v>0</v>
      </c>
      <c r="Q40" s="12">
        <v>687</v>
      </c>
      <c r="R40" s="209">
        <v>1.841823056300268</v>
      </c>
      <c r="S40" s="14">
        <v>1</v>
      </c>
      <c r="T40" s="163">
        <v>1</v>
      </c>
      <c r="U40" s="163">
        <v>0</v>
      </c>
      <c r="V40" s="26">
        <v>0</v>
      </c>
      <c r="W40" s="14">
        <v>1100</v>
      </c>
      <c r="X40" s="14">
        <v>0</v>
      </c>
      <c r="Y40" s="163">
        <v>1</v>
      </c>
      <c r="Z40" s="163">
        <v>0</v>
      </c>
      <c r="AA40" s="26">
        <v>0</v>
      </c>
      <c r="AB40" s="12">
        <v>100</v>
      </c>
      <c r="AC40" s="14">
        <v>1</v>
      </c>
      <c r="AD40" s="14">
        <v>0</v>
      </c>
      <c r="AE40" s="163">
        <v>0</v>
      </c>
      <c r="AF40" s="163">
        <v>1</v>
      </c>
      <c r="AG40" s="26">
        <v>0</v>
      </c>
      <c r="AH40" s="14">
        <v>10</v>
      </c>
      <c r="AI40" s="14">
        <v>0</v>
      </c>
      <c r="AJ40" s="163">
        <v>0</v>
      </c>
      <c r="AK40" s="163">
        <v>0</v>
      </c>
      <c r="AL40" s="26">
        <v>0</v>
      </c>
      <c r="AM40" s="12">
        <v>0</v>
      </c>
      <c r="AN40" s="14">
        <v>0</v>
      </c>
      <c r="AO40" s="163">
        <v>0</v>
      </c>
      <c r="AP40" s="163">
        <v>0</v>
      </c>
      <c r="AQ40" s="163">
        <v>0</v>
      </c>
      <c r="AR40" s="163">
        <v>0</v>
      </c>
      <c r="AS40" s="14">
        <v>1</v>
      </c>
      <c r="AT40" s="163">
        <v>0</v>
      </c>
      <c r="AU40" s="163">
        <v>0</v>
      </c>
      <c r="AV40" s="163">
        <v>1</v>
      </c>
      <c r="AW40" s="26">
        <v>0</v>
      </c>
      <c r="AX40" s="14">
        <v>2</v>
      </c>
      <c r="AY40" s="14">
        <v>0</v>
      </c>
      <c r="AZ40" s="163">
        <v>0</v>
      </c>
      <c r="BA40" s="163">
        <v>0</v>
      </c>
      <c r="BB40" s="26">
        <v>1</v>
      </c>
      <c r="BC40" s="12">
        <v>1</v>
      </c>
      <c r="BD40" s="23">
        <v>0</v>
      </c>
      <c r="BE40" s="24">
        <v>0</v>
      </c>
      <c r="BF40" s="24">
        <v>0</v>
      </c>
      <c r="BG40" s="24">
        <v>0</v>
      </c>
      <c r="BH40" s="24">
        <v>0</v>
      </c>
      <c r="BI40" s="14">
        <v>1</v>
      </c>
      <c r="BJ40" s="163">
        <v>1</v>
      </c>
      <c r="BK40" s="26">
        <v>0</v>
      </c>
      <c r="BL40" s="14">
        <v>0</v>
      </c>
      <c r="BM40" s="163">
        <v>0</v>
      </c>
      <c r="BN40" s="26">
        <v>0</v>
      </c>
      <c r="BO40" s="14">
        <v>1</v>
      </c>
      <c r="BP40" s="12">
        <v>105</v>
      </c>
      <c r="BQ40" s="163">
        <v>2</v>
      </c>
      <c r="BR40" s="14">
        <v>0</v>
      </c>
      <c r="BS40" s="163">
        <v>0</v>
      </c>
      <c r="BT40" s="163">
        <v>0</v>
      </c>
      <c r="BU40" s="26">
        <v>0</v>
      </c>
      <c r="BV40" s="14">
        <v>0</v>
      </c>
      <c r="BW40" s="209"/>
      <c r="BX40" s="3"/>
      <c r="BY40" s="3"/>
      <c r="BZ40" s="40"/>
      <c r="CA40" s="209"/>
      <c r="CB40" s="3"/>
      <c r="CC40" s="3"/>
      <c r="CD40" s="3"/>
      <c r="CE40" s="209"/>
      <c r="CF40" s="3"/>
      <c r="CG40" s="3"/>
      <c r="CH40" s="40"/>
      <c r="CI40" s="209"/>
      <c r="CJ40" s="3"/>
      <c r="CK40" s="3"/>
      <c r="CL40" s="209"/>
      <c r="CM40" s="3"/>
      <c r="CN40" s="3"/>
      <c r="CO40" s="3"/>
      <c r="CP40" s="40"/>
      <c r="CQ40" s="209"/>
      <c r="CR40" s="40"/>
      <c r="CS40" s="3"/>
      <c r="CT40" s="3"/>
    </row>
    <row r="41" spans="1:98">
      <c r="A41" s="42" t="s">
        <v>324</v>
      </c>
      <c r="B41" s="173" t="s">
        <v>312</v>
      </c>
      <c r="C41" s="12"/>
      <c r="D41" s="14" t="s">
        <v>174</v>
      </c>
      <c r="E41" s="12"/>
      <c r="F41" s="12">
        <v>4</v>
      </c>
      <c r="G41" s="14">
        <v>1</v>
      </c>
      <c r="H41" s="163">
        <v>0</v>
      </c>
      <c r="I41" s="163">
        <v>1</v>
      </c>
      <c r="J41" s="12">
        <v>101</v>
      </c>
      <c r="K41" s="14">
        <v>119</v>
      </c>
      <c r="L41" s="26">
        <v>593</v>
      </c>
      <c r="M41" s="14">
        <v>0</v>
      </c>
      <c r="N41" s="163">
        <v>357</v>
      </c>
      <c r="O41" s="14">
        <v>0</v>
      </c>
      <c r="P41" s="26">
        <v>0</v>
      </c>
      <c r="Q41" s="12">
        <v>652</v>
      </c>
      <c r="R41" s="209">
        <v>1.5023041474654377</v>
      </c>
      <c r="S41" s="14">
        <v>1</v>
      </c>
      <c r="T41" s="163">
        <v>1</v>
      </c>
      <c r="U41" s="163">
        <v>0</v>
      </c>
      <c r="V41" s="26">
        <v>0</v>
      </c>
      <c r="W41" s="14">
        <v>1100</v>
      </c>
      <c r="X41" s="14">
        <v>1</v>
      </c>
      <c r="Y41" s="163">
        <v>1</v>
      </c>
      <c r="Z41" s="163">
        <v>0</v>
      </c>
      <c r="AA41" s="26">
        <v>0</v>
      </c>
      <c r="AB41" s="12">
        <v>1100</v>
      </c>
      <c r="AC41" s="14">
        <v>1</v>
      </c>
      <c r="AD41" s="14">
        <v>0</v>
      </c>
      <c r="AE41" s="163">
        <v>0</v>
      </c>
      <c r="AF41" s="163">
        <v>0</v>
      </c>
      <c r="AG41" s="26">
        <v>1</v>
      </c>
      <c r="AH41" s="14">
        <v>1</v>
      </c>
      <c r="AI41" s="14">
        <v>0</v>
      </c>
      <c r="AJ41" s="163">
        <v>0</v>
      </c>
      <c r="AK41" s="163">
        <v>0</v>
      </c>
      <c r="AL41" s="26">
        <v>0</v>
      </c>
      <c r="AM41" s="12">
        <v>0</v>
      </c>
      <c r="AN41" s="14">
        <v>0</v>
      </c>
      <c r="AO41" s="163">
        <v>0</v>
      </c>
      <c r="AP41" s="163">
        <v>0</v>
      </c>
      <c r="AQ41" s="163">
        <v>0</v>
      </c>
      <c r="AR41" s="163">
        <v>0</v>
      </c>
      <c r="AS41" s="14">
        <v>1</v>
      </c>
      <c r="AT41" s="163">
        <v>0</v>
      </c>
      <c r="AU41" s="163">
        <v>0</v>
      </c>
      <c r="AV41" s="163">
        <v>0</v>
      </c>
      <c r="AW41" s="26">
        <v>0</v>
      </c>
      <c r="AX41" s="14">
        <v>1</v>
      </c>
      <c r="AY41" s="14">
        <v>0</v>
      </c>
      <c r="AZ41" s="163">
        <v>0</v>
      </c>
      <c r="BA41" s="163">
        <v>0</v>
      </c>
      <c r="BB41" s="26">
        <v>0</v>
      </c>
      <c r="BC41" s="12">
        <v>0</v>
      </c>
      <c r="BD41" s="23">
        <v>0</v>
      </c>
      <c r="BE41" s="24">
        <v>0</v>
      </c>
      <c r="BF41" s="24">
        <v>0</v>
      </c>
      <c r="BG41" s="24">
        <v>0</v>
      </c>
      <c r="BH41" s="24">
        <v>0</v>
      </c>
      <c r="BI41" s="14">
        <v>0</v>
      </c>
      <c r="BJ41" s="163">
        <v>1</v>
      </c>
      <c r="BK41" s="26">
        <v>0</v>
      </c>
      <c r="BL41" s="14">
        <v>0</v>
      </c>
      <c r="BM41" s="163">
        <v>1</v>
      </c>
      <c r="BN41" s="26">
        <v>0</v>
      </c>
      <c r="BO41" s="14">
        <v>0</v>
      </c>
      <c r="BP41" s="12">
        <v>103</v>
      </c>
      <c r="BQ41" s="163">
        <v>1</v>
      </c>
      <c r="BR41" s="14">
        <v>0</v>
      </c>
      <c r="BS41" s="163">
        <v>0</v>
      </c>
      <c r="BT41" s="163">
        <v>0</v>
      </c>
      <c r="BU41" s="26">
        <v>0</v>
      </c>
      <c r="BV41" s="14">
        <v>0</v>
      </c>
      <c r="BW41" s="209"/>
      <c r="BX41" s="3"/>
      <c r="BY41" s="3"/>
      <c r="BZ41" s="40"/>
      <c r="CA41" s="209"/>
      <c r="CB41" s="3"/>
      <c r="CC41" s="3"/>
      <c r="CD41" s="3"/>
      <c r="CE41" s="209"/>
      <c r="CF41" s="3"/>
      <c r="CG41" s="3"/>
      <c r="CH41" s="40"/>
      <c r="CI41" s="209"/>
      <c r="CJ41" s="3"/>
      <c r="CK41" s="3"/>
      <c r="CL41" s="209"/>
      <c r="CM41" s="3"/>
      <c r="CN41" s="3"/>
      <c r="CO41" s="3"/>
      <c r="CP41" s="40"/>
      <c r="CQ41" s="209"/>
      <c r="CR41" s="40"/>
      <c r="CS41" s="3"/>
      <c r="CT41" s="3"/>
    </row>
    <row r="42" spans="1:98">
      <c r="A42" s="42" t="s">
        <v>324</v>
      </c>
      <c r="B42" s="173" t="s">
        <v>312</v>
      </c>
      <c r="C42" s="12"/>
      <c r="D42" s="14" t="s">
        <v>395</v>
      </c>
      <c r="E42" s="12"/>
      <c r="F42" s="12">
        <v>6</v>
      </c>
      <c r="G42" s="14">
        <v>0</v>
      </c>
      <c r="H42" s="163">
        <v>0</v>
      </c>
      <c r="I42" s="163">
        <v>1</v>
      </c>
      <c r="J42" s="12">
        <v>1</v>
      </c>
      <c r="K42" s="14">
        <v>44</v>
      </c>
      <c r="L42" s="26">
        <v>180</v>
      </c>
      <c r="M42" s="14">
        <v>128</v>
      </c>
      <c r="N42" s="163">
        <v>250</v>
      </c>
      <c r="O42" s="14">
        <v>0</v>
      </c>
      <c r="P42" s="26">
        <v>0</v>
      </c>
      <c r="Q42" s="12">
        <v>474</v>
      </c>
      <c r="R42" s="209">
        <v>1.4023668639053255</v>
      </c>
      <c r="S42" s="14">
        <v>1</v>
      </c>
      <c r="T42" s="163">
        <v>1</v>
      </c>
      <c r="U42" s="163">
        <v>0</v>
      </c>
      <c r="V42" s="26">
        <v>0</v>
      </c>
      <c r="W42" s="14">
        <v>1100</v>
      </c>
      <c r="X42" s="14">
        <v>0</v>
      </c>
      <c r="Y42" s="163">
        <v>1</v>
      </c>
      <c r="Z42" s="163">
        <v>0</v>
      </c>
      <c r="AA42" s="26">
        <v>0</v>
      </c>
      <c r="AB42" s="12">
        <v>100</v>
      </c>
      <c r="AC42" s="14">
        <v>1</v>
      </c>
      <c r="AD42" s="14">
        <v>0</v>
      </c>
      <c r="AE42" s="163">
        <v>1</v>
      </c>
      <c r="AF42" s="163">
        <v>1</v>
      </c>
      <c r="AG42" s="26">
        <v>0</v>
      </c>
      <c r="AH42" s="14">
        <v>110</v>
      </c>
      <c r="AI42" s="14">
        <v>0</v>
      </c>
      <c r="AJ42" s="163">
        <v>0</v>
      </c>
      <c r="AK42" s="163">
        <v>0</v>
      </c>
      <c r="AL42" s="26">
        <v>0</v>
      </c>
      <c r="AM42" s="12">
        <v>0</v>
      </c>
      <c r="AN42" s="14">
        <v>0</v>
      </c>
      <c r="AO42" s="163">
        <v>0</v>
      </c>
      <c r="AP42" s="163">
        <v>0</v>
      </c>
      <c r="AQ42" s="163">
        <v>0</v>
      </c>
      <c r="AR42" s="163">
        <v>0</v>
      </c>
      <c r="AS42" s="14">
        <v>1</v>
      </c>
      <c r="AT42" s="163">
        <v>1</v>
      </c>
      <c r="AU42" s="163">
        <v>0</v>
      </c>
      <c r="AV42" s="163">
        <v>0</v>
      </c>
      <c r="AW42" s="26">
        <v>0</v>
      </c>
      <c r="AX42" s="14">
        <v>2</v>
      </c>
      <c r="AY42" s="14">
        <v>0</v>
      </c>
      <c r="AZ42" s="163">
        <v>1</v>
      </c>
      <c r="BA42" s="163">
        <v>0</v>
      </c>
      <c r="BB42" s="26">
        <v>1</v>
      </c>
      <c r="BC42" s="12">
        <v>2</v>
      </c>
      <c r="BD42" s="23">
        <v>0</v>
      </c>
      <c r="BE42" s="24">
        <v>0</v>
      </c>
      <c r="BF42" s="24">
        <v>0</v>
      </c>
      <c r="BG42" s="24">
        <v>0</v>
      </c>
      <c r="BH42" s="24">
        <v>0</v>
      </c>
      <c r="BI42" s="14">
        <v>1</v>
      </c>
      <c r="BJ42" s="163">
        <v>0</v>
      </c>
      <c r="BK42" s="26">
        <v>0</v>
      </c>
      <c r="BL42" s="14">
        <v>0</v>
      </c>
      <c r="BM42" s="163">
        <v>0</v>
      </c>
      <c r="BN42" s="26">
        <v>0</v>
      </c>
      <c r="BO42" s="14">
        <v>0</v>
      </c>
      <c r="BP42" s="12">
        <v>96</v>
      </c>
      <c r="BQ42" s="163">
        <v>1</v>
      </c>
      <c r="BR42" s="14">
        <v>0</v>
      </c>
      <c r="BS42" s="163">
        <v>0</v>
      </c>
      <c r="BT42" s="163">
        <v>0</v>
      </c>
      <c r="BU42" s="26">
        <v>0</v>
      </c>
      <c r="BV42" s="14">
        <v>0</v>
      </c>
      <c r="BW42" s="209"/>
      <c r="BX42" s="3"/>
      <c r="BY42" s="3"/>
      <c r="BZ42" s="40"/>
      <c r="CA42" s="209"/>
      <c r="CB42" s="3"/>
      <c r="CC42" s="3"/>
      <c r="CD42" s="3"/>
      <c r="CE42" s="209"/>
      <c r="CF42" s="3"/>
      <c r="CG42" s="3"/>
      <c r="CH42" s="40"/>
      <c r="CI42" s="209"/>
      <c r="CJ42" s="3"/>
      <c r="CK42" s="3"/>
      <c r="CL42" s="209"/>
      <c r="CM42" s="3"/>
      <c r="CN42" s="3"/>
      <c r="CO42" s="3"/>
      <c r="CP42" s="40"/>
      <c r="CQ42" s="209"/>
      <c r="CR42" s="40"/>
      <c r="CS42" s="3"/>
      <c r="CT42" s="3"/>
    </row>
    <row r="43" spans="1:98" ht="17" thickBot="1">
      <c r="A43" s="42" t="s">
        <v>324</v>
      </c>
      <c r="B43" s="173" t="s">
        <v>312</v>
      </c>
      <c r="C43" s="12"/>
      <c r="D43" s="14" t="s">
        <v>392</v>
      </c>
      <c r="E43" s="12"/>
      <c r="F43" s="12">
        <v>5</v>
      </c>
      <c r="G43" s="14">
        <v>1</v>
      </c>
      <c r="H43" s="163">
        <v>0</v>
      </c>
      <c r="I43" s="163">
        <v>0</v>
      </c>
      <c r="J43" s="12">
        <v>100</v>
      </c>
      <c r="K43" s="14">
        <v>350</v>
      </c>
      <c r="L43" s="26">
        <v>429</v>
      </c>
      <c r="M43" s="14">
        <v>122</v>
      </c>
      <c r="N43" s="163">
        <v>224</v>
      </c>
      <c r="O43" s="14">
        <v>0</v>
      </c>
      <c r="P43" s="26">
        <v>0</v>
      </c>
      <c r="Q43" s="12">
        <v>555</v>
      </c>
      <c r="R43" s="209">
        <v>1.3569682151589242</v>
      </c>
      <c r="S43" s="14">
        <v>1</v>
      </c>
      <c r="T43" s="163">
        <v>1</v>
      </c>
      <c r="U43" s="163">
        <v>0</v>
      </c>
      <c r="V43" s="26">
        <v>0</v>
      </c>
      <c r="W43" s="14">
        <v>1100</v>
      </c>
      <c r="X43" s="14">
        <v>1</v>
      </c>
      <c r="Y43" s="163">
        <v>0</v>
      </c>
      <c r="Z43" s="163">
        <v>0</v>
      </c>
      <c r="AA43" s="26">
        <v>0</v>
      </c>
      <c r="AB43" s="12">
        <v>1000</v>
      </c>
      <c r="AC43" s="14">
        <v>0</v>
      </c>
      <c r="AD43" s="14">
        <v>0</v>
      </c>
      <c r="AE43" s="163">
        <v>0</v>
      </c>
      <c r="AF43" s="163">
        <v>1</v>
      </c>
      <c r="AG43" s="26">
        <v>0</v>
      </c>
      <c r="AH43" s="14">
        <v>10</v>
      </c>
      <c r="AI43" s="14">
        <v>0</v>
      </c>
      <c r="AJ43" s="163">
        <v>0</v>
      </c>
      <c r="AK43" s="163">
        <v>0</v>
      </c>
      <c r="AL43" s="26">
        <v>0</v>
      </c>
      <c r="AM43" s="12">
        <v>0</v>
      </c>
      <c r="AN43" s="14">
        <v>0</v>
      </c>
      <c r="AO43" s="163">
        <v>0</v>
      </c>
      <c r="AP43" s="163">
        <v>0</v>
      </c>
      <c r="AQ43" s="163">
        <v>0</v>
      </c>
      <c r="AR43" s="163">
        <v>0</v>
      </c>
      <c r="AS43" s="14">
        <v>1</v>
      </c>
      <c r="AT43" s="163">
        <v>0</v>
      </c>
      <c r="AU43" s="163">
        <v>0</v>
      </c>
      <c r="AV43" s="163">
        <v>0</v>
      </c>
      <c r="AW43" s="26">
        <v>0</v>
      </c>
      <c r="AX43" s="14">
        <v>1</v>
      </c>
      <c r="AY43" s="14">
        <v>0</v>
      </c>
      <c r="AZ43" s="163">
        <v>0</v>
      </c>
      <c r="BA43" s="163">
        <v>0</v>
      </c>
      <c r="BB43" s="26">
        <v>1</v>
      </c>
      <c r="BC43" s="12">
        <v>1</v>
      </c>
      <c r="BD43" s="23">
        <v>0</v>
      </c>
      <c r="BE43" s="24">
        <v>0</v>
      </c>
      <c r="BF43" s="24">
        <v>0</v>
      </c>
      <c r="BG43" s="24">
        <v>0</v>
      </c>
      <c r="BH43" s="24">
        <v>0</v>
      </c>
      <c r="BI43" s="14">
        <v>1</v>
      </c>
      <c r="BJ43" s="163">
        <v>1</v>
      </c>
      <c r="BK43" s="26">
        <v>0</v>
      </c>
      <c r="BL43" s="14">
        <v>0</v>
      </c>
      <c r="BM43" s="163">
        <v>0</v>
      </c>
      <c r="BN43" s="26">
        <v>0</v>
      </c>
      <c r="BO43" s="14">
        <v>0</v>
      </c>
      <c r="BP43" s="12">
        <v>102</v>
      </c>
      <c r="BQ43" s="163">
        <v>2</v>
      </c>
      <c r="BR43" s="14">
        <v>0</v>
      </c>
      <c r="BS43" s="163">
        <v>0</v>
      </c>
      <c r="BT43" s="163">
        <v>0</v>
      </c>
      <c r="BU43" s="26">
        <v>1</v>
      </c>
      <c r="BV43" s="14">
        <v>1</v>
      </c>
      <c r="BW43" s="209"/>
      <c r="BX43" s="3"/>
      <c r="BY43" s="3"/>
      <c r="BZ43" s="40"/>
      <c r="CA43" s="209"/>
      <c r="CB43" s="3"/>
      <c r="CC43" s="3"/>
      <c r="CD43" s="3"/>
      <c r="CE43" s="209"/>
      <c r="CF43" s="3"/>
      <c r="CG43" s="3"/>
      <c r="CH43" s="40"/>
      <c r="CI43" s="209"/>
      <c r="CJ43" s="3"/>
      <c r="CK43" s="3"/>
      <c r="CL43" s="209"/>
      <c r="CM43" s="3"/>
      <c r="CN43" s="3"/>
      <c r="CO43" s="3"/>
      <c r="CP43" s="40"/>
      <c r="CQ43" s="209"/>
      <c r="CR43" s="40"/>
      <c r="CS43" s="3"/>
      <c r="CT43" s="3"/>
    </row>
    <row r="44" spans="1:98">
      <c r="A44" s="87" t="s">
        <v>320</v>
      </c>
      <c r="B44" s="7" t="s">
        <v>434</v>
      </c>
      <c r="C44" s="9"/>
      <c r="D44" s="11" t="s">
        <v>132</v>
      </c>
      <c r="E44" s="9"/>
      <c r="F44" s="9">
        <v>5</v>
      </c>
      <c r="G44" s="11">
        <v>0</v>
      </c>
      <c r="H44" s="8">
        <v>0</v>
      </c>
      <c r="I44" s="8">
        <v>1</v>
      </c>
      <c r="J44" s="9">
        <v>1</v>
      </c>
      <c r="K44" s="11">
        <v>270</v>
      </c>
      <c r="L44" s="41">
        <v>643</v>
      </c>
      <c r="M44" s="11">
        <v>351</v>
      </c>
      <c r="N44" s="8">
        <v>844</v>
      </c>
      <c r="O44" s="11">
        <v>0</v>
      </c>
      <c r="P44" s="41">
        <v>0</v>
      </c>
      <c r="Q44" s="9">
        <v>1078</v>
      </c>
      <c r="R44" s="208">
        <v>1.0141110065851364</v>
      </c>
      <c r="S44" s="11">
        <v>1</v>
      </c>
      <c r="T44" s="8">
        <v>1</v>
      </c>
      <c r="U44" s="8">
        <v>0</v>
      </c>
      <c r="V44" s="41">
        <v>0</v>
      </c>
      <c r="W44" s="11">
        <v>1100</v>
      </c>
      <c r="X44" s="11">
        <v>1</v>
      </c>
      <c r="Y44" s="8">
        <v>0</v>
      </c>
      <c r="Z44" s="8">
        <v>1</v>
      </c>
      <c r="AA44" s="41">
        <v>0</v>
      </c>
      <c r="AB44" s="9">
        <v>1010</v>
      </c>
      <c r="AC44" s="11">
        <v>0</v>
      </c>
      <c r="AD44" s="11">
        <v>1</v>
      </c>
      <c r="AE44" s="8">
        <v>1</v>
      </c>
      <c r="AF44" s="8">
        <v>0</v>
      </c>
      <c r="AG44" s="41">
        <v>0</v>
      </c>
      <c r="AH44" s="11">
        <v>1100</v>
      </c>
      <c r="AI44" s="11">
        <v>0</v>
      </c>
      <c r="AJ44" s="8">
        <v>0</v>
      </c>
      <c r="AK44" s="8">
        <v>0</v>
      </c>
      <c r="AL44" s="41">
        <v>0</v>
      </c>
      <c r="AM44" s="9">
        <v>0</v>
      </c>
      <c r="AN44" s="11">
        <v>0</v>
      </c>
      <c r="AO44" s="8">
        <v>0</v>
      </c>
      <c r="AP44" s="8">
        <v>0</v>
      </c>
      <c r="AQ44" s="8">
        <v>0</v>
      </c>
      <c r="AR44" s="8">
        <v>0</v>
      </c>
      <c r="AS44" s="11">
        <v>0</v>
      </c>
      <c r="AT44" s="8">
        <v>0</v>
      </c>
      <c r="AU44" s="8">
        <v>1</v>
      </c>
      <c r="AV44" s="8">
        <v>0</v>
      </c>
      <c r="AW44" s="41">
        <v>0</v>
      </c>
      <c r="AX44" s="11">
        <v>1</v>
      </c>
      <c r="AY44" s="11">
        <v>0</v>
      </c>
      <c r="AZ44" s="8">
        <v>0</v>
      </c>
      <c r="BA44" s="8">
        <v>0</v>
      </c>
      <c r="BB44" s="41">
        <v>1</v>
      </c>
      <c r="BC44" s="9">
        <v>1</v>
      </c>
      <c r="BD44" s="102">
        <v>0</v>
      </c>
      <c r="BE44" s="100">
        <v>0</v>
      </c>
      <c r="BF44" s="100">
        <v>0</v>
      </c>
      <c r="BG44" s="100">
        <v>0</v>
      </c>
      <c r="BH44" s="100">
        <v>0</v>
      </c>
      <c r="BI44" s="11">
        <v>1</v>
      </c>
      <c r="BJ44" s="8">
        <v>1</v>
      </c>
      <c r="BK44" s="41">
        <v>0</v>
      </c>
      <c r="BL44" s="11">
        <v>0</v>
      </c>
      <c r="BM44" s="8">
        <v>0</v>
      </c>
      <c r="BN44" s="41">
        <v>0</v>
      </c>
      <c r="BO44" s="11">
        <v>1</v>
      </c>
      <c r="BP44" s="9">
        <v>111</v>
      </c>
      <c r="BQ44" s="8">
        <v>2</v>
      </c>
      <c r="BR44" s="11">
        <v>0</v>
      </c>
      <c r="BS44" s="8">
        <v>0</v>
      </c>
      <c r="BT44" s="8">
        <v>0</v>
      </c>
      <c r="BU44" s="41">
        <v>0</v>
      </c>
      <c r="BV44" s="11">
        <v>0</v>
      </c>
      <c r="BW44" s="208"/>
      <c r="BX44" s="54"/>
      <c r="BY44" s="54"/>
      <c r="BZ44" s="10"/>
      <c r="CA44" s="208"/>
      <c r="CB44" s="54"/>
      <c r="CC44" s="54"/>
      <c r="CD44" s="54"/>
      <c r="CE44" s="208"/>
      <c r="CF44" s="54"/>
      <c r="CG44" s="54"/>
      <c r="CH44" s="10"/>
      <c r="CI44" s="208"/>
      <c r="CJ44" s="54"/>
      <c r="CK44" s="54"/>
      <c r="CL44" s="208"/>
      <c r="CM44" s="54"/>
      <c r="CN44" s="54"/>
      <c r="CO44" s="54"/>
      <c r="CP44" s="10"/>
      <c r="CQ44" s="208"/>
      <c r="CR44" s="10"/>
      <c r="CS44" s="3"/>
      <c r="CT44" s="3"/>
    </row>
    <row r="45" spans="1:98">
      <c r="A45" s="42" t="s">
        <v>320</v>
      </c>
      <c r="B45" s="173" t="s">
        <v>434</v>
      </c>
      <c r="C45" s="12"/>
      <c r="D45" s="14" t="s">
        <v>167</v>
      </c>
      <c r="E45" s="12"/>
      <c r="F45" s="12">
        <v>4</v>
      </c>
      <c r="G45" s="14">
        <v>0</v>
      </c>
      <c r="H45" s="163">
        <v>0</v>
      </c>
      <c r="I45" s="163">
        <v>1</v>
      </c>
      <c r="J45" s="12">
        <v>1</v>
      </c>
      <c r="K45" s="14">
        <v>457</v>
      </c>
      <c r="L45" s="26">
        <v>836</v>
      </c>
      <c r="M45" s="14">
        <v>164</v>
      </c>
      <c r="N45" s="163">
        <v>290</v>
      </c>
      <c r="O45" s="14">
        <v>0</v>
      </c>
      <c r="P45" s="26">
        <v>0</v>
      </c>
      <c r="Q45" s="12">
        <v>873</v>
      </c>
      <c r="R45" s="209">
        <v>1.0442583732057416</v>
      </c>
      <c r="S45" s="14">
        <v>1</v>
      </c>
      <c r="T45" s="163">
        <v>1</v>
      </c>
      <c r="U45" s="163">
        <v>0</v>
      </c>
      <c r="V45" s="26">
        <v>0</v>
      </c>
      <c r="W45" s="14">
        <v>1100</v>
      </c>
      <c r="X45" s="14">
        <v>1</v>
      </c>
      <c r="Y45" s="163">
        <v>1</v>
      </c>
      <c r="Z45" s="163">
        <v>0</v>
      </c>
      <c r="AA45" s="26">
        <v>0</v>
      </c>
      <c r="AB45" s="12">
        <v>1100</v>
      </c>
      <c r="AC45" s="14">
        <v>1</v>
      </c>
      <c r="AD45" s="14">
        <v>0</v>
      </c>
      <c r="AE45" s="163">
        <v>1</v>
      </c>
      <c r="AF45" s="163">
        <v>1</v>
      </c>
      <c r="AG45" s="26">
        <v>0</v>
      </c>
      <c r="AH45" s="14">
        <v>110</v>
      </c>
      <c r="AI45" s="14">
        <v>0</v>
      </c>
      <c r="AJ45" s="163">
        <v>0</v>
      </c>
      <c r="AK45" s="163">
        <v>0</v>
      </c>
      <c r="AL45" s="26">
        <v>0</v>
      </c>
      <c r="AM45" s="12">
        <v>0</v>
      </c>
      <c r="AN45" s="14">
        <v>0</v>
      </c>
      <c r="AO45" s="163">
        <v>0</v>
      </c>
      <c r="AP45" s="163">
        <v>0</v>
      </c>
      <c r="AQ45" s="163">
        <v>0</v>
      </c>
      <c r="AR45" s="163">
        <v>0</v>
      </c>
      <c r="AS45" s="14">
        <v>1</v>
      </c>
      <c r="AT45" s="163">
        <v>0</v>
      </c>
      <c r="AU45" s="163">
        <v>0</v>
      </c>
      <c r="AV45" s="163">
        <v>1</v>
      </c>
      <c r="AW45" s="26">
        <v>0</v>
      </c>
      <c r="AX45" s="14">
        <v>2</v>
      </c>
      <c r="AY45" s="14">
        <v>0</v>
      </c>
      <c r="AZ45" s="163">
        <v>1</v>
      </c>
      <c r="BA45" s="163">
        <v>0</v>
      </c>
      <c r="BB45" s="26">
        <v>1</v>
      </c>
      <c r="BC45" s="12">
        <v>2</v>
      </c>
      <c r="BD45" s="23">
        <v>0</v>
      </c>
      <c r="BE45" s="24">
        <v>0</v>
      </c>
      <c r="BF45" s="24">
        <v>0</v>
      </c>
      <c r="BG45" s="24">
        <v>0</v>
      </c>
      <c r="BH45" s="24">
        <v>0</v>
      </c>
      <c r="BI45" s="14">
        <v>1</v>
      </c>
      <c r="BJ45" s="163">
        <v>1</v>
      </c>
      <c r="BK45" s="26">
        <v>0</v>
      </c>
      <c r="BL45" s="14">
        <v>0</v>
      </c>
      <c r="BM45" s="163">
        <v>0</v>
      </c>
      <c r="BN45" s="26">
        <v>0</v>
      </c>
      <c r="BO45" s="14">
        <v>1</v>
      </c>
      <c r="BP45" s="12">
        <v>81</v>
      </c>
      <c r="BQ45" s="163">
        <v>2</v>
      </c>
      <c r="BR45" s="14">
        <v>0</v>
      </c>
      <c r="BS45" s="163">
        <v>0</v>
      </c>
      <c r="BT45" s="163">
        <v>0</v>
      </c>
      <c r="BU45" s="26">
        <v>0</v>
      </c>
      <c r="BV45" s="14">
        <v>0</v>
      </c>
      <c r="BW45" s="209"/>
      <c r="BX45" s="3"/>
      <c r="BY45" s="3"/>
      <c r="BZ45" s="40"/>
      <c r="CA45" s="209"/>
      <c r="CB45" s="3"/>
      <c r="CC45" s="3"/>
      <c r="CD45" s="3"/>
      <c r="CE45" s="209"/>
      <c r="CF45" s="3"/>
      <c r="CG45" s="3"/>
      <c r="CH45" s="40"/>
      <c r="CI45" s="209"/>
      <c r="CJ45" s="3"/>
      <c r="CK45" s="3"/>
      <c r="CL45" s="209"/>
      <c r="CM45" s="3"/>
      <c r="CN45" s="3"/>
      <c r="CO45" s="3"/>
      <c r="CP45" s="40"/>
      <c r="CQ45" s="209"/>
      <c r="CR45" s="40"/>
      <c r="CS45" s="3"/>
      <c r="CT45" s="3"/>
    </row>
    <row r="46" spans="1:98">
      <c r="A46" s="42" t="s">
        <v>320</v>
      </c>
      <c r="B46" s="173" t="s">
        <v>434</v>
      </c>
      <c r="C46" s="12"/>
      <c r="D46" s="14" t="s">
        <v>168</v>
      </c>
      <c r="E46" s="12"/>
      <c r="F46" s="12">
        <v>12</v>
      </c>
      <c r="G46" s="14">
        <v>1</v>
      </c>
      <c r="H46" s="163">
        <v>0</v>
      </c>
      <c r="I46" s="163">
        <v>1</v>
      </c>
      <c r="J46" s="12">
        <v>101</v>
      </c>
      <c r="K46" s="14">
        <v>104</v>
      </c>
      <c r="L46" s="26">
        <v>549</v>
      </c>
      <c r="M46" s="14">
        <v>67</v>
      </c>
      <c r="N46" s="163">
        <v>701</v>
      </c>
      <c r="O46" s="14">
        <v>0</v>
      </c>
      <c r="P46" s="26">
        <v>0</v>
      </c>
      <c r="Q46" s="12">
        <v>1205</v>
      </c>
      <c r="R46" s="209">
        <v>1.4931846344485751</v>
      </c>
      <c r="S46" s="14">
        <v>1</v>
      </c>
      <c r="T46" s="163">
        <v>1</v>
      </c>
      <c r="U46" s="163">
        <v>0</v>
      </c>
      <c r="V46" s="26">
        <v>0</v>
      </c>
      <c r="W46" s="14">
        <v>1100</v>
      </c>
      <c r="X46" s="14">
        <v>1</v>
      </c>
      <c r="Y46" s="163">
        <v>0</v>
      </c>
      <c r="Z46" s="163">
        <v>0</v>
      </c>
      <c r="AA46" s="26">
        <v>1</v>
      </c>
      <c r="AB46" s="12">
        <v>1001</v>
      </c>
      <c r="AC46" s="14">
        <v>0</v>
      </c>
      <c r="AD46" s="14">
        <v>0</v>
      </c>
      <c r="AE46" s="163">
        <v>1</v>
      </c>
      <c r="AF46" s="163">
        <v>1</v>
      </c>
      <c r="AG46" s="26">
        <v>0</v>
      </c>
      <c r="AH46" s="14">
        <v>110</v>
      </c>
      <c r="AI46" s="14">
        <v>0</v>
      </c>
      <c r="AJ46" s="163">
        <v>0</v>
      </c>
      <c r="AK46" s="163">
        <v>0</v>
      </c>
      <c r="AL46" s="26">
        <v>0</v>
      </c>
      <c r="AM46" s="12">
        <v>0</v>
      </c>
      <c r="AN46" s="14">
        <v>0</v>
      </c>
      <c r="AO46" s="163">
        <v>0</v>
      </c>
      <c r="AP46" s="163">
        <v>0</v>
      </c>
      <c r="AQ46" s="163">
        <v>0</v>
      </c>
      <c r="AR46" s="163">
        <v>0</v>
      </c>
      <c r="AS46" s="14">
        <v>0</v>
      </c>
      <c r="AT46" s="163">
        <v>1</v>
      </c>
      <c r="AU46" s="163">
        <v>0</v>
      </c>
      <c r="AV46" s="163">
        <v>1</v>
      </c>
      <c r="AW46" s="26">
        <v>0</v>
      </c>
      <c r="AX46" s="14">
        <v>2</v>
      </c>
      <c r="AY46" s="14">
        <v>1</v>
      </c>
      <c r="AZ46" s="163">
        <v>0</v>
      </c>
      <c r="BA46" s="163">
        <v>0</v>
      </c>
      <c r="BB46" s="26">
        <v>1</v>
      </c>
      <c r="BC46" s="12">
        <v>2</v>
      </c>
      <c r="BD46" s="23">
        <v>0</v>
      </c>
      <c r="BE46" s="24">
        <v>0</v>
      </c>
      <c r="BF46" s="24">
        <v>0</v>
      </c>
      <c r="BG46" s="24">
        <v>0</v>
      </c>
      <c r="BH46" s="24">
        <v>0</v>
      </c>
      <c r="BI46" s="14">
        <v>1</v>
      </c>
      <c r="BJ46" s="163">
        <v>1</v>
      </c>
      <c r="BK46" s="26">
        <v>0</v>
      </c>
      <c r="BL46" s="14">
        <v>0</v>
      </c>
      <c r="BM46" s="163">
        <v>1</v>
      </c>
      <c r="BN46" s="26">
        <v>0</v>
      </c>
      <c r="BO46" s="14">
        <v>1</v>
      </c>
      <c r="BP46" s="12">
        <v>118</v>
      </c>
      <c r="BQ46" s="163">
        <v>1</v>
      </c>
      <c r="BR46" s="14">
        <v>0</v>
      </c>
      <c r="BS46" s="163">
        <v>0</v>
      </c>
      <c r="BT46" s="163">
        <v>0</v>
      </c>
      <c r="BU46" s="26">
        <v>0</v>
      </c>
      <c r="BV46" s="14">
        <v>0</v>
      </c>
      <c r="BW46" s="209"/>
      <c r="BX46" s="3"/>
      <c r="BY46" s="3"/>
      <c r="BZ46" s="40"/>
      <c r="CA46" s="209"/>
      <c r="CB46" s="3"/>
      <c r="CC46" s="3"/>
      <c r="CD46" s="3"/>
      <c r="CE46" s="209"/>
      <c r="CF46" s="3"/>
      <c r="CG46" s="3"/>
      <c r="CH46" s="40"/>
      <c r="CI46" s="209"/>
      <c r="CJ46" s="3"/>
      <c r="CK46" s="3"/>
      <c r="CL46" s="209">
        <v>84.462704331019523</v>
      </c>
      <c r="CM46" s="3"/>
      <c r="CN46" s="3"/>
      <c r="CO46" s="3"/>
      <c r="CP46" s="40"/>
      <c r="CQ46" s="209">
        <v>83.599114413129911</v>
      </c>
      <c r="CR46" s="40"/>
      <c r="CS46" s="3"/>
      <c r="CT46" s="3"/>
    </row>
    <row r="47" spans="1:98" ht="17" thickBot="1">
      <c r="A47" s="55" t="s">
        <v>320</v>
      </c>
      <c r="B47" s="47" t="s">
        <v>434</v>
      </c>
      <c r="C47" s="33"/>
      <c r="D47" s="34" t="s">
        <v>199</v>
      </c>
      <c r="E47" s="33"/>
      <c r="F47" s="33">
        <v>16</v>
      </c>
      <c r="G47" s="34">
        <v>1</v>
      </c>
      <c r="H47" s="36">
        <v>0</v>
      </c>
      <c r="I47" s="36">
        <v>1</v>
      </c>
      <c r="J47" s="33">
        <v>101</v>
      </c>
      <c r="K47" s="34">
        <v>72</v>
      </c>
      <c r="L47" s="35">
        <v>1020</v>
      </c>
      <c r="M47" s="34">
        <v>239</v>
      </c>
      <c r="N47" s="36">
        <v>1072</v>
      </c>
      <c r="O47" s="34">
        <v>0</v>
      </c>
      <c r="P47" s="35">
        <v>0</v>
      </c>
      <c r="Q47" s="33">
        <v>1212</v>
      </c>
      <c r="R47" s="210">
        <v>1.7902511078286558</v>
      </c>
      <c r="S47" s="34">
        <v>1</v>
      </c>
      <c r="T47" s="36">
        <v>1</v>
      </c>
      <c r="U47" s="36">
        <v>0</v>
      </c>
      <c r="V47" s="35">
        <v>0</v>
      </c>
      <c r="W47" s="34">
        <v>1100</v>
      </c>
      <c r="X47" s="34">
        <v>0</v>
      </c>
      <c r="Y47" s="36">
        <v>1</v>
      </c>
      <c r="Z47" s="36">
        <v>1</v>
      </c>
      <c r="AA47" s="35">
        <v>0</v>
      </c>
      <c r="AB47" s="33">
        <v>110</v>
      </c>
      <c r="AC47" s="34">
        <v>0</v>
      </c>
      <c r="AD47" s="34">
        <v>0</v>
      </c>
      <c r="AE47" s="36">
        <v>1</v>
      </c>
      <c r="AF47" s="36">
        <v>0</v>
      </c>
      <c r="AG47" s="35">
        <v>0</v>
      </c>
      <c r="AH47" s="34">
        <v>100</v>
      </c>
      <c r="AI47" s="34">
        <v>0</v>
      </c>
      <c r="AJ47" s="36">
        <v>0</v>
      </c>
      <c r="AK47" s="36">
        <v>0</v>
      </c>
      <c r="AL47" s="35">
        <v>0</v>
      </c>
      <c r="AM47" s="33">
        <v>0</v>
      </c>
      <c r="AN47" s="34">
        <v>0</v>
      </c>
      <c r="AO47" s="36">
        <v>0</v>
      </c>
      <c r="AP47" s="36">
        <v>0</v>
      </c>
      <c r="AQ47" s="36">
        <v>0</v>
      </c>
      <c r="AR47" s="36">
        <v>0</v>
      </c>
      <c r="AS47" s="34">
        <v>1</v>
      </c>
      <c r="AT47" s="36">
        <v>0</v>
      </c>
      <c r="AU47" s="36">
        <v>1</v>
      </c>
      <c r="AV47" s="36">
        <v>0</v>
      </c>
      <c r="AW47" s="35">
        <v>0</v>
      </c>
      <c r="AX47" s="34">
        <v>2</v>
      </c>
      <c r="AY47" s="34"/>
      <c r="AZ47" s="36"/>
      <c r="BA47" s="36"/>
      <c r="BB47" s="35"/>
      <c r="BC47" s="33">
        <v>0</v>
      </c>
      <c r="BD47" s="105">
        <v>0</v>
      </c>
      <c r="BE47" s="103">
        <v>0</v>
      </c>
      <c r="BF47" s="103">
        <v>0</v>
      </c>
      <c r="BG47" s="103">
        <v>0</v>
      </c>
      <c r="BH47" s="103">
        <v>0</v>
      </c>
      <c r="BI47" s="34">
        <v>1</v>
      </c>
      <c r="BJ47" s="36">
        <v>1</v>
      </c>
      <c r="BK47" s="35">
        <v>0</v>
      </c>
      <c r="BL47" s="34">
        <v>0</v>
      </c>
      <c r="BM47" s="36">
        <v>0</v>
      </c>
      <c r="BN47" s="35">
        <v>0</v>
      </c>
      <c r="BO47" s="34">
        <v>1</v>
      </c>
      <c r="BP47" s="33">
        <v>101</v>
      </c>
      <c r="BQ47" s="36">
        <v>1</v>
      </c>
      <c r="BR47" s="34">
        <v>0</v>
      </c>
      <c r="BS47" s="36">
        <v>0</v>
      </c>
      <c r="BT47" s="36">
        <v>0</v>
      </c>
      <c r="BU47" s="35">
        <v>0</v>
      </c>
      <c r="BV47" s="34">
        <v>0</v>
      </c>
      <c r="BW47" s="210"/>
      <c r="BX47" s="51"/>
      <c r="BY47" s="51"/>
      <c r="BZ47" s="48"/>
      <c r="CA47" s="210"/>
      <c r="CB47" s="51"/>
      <c r="CC47" s="51"/>
      <c r="CD47" s="51"/>
      <c r="CE47" s="210"/>
      <c r="CF47" s="51"/>
      <c r="CG47" s="51"/>
      <c r="CH47" s="48"/>
      <c r="CI47" s="210"/>
      <c r="CJ47" s="51"/>
      <c r="CK47" s="51"/>
      <c r="CL47" s="210"/>
      <c r="CM47" s="51"/>
      <c r="CN47" s="51"/>
      <c r="CO47" s="51"/>
      <c r="CP47" s="48"/>
      <c r="CQ47" s="210"/>
      <c r="CR47" s="48"/>
      <c r="CS47" s="3"/>
      <c r="CT47" s="3"/>
    </row>
    <row r="48" spans="1:98" ht="17" thickBot="1">
      <c r="A48" s="88" t="s">
        <v>320</v>
      </c>
      <c r="B48" s="185" t="s">
        <v>435</v>
      </c>
      <c r="C48" s="27"/>
      <c r="D48" s="28" t="s">
        <v>132</v>
      </c>
      <c r="E48" s="27"/>
      <c r="F48" s="27">
        <v>5</v>
      </c>
      <c r="G48" s="28">
        <v>0</v>
      </c>
      <c r="H48" s="30">
        <v>0</v>
      </c>
      <c r="I48" s="30">
        <v>1</v>
      </c>
      <c r="J48" s="27">
        <v>1</v>
      </c>
      <c r="K48" s="28">
        <v>246</v>
      </c>
      <c r="L48" s="29">
        <v>1002</v>
      </c>
      <c r="M48" s="28">
        <v>0</v>
      </c>
      <c r="N48" s="30">
        <v>621</v>
      </c>
      <c r="O48" s="28">
        <v>0</v>
      </c>
      <c r="P48" s="29">
        <v>0</v>
      </c>
      <c r="Q48" s="27">
        <v>1230</v>
      </c>
      <c r="R48" s="211">
        <v>1.3681868743047831</v>
      </c>
      <c r="S48" s="28">
        <v>1</v>
      </c>
      <c r="T48" s="30">
        <v>1</v>
      </c>
      <c r="U48" s="30">
        <v>0</v>
      </c>
      <c r="V48" s="29">
        <v>0</v>
      </c>
      <c r="W48" s="28">
        <v>1100</v>
      </c>
      <c r="X48" s="28">
        <v>0</v>
      </c>
      <c r="Y48" s="30">
        <v>1</v>
      </c>
      <c r="Z48" s="30">
        <v>0</v>
      </c>
      <c r="AA48" s="29">
        <v>0</v>
      </c>
      <c r="AB48" s="27">
        <v>100</v>
      </c>
      <c r="AC48" s="28">
        <v>1</v>
      </c>
      <c r="AD48" s="28">
        <v>0</v>
      </c>
      <c r="AE48" s="30">
        <v>1</v>
      </c>
      <c r="AF48" s="30">
        <v>0</v>
      </c>
      <c r="AG48" s="29">
        <v>0</v>
      </c>
      <c r="AH48" s="28">
        <v>100</v>
      </c>
      <c r="AI48" s="28">
        <v>0</v>
      </c>
      <c r="AJ48" s="30">
        <v>0</v>
      </c>
      <c r="AK48" s="30">
        <v>0</v>
      </c>
      <c r="AL48" s="29">
        <v>0</v>
      </c>
      <c r="AM48" s="27">
        <v>0</v>
      </c>
      <c r="AN48" s="28">
        <v>0</v>
      </c>
      <c r="AO48" s="30">
        <v>0</v>
      </c>
      <c r="AP48" s="30">
        <v>0</v>
      </c>
      <c r="AQ48" s="30">
        <v>0</v>
      </c>
      <c r="AR48" s="30">
        <v>0</v>
      </c>
      <c r="AS48" s="28">
        <v>0</v>
      </c>
      <c r="AT48" s="30">
        <v>1</v>
      </c>
      <c r="AU48" s="30">
        <v>0</v>
      </c>
      <c r="AV48" s="30">
        <v>1</v>
      </c>
      <c r="AW48" s="29">
        <v>0</v>
      </c>
      <c r="AX48" s="28">
        <v>2</v>
      </c>
      <c r="AY48" s="28">
        <v>0</v>
      </c>
      <c r="AZ48" s="30">
        <v>0</v>
      </c>
      <c r="BA48" s="30">
        <v>0</v>
      </c>
      <c r="BB48" s="29">
        <v>1</v>
      </c>
      <c r="BC48" s="27">
        <v>1</v>
      </c>
      <c r="BD48" s="99">
        <v>0</v>
      </c>
      <c r="BE48" s="98">
        <v>0</v>
      </c>
      <c r="BF48" s="98">
        <v>0</v>
      </c>
      <c r="BG48" s="98">
        <v>0</v>
      </c>
      <c r="BH48" s="98">
        <v>0</v>
      </c>
      <c r="BI48" s="28">
        <v>1</v>
      </c>
      <c r="BJ48" s="30">
        <v>1</v>
      </c>
      <c r="BK48" s="29">
        <v>0</v>
      </c>
      <c r="BL48" s="28">
        <v>0</v>
      </c>
      <c r="BM48" s="30">
        <v>0</v>
      </c>
      <c r="BN48" s="29">
        <v>0</v>
      </c>
      <c r="BO48" s="28">
        <v>1</v>
      </c>
      <c r="BP48" s="27">
        <v>91</v>
      </c>
      <c r="BQ48" s="30">
        <v>2</v>
      </c>
      <c r="BR48" s="28">
        <v>0</v>
      </c>
      <c r="BS48" s="30">
        <v>0</v>
      </c>
      <c r="BT48" s="30">
        <v>0</v>
      </c>
      <c r="BU48" s="29">
        <v>0</v>
      </c>
      <c r="BV48" s="28">
        <v>0</v>
      </c>
      <c r="BW48" s="211"/>
      <c r="BX48" s="77"/>
      <c r="BY48" s="77"/>
      <c r="BZ48" s="45"/>
      <c r="CA48" s="211"/>
      <c r="CB48" s="77"/>
      <c r="CC48" s="77"/>
      <c r="CD48" s="77"/>
      <c r="CE48" s="211"/>
      <c r="CF48" s="77"/>
      <c r="CG48" s="77"/>
      <c r="CH48" s="45"/>
      <c r="CI48" s="211"/>
      <c r="CJ48" s="77"/>
      <c r="CK48" s="77"/>
      <c r="CL48" s="211"/>
      <c r="CM48" s="77"/>
      <c r="CN48" s="77"/>
      <c r="CO48" s="77"/>
      <c r="CP48" s="45"/>
      <c r="CQ48" s="211"/>
      <c r="CR48" s="45"/>
      <c r="CS48" s="3"/>
      <c r="CT48" s="3"/>
    </row>
    <row r="49" spans="1:98">
      <c r="A49" s="87" t="s">
        <v>320</v>
      </c>
      <c r="B49" s="7" t="s">
        <v>298</v>
      </c>
      <c r="C49" s="9"/>
      <c r="D49" s="11" t="s">
        <v>132</v>
      </c>
      <c r="E49" s="9"/>
      <c r="F49" s="9">
        <v>5</v>
      </c>
      <c r="G49" s="11">
        <v>0</v>
      </c>
      <c r="H49" s="8">
        <v>0</v>
      </c>
      <c r="I49" s="8">
        <v>1</v>
      </c>
      <c r="J49" s="9">
        <v>1</v>
      </c>
      <c r="K49" s="11">
        <v>518</v>
      </c>
      <c r="L49" s="41">
        <v>664</v>
      </c>
      <c r="M49" s="11">
        <v>533</v>
      </c>
      <c r="N49" s="8">
        <v>544</v>
      </c>
      <c r="O49" s="11">
        <v>0</v>
      </c>
      <c r="P49" s="41">
        <v>0</v>
      </c>
      <c r="Q49" s="9">
        <v>1014</v>
      </c>
      <c r="R49" s="208">
        <v>1.1155115511551155</v>
      </c>
      <c r="S49" s="11">
        <v>1</v>
      </c>
      <c r="T49" s="8">
        <v>1</v>
      </c>
      <c r="U49" s="8">
        <v>0</v>
      </c>
      <c r="V49" s="41">
        <v>0</v>
      </c>
      <c r="W49" s="11">
        <v>1100</v>
      </c>
      <c r="X49" s="11">
        <v>0</v>
      </c>
      <c r="Y49" s="8">
        <v>1</v>
      </c>
      <c r="Z49" s="8">
        <v>0</v>
      </c>
      <c r="AA49" s="41">
        <v>0</v>
      </c>
      <c r="AB49" s="9">
        <v>100</v>
      </c>
      <c r="AC49" s="11">
        <v>0</v>
      </c>
      <c r="AD49" s="11">
        <v>0</v>
      </c>
      <c r="AE49" s="8">
        <v>1</v>
      </c>
      <c r="AF49" s="8">
        <v>0</v>
      </c>
      <c r="AG49" s="41">
        <v>0</v>
      </c>
      <c r="AH49" s="11">
        <v>100</v>
      </c>
      <c r="AI49" s="11">
        <v>0</v>
      </c>
      <c r="AJ49" s="8">
        <v>0</v>
      </c>
      <c r="AK49" s="8">
        <v>0</v>
      </c>
      <c r="AL49" s="41">
        <v>0</v>
      </c>
      <c r="AM49" s="9">
        <v>0</v>
      </c>
      <c r="AN49" s="11">
        <v>0</v>
      </c>
      <c r="AO49" s="8">
        <v>0</v>
      </c>
      <c r="AP49" s="8">
        <v>0</v>
      </c>
      <c r="AQ49" s="8">
        <v>0</v>
      </c>
      <c r="AR49" s="8">
        <v>0</v>
      </c>
      <c r="AS49" s="11">
        <v>1</v>
      </c>
      <c r="AT49" s="8">
        <v>0</v>
      </c>
      <c r="AU49" s="8">
        <v>0</v>
      </c>
      <c r="AV49" s="8">
        <v>0</v>
      </c>
      <c r="AW49" s="41">
        <v>0</v>
      </c>
      <c r="AX49" s="11">
        <v>1</v>
      </c>
      <c r="AY49" s="11">
        <v>1</v>
      </c>
      <c r="AZ49" s="8">
        <v>0</v>
      </c>
      <c r="BA49" s="8">
        <v>0</v>
      </c>
      <c r="BB49" s="41">
        <v>1</v>
      </c>
      <c r="BC49" s="9">
        <v>2</v>
      </c>
      <c r="BD49" s="102">
        <v>0</v>
      </c>
      <c r="BE49" s="100">
        <v>0</v>
      </c>
      <c r="BF49" s="100">
        <v>0</v>
      </c>
      <c r="BG49" s="100">
        <v>0</v>
      </c>
      <c r="BH49" s="100">
        <v>0</v>
      </c>
      <c r="BI49" s="11">
        <v>1</v>
      </c>
      <c r="BJ49" s="8">
        <v>1</v>
      </c>
      <c r="BK49" s="41">
        <v>0</v>
      </c>
      <c r="BL49" s="11">
        <v>0</v>
      </c>
      <c r="BM49" s="8">
        <v>0</v>
      </c>
      <c r="BN49" s="41">
        <v>0</v>
      </c>
      <c r="BO49" s="11">
        <v>1</v>
      </c>
      <c r="BP49" s="9">
        <v>113</v>
      </c>
      <c r="BQ49" s="8">
        <v>1</v>
      </c>
      <c r="BR49" s="11">
        <v>0</v>
      </c>
      <c r="BS49" s="8">
        <v>0</v>
      </c>
      <c r="BT49" s="8">
        <v>0</v>
      </c>
      <c r="BU49" s="41">
        <v>0</v>
      </c>
      <c r="BV49" s="11">
        <v>0</v>
      </c>
      <c r="BW49" s="208"/>
      <c r="BX49" s="54"/>
      <c r="BY49" s="54"/>
      <c r="BZ49" s="10"/>
      <c r="CA49" s="208"/>
      <c r="CB49" s="54"/>
      <c r="CC49" s="54"/>
      <c r="CD49" s="54"/>
      <c r="CE49" s="208"/>
      <c r="CF49" s="54"/>
      <c r="CG49" s="54"/>
      <c r="CH49" s="10"/>
      <c r="CI49" s="208"/>
      <c r="CJ49" s="54"/>
      <c r="CK49" s="54"/>
      <c r="CL49" s="208"/>
      <c r="CM49" s="54"/>
      <c r="CN49" s="54"/>
      <c r="CO49" s="54"/>
      <c r="CP49" s="10"/>
      <c r="CQ49" s="208"/>
      <c r="CR49" s="10"/>
      <c r="CS49" s="3"/>
      <c r="CT49" s="3"/>
    </row>
    <row r="50" spans="1:98">
      <c r="A50" s="42" t="s">
        <v>320</v>
      </c>
      <c r="B50" s="173" t="s">
        <v>298</v>
      </c>
      <c r="C50" s="12"/>
      <c r="D50" s="14" t="s">
        <v>167</v>
      </c>
      <c r="E50" s="12"/>
      <c r="F50" s="12">
        <v>13</v>
      </c>
      <c r="G50" s="14">
        <v>0</v>
      </c>
      <c r="H50" s="163">
        <v>0</v>
      </c>
      <c r="I50" s="163">
        <v>1</v>
      </c>
      <c r="J50" s="12">
        <v>1</v>
      </c>
      <c r="K50" s="14">
        <v>189</v>
      </c>
      <c r="L50" s="26">
        <v>670</v>
      </c>
      <c r="M50" s="14">
        <v>214</v>
      </c>
      <c r="N50" s="163">
        <v>1952</v>
      </c>
      <c r="O50" s="14">
        <v>0</v>
      </c>
      <c r="P50" s="26">
        <v>0</v>
      </c>
      <c r="Q50" s="12">
        <v>2961</v>
      </c>
      <c r="R50" s="209">
        <v>1.381707886140924</v>
      </c>
      <c r="S50" s="14">
        <v>1</v>
      </c>
      <c r="T50" s="163">
        <v>1</v>
      </c>
      <c r="U50" s="163">
        <v>0</v>
      </c>
      <c r="V50" s="26">
        <v>0</v>
      </c>
      <c r="W50" s="14">
        <v>1100</v>
      </c>
      <c r="X50" s="14">
        <v>0</v>
      </c>
      <c r="Y50" s="163">
        <v>1</v>
      </c>
      <c r="Z50" s="163">
        <v>0</v>
      </c>
      <c r="AA50" s="26">
        <v>0</v>
      </c>
      <c r="AB50" s="12">
        <v>100</v>
      </c>
      <c r="AC50" s="14">
        <v>1</v>
      </c>
      <c r="AD50" s="14">
        <v>0</v>
      </c>
      <c r="AE50" s="163">
        <v>1</v>
      </c>
      <c r="AF50" s="163">
        <v>0</v>
      </c>
      <c r="AG50" s="26">
        <v>0</v>
      </c>
      <c r="AH50" s="14">
        <v>100</v>
      </c>
      <c r="AI50" s="14">
        <v>0</v>
      </c>
      <c r="AJ50" s="163">
        <v>0</v>
      </c>
      <c r="AK50" s="163">
        <v>0</v>
      </c>
      <c r="AL50" s="26">
        <v>0</v>
      </c>
      <c r="AM50" s="12">
        <v>0</v>
      </c>
      <c r="AN50" s="14">
        <v>0</v>
      </c>
      <c r="AO50" s="163">
        <v>0</v>
      </c>
      <c r="AP50" s="163">
        <v>0</v>
      </c>
      <c r="AQ50" s="163">
        <v>0</v>
      </c>
      <c r="AR50" s="163">
        <v>0</v>
      </c>
      <c r="AS50" s="14">
        <v>1</v>
      </c>
      <c r="AT50" s="163">
        <v>1</v>
      </c>
      <c r="AU50" s="163">
        <v>0</v>
      </c>
      <c r="AV50" s="163">
        <v>0</v>
      </c>
      <c r="AW50" s="26">
        <v>0</v>
      </c>
      <c r="AX50" s="14">
        <v>2</v>
      </c>
      <c r="AY50" s="14">
        <v>0</v>
      </c>
      <c r="AZ50" s="163">
        <v>0</v>
      </c>
      <c r="BA50" s="163">
        <v>1</v>
      </c>
      <c r="BB50" s="26">
        <v>0</v>
      </c>
      <c r="BC50" s="12">
        <v>1</v>
      </c>
      <c r="BD50" s="23">
        <v>0</v>
      </c>
      <c r="BE50" s="24">
        <v>0</v>
      </c>
      <c r="BF50" s="24">
        <v>0</v>
      </c>
      <c r="BG50" s="24">
        <v>0</v>
      </c>
      <c r="BH50" s="24">
        <v>0</v>
      </c>
      <c r="BI50" s="14">
        <v>1</v>
      </c>
      <c r="BJ50" s="163">
        <v>1</v>
      </c>
      <c r="BK50" s="26">
        <v>0</v>
      </c>
      <c r="BL50" s="14">
        <v>0</v>
      </c>
      <c r="BM50" s="163">
        <v>0</v>
      </c>
      <c r="BN50" s="26">
        <v>0</v>
      </c>
      <c r="BO50" s="14">
        <v>1</v>
      </c>
      <c r="BP50" s="12">
        <v>140</v>
      </c>
      <c r="BQ50" s="163">
        <v>2</v>
      </c>
      <c r="BR50" s="14">
        <v>0</v>
      </c>
      <c r="BS50" s="163">
        <v>0</v>
      </c>
      <c r="BT50" s="163">
        <v>0</v>
      </c>
      <c r="BU50" s="26">
        <v>0</v>
      </c>
      <c r="BV50" s="14">
        <v>0</v>
      </c>
      <c r="BW50" s="209"/>
      <c r="BX50" s="3"/>
      <c r="BY50" s="3"/>
      <c r="BZ50" s="40"/>
      <c r="CA50" s="209"/>
      <c r="CB50" s="3"/>
      <c r="CC50" s="3"/>
      <c r="CD50" s="3"/>
      <c r="CE50" s="209"/>
      <c r="CF50" s="3"/>
      <c r="CG50" s="3"/>
      <c r="CH50" s="40"/>
      <c r="CI50" s="209"/>
      <c r="CJ50" s="3"/>
      <c r="CK50" s="3"/>
      <c r="CL50" s="209"/>
      <c r="CM50" s="3"/>
      <c r="CN50" s="3"/>
      <c r="CO50" s="3"/>
      <c r="CP50" s="40"/>
      <c r="CQ50" s="209"/>
      <c r="CR50" s="40"/>
      <c r="CS50" s="3"/>
      <c r="CT50" s="3"/>
    </row>
    <row r="51" spans="1:98" ht="17" thickBot="1">
      <c r="A51" s="55" t="s">
        <v>320</v>
      </c>
      <c r="B51" s="47" t="s">
        <v>298</v>
      </c>
      <c r="C51" s="33"/>
      <c r="D51" s="34" t="s">
        <v>144</v>
      </c>
      <c r="E51" s="33"/>
      <c r="F51" s="33">
        <v>5</v>
      </c>
      <c r="G51" s="34">
        <v>1</v>
      </c>
      <c r="H51" s="36">
        <v>0</v>
      </c>
      <c r="I51" s="36">
        <v>1</v>
      </c>
      <c r="J51" s="33">
        <v>101</v>
      </c>
      <c r="K51" s="34">
        <v>242</v>
      </c>
      <c r="L51" s="35">
        <v>513</v>
      </c>
      <c r="M51" s="34">
        <v>287</v>
      </c>
      <c r="N51" s="36">
        <v>440</v>
      </c>
      <c r="O51" s="34">
        <v>0</v>
      </c>
      <c r="P51" s="35">
        <v>0</v>
      </c>
      <c r="Q51" s="33">
        <v>1254</v>
      </c>
      <c r="R51" s="210">
        <v>2.2432915921288012</v>
      </c>
      <c r="S51" s="34">
        <v>1</v>
      </c>
      <c r="T51" s="36">
        <v>1</v>
      </c>
      <c r="U51" s="36">
        <v>0</v>
      </c>
      <c r="V51" s="35">
        <v>0</v>
      </c>
      <c r="W51" s="34">
        <v>1100</v>
      </c>
      <c r="X51" s="34">
        <v>1</v>
      </c>
      <c r="Y51" s="36">
        <v>0</v>
      </c>
      <c r="Z51" s="36">
        <v>0</v>
      </c>
      <c r="AA51" s="35">
        <v>0</v>
      </c>
      <c r="AB51" s="33">
        <v>1000</v>
      </c>
      <c r="AC51" s="34">
        <v>0</v>
      </c>
      <c r="AD51" s="34">
        <v>0</v>
      </c>
      <c r="AE51" s="36">
        <v>1</v>
      </c>
      <c r="AF51" s="36">
        <v>1</v>
      </c>
      <c r="AG51" s="35">
        <v>0</v>
      </c>
      <c r="AH51" s="34">
        <v>110</v>
      </c>
      <c r="AI51" s="34">
        <v>0</v>
      </c>
      <c r="AJ51" s="36">
        <v>0</v>
      </c>
      <c r="AK51" s="36">
        <v>0</v>
      </c>
      <c r="AL51" s="35">
        <v>0</v>
      </c>
      <c r="AM51" s="33">
        <v>0</v>
      </c>
      <c r="AN51" s="34">
        <v>0</v>
      </c>
      <c r="AO51" s="36">
        <v>0</v>
      </c>
      <c r="AP51" s="36">
        <v>0</v>
      </c>
      <c r="AQ51" s="36">
        <v>0</v>
      </c>
      <c r="AR51" s="36">
        <v>0</v>
      </c>
      <c r="AS51" s="34">
        <v>1</v>
      </c>
      <c r="AT51" s="36">
        <v>0</v>
      </c>
      <c r="AU51" s="36">
        <v>0</v>
      </c>
      <c r="AV51" s="36">
        <v>0</v>
      </c>
      <c r="AW51" s="35">
        <v>0</v>
      </c>
      <c r="AX51" s="34">
        <v>1</v>
      </c>
      <c r="AY51" s="34">
        <v>0</v>
      </c>
      <c r="AZ51" s="36">
        <v>0</v>
      </c>
      <c r="BA51" s="36">
        <v>1</v>
      </c>
      <c r="BB51" s="35">
        <v>0</v>
      </c>
      <c r="BC51" s="33">
        <v>1</v>
      </c>
      <c r="BD51" s="105">
        <v>0</v>
      </c>
      <c r="BE51" s="103">
        <v>0</v>
      </c>
      <c r="BF51" s="103">
        <v>0</v>
      </c>
      <c r="BG51" s="103">
        <v>0</v>
      </c>
      <c r="BH51" s="103">
        <v>0</v>
      </c>
      <c r="BI51" s="34">
        <v>0</v>
      </c>
      <c r="BJ51" s="36">
        <v>1</v>
      </c>
      <c r="BK51" s="35">
        <v>0</v>
      </c>
      <c r="BL51" s="34">
        <v>0</v>
      </c>
      <c r="BM51" s="36">
        <v>0</v>
      </c>
      <c r="BN51" s="35">
        <v>0</v>
      </c>
      <c r="BO51" s="34">
        <v>1</v>
      </c>
      <c r="BP51" s="33">
        <v>116</v>
      </c>
      <c r="BQ51" s="36">
        <v>2</v>
      </c>
      <c r="BR51" s="34">
        <v>0</v>
      </c>
      <c r="BS51" s="36">
        <v>0</v>
      </c>
      <c r="BT51" s="36">
        <v>0</v>
      </c>
      <c r="BU51" s="35">
        <v>0</v>
      </c>
      <c r="BV51" s="34">
        <v>0</v>
      </c>
      <c r="BW51" s="210"/>
      <c r="BX51" s="51"/>
      <c r="BY51" s="51"/>
      <c r="BZ51" s="48"/>
      <c r="CA51" s="210"/>
      <c r="CB51" s="51"/>
      <c r="CC51" s="51"/>
      <c r="CD51" s="51"/>
      <c r="CE51" s="210"/>
      <c r="CF51" s="51"/>
      <c r="CG51" s="51"/>
      <c r="CH51" s="48"/>
      <c r="CI51" s="210"/>
      <c r="CJ51" s="51"/>
      <c r="CK51" s="51"/>
      <c r="CL51" s="210">
        <v>84.615843714783352</v>
      </c>
      <c r="CM51" s="51">
        <v>84.518559166782126</v>
      </c>
      <c r="CN51" s="51">
        <v>84.536753422382546</v>
      </c>
      <c r="CO51" s="51"/>
      <c r="CP51" s="48"/>
      <c r="CQ51" s="210"/>
      <c r="CR51" s="48"/>
      <c r="CS51" s="3"/>
      <c r="CT51" s="3"/>
    </row>
    <row r="52" spans="1:98">
      <c r="A52" s="87" t="s">
        <v>320</v>
      </c>
      <c r="B52" s="7" t="s">
        <v>297</v>
      </c>
      <c r="C52" s="9"/>
      <c r="D52" s="11" t="s">
        <v>132</v>
      </c>
      <c r="E52" s="9"/>
      <c r="F52" s="9">
        <v>10</v>
      </c>
      <c r="G52" s="11">
        <v>0</v>
      </c>
      <c r="H52" s="8">
        <v>0</v>
      </c>
      <c r="I52" s="8">
        <v>1</v>
      </c>
      <c r="J52" s="9">
        <v>1</v>
      </c>
      <c r="K52" s="11">
        <v>60</v>
      </c>
      <c r="L52" s="41">
        <v>445</v>
      </c>
      <c r="M52" s="11">
        <v>0</v>
      </c>
      <c r="N52" s="8">
        <v>953</v>
      </c>
      <c r="O52" s="11">
        <v>0</v>
      </c>
      <c r="P52" s="41">
        <v>0</v>
      </c>
      <c r="Q52" s="9">
        <v>953</v>
      </c>
      <c r="R52" s="208">
        <v>1.0426695842450766</v>
      </c>
      <c r="S52" s="11">
        <v>1</v>
      </c>
      <c r="T52" s="8">
        <v>1</v>
      </c>
      <c r="U52" s="8">
        <v>0</v>
      </c>
      <c r="V52" s="41">
        <v>0</v>
      </c>
      <c r="W52" s="11">
        <v>1100</v>
      </c>
      <c r="X52" s="11">
        <v>1</v>
      </c>
      <c r="Y52" s="8">
        <v>0</v>
      </c>
      <c r="Z52" s="8">
        <v>0</v>
      </c>
      <c r="AA52" s="41">
        <v>1</v>
      </c>
      <c r="AB52" s="9">
        <v>1001</v>
      </c>
      <c r="AC52" s="11">
        <v>0</v>
      </c>
      <c r="AD52" s="11">
        <v>0</v>
      </c>
      <c r="AE52" s="8">
        <v>1</v>
      </c>
      <c r="AF52" s="8">
        <v>0</v>
      </c>
      <c r="AG52" s="41">
        <v>0</v>
      </c>
      <c r="AH52" s="11">
        <v>100</v>
      </c>
      <c r="AI52" s="11">
        <v>0</v>
      </c>
      <c r="AJ52" s="8">
        <v>0</v>
      </c>
      <c r="AK52" s="8">
        <v>0</v>
      </c>
      <c r="AL52" s="41">
        <v>0</v>
      </c>
      <c r="AM52" s="9">
        <v>0</v>
      </c>
      <c r="AN52" s="11">
        <v>0</v>
      </c>
      <c r="AO52" s="8">
        <v>0</v>
      </c>
      <c r="AP52" s="8">
        <v>0</v>
      </c>
      <c r="AQ52" s="8">
        <v>0</v>
      </c>
      <c r="AR52" s="8">
        <v>0</v>
      </c>
      <c r="AS52" s="11">
        <v>1</v>
      </c>
      <c r="AT52" s="8">
        <v>1</v>
      </c>
      <c r="AU52" s="8">
        <v>0</v>
      </c>
      <c r="AV52" s="8">
        <v>1</v>
      </c>
      <c r="AW52" s="41">
        <v>0</v>
      </c>
      <c r="AX52" s="11">
        <v>3</v>
      </c>
      <c r="AY52" s="11">
        <v>0</v>
      </c>
      <c r="AZ52" s="8">
        <v>0</v>
      </c>
      <c r="BA52" s="8">
        <v>0</v>
      </c>
      <c r="BB52" s="41">
        <v>1</v>
      </c>
      <c r="BC52" s="9">
        <v>1</v>
      </c>
      <c r="BD52" s="11">
        <v>0</v>
      </c>
      <c r="BE52" s="8">
        <v>0</v>
      </c>
      <c r="BF52" s="8">
        <v>0</v>
      </c>
      <c r="BG52" s="8">
        <v>0</v>
      </c>
      <c r="BH52" s="8">
        <v>0</v>
      </c>
      <c r="BI52" s="11">
        <v>0</v>
      </c>
      <c r="BJ52" s="8">
        <v>0</v>
      </c>
      <c r="BK52" s="41">
        <v>0</v>
      </c>
      <c r="BL52" s="11">
        <v>0</v>
      </c>
      <c r="BM52" s="8">
        <v>0</v>
      </c>
      <c r="BN52" s="41">
        <v>0</v>
      </c>
      <c r="BO52" s="11">
        <v>0</v>
      </c>
      <c r="BP52" s="9">
        <v>84</v>
      </c>
      <c r="BQ52" s="8">
        <v>2</v>
      </c>
      <c r="BR52" s="11">
        <v>0</v>
      </c>
      <c r="BS52" s="8">
        <v>0</v>
      </c>
      <c r="BT52" s="8">
        <v>0</v>
      </c>
      <c r="BU52" s="41">
        <v>0</v>
      </c>
      <c r="BV52" s="11">
        <v>0</v>
      </c>
      <c r="BW52" s="208"/>
      <c r="BX52" s="54"/>
      <c r="BY52" s="54"/>
      <c r="BZ52" s="10"/>
      <c r="CA52" s="208"/>
      <c r="CB52" s="54"/>
      <c r="CC52" s="54"/>
      <c r="CD52" s="54"/>
      <c r="CE52" s="208"/>
      <c r="CF52" s="54"/>
      <c r="CG52" s="54"/>
      <c r="CH52" s="10"/>
      <c r="CI52" s="208"/>
      <c r="CJ52" s="54"/>
      <c r="CK52" s="54"/>
      <c r="CL52" s="208"/>
      <c r="CM52" s="54"/>
      <c r="CN52" s="54"/>
      <c r="CO52" s="54"/>
      <c r="CP52" s="10"/>
      <c r="CQ52" s="208"/>
      <c r="CR52" s="10"/>
      <c r="CS52" s="3"/>
      <c r="CT52" s="3"/>
    </row>
    <row r="53" spans="1:98">
      <c r="A53" s="42" t="s">
        <v>320</v>
      </c>
      <c r="B53" s="173" t="s">
        <v>297</v>
      </c>
      <c r="C53" s="12"/>
      <c r="D53" s="14" t="s">
        <v>167</v>
      </c>
      <c r="E53" s="12"/>
      <c r="F53" s="12">
        <v>6</v>
      </c>
      <c r="G53" s="14">
        <v>1</v>
      </c>
      <c r="H53" s="163">
        <v>1</v>
      </c>
      <c r="I53" s="163">
        <v>1</v>
      </c>
      <c r="J53" s="12">
        <v>111</v>
      </c>
      <c r="K53" s="14">
        <v>222</v>
      </c>
      <c r="L53" s="26">
        <v>1317</v>
      </c>
      <c r="M53" s="14">
        <v>158</v>
      </c>
      <c r="N53" s="163">
        <v>220</v>
      </c>
      <c r="O53" s="14">
        <v>0</v>
      </c>
      <c r="P53" s="26">
        <v>0</v>
      </c>
      <c r="Q53" s="12">
        <v>1317</v>
      </c>
      <c r="R53" s="209">
        <v>1.9310850439882699</v>
      </c>
      <c r="S53" s="14">
        <v>1</v>
      </c>
      <c r="T53" s="163">
        <v>1</v>
      </c>
      <c r="U53" s="163">
        <v>0</v>
      </c>
      <c r="V53" s="26">
        <v>0</v>
      </c>
      <c r="W53" s="14">
        <v>1100</v>
      </c>
      <c r="X53" s="14">
        <v>0</v>
      </c>
      <c r="Y53" s="163">
        <v>1</v>
      </c>
      <c r="Z53" s="163">
        <v>1</v>
      </c>
      <c r="AA53" s="26">
        <v>0</v>
      </c>
      <c r="AB53" s="12">
        <v>110</v>
      </c>
      <c r="AC53" s="14">
        <v>0</v>
      </c>
      <c r="AD53" s="14">
        <v>0</v>
      </c>
      <c r="AE53" s="163">
        <v>0</v>
      </c>
      <c r="AF53" s="163">
        <v>1</v>
      </c>
      <c r="AG53" s="26">
        <v>0</v>
      </c>
      <c r="AH53" s="14">
        <v>10</v>
      </c>
      <c r="AI53" s="14">
        <v>0</v>
      </c>
      <c r="AJ53" s="163">
        <v>0</v>
      </c>
      <c r="AK53" s="163">
        <v>0</v>
      </c>
      <c r="AL53" s="26">
        <v>0</v>
      </c>
      <c r="AM53" s="12">
        <v>0</v>
      </c>
      <c r="AN53" s="14">
        <v>0</v>
      </c>
      <c r="AO53" s="163">
        <v>0</v>
      </c>
      <c r="AP53" s="163">
        <v>0</v>
      </c>
      <c r="AQ53" s="163">
        <v>0</v>
      </c>
      <c r="AR53" s="163">
        <v>0</v>
      </c>
      <c r="AS53" s="14">
        <v>0</v>
      </c>
      <c r="AT53" s="163">
        <v>1</v>
      </c>
      <c r="AU53" s="163">
        <v>0</v>
      </c>
      <c r="AV53" s="163">
        <v>0</v>
      </c>
      <c r="AW53" s="26">
        <v>0</v>
      </c>
      <c r="AX53" s="14">
        <v>1</v>
      </c>
      <c r="AY53" s="14">
        <v>0</v>
      </c>
      <c r="AZ53" s="163">
        <v>0</v>
      </c>
      <c r="BA53" s="163">
        <v>0</v>
      </c>
      <c r="BB53" s="26">
        <v>1</v>
      </c>
      <c r="BC53" s="12">
        <v>1</v>
      </c>
      <c r="BD53" s="23">
        <v>0</v>
      </c>
      <c r="BE53" s="24">
        <v>0</v>
      </c>
      <c r="BF53" s="24">
        <v>0</v>
      </c>
      <c r="BG53" s="24">
        <v>0</v>
      </c>
      <c r="BH53" s="24">
        <v>0</v>
      </c>
      <c r="BI53" s="14">
        <v>1</v>
      </c>
      <c r="BJ53" s="163">
        <v>0</v>
      </c>
      <c r="BK53" s="26">
        <v>0</v>
      </c>
      <c r="BL53" s="14">
        <v>0</v>
      </c>
      <c r="BM53" s="163">
        <v>0</v>
      </c>
      <c r="BN53" s="26">
        <v>0</v>
      </c>
      <c r="BO53" s="14">
        <v>1</v>
      </c>
      <c r="BP53" s="12">
        <v>96</v>
      </c>
      <c r="BQ53" s="163">
        <v>1</v>
      </c>
      <c r="BR53" s="14">
        <v>0</v>
      </c>
      <c r="BS53" s="163">
        <v>0</v>
      </c>
      <c r="BT53" s="163">
        <v>0</v>
      </c>
      <c r="BU53" s="26">
        <v>0</v>
      </c>
      <c r="BV53" s="14">
        <v>0</v>
      </c>
      <c r="BW53" s="209"/>
      <c r="BX53" s="3"/>
      <c r="BY53" s="3"/>
      <c r="BZ53" s="40"/>
      <c r="CA53" s="209"/>
      <c r="CB53" s="3"/>
      <c r="CC53" s="3"/>
      <c r="CD53" s="3"/>
      <c r="CE53" s="209"/>
      <c r="CF53" s="3"/>
      <c r="CG53" s="3"/>
      <c r="CH53" s="40"/>
      <c r="CI53" s="209"/>
      <c r="CJ53" s="3"/>
      <c r="CK53" s="3"/>
      <c r="CL53" s="209"/>
      <c r="CM53" s="3"/>
      <c r="CN53" s="3"/>
      <c r="CO53" s="3"/>
      <c r="CP53" s="40"/>
      <c r="CQ53" s="209"/>
      <c r="CR53" s="40"/>
      <c r="CS53" s="3"/>
      <c r="CT53" s="3"/>
    </row>
    <row r="54" spans="1:98">
      <c r="A54" s="42" t="s">
        <v>320</v>
      </c>
      <c r="B54" s="173" t="s">
        <v>297</v>
      </c>
      <c r="C54" s="12"/>
      <c r="D54" s="14" t="s">
        <v>168</v>
      </c>
      <c r="E54" s="12"/>
      <c r="F54" s="12">
        <v>25</v>
      </c>
      <c r="G54" s="14">
        <v>1</v>
      </c>
      <c r="H54" s="163">
        <v>0</v>
      </c>
      <c r="I54" s="163">
        <v>1</v>
      </c>
      <c r="J54" s="12">
        <v>101</v>
      </c>
      <c r="K54" s="14">
        <v>90</v>
      </c>
      <c r="L54" s="26">
        <v>532</v>
      </c>
      <c r="M54" s="14">
        <v>35</v>
      </c>
      <c r="N54" s="163">
        <v>496</v>
      </c>
      <c r="O54" s="14">
        <v>0</v>
      </c>
      <c r="P54" s="26">
        <v>0</v>
      </c>
      <c r="Q54" s="12">
        <v>1583</v>
      </c>
      <c r="R54" s="209">
        <v>1.6353305785123966</v>
      </c>
      <c r="S54" s="14">
        <v>1</v>
      </c>
      <c r="T54" s="163">
        <v>1</v>
      </c>
      <c r="U54" s="163">
        <v>0</v>
      </c>
      <c r="V54" s="26">
        <v>0</v>
      </c>
      <c r="W54" s="14">
        <v>1100</v>
      </c>
      <c r="X54" s="14">
        <v>1</v>
      </c>
      <c r="Y54" s="163">
        <v>1</v>
      </c>
      <c r="Z54" s="163">
        <v>0</v>
      </c>
      <c r="AA54" s="26">
        <v>0</v>
      </c>
      <c r="AB54" s="12">
        <v>1100</v>
      </c>
      <c r="AC54" s="14">
        <v>0</v>
      </c>
      <c r="AD54" s="14">
        <v>0</v>
      </c>
      <c r="AE54" s="163">
        <v>1</v>
      </c>
      <c r="AF54" s="163">
        <v>0</v>
      </c>
      <c r="AG54" s="26">
        <v>0</v>
      </c>
      <c r="AH54" s="14">
        <v>100</v>
      </c>
      <c r="AI54" s="14">
        <v>0</v>
      </c>
      <c r="AJ54" s="163">
        <v>0</v>
      </c>
      <c r="AK54" s="163">
        <v>0</v>
      </c>
      <c r="AL54" s="26">
        <v>0</v>
      </c>
      <c r="AM54" s="12">
        <v>0</v>
      </c>
      <c r="AN54" s="14">
        <v>0</v>
      </c>
      <c r="AO54" s="163">
        <v>0</v>
      </c>
      <c r="AP54" s="163">
        <v>0</v>
      </c>
      <c r="AQ54" s="163">
        <v>0</v>
      </c>
      <c r="AR54" s="163">
        <v>0</v>
      </c>
      <c r="AS54" s="14">
        <v>0</v>
      </c>
      <c r="AT54" s="163">
        <v>1</v>
      </c>
      <c r="AU54" s="163">
        <v>1</v>
      </c>
      <c r="AV54" s="163">
        <v>0</v>
      </c>
      <c r="AW54" s="26">
        <v>0</v>
      </c>
      <c r="AX54" s="14">
        <v>2</v>
      </c>
      <c r="AY54" s="14">
        <v>0</v>
      </c>
      <c r="AZ54" s="163">
        <v>0</v>
      </c>
      <c r="BA54" s="163">
        <v>0</v>
      </c>
      <c r="BB54" s="26">
        <v>1</v>
      </c>
      <c r="BC54" s="12">
        <v>1</v>
      </c>
      <c r="BD54" s="23">
        <v>0</v>
      </c>
      <c r="BE54" s="24">
        <v>0</v>
      </c>
      <c r="BF54" s="24">
        <v>0</v>
      </c>
      <c r="BG54" s="24">
        <v>0</v>
      </c>
      <c r="BH54" s="24">
        <v>0</v>
      </c>
      <c r="BI54" s="14">
        <v>1</v>
      </c>
      <c r="BJ54" s="163">
        <v>1</v>
      </c>
      <c r="BK54" s="26">
        <v>0</v>
      </c>
      <c r="BL54" s="14">
        <v>0</v>
      </c>
      <c r="BM54" s="163">
        <v>0</v>
      </c>
      <c r="BN54" s="26">
        <v>0</v>
      </c>
      <c r="BO54" s="14">
        <v>1</v>
      </c>
      <c r="BP54" s="12">
        <v>115</v>
      </c>
      <c r="BQ54" s="163">
        <v>1</v>
      </c>
      <c r="BR54" s="14">
        <v>0</v>
      </c>
      <c r="BS54" s="163">
        <v>0</v>
      </c>
      <c r="BT54" s="163">
        <v>0</v>
      </c>
      <c r="BU54" s="26">
        <v>0</v>
      </c>
      <c r="BV54" s="14">
        <v>0</v>
      </c>
      <c r="BW54" s="209"/>
      <c r="BX54" s="3"/>
      <c r="BY54" s="3"/>
      <c r="BZ54" s="40"/>
      <c r="CA54" s="209"/>
      <c r="CB54" s="3"/>
      <c r="CC54" s="3"/>
      <c r="CD54" s="3"/>
      <c r="CE54" s="209"/>
      <c r="CF54" s="3"/>
      <c r="CG54" s="3"/>
      <c r="CH54" s="40"/>
      <c r="CI54" s="209"/>
      <c r="CJ54" s="3"/>
      <c r="CK54" s="3"/>
      <c r="CL54" s="209"/>
      <c r="CM54" s="3"/>
      <c r="CN54" s="3"/>
      <c r="CO54" s="3"/>
      <c r="CP54" s="40"/>
      <c r="CQ54" s="209"/>
      <c r="CR54" s="40"/>
      <c r="CS54" s="3"/>
      <c r="CT54" s="3"/>
    </row>
    <row r="55" spans="1:98" ht="17" thickBot="1">
      <c r="A55" s="55" t="s">
        <v>320</v>
      </c>
      <c r="B55" s="47" t="s">
        <v>297</v>
      </c>
      <c r="C55" s="33"/>
      <c r="D55" s="34" t="s">
        <v>199</v>
      </c>
      <c r="E55" s="33"/>
      <c r="F55" s="33">
        <v>12</v>
      </c>
      <c r="G55" s="34">
        <v>1</v>
      </c>
      <c r="H55" s="36">
        <v>0</v>
      </c>
      <c r="I55" s="36">
        <v>1</v>
      </c>
      <c r="J55" s="33">
        <v>101</v>
      </c>
      <c r="K55" s="34">
        <v>103</v>
      </c>
      <c r="L55" s="35">
        <v>824</v>
      </c>
      <c r="M55" s="34">
        <v>212</v>
      </c>
      <c r="N55" s="36">
        <v>707</v>
      </c>
      <c r="O55" s="34">
        <v>0</v>
      </c>
      <c r="P55" s="35">
        <v>0</v>
      </c>
      <c r="Q55" s="33">
        <v>1730</v>
      </c>
      <c r="R55" s="210">
        <v>1.5613718411552346</v>
      </c>
      <c r="S55" s="34">
        <v>1</v>
      </c>
      <c r="T55" s="36">
        <v>1</v>
      </c>
      <c r="U55" s="36">
        <v>0</v>
      </c>
      <c r="V55" s="35">
        <v>0</v>
      </c>
      <c r="W55" s="34">
        <v>1100</v>
      </c>
      <c r="X55" s="34">
        <v>1</v>
      </c>
      <c r="Y55" s="36">
        <v>1</v>
      </c>
      <c r="Z55" s="36">
        <v>0</v>
      </c>
      <c r="AA55" s="35">
        <v>0</v>
      </c>
      <c r="AB55" s="33">
        <v>1100</v>
      </c>
      <c r="AC55" s="34">
        <v>0</v>
      </c>
      <c r="AD55" s="34">
        <v>0</v>
      </c>
      <c r="AE55" s="36">
        <v>1</v>
      </c>
      <c r="AF55" s="36">
        <v>0</v>
      </c>
      <c r="AG55" s="35">
        <v>0</v>
      </c>
      <c r="AH55" s="34">
        <v>100</v>
      </c>
      <c r="AI55" s="34">
        <v>0</v>
      </c>
      <c r="AJ55" s="36">
        <v>0</v>
      </c>
      <c r="AK55" s="36">
        <v>0</v>
      </c>
      <c r="AL55" s="35">
        <v>0</v>
      </c>
      <c r="AM55" s="33">
        <v>0</v>
      </c>
      <c r="AN55" s="34">
        <v>0</v>
      </c>
      <c r="AO55" s="36">
        <v>0</v>
      </c>
      <c r="AP55" s="36">
        <v>0</v>
      </c>
      <c r="AQ55" s="36">
        <v>0</v>
      </c>
      <c r="AR55" s="36">
        <v>0</v>
      </c>
      <c r="AS55" s="34">
        <v>1</v>
      </c>
      <c r="AT55" s="36">
        <v>0</v>
      </c>
      <c r="AU55" s="36">
        <v>1</v>
      </c>
      <c r="AV55" s="36">
        <v>0</v>
      </c>
      <c r="AW55" s="35">
        <v>0</v>
      </c>
      <c r="AX55" s="34">
        <v>2</v>
      </c>
      <c r="AY55" s="34">
        <v>0</v>
      </c>
      <c r="AZ55" s="36">
        <v>1</v>
      </c>
      <c r="BA55" s="36">
        <v>0</v>
      </c>
      <c r="BB55" s="35">
        <v>1</v>
      </c>
      <c r="BC55" s="33">
        <v>2</v>
      </c>
      <c r="BD55" s="105">
        <v>0</v>
      </c>
      <c r="BE55" s="103">
        <v>0</v>
      </c>
      <c r="BF55" s="103">
        <v>0</v>
      </c>
      <c r="BG55" s="103">
        <v>0</v>
      </c>
      <c r="BH55" s="103">
        <v>0</v>
      </c>
      <c r="BI55" s="34">
        <v>1</v>
      </c>
      <c r="BJ55" s="36">
        <v>1</v>
      </c>
      <c r="BK55" s="35">
        <v>0</v>
      </c>
      <c r="BL55" s="34">
        <v>0</v>
      </c>
      <c r="BM55" s="36">
        <v>0</v>
      </c>
      <c r="BN55" s="35">
        <v>0</v>
      </c>
      <c r="BO55" s="34">
        <v>1</v>
      </c>
      <c r="BP55" s="33">
        <v>105</v>
      </c>
      <c r="BQ55" s="36">
        <v>1</v>
      </c>
      <c r="BR55" s="34">
        <v>0</v>
      </c>
      <c r="BS55" s="36">
        <v>0</v>
      </c>
      <c r="BT55" s="36">
        <v>0</v>
      </c>
      <c r="BU55" s="35">
        <v>0</v>
      </c>
      <c r="BV55" s="34">
        <v>0</v>
      </c>
      <c r="BW55" s="210"/>
      <c r="BX55" s="51"/>
      <c r="BY55" s="51"/>
      <c r="BZ55" s="48"/>
      <c r="CA55" s="210"/>
      <c r="CB55" s="51"/>
      <c r="CC55" s="51"/>
      <c r="CD55" s="51"/>
      <c r="CE55" s="210"/>
      <c r="CF55" s="51"/>
      <c r="CG55" s="51"/>
      <c r="CH55" s="48"/>
      <c r="CI55" s="210"/>
      <c r="CJ55" s="51"/>
      <c r="CK55" s="51"/>
      <c r="CL55" s="210"/>
      <c r="CM55" s="51"/>
      <c r="CN55" s="51"/>
      <c r="CO55" s="51"/>
      <c r="CP55" s="48"/>
      <c r="CQ55" s="210"/>
      <c r="CR55" s="48"/>
      <c r="CS55" s="3"/>
      <c r="CT55" s="3"/>
    </row>
    <row r="56" spans="1:98">
      <c r="A56" s="87" t="s">
        <v>320</v>
      </c>
      <c r="B56" s="7" t="s">
        <v>303</v>
      </c>
      <c r="C56" s="9"/>
      <c r="D56" s="11" t="s">
        <v>132</v>
      </c>
      <c r="E56" s="9"/>
      <c r="F56" s="9">
        <v>5</v>
      </c>
      <c r="G56" s="11">
        <v>0</v>
      </c>
      <c r="H56" s="8">
        <v>0</v>
      </c>
      <c r="I56" s="8">
        <v>1</v>
      </c>
      <c r="J56" s="9">
        <v>1</v>
      </c>
      <c r="K56" s="11">
        <v>436</v>
      </c>
      <c r="L56" s="41">
        <v>561</v>
      </c>
      <c r="M56" s="11">
        <v>0</v>
      </c>
      <c r="N56" s="8">
        <v>470</v>
      </c>
      <c r="O56" s="11">
        <v>787</v>
      </c>
      <c r="P56" s="41">
        <v>846</v>
      </c>
      <c r="Q56" s="9">
        <v>1647</v>
      </c>
      <c r="R56" s="208">
        <v>1.4972727272727273</v>
      </c>
      <c r="S56" s="11">
        <v>1</v>
      </c>
      <c r="T56" s="8">
        <v>1</v>
      </c>
      <c r="U56" s="8">
        <v>1</v>
      </c>
      <c r="V56" s="41">
        <v>0</v>
      </c>
      <c r="W56" s="11">
        <v>1110</v>
      </c>
      <c r="X56" s="11">
        <v>1</v>
      </c>
      <c r="Y56" s="8">
        <v>0</v>
      </c>
      <c r="Z56" s="8">
        <v>0</v>
      </c>
      <c r="AA56" s="41">
        <v>0</v>
      </c>
      <c r="AB56" s="9">
        <v>1000</v>
      </c>
      <c r="AC56" s="11">
        <v>1</v>
      </c>
      <c r="AD56" s="11">
        <v>0</v>
      </c>
      <c r="AE56" s="8">
        <v>1</v>
      </c>
      <c r="AF56" s="8">
        <v>0</v>
      </c>
      <c r="AG56" s="41">
        <v>0</v>
      </c>
      <c r="AH56" s="11">
        <v>100</v>
      </c>
      <c r="AI56" s="11">
        <v>0</v>
      </c>
      <c r="AJ56" s="8">
        <v>0</v>
      </c>
      <c r="AK56" s="8">
        <v>1</v>
      </c>
      <c r="AL56" s="41">
        <v>0</v>
      </c>
      <c r="AM56" s="9">
        <v>10</v>
      </c>
      <c r="AN56" s="11">
        <v>0</v>
      </c>
      <c r="AO56" s="8">
        <v>0</v>
      </c>
      <c r="AP56" s="8">
        <v>0</v>
      </c>
      <c r="AQ56" s="8">
        <v>0</v>
      </c>
      <c r="AR56" s="8">
        <v>0</v>
      </c>
      <c r="AS56" s="11">
        <v>1</v>
      </c>
      <c r="AT56" s="8">
        <v>0</v>
      </c>
      <c r="AU56" s="8">
        <v>0</v>
      </c>
      <c r="AV56" s="8">
        <v>0</v>
      </c>
      <c r="AW56" s="41">
        <v>0</v>
      </c>
      <c r="AX56" s="11">
        <v>1</v>
      </c>
      <c r="AY56" s="11">
        <v>0</v>
      </c>
      <c r="AZ56" s="8">
        <v>0</v>
      </c>
      <c r="BA56" s="8">
        <v>1</v>
      </c>
      <c r="BB56" s="41">
        <v>0</v>
      </c>
      <c r="BC56" s="9">
        <v>1</v>
      </c>
      <c r="BD56" s="11">
        <v>0</v>
      </c>
      <c r="BE56" s="8">
        <v>1</v>
      </c>
      <c r="BF56" s="8">
        <v>0</v>
      </c>
      <c r="BG56" s="8">
        <v>0</v>
      </c>
      <c r="BH56" s="8">
        <v>0</v>
      </c>
      <c r="BI56" s="11">
        <v>0</v>
      </c>
      <c r="BJ56" s="8">
        <v>0</v>
      </c>
      <c r="BK56" s="41">
        <v>0</v>
      </c>
      <c r="BL56" s="11">
        <v>0</v>
      </c>
      <c r="BM56" s="8">
        <v>0</v>
      </c>
      <c r="BN56" s="41">
        <v>0</v>
      </c>
      <c r="BO56" s="11">
        <v>0</v>
      </c>
      <c r="BP56" s="9">
        <v>115</v>
      </c>
      <c r="BQ56" s="8">
        <v>2</v>
      </c>
      <c r="BR56" s="11">
        <v>0</v>
      </c>
      <c r="BS56" s="8">
        <v>0</v>
      </c>
      <c r="BT56" s="8">
        <v>0</v>
      </c>
      <c r="BU56" s="41">
        <v>0</v>
      </c>
      <c r="BV56" s="11">
        <v>0</v>
      </c>
      <c r="BW56" s="208"/>
      <c r="BX56" s="54"/>
      <c r="BY56" s="54"/>
      <c r="BZ56" s="10"/>
      <c r="CA56" s="208"/>
      <c r="CB56" s="54"/>
      <c r="CC56" s="54"/>
      <c r="CD56" s="54"/>
      <c r="CE56" s="208"/>
      <c r="CF56" s="54"/>
      <c r="CG56" s="54"/>
      <c r="CH56" s="10"/>
      <c r="CI56" s="208"/>
      <c r="CJ56" s="54"/>
      <c r="CK56" s="54"/>
      <c r="CL56" s="208">
        <v>82.922134776557257</v>
      </c>
      <c r="CM56" s="54"/>
      <c r="CN56" s="54"/>
      <c r="CO56" s="54"/>
      <c r="CP56" s="10"/>
      <c r="CQ56" s="208"/>
      <c r="CR56" s="10"/>
      <c r="CS56" s="3"/>
      <c r="CT56" s="3"/>
    </row>
    <row r="57" spans="1:98">
      <c r="A57" s="42" t="s">
        <v>320</v>
      </c>
      <c r="B57" s="173" t="s">
        <v>303</v>
      </c>
      <c r="C57" s="12"/>
      <c r="D57" s="14" t="s">
        <v>145</v>
      </c>
      <c r="E57" s="12"/>
      <c r="F57" s="12">
        <v>4</v>
      </c>
      <c r="G57" s="14">
        <v>0</v>
      </c>
      <c r="H57" s="163">
        <v>1</v>
      </c>
      <c r="I57" s="163">
        <v>1</v>
      </c>
      <c r="J57" s="12">
        <v>11</v>
      </c>
      <c r="K57" s="14">
        <v>271</v>
      </c>
      <c r="L57" s="26">
        <v>1425</v>
      </c>
      <c r="M57" s="14">
        <v>0</v>
      </c>
      <c r="N57" s="163">
        <v>0</v>
      </c>
      <c r="O57" s="14">
        <v>0</v>
      </c>
      <c r="P57" s="26">
        <v>675</v>
      </c>
      <c r="Q57" s="12">
        <v>2067</v>
      </c>
      <c r="R57" s="209">
        <v>1.4618104667609617</v>
      </c>
      <c r="S57" s="14">
        <v>1</v>
      </c>
      <c r="T57" s="163">
        <v>0</v>
      </c>
      <c r="U57" s="163">
        <v>1</v>
      </c>
      <c r="V57" s="26">
        <v>0</v>
      </c>
      <c r="W57" s="14">
        <v>1010</v>
      </c>
      <c r="X57" s="14">
        <v>1</v>
      </c>
      <c r="Y57" s="163">
        <v>0</v>
      </c>
      <c r="Z57" s="163">
        <v>0</v>
      </c>
      <c r="AA57" s="26">
        <v>0</v>
      </c>
      <c r="AB57" s="12">
        <v>1000</v>
      </c>
      <c r="AC57" s="14">
        <v>1</v>
      </c>
      <c r="AD57" s="14">
        <v>0</v>
      </c>
      <c r="AE57" s="163">
        <v>0</v>
      </c>
      <c r="AF57" s="163">
        <v>0</v>
      </c>
      <c r="AG57" s="26">
        <v>0</v>
      </c>
      <c r="AH57" s="14">
        <v>0</v>
      </c>
      <c r="AI57" s="14">
        <v>0</v>
      </c>
      <c r="AJ57" s="163">
        <v>0</v>
      </c>
      <c r="AK57" s="163">
        <v>0</v>
      </c>
      <c r="AL57" s="26">
        <v>1</v>
      </c>
      <c r="AM57" s="12">
        <v>1</v>
      </c>
      <c r="AN57" s="14">
        <v>0</v>
      </c>
      <c r="AO57" s="163">
        <v>0</v>
      </c>
      <c r="AP57" s="163">
        <v>0</v>
      </c>
      <c r="AQ57" s="163">
        <v>0</v>
      </c>
      <c r="AR57" s="163">
        <v>0</v>
      </c>
      <c r="AS57" s="14">
        <v>1</v>
      </c>
      <c r="AT57" s="163">
        <v>1</v>
      </c>
      <c r="AU57" s="163">
        <v>0</v>
      </c>
      <c r="AV57" s="163">
        <v>1</v>
      </c>
      <c r="AW57" s="26">
        <v>0</v>
      </c>
      <c r="AX57" s="14">
        <v>3</v>
      </c>
      <c r="AY57" s="14">
        <v>0</v>
      </c>
      <c r="AZ57" s="163">
        <v>0</v>
      </c>
      <c r="BA57" s="163">
        <v>0</v>
      </c>
      <c r="BB57" s="26">
        <v>0</v>
      </c>
      <c r="BC57" s="12">
        <v>0</v>
      </c>
      <c r="BD57" s="14">
        <v>0</v>
      </c>
      <c r="BE57" s="163">
        <v>0</v>
      </c>
      <c r="BF57" s="163">
        <v>1</v>
      </c>
      <c r="BG57" s="163">
        <v>0</v>
      </c>
      <c r="BH57" s="163">
        <v>0</v>
      </c>
      <c r="BI57" s="14">
        <v>0</v>
      </c>
      <c r="BJ57" s="163">
        <v>1</v>
      </c>
      <c r="BK57" s="26">
        <v>0</v>
      </c>
      <c r="BL57" s="14">
        <v>0</v>
      </c>
      <c r="BM57" s="163">
        <v>0</v>
      </c>
      <c r="BN57" s="26">
        <v>0</v>
      </c>
      <c r="BO57" s="14">
        <v>0</v>
      </c>
      <c r="BP57" s="12">
        <v>131</v>
      </c>
      <c r="BQ57" s="163">
        <v>2</v>
      </c>
      <c r="BR57" s="14">
        <v>0</v>
      </c>
      <c r="BS57" s="163">
        <v>0</v>
      </c>
      <c r="BT57" s="163">
        <v>0</v>
      </c>
      <c r="BU57" s="26">
        <v>0</v>
      </c>
      <c r="BV57" s="14">
        <v>0</v>
      </c>
      <c r="BW57" s="209"/>
      <c r="BX57" s="3"/>
      <c r="BY57" s="3"/>
      <c r="BZ57" s="40"/>
      <c r="CA57" s="209"/>
      <c r="CB57" s="3"/>
      <c r="CC57" s="3"/>
      <c r="CD57" s="3"/>
      <c r="CE57" s="209"/>
      <c r="CF57" s="3"/>
      <c r="CG57" s="3"/>
      <c r="CH57" s="40"/>
      <c r="CI57" s="209"/>
      <c r="CJ57" s="3"/>
      <c r="CK57" s="3"/>
      <c r="CL57" s="209"/>
      <c r="CM57" s="3"/>
      <c r="CN57" s="3"/>
      <c r="CO57" s="3"/>
      <c r="CP57" s="40"/>
      <c r="CQ57" s="209"/>
      <c r="CR57" s="40"/>
      <c r="CS57" s="3"/>
      <c r="CT57" s="3"/>
    </row>
    <row r="58" spans="1:98">
      <c r="A58" s="42" t="s">
        <v>320</v>
      </c>
      <c r="B58" s="173" t="s">
        <v>303</v>
      </c>
      <c r="C58" s="12"/>
      <c r="D58" s="14" t="s">
        <v>381</v>
      </c>
      <c r="E58" s="12"/>
      <c r="F58" s="12">
        <v>7</v>
      </c>
      <c r="G58" s="14">
        <v>1</v>
      </c>
      <c r="H58" s="163">
        <v>0</v>
      </c>
      <c r="I58" s="163">
        <v>1</v>
      </c>
      <c r="J58" s="12">
        <v>101</v>
      </c>
      <c r="K58" s="14">
        <v>430</v>
      </c>
      <c r="L58" s="26">
        <v>2644</v>
      </c>
      <c r="M58" s="14">
        <v>430</v>
      </c>
      <c r="N58" s="163">
        <v>806</v>
      </c>
      <c r="O58" s="14">
        <v>0</v>
      </c>
      <c r="P58" s="26">
        <v>591</v>
      </c>
      <c r="Q58" s="12">
        <v>2644</v>
      </c>
      <c r="R58" s="209">
        <v>1.5946924004825092</v>
      </c>
      <c r="S58" s="14">
        <v>1</v>
      </c>
      <c r="T58" s="163">
        <v>1</v>
      </c>
      <c r="U58" s="163">
        <v>1</v>
      </c>
      <c r="V58" s="26">
        <v>0</v>
      </c>
      <c r="W58" s="14">
        <v>1110</v>
      </c>
      <c r="X58" s="14">
        <v>1</v>
      </c>
      <c r="Y58" s="163">
        <v>0</v>
      </c>
      <c r="Z58" s="163">
        <v>0</v>
      </c>
      <c r="AA58" s="26">
        <v>0</v>
      </c>
      <c r="AB58" s="12">
        <v>1000</v>
      </c>
      <c r="AC58" s="14">
        <v>1</v>
      </c>
      <c r="AD58" s="14">
        <v>0</v>
      </c>
      <c r="AE58" s="163">
        <v>1</v>
      </c>
      <c r="AF58" s="163">
        <v>0</v>
      </c>
      <c r="AG58" s="26">
        <v>0</v>
      </c>
      <c r="AH58" s="14">
        <v>100</v>
      </c>
      <c r="AI58" s="14">
        <v>0</v>
      </c>
      <c r="AJ58" s="163">
        <v>0</v>
      </c>
      <c r="AK58" s="163">
        <v>0</v>
      </c>
      <c r="AL58" s="26">
        <v>1</v>
      </c>
      <c r="AM58" s="12">
        <v>1</v>
      </c>
      <c r="AN58" s="14">
        <v>0</v>
      </c>
      <c r="AO58" s="163">
        <v>0</v>
      </c>
      <c r="AP58" s="163">
        <v>0</v>
      </c>
      <c r="AQ58" s="163">
        <v>0</v>
      </c>
      <c r="AR58" s="163">
        <v>0</v>
      </c>
      <c r="AS58" s="14">
        <v>1</v>
      </c>
      <c r="AT58" s="163">
        <v>1</v>
      </c>
      <c r="AU58" s="163">
        <v>0</v>
      </c>
      <c r="AV58" s="163">
        <v>0</v>
      </c>
      <c r="AW58" s="26">
        <v>0</v>
      </c>
      <c r="AX58" s="14">
        <v>2</v>
      </c>
      <c r="AY58" s="14">
        <v>0</v>
      </c>
      <c r="AZ58" s="163">
        <v>0</v>
      </c>
      <c r="BA58" s="163">
        <v>1</v>
      </c>
      <c r="BB58" s="26">
        <v>0</v>
      </c>
      <c r="BC58" s="12">
        <v>1</v>
      </c>
      <c r="BD58" s="14">
        <v>1</v>
      </c>
      <c r="BE58" s="163">
        <v>1</v>
      </c>
      <c r="BF58" s="163">
        <v>0</v>
      </c>
      <c r="BG58" s="163">
        <v>0</v>
      </c>
      <c r="BH58" s="163">
        <v>0</v>
      </c>
      <c r="BI58" s="14">
        <v>1</v>
      </c>
      <c r="BJ58" s="163">
        <v>1</v>
      </c>
      <c r="BK58" s="26">
        <v>0</v>
      </c>
      <c r="BL58" s="14">
        <v>0</v>
      </c>
      <c r="BM58" s="163">
        <v>0</v>
      </c>
      <c r="BN58" s="26">
        <v>0</v>
      </c>
      <c r="BO58" s="14">
        <v>0</v>
      </c>
      <c r="BP58" s="12">
        <v>128</v>
      </c>
      <c r="BQ58" s="163">
        <v>2</v>
      </c>
      <c r="BR58" s="14">
        <v>0</v>
      </c>
      <c r="BS58" s="163">
        <v>0</v>
      </c>
      <c r="BT58" s="163">
        <v>0</v>
      </c>
      <c r="BU58" s="26">
        <v>0</v>
      </c>
      <c r="BV58" s="14">
        <v>0</v>
      </c>
      <c r="BW58" s="209"/>
      <c r="BX58" s="3"/>
      <c r="BY58" s="3"/>
      <c r="BZ58" s="40"/>
      <c r="CA58" s="209"/>
      <c r="CB58" s="3"/>
      <c r="CC58" s="3"/>
      <c r="CD58" s="3"/>
      <c r="CE58" s="209"/>
      <c r="CF58" s="3"/>
      <c r="CG58" s="3"/>
      <c r="CH58" s="40"/>
      <c r="CI58" s="209"/>
      <c r="CJ58" s="3"/>
      <c r="CK58" s="3"/>
      <c r="CL58" s="209"/>
      <c r="CM58" s="3"/>
      <c r="CN58" s="3"/>
      <c r="CO58" s="3"/>
      <c r="CP58" s="40"/>
      <c r="CQ58" s="209"/>
      <c r="CR58" s="40"/>
      <c r="CS58" s="3"/>
      <c r="CT58" s="3"/>
    </row>
    <row r="59" spans="1:98">
      <c r="A59" s="42" t="s">
        <v>320</v>
      </c>
      <c r="B59" s="173" t="s">
        <v>303</v>
      </c>
      <c r="C59" s="12"/>
      <c r="D59" s="14" t="s">
        <v>382</v>
      </c>
      <c r="E59" s="12"/>
      <c r="F59" s="12">
        <v>10</v>
      </c>
      <c r="G59" s="14">
        <v>0</v>
      </c>
      <c r="H59" s="163">
        <v>1</v>
      </c>
      <c r="I59" s="163">
        <v>1</v>
      </c>
      <c r="J59" s="12">
        <v>11</v>
      </c>
      <c r="K59" s="14">
        <v>494</v>
      </c>
      <c r="L59" s="26">
        <v>1764</v>
      </c>
      <c r="M59" s="14">
        <v>365</v>
      </c>
      <c r="N59" s="163">
        <v>1057</v>
      </c>
      <c r="O59" s="14">
        <v>0</v>
      </c>
      <c r="P59" s="26">
        <v>0</v>
      </c>
      <c r="Q59" s="12">
        <v>4394</v>
      </c>
      <c r="R59" s="209">
        <v>2.7670025188916876</v>
      </c>
      <c r="S59" s="14">
        <v>1</v>
      </c>
      <c r="T59" s="163">
        <v>1</v>
      </c>
      <c r="U59" s="163">
        <v>0</v>
      </c>
      <c r="V59" s="26">
        <v>0</v>
      </c>
      <c r="W59" s="14">
        <v>1100</v>
      </c>
      <c r="X59" s="14">
        <v>1</v>
      </c>
      <c r="Y59" s="163">
        <v>0</v>
      </c>
      <c r="Z59" s="163">
        <v>0</v>
      </c>
      <c r="AA59" s="26">
        <v>0</v>
      </c>
      <c r="AB59" s="12">
        <v>1000</v>
      </c>
      <c r="AC59" s="14">
        <v>1</v>
      </c>
      <c r="AD59" s="14">
        <v>0</v>
      </c>
      <c r="AE59" s="163">
        <v>1</v>
      </c>
      <c r="AF59" s="163">
        <v>0</v>
      </c>
      <c r="AG59" s="26">
        <v>1</v>
      </c>
      <c r="AH59" s="14">
        <v>101</v>
      </c>
      <c r="AI59" s="14">
        <v>0</v>
      </c>
      <c r="AJ59" s="163">
        <v>0</v>
      </c>
      <c r="AK59" s="163">
        <v>0</v>
      </c>
      <c r="AL59" s="26">
        <v>0</v>
      </c>
      <c r="AM59" s="12">
        <v>0</v>
      </c>
      <c r="AN59" s="14">
        <v>0</v>
      </c>
      <c r="AO59" s="163">
        <v>0</v>
      </c>
      <c r="AP59" s="163">
        <v>0</v>
      </c>
      <c r="AQ59" s="163">
        <v>0</v>
      </c>
      <c r="AR59" s="163">
        <v>0</v>
      </c>
      <c r="AS59" s="14">
        <v>1</v>
      </c>
      <c r="AT59" s="163">
        <v>0</v>
      </c>
      <c r="AU59" s="163">
        <v>0</v>
      </c>
      <c r="AV59" s="163">
        <v>0</v>
      </c>
      <c r="AW59" s="26">
        <v>0</v>
      </c>
      <c r="AX59" s="14">
        <v>1</v>
      </c>
      <c r="AY59" s="14">
        <v>0</v>
      </c>
      <c r="AZ59" s="163">
        <v>0</v>
      </c>
      <c r="BA59" s="163">
        <v>0</v>
      </c>
      <c r="BB59" s="26">
        <v>1</v>
      </c>
      <c r="BC59" s="12">
        <v>1</v>
      </c>
      <c r="BD59" s="14">
        <v>0</v>
      </c>
      <c r="BE59" s="163">
        <v>0</v>
      </c>
      <c r="BF59" s="163">
        <v>0</v>
      </c>
      <c r="BG59" s="163">
        <v>0</v>
      </c>
      <c r="BH59" s="163">
        <v>0</v>
      </c>
      <c r="BI59" s="14">
        <v>1</v>
      </c>
      <c r="BJ59" s="163">
        <v>0</v>
      </c>
      <c r="BK59" s="26">
        <v>0</v>
      </c>
      <c r="BL59" s="14">
        <v>0</v>
      </c>
      <c r="BM59" s="163">
        <v>0</v>
      </c>
      <c r="BN59" s="26">
        <v>0</v>
      </c>
      <c r="BO59" s="14">
        <v>0</v>
      </c>
      <c r="BP59" s="12">
        <v>140</v>
      </c>
      <c r="BQ59" s="163">
        <v>2</v>
      </c>
      <c r="BR59" s="14">
        <v>0</v>
      </c>
      <c r="BS59" s="163">
        <v>0</v>
      </c>
      <c r="BT59" s="163">
        <v>0</v>
      </c>
      <c r="BU59" s="26">
        <v>0</v>
      </c>
      <c r="BV59" s="14">
        <v>0</v>
      </c>
      <c r="BW59" s="209"/>
      <c r="BX59" s="3"/>
      <c r="BY59" s="3"/>
      <c r="BZ59" s="40"/>
      <c r="CA59" s="209"/>
      <c r="CB59" s="3"/>
      <c r="CC59" s="3"/>
      <c r="CD59" s="3"/>
      <c r="CE59" s="209"/>
      <c r="CF59" s="3"/>
      <c r="CG59" s="3"/>
      <c r="CH59" s="40"/>
      <c r="CI59" s="209"/>
      <c r="CJ59" s="3"/>
      <c r="CK59" s="3"/>
      <c r="CL59" s="209"/>
      <c r="CM59" s="3"/>
      <c r="CN59" s="3"/>
      <c r="CO59" s="3"/>
      <c r="CP59" s="40"/>
      <c r="CQ59" s="209"/>
      <c r="CR59" s="40"/>
      <c r="CS59" s="3"/>
      <c r="CT59" s="3"/>
    </row>
    <row r="60" spans="1:98">
      <c r="A60" s="42" t="s">
        <v>320</v>
      </c>
      <c r="B60" s="173" t="s">
        <v>303</v>
      </c>
      <c r="C60" s="12"/>
      <c r="D60" s="14" t="s">
        <v>383</v>
      </c>
      <c r="E60" s="12"/>
      <c r="F60" s="12">
        <v>16</v>
      </c>
      <c r="G60" s="14">
        <v>1</v>
      </c>
      <c r="H60" s="163">
        <v>0</v>
      </c>
      <c r="I60" s="163">
        <v>1</v>
      </c>
      <c r="J60" s="12">
        <v>101</v>
      </c>
      <c r="K60" s="14">
        <v>628</v>
      </c>
      <c r="L60" s="26">
        <v>3819</v>
      </c>
      <c r="M60" s="14">
        <v>331</v>
      </c>
      <c r="N60" s="163">
        <v>1094</v>
      </c>
      <c r="O60" s="14">
        <v>0</v>
      </c>
      <c r="P60" s="26">
        <v>0</v>
      </c>
      <c r="Q60" s="12">
        <v>5852</v>
      </c>
      <c r="R60" s="209">
        <v>1.5506094329623741</v>
      </c>
      <c r="S60" s="14">
        <v>1</v>
      </c>
      <c r="T60" s="163">
        <v>1</v>
      </c>
      <c r="U60" s="163">
        <v>0</v>
      </c>
      <c r="V60" s="26">
        <v>0</v>
      </c>
      <c r="W60" s="14">
        <v>1100</v>
      </c>
      <c r="X60" s="14">
        <v>1</v>
      </c>
      <c r="Y60" s="163">
        <v>0</v>
      </c>
      <c r="Z60" s="163">
        <v>0</v>
      </c>
      <c r="AA60" s="26">
        <v>1</v>
      </c>
      <c r="AB60" s="12">
        <v>1001</v>
      </c>
      <c r="AC60" s="14">
        <v>1</v>
      </c>
      <c r="AD60" s="14">
        <v>0</v>
      </c>
      <c r="AE60" s="163">
        <v>1</v>
      </c>
      <c r="AF60" s="163">
        <v>1</v>
      </c>
      <c r="AG60" s="26">
        <v>0</v>
      </c>
      <c r="AH60" s="14">
        <v>110</v>
      </c>
      <c r="AI60" s="14">
        <v>0</v>
      </c>
      <c r="AJ60" s="163">
        <v>0</v>
      </c>
      <c r="AK60" s="163">
        <v>0</v>
      </c>
      <c r="AL60" s="26">
        <v>0</v>
      </c>
      <c r="AM60" s="12">
        <v>0</v>
      </c>
      <c r="AN60" s="14">
        <v>0</v>
      </c>
      <c r="AO60" s="163">
        <v>0</v>
      </c>
      <c r="AP60" s="163">
        <v>0</v>
      </c>
      <c r="AQ60" s="163">
        <v>0</v>
      </c>
      <c r="AR60" s="163">
        <v>0</v>
      </c>
      <c r="AS60" s="14">
        <v>1</v>
      </c>
      <c r="AT60" s="163">
        <v>0</v>
      </c>
      <c r="AU60" s="163">
        <v>0</v>
      </c>
      <c r="AV60" s="163">
        <v>0</v>
      </c>
      <c r="AW60" s="26">
        <v>0</v>
      </c>
      <c r="AX60" s="14">
        <v>1</v>
      </c>
      <c r="AY60" s="14">
        <v>1</v>
      </c>
      <c r="AZ60" s="163">
        <v>0</v>
      </c>
      <c r="BA60" s="163">
        <v>0</v>
      </c>
      <c r="BB60" s="26">
        <v>0</v>
      </c>
      <c r="BC60" s="12">
        <v>1</v>
      </c>
      <c r="BD60" s="14">
        <v>0</v>
      </c>
      <c r="BE60" s="163">
        <v>0</v>
      </c>
      <c r="BF60" s="163">
        <v>0</v>
      </c>
      <c r="BG60" s="163">
        <v>0</v>
      </c>
      <c r="BH60" s="163">
        <v>0</v>
      </c>
      <c r="BI60" s="14">
        <v>1</v>
      </c>
      <c r="BJ60" s="163">
        <v>1</v>
      </c>
      <c r="BK60" s="26">
        <v>0</v>
      </c>
      <c r="BL60" s="14">
        <v>0</v>
      </c>
      <c r="BM60" s="163">
        <v>0</v>
      </c>
      <c r="BN60" s="26">
        <v>0</v>
      </c>
      <c r="BO60" s="14">
        <v>0</v>
      </c>
      <c r="BP60" s="12">
        <v>143</v>
      </c>
      <c r="BQ60" s="163">
        <v>1</v>
      </c>
      <c r="BR60" s="14">
        <v>0</v>
      </c>
      <c r="BS60" s="163">
        <v>0</v>
      </c>
      <c r="BT60" s="163">
        <v>0</v>
      </c>
      <c r="BU60" s="26">
        <v>0</v>
      </c>
      <c r="BV60" s="14">
        <v>0</v>
      </c>
      <c r="BW60" s="209"/>
      <c r="BX60" s="3"/>
      <c r="BY60" s="3"/>
      <c r="BZ60" s="40"/>
      <c r="CA60" s="209"/>
      <c r="CB60" s="3"/>
      <c r="CC60" s="3"/>
      <c r="CD60" s="3"/>
      <c r="CE60" s="209"/>
      <c r="CF60" s="3"/>
      <c r="CG60" s="3"/>
      <c r="CH60" s="40"/>
      <c r="CI60" s="209"/>
      <c r="CJ60" s="3"/>
      <c r="CK60" s="3"/>
      <c r="CL60" s="209">
        <v>82.104754160051712</v>
      </c>
      <c r="CM60" s="3">
        <v>82.797847301848122</v>
      </c>
      <c r="CN60" s="3"/>
      <c r="CO60" s="3"/>
      <c r="CP60" s="40"/>
      <c r="CQ60" s="209">
        <v>82.671389186189543</v>
      </c>
      <c r="CR60" s="40">
        <v>82.271258798665343</v>
      </c>
      <c r="CS60" s="3"/>
      <c r="CT60" s="3"/>
    </row>
    <row r="61" spans="1:98">
      <c r="A61" s="42" t="s">
        <v>320</v>
      </c>
      <c r="B61" s="173" t="s">
        <v>303</v>
      </c>
      <c r="C61" s="12"/>
      <c r="D61" s="14" t="s">
        <v>384</v>
      </c>
      <c r="E61" s="12"/>
      <c r="F61" s="12">
        <v>11</v>
      </c>
      <c r="G61" s="14">
        <v>1</v>
      </c>
      <c r="H61" s="163">
        <v>1</v>
      </c>
      <c r="I61" s="163">
        <v>1</v>
      </c>
      <c r="J61" s="12">
        <v>111</v>
      </c>
      <c r="K61" s="14">
        <v>482</v>
      </c>
      <c r="L61" s="26">
        <v>3791</v>
      </c>
      <c r="M61" s="14">
        <v>225</v>
      </c>
      <c r="N61" s="163">
        <v>668</v>
      </c>
      <c r="O61" s="14">
        <v>689</v>
      </c>
      <c r="P61" s="26">
        <v>1540</v>
      </c>
      <c r="Q61" s="12">
        <v>6004</v>
      </c>
      <c r="R61" s="209">
        <v>1.3553047404063205</v>
      </c>
      <c r="S61" s="14">
        <v>1</v>
      </c>
      <c r="T61" s="163">
        <v>1</v>
      </c>
      <c r="U61" s="163">
        <v>1</v>
      </c>
      <c r="V61" s="26">
        <v>0</v>
      </c>
      <c r="W61" s="14">
        <v>1110</v>
      </c>
      <c r="X61" s="14">
        <v>1</v>
      </c>
      <c r="Y61" s="163">
        <v>1</v>
      </c>
      <c r="Z61" s="163">
        <v>0</v>
      </c>
      <c r="AA61" s="26">
        <v>0</v>
      </c>
      <c r="AB61" s="12">
        <v>1100</v>
      </c>
      <c r="AC61" s="14">
        <v>1</v>
      </c>
      <c r="AD61" s="14">
        <v>0</v>
      </c>
      <c r="AE61" s="163">
        <v>1</v>
      </c>
      <c r="AF61" s="163">
        <v>1</v>
      </c>
      <c r="AG61" s="26">
        <v>0</v>
      </c>
      <c r="AH61" s="14">
        <v>110</v>
      </c>
      <c r="AI61" s="14">
        <v>0</v>
      </c>
      <c r="AJ61" s="163">
        <v>0</v>
      </c>
      <c r="AK61" s="163">
        <v>1</v>
      </c>
      <c r="AL61" s="26">
        <v>1</v>
      </c>
      <c r="AM61" s="12">
        <v>11</v>
      </c>
      <c r="AN61" s="14">
        <v>0</v>
      </c>
      <c r="AO61" s="163">
        <v>0</v>
      </c>
      <c r="AP61" s="163">
        <v>0</v>
      </c>
      <c r="AQ61" s="163">
        <v>0</v>
      </c>
      <c r="AR61" s="163">
        <v>0</v>
      </c>
      <c r="AS61" s="14">
        <v>1</v>
      </c>
      <c r="AT61" s="163">
        <v>0</v>
      </c>
      <c r="AU61" s="163">
        <v>0</v>
      </c>
      <c r="AV61" s="163">
        <v>1</v>
      </c>
      <c r="AW61" s="26">
        <v>0</v>
      </c>
      <c r="AX61" s="14">
        <v>2</v>
      </c>
      <c r="AY61" s="14">
        <v>0</v>
      </c>
      <c r="AZ61" s="163">
        <v>0</v>
      </c>
      <c r="BA61" s="163">
        <v>0</v>
      </c>
      <c r="BB61" s="26">
        <v>0</v>
      </c>
      <c r="BC61" s="12">
        <v>0</v>
      </c>
      <c r="BD61" s="14">
        <v>0</v>
      </c>
      <c r="BE61" s="163">
        <v>0</v>
      </c>
      <c r="BF61" s="163">
        <v>0</v>
      </c>
      <c r="BG61" s="163">
        <v>1</v>
      </c>
      <c r="BH61" s="163">
        <v>1</v>
      </c>
      <c r="BI61" s="14">
        <v>1</v>
      </c>
      <c r="BJ61" s="163">
        <v>1</v>
      </c>
      <c r="BK61" s="26">
        <v>0</v>
      </c>
      <c r="BL61" s="14">
        <v>0</v>
      </c>
      <c r="BM61" s="163">
        <v>0</v>
      </c>
      <c r="BN61" s="26">
        <v>0</v>
      </c>
      <c r="BO61" s="14">
        <v>0</v>
      </c>
      <c r="BP61" s="12">
        <v>145</v>
      </c>
      <c r="BQ61" s="163">
        <v>1</v>
      </c>
      <c r="BR61" s="14">
        <v>0</v>
      </c>
      <c r="BS61" s="163">
        <v>0</v>
      </c>
      <c r="BT61" s="163">
        <v>0</v>
      </c>
      <c r="BU61" s="26">
        <v>0</v>
      </c>
      <c r="BV61" s="14">
        <v>0</v>
      </c>
      <c r="BW61" s="209">
        <v>65.78</v>
      </c>
      <c r="BX61" s="3">
        <v>67.09</v>
      </c>
      <c r="BY61" s="3">
        <v>64.78</v>
      </c>
      <c r="BZ61" s="40"/>
      <c r="CA61" s="209"/>
      <c r="CB61" s="3"/>
      <c r="CC61" s="3"/>
      <c r="CD61" s="3"/>
      <c r="CE61" s="209">
        <v>64.8</v>
      </c>
      <c r="CF61" s="3">
        <v>67.64</v>
      </c>
      <c r="CG61" s="3"/>
      <c r="CH61" s="40"/>
      <c r="CI61" s="209"/>
      <c r="CJ61" s="3"/>
      <c r="CK61" s="3"/>
      <c r="CL61" s="209">
        <v>83.130386579883421</v>
      </c>
      <c r="CM61" s="3"/>
      <c r="CN61" s="3"/>
      <c r="CO61" s="3"/>
      <c r="CP61" s="40"/>
      <c r="CQ61" s="209">
        <v>83.144721138512466</v>
      </c>
      <c r="CR61" s="40"/>
      <c r="CS61" s="3"/>
      <c r="CT61" s="3"/>
    </row>
    <row r="62" spans="1:98">
      <c r="A62" s="42" t="s">
        <v>320</v>
      </c>
      <c r="B62" s="173" t="s">
        <v>303</v>
      </c>
      <c r="C62" s="12"/>
      <c r="D62" s="14" t="s">
        <v>210</v>
      </c>
      <c r="E62" s="12"/>
      <c r="F62" s="12">
        <v>8</v>
      </c>
      <c r="G62" s="14">
        <v>1</v>
      </c>
      <c r="H62" s="163">
        <v>0</v>
      </c>
      <c r="I62" s="163">
        <v>1</v>
      </c>
      <c r="J62" s="12">
        <v>101</v>
      </c>
      <c r="K62" s="14">
        <v>277</v>
      </c>
      <c r="L62" s="26">
        <v>1590</v>
      </c>
      <c r="M62" s="14">
        <v>0</v>
      </c>
      <c r="N62" s="163">
        <v>904</v>
      </c>
      <c r="O62" s="14">
        <v>373</v>
      </c>
      <c r="P62" s="26">
        <v>602</v>
      </c>
      <c r="Q62" s="12">
        <v>2910</v>
      </c>
      <c r="R62" s="209">
        <v>2.0800571837026447</v>
      </c>
      <c r="S62" s="14">
        <v>1</v>
      </c>
      <c r="T62" s="163">
        <v>1</v>
      </c>
      <c r="U62" s="163">
        <v>1</v>
      </c>
      <c r="V62" s="26">
        <v>0</v>
      </c>
      <c r="W62" s="14">
        <v>1110</v>
      </c>
      <c r="X62" s="14">
        <v>1</v>
      </c>
      <c r="Y62" s="163">
        <v>1</v>
      </c>
      <c r="Z62" s="163">
        <v>0</v>
      </c>
      <c r="AA62" s="26">
        <v>0</v>
      </c>
      <c r="AB62" s="12">
        <v>1100</v>
      </c>
      <c r="AC62" s="14">
        <v>1</v>
      </c>
      <c r="AD62" s="14">
        <v>0</v>
      </c>
      <c r="AE62" s="163">
        <v>1</v>
      </c>
      <c r="AF62" s="163">
        <v>0</v>
      </c>
      <c r="AG62" s="26">
        <v>0</v>
      </c>
      <c r="AH62" s="14">
        <v>100</v>
      </c>
      <c r="AI62" s="14">
        <v>0</v>
      </c>
      <c r="AJ62" s="163">
        <v>0</v>
      </c>
      <c r="AK62" s="163">
        <v>1</v>
      </c>
      <c r="AL62" s="26">
        <v>1</v>
      </c>
      <c r="AM62" s="12">
        <v>11</v>
      </c>
      <c r="AN62" s="14">
        <v>0</v>
      </c>
      <c r="AO62" s="163">
        <v>0</v>
      </c>
      <c r="AP62" s="163">
        <v>0</v>
      </c>
      <c r="AQ62" s="163">
        <v>0</v>
      </c>
      <c r="AR62" s="163">
        <v>0</v>
      </c>
      <c r="AS62" s="14">
        <v>1</v>
      </c>
      <c r="AT62" s="163">
        <v>0</v>
      </c>
      <c r="AU62" s="163">
        <v>0</v>
      </c>
      <c r="AV62" s="163">
        <v>0</v>
      </c>
      <c r="AW62" s="26">
        <v>0</v>
      </c>
      <c r="AX62" s="14">
        <v>1</v>
      </c>
      <c r="AY62" s="14">
        <v>0</v>
      </c>
      <c r="AZ62" s="163">
        <v>0</v>
      </c>
      <c r="BA62" s="163">
        <v>0</v>
      </c>
      <c r="BB62" s="26">
        <v>1</v>
      </c>
      <c r="BC62" s="12">
        <v>1</v>
      </c>
      <c r="BD62" s="14">
        <v>0</v>
      </c>
      <c r="BE62" s="163">
        <v>1</v>
      </c>
      <c r="BF62" s="163">
        <v>0</v>
      </c>
      <c r="BG62" s="163">
        <v>1</v>
      </c>
      <c r="BH62" s="163">
        <v>0</v>
      </c>
      <c r="BI62" s="14">
        <v>1</v>
      </c>
      <c r="BJ62" s="163">
        <v>1</v>
      </c>
      <c r="BK62" s="26">
        <v>0</v>
      </c>
      <c r="BL62" s="14">
        <v>0</v>
      </c>
      <c r="BM62" s="163">
        <v>0</v>
      </c>
      <c r="BN62" s="26">
        <v>0</v>
      </c>
      <c r="BO62" s="14">
        <v>1</v>
      </c>
      <c r="BP62" s="12">
        <v>125</v>
      </c>
      <c r="BQ62" s="163">
        <v>1</v>
      </c>
      <c r="BR62" s="14">
        <v>0</v>
      </c>
      <c r="BS62" s="163">
        <v>0</v>
      </c>
      <c r="BT62" s="163">
        <v>0</v>
      </c>
      <c r="BU62" s="26">
        <v>0</v>
      </c>
      <c r="BV62" s="14">
        <v>0</v>
      </c>
      <c r="BW62" s="209"/>
      <c r="BX62" s="3"/>
      <c r="BY62" s="3"/>
      <c r="BZ62" s="40"/>
      <c r="CA62" s="209"/>
      <c r="CB62" s="3"/>
      <c r="CC62" s="3"/>
      <c r="CD62" s="3"/>
      <c r="CE62" s="209"/>
      <c r="CF62" s="3"/>
      <c r="CG62" s="3"/>
      <c r="CH62" s="40"/>
      <c r="CI62" s="209"/>
      <c r="CJ62" s="3"/>
      <c r="CK62" s="3"/>
      <c r="CL62" s="209"/>
      <c r="CM62" s="3"/>
      <c r="CN62" s="3"/>
      <c r="CO62" s="3"/>
      <c r="CP62" s="40"/>
      <c r="CQ62" s="209"/>
      <c r="CR62" s="40"/>
      <c r="CS62" s="3"/>
      <c r="CT62" s="3"/>
    </row>
    <row r="63" spans="1:98">
      <c r="A63" s="42" t="s">
        <v>320</v>
      </c>
      <c r="B63" s="173" t="s">
        <v>303</v>
      </c>
      <c r="C63" s="12"/>
      <c r="D63" s="14" t="s">
        <v>385</v>
      </c>
      <c r="E63" s="12"/>
      <c r="F63" s="12">
        <v>5</v>
      </c>
      <c r="G63" s="14">
        <v>0</v>
      </c>
      <c r="H63" s="163">
        <v>0</v>
      </c>
      <c r="I63" s="163">
        <v>1</v>
      </c>
      <c r="J63" s="12">
        <v>1</v>
      </c>
      <c r="K63" s="14">
        <v>2110</v>
      </c>
      <c r="L63" s="26">
        <v>2144</v>
      </c>
      <c r="M63" s="14">
        <v>302</v>
      </c>
      <c r="N63" s="163">
        <v>389</v>
      </c>
      <c r="O63" s="14">
        <v>0</v>
      </c>
      <c r="P63" s="26">
        <v>0</v>
      </c>
      <c r="Q63" s="12">
        <v>2144</v>
      </c>
      <c r="R63" s="209">
        <v>1.5928677563150073</v>
      </c>
      <c r="S63" s="14">
        <v>1</v>
      </c>
      <c r="T63" s="163">
        <v>1</v>
      </c>
      <c r="U63" s="163">
        <v>0</v>
      </c>
      <c r="V63" s="26">
        <v>0</v>
      </c>
      <c r="W63" s="14">
        <v>1100</v>
      </c>
      <c r="X63" s="14">
        <v>1</v>
      </c>
      <c r="Y63" s="163">
        <v>0</v>
      </c>
      <c r="Z63" s="163">
        <v>0</v>
      </c>
      <c r="AA63" s="26">
        <v>0</v>
      </c>
      <c r="AB63" s="12">
        <v>1000</v>
      </c>
      <c r="AC63" s="14">
        <v>1</v>
      </c>
      <c r="AD63" s="14">
        <v>0</v>
      </c>
      <c r="AE63" s="163">
        <v>1</v>
      </c>
      <c r="AF63" s="163">
        <v>1</v>
      </c>
      <c r="AG63" s="26">
        <v>0</v>
      </c>
      <c r="AH63" s="14">
        <v>110</v>
      </c>
      <c r="AI63" s="14">
        <v>0</v>
      </c>
      <c r="AJ63" s="163">
        <v>0</v>
      </c>
      <c r="AK63" s="163">
        <v>0</v>
      </c>
      <c r="AL63" s="26">
        <v>0</v>
      </c>
      <c r="AM63" s="12">
        <v>0</v>
      </c>
      <c r="AN63" s="14">
        <v>0</v>
      </c>
      <c r="AO63" s="163">
        <v>0</v>
      </c>
      <c r="AP63" s="163">
        <v>0</v>
      </c>
      <c r="AQ63" s="163">
        <v>0</v>
      </c>
      <c r="AR63" s="163">
        <v>0</v>
      </c>
      <c r="AS63" s="14">
        <v>1</v>
      </c>
      <c r="AT63" s="163">
        <v>0</v>
      </c>
      <c r="AU63" s="163">
        <v>0</v>
      </c>
      <c r="AV63" s="163">
        <v>1</v>
      </c>
      <c r="AW63" s="26">
        <v>0</v>
      </c>
      <c r="AX63" s="14">
        <v>2</v>
      </c>
      <c r="AY63" s="14">
        <v>0</v>
      </c>
      <c r="AZ63" s="163">
        <v>0</v>
      </c>
      <c r="BA63" s="163">
        <v>0</v>
      </c>
      <c r="BB63" s="26">
        <v>1</v>
      </c>
      <c r="BC63" s="12">
        <v>1</v>
      </c>
      <c r="BD63" s="14">
        <v>0</v>
      </c>
      <c r="BE63" s="163">
        <v>0</v>
      </c>
      <c r="BF63" s="163">
        <v>0</v>
      </c>
      <c r="BG63" s="163">
        <v>0</v>
      </c>
      <c r="BH63" s="163">
        <v>0</v>
      </c>
      <c r="BI63" s="14">
        <v>1</v>
      </c>
      <c r="BJ63" s="163">
        <v>0</v>
      </c>
      <c r="BK63" s="26">
        <v>0</v>
      </c>
      <c r="BL63" s="14">
        <v>0</v>
      </c>
      <c r="BM63" s="163">
        <v>0</v>
      </c>
      <c r="BN63" s="26">
        <v>0</v>
      </c>
      <c r="BO63" s="14">
        <v>1</v>
      </c>
      <c r="BP63" s="12">
        <v>132</v>
      </c>
      <c r="BQ63" s="163">
        <v>2</v>
      </c>
      <c r="BR63" s="14">
        <v>0</v>
      </c>
      <c r="BS63" s="163">
        <v>0</v>
      </c>
      <c r="BT63" s="163">
        <v>0</v>
      </c>
      <c r="BU63" s="26">
        <v>0</v>
      </c>
      <c r="BV63" s="14">
        <v>0</v>
      </c>
      <c r="BW63" s="209"/>
      <c r="BX63" s="3"/>
      <c r="BY63" s="3"/>
      <c r="BZ63" s="40"/>
      <c r="CA63" s="209"/>
      <c r="CB63" s="3"/>
      <c r="CC63" s="3"/>
      <c r="CD63" s="3"/>
      <c r="CE63" s="209"/>
      <c r="CF63" s="3"/>
      <c r="CG63" s="3"/>
      <c r="CH63" s="40"/>
      <c r="CI63" s="209"/>
      <c r="CJ63" s="3"/>
      <c r="CK63" s="3"/>
      <c r="CL63" s="209"/>
      <c r="CM63" s="3"/>
      <c r="CN63" s="3"/>
      <c r="CO63" s="3"/>
      <c r="CP63" s="40"/>
      <c r="CQ63" s="209"/>
      <c r="CR63" s="40"/>
      <c r="CS63" s="3"/>
      <c r="CT63" s="3"/>
    </row>
    <row r="64" spans="1:98">
      <c r="A64" s="42" t="s">
        <v>320</v>
      </c>
      <c r="B64" s="173" t="s">
        <v>303</v>
      </c>
      <c r="C64" s="12"/>
      <c r="D64" s="14" t="s">
        <v>386</v>
      </c>
      <c r="E64" s="12"/>
      <c r="F64" s="12"/>
      <c r="G64" s="14"/>
      <c r="J64" s="12">
        <v>0</v>
      </c>
      <c r="K64" s="14"/>
      <c r="L64" s="26"/>
      <c r="M64" s="14"/>
      <c r="O64" s="14"/>
      <c r="P64" s="26"/>
      <c r="Q64" s="12"/>
      <c r="R64" s="209"/>
      <c r="S64" s="14"/>
      <c r="V64" s="26"/>
      <c r="W64" s="14">
        <v>0</v>
      </c>
      <c r="X64" s="14">
        <v>1</v>
      </c>
      <c r="Y64" s="163">
        <v>0</v>
      </c>
      <c r="Z64" s="163">
        <v>0</v>
      </c>
      <c r="AA64" s="26">
        <v>0</v>
      </c>
      <c r="AB64" s="12">
        <v>1000</v>
      </c>
      <c r="AC64" s="14"/>
      <c r="AD64" s="14"/>
      <c r="AG64" s="26"/>
      <c r="AH64" s="14">
        <v>0</v>
      </c>
      <c r="AI64" s="14"/>
      <c r="AL64" s="26"/>
      <c r="AM64" s="12">
        <v>0</v>
      </c>
      <c r="AN64" s="14"/>
      <c r="AS64" s="14"/>
      <c r="AW64" s="26"/>
      <c r="AX64" s="14">
        <v>0</v>
      </c>
      <c r="AY64" s="14"/>
      <c r="BB64" s="26"/>
      <c r="BC64" s="12">
        <v>0</v>
      </c>
      <c r="BD64" s="14"/>
      <c r="BI64" s="14"/>
      <c r="BK64" s="26"/>
      <c r="BL64" s="14"/>
      <c r="BN64" s="26"/>
      <c r="BO64" s="14"/>
      <c r="BP64" s="12"/>
      <c r="BR64" s="14"/>
      <c r="BU64" s="26"/>
      <c r="BV64" s="14">
        <v>0</v>
      </c>
      <c r="BW64" s="209"/>
      <c r="BX64" s="3"/>
      <c r="BY64" s="3"/>
      <c r="BZ64" s="40"/>
      <c r="CA64" s="209"/>
      <c r="CB64" s="3"/>
      <c r="CC64" s="3"/>
      <c r="CD64" s="3"/>
      <c r="CE64" s="209"/>
      <c r="CF64" s="3"/>
      <c r="CG64" s="3"/>
      <c r="CH64" s="40"/>
      <c r="CI64" s="209"/>
      <c r="CJ64" s="3"/>
      <c r="CK64" s="3"/>
      <c r="CL64" s="209">
        <v>82.893291295655629</v>
      </c>
      <c r="CM64" s="3"/>
      <c r="CN64" s="3"/>
      <c r="CO64" s="3"/>
      <c r="CP64" s="40"/>
      <c r="CQ64" s="209">
        <v>82.382505144202469</v>
      </c>
      <c r="CR64" s="40"/>
      <c r="CS64" s="3"/>
      <c r="CT64" s="3"/>
    </row>
    <row r="65" spans="1:98">
      <c r="A65" s="42" t="s">
        <v>320</v>
      </c>
      <c r="B65" s="173" t="s">
        <v>303</v>
      </c>
      <c r="C65" s="12"/>
      <c r="D65" s="14" t="s">
        <v>387</v>
      </c>
      <c r="E65" s="173"/>
      <c r="F65" s="25">
        <v>14</v>
      </c>
      <c r="G65" s="23">
        <v>1</v>
      </c>
      <c r="H65" s="24">
        <v>0</v>
      </c>
      <c r="I65" s="24">
        <v>1</v>
      </c>
      <c r="J65" s="12">
        <v>101</v>
      </c>
      <c r="K65" s="23">
        <v>173</v>
      </c>
      <c r="L65" s="52">
        <v>1806</v>
      </c>
      <c r="M65" s="23">
        <v>537</v>
      </c>
      <c r="N65" s="24">
        <v>1629</v>
      </c>
      <c r="O65" s="23">
        <v>0</v>
      </c>
      <c r="P65" s="52">
        <v>595</v>
      </c>
      <c r="Q65" s="25">
        <v>3074</v>
      </c>
      <c r="R65" s="212">
        <v>1.29</v>
      </c>
      <c r="S65" s="23">
        <v>1</v>
      </c>
      <c r="T65" s="24">
        <v>1</v>
      </c>
      <c r="U65" s="24">
        <v>1</v>
      </c>
      <c r="V65" s="52">
        <v>0</v>
      </c>
      <c r="W65" s="14">
        <v>1110</v>
      </c>
      <c r="X65" s="23">
        <v>1</v>
      </c>
      <c r="Y65" s="24">
        <v>1</v>
      </c>
      <c r="Z65" s="24">
        <v>0</v>
      </c>
      <c r="AA65" s="52">
        <v>0</v>
      </c>
      <c r="AB65" s="12">
        <v>1100</v>
      </c>
      <c r="AC65" s="23">
        <v>0</v>
      </c>
      <c r="AD65" s="23">
        <v>0</v>
      </c>
      <c r="AE65" s="24">
        <v>1</v>
      </c>
      <c r="AF65" s="24">
        <v>1</v>
      </c>
      <c r="AG65" s="52">
        <v>0</v>
      </c>
      <c r="AH65" s="14">
        <v>110</v>
      </c>
      <c r="AI65" s="23">
        <v>0</v>
      </c>
      <c r="AJ65" s="24">
        <v>0</v>
      </c>
      <c r="AK65" s="24">
        <v>1</v>
      </c>
      <c r="AL65" s="52">
        <v>0</v>
      </c>
      <c r="AM65" s="12">
        <v>10</v>
      </c>
      <c r="AN65" s="23">
        <v>0</v>
      </c>
      <c r="AO65" s="24">
        <v>0</v>
      </c>
      <c r="AP65" s="24">
        <v>0</v>
      </c>
      <c r="AQ65" s="24">
        <v>0</v>
      </c>
      <c r="AR65" s="24">
        <v>0</v>
      </c>
      <c r="AS65" s="23">
        <v>1</v>
      </c>
      <c r="AT65" s="24">
        <v>0</v>
      </c>
      <c r="AU65" s="24">
        <v>0</v>
      </c>
      <c r="AV65" s="24">
        <v>0</v>
      </c>
      <c r="AW65" s="52">
        <v>0</v>
      </c>
      <c r="AX65" s="14">
        <v>1</v>
      </c>
      <c r="AY65" s="23">
        <v>0</v>
      </c>
      <c r="AZ65" s="24">
        <v>0</v>
      </c>
      <c r="BA65" s="24">
        <v>0</v>
      </c>
      <c r="BB65" s="52">
        <v>1</v>
      </c>
      <c r="BC65" s="12">
        <v>1</v>
      </c>
      <c r="BD65" s="23">
        <v>0</v>
      </c>
      <c r="BE65" s="24">
        <v>0</v>
      </c>
      <c r="BF65" s="24">
        <v>1</v>
      </c>
      <c r="BG65" s="24">
        <v>0</v>
      </c>
      <c r="BH65" s="24">
        <v>0</v>
      </c>
      <c r="BI65" s="23">
        <v>1</v>
      </c>
      <c r="BJ65" s="24">
        <v>1</v>
      </c>
      <c r="BK65" s="52">
        <v>0</v>
      </c>
      <c r="BL65" s="23">
        <v>0</v>
      </c>
      <c r="BM65" s="24">
        <v>0</v>
      </c>
      <c r="BN65" s="52">
        <v>0</v>
      </c>
      <c r="BO65" s="23">
        <v>0</v>
      </c>
      <c r="BP65" s="25">
        <v>142</v>
      </c>
      <c r="BQ65" s="24">
        <v>1</v>
      </c>
      <c r="BR65" s="23">
        <v>0</v>
      </c>
      <c r="BS65" s="24">
        <v>0</v>
      </c>
      <c r="BT65" s="24">
        <v>0</v>
      </c>
      <c r="BU65" s="52">
        <v>0</v>
      </c>
      <c r="BV65" s="14">
        <v>0</v>
      </c>
      <c r="BW65" s="209"/>
      <c r="BX65" s="3"/>
      <c r="BY65" s="3"/>
      <c r="BZ65" s="40"/>
      <c r="CA65" s="209"/>
      <c r="CB65" s="3"/>
      <c r="CC65" s="3"/>
      <c r="CD65" s="3"/>
      <c r="CE65" s="209"/>
      <c r="CF65" s="3"/>
      <c r="CG65" s="3"/>
      <c r="CH65" s="40"/>
      <c r="CI65" s="209"/>
      <c r="CJ65" s="3"/>
      <c r="CK65" s="3"/>
      <c r="CL65" s="209"/>
      <c r="CM65" s="3"/>
      <c r="CN65" s="3"/>
      <c r="CO65" s="3"/>
      <c r="CP65" s="40"/>
      <c r="CQ65" s="209"/>
      <c r="CR65" s="40"/>
      <c r="CS65" s="3"/>
      <c r="CT65" s="3"/>
    </row>
    <row r="66" spans="1:98">
      <c r="A66" s="42" t="s">
        <v>320</v>
      </c>
      <c r="B66" s="173" t="s">
        <v>303</v>
      </c>
      <c r="C66" s="12"/>
      <c r="D66" s="14" t="s">
        <v>208</v>
      </c>
      <c r="E66" s="12"/>
      <c r="F66" s="12">
        <v>10</v>
      </c>
      <c r="G66" s="14">
        <v>1</v>
      </c>
      <c r="H66" s="163">
        <v>0</v>
      </c>
      <c r="I66" s="163">
        <v>1</v>
      </c>
      <c r="J66" s="12">
        <v>101</v>
      </c>
      <c r="K66" s="14">
        <v>419</v>
      </c>
      <c r="L66" s="26">
        <v>3035</v>
      </c>
      <c r="M66" s="14">
        <v>0</v>
      </c>
      <c r="N66" s="163">
        <v>710</v>
      </c>
      <c r="O66" s="14">
        <v>654</v>
      </c>
      <c r="P66" s="26">
        <v>996</v>
      </c>
      <c r="Q66" s="12">
        <v>4992</v>
      </c>
      <c r="R66" s="209">
        <v>1.6442687747035574</v>
      </c>
      <c r="S66" s="14">
        <v>1</v>
      </c>
      <c r="T66" s="163">
        <v>1</v>
      </c>
      <c r="U66" s="163">
        <v>1</v>
      </c>
      <c r="V66" s="26">
        <v>0</v>
      </c>
      <c r="W66" s="14">
        <v>1110</v>
      </c>
      <c r="X66" s="14">
        <v>1</v>
      </c>
      <c r="Y66" s="163">
        <v>0</v>
      </c>
      <c r="Z66" s="163">
        <v>0</v>
      </c>
      <c r="AA66" s="26">
        <v>1</v>
      </c>
      <c r="AB66" s="12">
        <v>1001</v>
      </c>
      <c r="AC66" s="14">
        <v>1</v>
      </c>
      <c r="AD66" s="14">
        <v>0</v>
      </c>
      <c r="AE66" s="163">
        <v>1</v>
      </c>
      <c r="AF66" s="163">
        <v>0</v>
      </c>
      <c r="AG66" s="26">
        <v>0</v>
      </c>
      <c r="AH66" s="14">
        <v>100</v>
      </c>
      <c r="AI66" s="14">
        <v>0</v>
      </c>
      <c r="AJ66" s="163">
        <v>0</v>
      </c>
      <c r="AK66" s="163">
        <v>1</v>
      </c>
      <c r="AL66" s="26">
        <v>1</v>
      </c>
      <c r="AM66" s="12">
        <v>11</v>
      </c>
      <c r="AN66" s="14">
        <v>0</v>
      </c>
      <c r="AO66" s="163">
        <v>0</v>
      </c>
      <c r="AP66" s="163">
        <v>0</v>
      </c>
      <c r="AQ66" s="163">
        <v>0</v>
      </c>
      <c r="AR66" s="163">
        <v>0</v>
      </c>
      <c r="AS66" s="14">
        <v>1</v>
      </c>
      <c r="AT66" s="163">
        <v>0</v>
      </c>
      <c r="AU66" s="163">
        <v>0</v>
      </c>
      <c r="AV66" s="163">
        <v>0</v>
      </c>
      <c r="AW66" s="26">
        <v>0</v>
      </c>
      <c r="AX66" s="14">
        <v>1</v>
      </c>
      <c r="AY66" s="14">
        <v>0</v>
      </c>
      <c r="AZ66" s="163">
        <v>0</v>
      </c>
      <c r="BA66" s="163">
        <v>0</v>
      </c>
      <c r="BB66" s="26">
        <v>0</v>
      </c>
      <c r="BC66" s="12">
        <v>0</v>
      </c>
      <c r="BD66" s="14">
        <v>1</v>
      </c>
      <c r="BE66" s="163">
        <v>0</v>
      </c>
      <c r="BF66" s="163">
        <v>0</v>
      </c>
      <c r="BG66" s="163">
        <v>0</v>
      </c>
      <c r="BH66" s="163">
        <v>0</v>
      </c>
      <c r="BI66" s="14">
        <v>1</v>
      </c>
      <c r="BJ66" s="163">
        <v>0</v>
      </c>
      <c r="BK66" s="26">
        <v>0</v>
      </c>
      <c r="BL66" s="14">
        <v>0</v>
      </c>
      <c r="BM66" s="163">
        <v>0</v>
      </c>
      <c r="BN66" s="26">
        <v>0</v>
      </c>
      <c r="BO66" s="14">
        <v>0</v>
      </c>
      <c r="BP66" s="12">
        <v>120</v>
      </c>
      <c r="BQ66" s="163">
        <v>2</v>
      </c>
      <c r="BR66" s="14">
        <v>0</v>
      </c>
      <c r="BS66" s="163">
        <v>0</v>
      </c>
      <c r="BT66" s="163">
        <v>0</v>
      </c>
      <c r="BU66" s="26">
        <v>0</v>
      </c>
      <c r="BV66" s="14">
        <v>0</v>
      </c>
      <c r="BW66" s="209"/>
      <c r="BX66" s="3"/>
      <c r="BY66" s="3"/>
      <c r="BZ66" s="40"/>
      <c r="CA66" s="209"/>
      <c r="CB66" s="3"/>
      <c r="CC66" s="3"/>
      <c r="CD66" s="3"/>
      <c r="CE66" s="209"/>
      <c r="CF66" s="3"/>
      <c r="CG66" s="3"/>
      <c r="CH66" s="40"/>
      <c r="CI66" s="209"/>
      <c r="CJ66" s="3"/>
      <c r="CK66" s="3"/>
      <c r="CL66" s="209"/>
      <c r="CM66" s="3"/>
      <c r="CN66" s="3"/>
      <c r="CO66" s="3"/>
      <c r="CP66" s="40"/>
      <c r="CQ66" s="209"/>
      <c r="CR66" s="40"/>
      <c r="CS66" s="3"/>
      <c r="CT66" s="3"/>
    </row>
    <row r="67" spans="1:98">
      <c r="A67" s="42" t="s">
        <v>320</v>
      </c>
      <c r="B67" s="173" t="s">
        <v>303</v>
      </c>
      <c r="C67" s="12"/>
      <c r="D67" s="14" t="s">
        <v>388</v>
      </c>
      <c r="E67" s="12"/>
      <c r="F67" s="12">
        <v>13</v>
      </c>
      <c r="G67" s="14">
        <v>1</v>
      </c>
      <c r="H67" s="163">
        <v>0</v>
      </c>
      <c r="I67" s="163">
        <v>1</v>
      </c>
      <c r="J67" s="12">
        <v>101</v>
      </c>
      <c r="K67" s="14">
        <v>374</v>
      </c>
      <c r="L67" s="26">
        <v>1570</v>
      </c>
      <c r="M67" s="14">
        <v>284</v>
      </c>
      <c r="N67" s="163">
        <v>1037</v>
      </c>
      <c r="O67" s="14">
        <v>0</v>
      </c>
      <c r="P67" s="26">
        <v>0</v>
      </c>
      <c r="Q67" s="12">
        <v>3469</v>
      </c>
      <c r="R67" s="209">
        <v>1.8590568060021435</v>
      </c>
      <c r="S67" s="14">
        <v>1</v>
      </c>
      <c r="T67" s="163">
        <v>1</v>
      </c>
      <c r="U67" s="163">
        <v>0</v>
      </c>
      <c r="V67" s="26">
        <v>0</v>
      </c>
      <c r="W67" s="14">
        <v>1100</v>
      </c>
      <c r="X67" s="14">
        <v>1</v>
      </c>
      <c r="Y67" s="163">
        <v>0</v>
      </c>
      <c r="Z67" s="163">
        <v>0</v>
      </c>
      <c r="AA67" s="26">
        <v>0</v>
      </c>
      <c r="AB67" s="12">
        <v>1000</v>
      </c>
      <c r="AC67" s="14">
        <v>0</v>
      </c>
      <c r="AD67" s="14">
        <v>0</v>
      </c>
      <c r="AE67" s="163">
        <v>0</v>
      </c>
      <c r="AF67" s="163">
        <v>1</v>
      </c>
      <c r="AG67" s="26">
        <v>0</v>
      </c>
      <c r="AH67" s="14">
        <v>10</v>
      </c>
      <c r="AI67" s="14">
        <v>0</v>
      </c>
      <c r="AJ67" s="163">
        <v>0</v>
      </c>
      <c r="AK67" s="163">
        <v>0</v>
      </c>
      <c r="AL67" s="26">
        <v>0</v>
      </c>
      <c r="AM67" s="12">
        <v>0</v>
      </c>
      <c r="AN67" s="14">
        <v>0</v>
      </c>
      <c r="AO67" s="163">
        <v>0</v>
      </c>
      <c r="AP67" s="163">
        <v>0</v>
      </c>
      <c r="AQ67" s="163">
        <v>0</v>
      </c>
      <c r="AR67" s="163">
        <v>0</v>
      </c>
      <c r="AS67" s="14">
        <v>1</v>
      </c>
      <c r="AT67" s="163">
        <v>0</v>
      </c>
      <c r="AU67" s="163">
        <v>0</v>
      </c>
      <c r="AV67" s="163">
        <v>0</v>
      </c>
      <c r="AW67" s="26">
        <v>0</v>
      </c>
      <c r="AX67" s="14">
        <v>1</v>
      </c>
      <c r="AY67" s="14">
        <v>0</v>
      </c>
      <c r="AZ67" s="163">
        <v>0</v>
      </c>
      <c r="BA67" s="163">
        <v>0</v>
      </c>
      <c r="BB67" s="26">
        <v>0</v>
      </c>
      <c r="BC67" s="12">
        <v>0</v>
      </c>
      <c r="BD67" s="14">
        <v>0</v>
      </c>
      <c r="BE67" s="163">
        <v>0</v>
      </c>
      <c r="BF67" s="163">
        <v>0</v>
      </c>
      <c r="BG67" s="163">
        <v>0</v>
      </c>
      <c r="BH67" s="163">
        <v>0</v>
      </c>
      <c r="BI67" s="14">
        <v>1</v>
      </c>
      <c r="BJ67" s="163">
        <v>1</v>
      </c>
      <c r="BK67" s="26">
        <v>0</v>
      </c>
      <c r="BL67" s="14">
        <v>0</v>
      </c>
      <c r="BM67" s="163">
        <v>0</v>
      </c>
      <c r="BN67" s="26">
        <v>0</v>
      </c>
      <c r="BO67" s="14">
        <v>0</v>
      </c>
      <c r="BP67" s="12">
        <v>127</v>
      </c>
      <c r="BQ67" s="163">
        <v>1</v>
      </c>
      <c r="BR67" s="14">
        <v>0</v>
      </c>
      <c r="BS67" s="163">
        <v>0</v>
      </c>
      <c r="BT67" s="163">
        <v>0</v>
      </c>
      <c r="BU67" s="26">
        <v>0</v>
      </c>
      <c r="BV67" s="14">
        <v>0</v>
      </c>
      <c r="BW67" s="209">
        <v>65.23</v>
      </c>
      <c r="BX67" s="3">
        <v>66.31</v>
      </c>
      <c r="BY67" s="3"/>
      <c r="BZ67" s="40"/>
      <c r="CA67" s="209"/>
      <c r="CB67" s="3"/>
      <c r="CC67" s="3"/>
      <c r="CD67" s="3"/>
      <c r="CE67" s="209">
        <v>65.48</v>
      </c>
      <c r="CF67" s="3">
        <v>65.98</v>
      </c>
      <c r="CG67" s="3"/>
      <c r="CH67" s="40"/>
      <c r="CI67" s="209"/>
      <c r="CJ67" s="3"/>
      <c r="CK67" s="3"/>
      <c r="CL67" s="209">
        <v>83.29693468640167</v>
      </c>
      <c r="CM67" s="3"/>
      <c r="CN67" s="3"/>
      <c r="CO67" s="3"/>
      <c r="CP67" s="40"/>
      <c r="CQ67" s="209">
        <v>82.429753297968858</v>
      </c>
      <c r="CR67" s="40"/>
      <c r="CS67" s="3"/>
      <c r="CT67" s="3"/>
    </row>
    <row r="68" spans="1:98">
      <c r="A68" s="42" t="s">
        <v>320</v>
      </c>
      <c r="B68" s="173" t="s">
        <v>303</v>
      </c>
      <c r="C68" s="12"/>
      <c r="D68" s="14" t="s">
        <v>144</v>
      </c>
      <c r="E68" s="12"/>
      <c r="F68" s="12">
        <v>36</v>
      </c>
      <c r="G68" s="14">
        <v>0</v>
      </c>
      <c r="H68" s="163">
        <v>1</v>
      </c>
      <c r="I68" s="163">
        <v>1</v>
      </c>
      <c r="J68" s="12">
        <v>11</v>
      </c>
      <c r="K68" s="14">
        <v>405</v>
      </c>
      <c r="L68" s="26">
        <v>2619</v>
      </c>
      <c r="M68" s="14">
        <v>524</v>
      </c>
      <c r="N68" s="163">
        <v>1400</v>
      </c>
      <c r="O68" s="14">
        <v>717</v>
      </c>
      <c r="P68" s="26">
        <v>2215</v>
      </c>
      <c r="Q68" s="12">
        <v>7821</v>
      </c>
      <c r="R68" s="209">
        <v>1.3948635634028892</v>
      </c>
      <c r="S68" s="14">
        <v>1</v>
      </c>
      <c r="T68" s="163">
        <v>1</v>
      </c>
      <c r="U68" s="163">
        <v>1</v>
      </c>
      <c r="V68" s="26">
        <v>0</v>
      </c>
      <c r="W68" s="14">
        <v>1110</v>
      </c>
      <c r="X68" s="14">
        <v>1</v>
      </c>
      <c r="Y68" s="163">
        <v>0</v>
      </c>
      <c r="Z68" s="163">
        <v>0</v>
      </c>
      <c r="AA68" s="26">
        <v>1</v>
      </c>
      <c r="AB68" s="12">
        <v>1001</v>
      </c>
      <c r="AC68" s="14">
        <v>1</v>
      </c>
      <c r="AD68" s="14">
        <v>0</v>
      </c>
      <c r="AE68" s="163">
        <v>1</v>
      </c>
      <c r="AF68" s="163">
        <v>1</v>
      </c>
      <c r="AG68" s="26">
        <v>0</v>
      </c>
      <c r="AH68" s="14">
        <v>110</v>
      </c>
      <c r="AI68" s="14">
        <v>0</v>
      </c>
      <c r="AJ68" s="163">
        <v>0</v>
      </c>
      <c r="AK68" s="163">
        <v>1</v>
      </c>
      <c r="AL68" s="26">
        <v>1</v>
      </c>
      <c r="AM68" s="12">
        <v>11</v>
      </c>
      <c r="AN68" s="14">
        <v>0</v>
      </c>
      <c r="AO68" s="163">
        <v>0</v>
      </c>
      <c r="AP68" s="163">
        <v>0</v>
      </c>
      <c r="AQ68" s="163">
        <v>0</v>
      </c>
      <c r="AR68" s="163">
        <v>0</v>
      </c>
      <c r="AS68" s="14">
        <v>1</v>
      </c>
      <c r="AT68" s="163">
        <v>0</v>
      </c>
      <c r="AU68" s="163">
        <v>0</v>
      </c>
      <c r="AV68" s="163">
        <v>1</v>
      </c>
      <c r="AW68" s="26">
        <v>0</v>
      </c>
      <c r="AX68" s="14">
        <v>2</v>
      </c>
      <c r="AY68" s="14">
        <v>0</v>
      </c>
      <c r="AZ68" s="163">
        <v>0</v>
      </c>
      <c r="BA68" s="163">
        <v>0</v>
      </c>
      <c r="BB68" s="26">
        <v>0</v>
      </c>
      <c r="BC68" s="12">
        <v>0</v>
      </c>
      <c r="BD68" s="14">
        <v>0</v>
      </c>
      <c r="BE68" s="163">
        <v>1</v>
      </c>
      <c r="BF68" s="163">
        <v>1</v>
      </c>
      <c r="BG68" s="163">
        <v>1</v>
      </c>
      <c r="BH68" s="163">
        <v>0</v>
      </c>
      <c r="BI68" s="14">
        <v>1</v>
      </c>
      <c r="BJ68" s="163">
        <v>1</v>
      </c>
      <c r="BK68" s="26">
        <v>0</v>
      </c>
      <c r="BL68" s="14">
        <v>0</v>
      </c>
      <c r="BM68" s="163">
        <v>0</v>
      </c>
      <c r="BN68" s="26">
        <v>0</v>
      </c>
      <c r="BO68" s="14">
        <v>0</v>
      </c>
      <c r="BP68" s="12">
        <v>154</v>
      </c>
      <c r="BQ68" s="163">
        <v>1</v>
      </c>
      <c r="BR68" s="14">
        <v>0</v>
      </c>
      <c r="BS68" s="163">
        <v>0</v>
      </c>
      <c r="BT68" s="163">
        <v>0</v>
      </c>
      <c r="BU68" s="26">
        <v>0</v>
      </c>
      <c r="BV68" s="14">
        <v>0</v>
      </c>
      <c r="BW68" s="209">
        <v>73.27</v>
      </c>
      <c r="BX68" s="3">
        <v>66.56</v>
      </c>
      <c r="BY68" s="3">
        <v>69.14</v>
      </c>
      <c r="BZ68" s="40"/>
      <c r="CA68" s="209">
        <v>67.599999999999994</v>
      </c>
      <c r="CB68" s="3"/>
      <c r="CC68" s="3"/>
      <c r="CD68" s="3"/>
      <c r="CE68" s="209">
        <v>66.260000000000005</v>
      </c>
      <c r="CF68" s="3">
        <v>71.459999999999994</v>
      </c>
      <c r="CG68" s="3">
        <v>62.67</v>
      </c>
      <c r="CH68" s="40"/>
      <c r="CI68" s="209"/>
      <c r="CJ68" s="3"/>
      <c r="CK68" s="3"/>
      <c r="CL68" s="209">
        <v>82.756010001047713</v>
      </c>
      <c r="CM68" s="3"/>
      <c r="CN68" s="3"/>
      <c r="CO68" s="3"/>
      <c r="CP68" s="40"/>
      <c r="CQ68" s="209">
        <v>82.736388695152584</v>
      </c>
      <c r="CR68" s="40"/>
      <c r="CS68" s="3"/>
      <c r="CT68" s="3"/>
    </row>
    <row r="69" spans="1:98">
      <c r="A69" s="42" t="s">
        <v>320</v>
      </c>
      <c r="B69" s="173" t="s">
        <v>303</v>
      </c>
      <c r="C69" s="12"/>
      <c r="D69" s="14" t="s">
        <v>389</v>
      </c>
      <c r="E69" s="12"/>
      <c r="F69" s="12">
        <v>8</v>
      </c>
      <c r="G69" s="14">
        <v>1</v>
      </c>
      <c r="H69" s="163">
        <v>0</v>
      </c>
      <c r="I69" s="163">
        <v>1</v>
      </c>
      <c r="J69" s="12">
        <v>101</v>
      </c>
      <c r="K69" s="14">
        <v>317</v>
      </c>
      <c r="L69" s="26">
        <v>1142</v>
      </c>
      <c r="M69" s="14">
        <v>0</v>
      </c>
      <c r="N69" s="163">
        <v>314</v>
      </c>
      <c r="O69" s="14">
        <v>175</v>
      </c>
      <c r="P69" s="26">
        <v>958</v>
      </c>
      <c r="Q69" s="12">
        <v>1868</v>
      </c>
      <c r="R69" s="209">
        <v>1.4435857805255023</v>
      </c>
      <c r="S69" s="14">
        <v>1</v>
      </c>
      <c r="T69" s="163">
        <v>1</v>
      </c>
      <c r="U69" s="163">
        <v>1</v>
      </c>
      <c r="V69" s="26">
        <v>0</v>
      </c>
      <c r="W69" s="14">
        <v>1110</v>
      </c>
      <c r="X69" s="14">
        <v>1</v>
      </c>
      <c r="Y69" s="163">
        <v>0</v>
      </c>
      <c r="Z69" s="163">
        <v>0</v>
      </c>
      <c r="AA69" s="26">
        <v>0</v>
      </c>
      <c r="AB69" s="12">
        <v>1000</v>
      </c>
      <c r="AC69" s="14">
        <v>1</v>
      </c>
      <c r="AD69" s="14">
        <v>0</v>
      </c>
      <c r="AE69" s="163">
        <v>0</v>
      </c>
      <c r="AF69" s="163">
        <v>0</v>
      </c>
      <c r="AG69" s="26">
        <v>1</v>
      </c>
      <c r="AH69" s="14">
        <v>1</v>
      </c>
      <c r="AI69" s="14">
        <v>0</v>
      </c>
      <c r="AJ69" s="163">
        <v>0</v>
      </c>
      <c r="AK69" s="163">
        <v>0</v>
      </c>
      <c r="AL69" s="26">
        <v>1</v>
      </c>
      <c r="AM69" s="12">
        <v>1</v>
      </c>
      <c r="AN69" s="14">
        <v>0</v>
      </c>
      <c r="AO69" s="163">
        <v>0</v>
      </c>
      <c r="AP69" s="163">
        <v>0</v>
      </c>
      <c r="AQ69" s="163">
        <v>0</v>
      </c>
      <c r="AR69" s="163">
        <v>0</v>
      </c>
      <c r="AS69" s="14">
        <v>1</v>
      </c>
      <c r="AT69" s="163">
        <v>0</v>
      </c>
      <c r="AU69" s="163">
        <v>0</v>
      </c>
      <c r="AV69" s="163">
        <v>1</v>
      </c>
      <c r="AW69" s="26">
        <v>0</v>
      </c>
      <c r="AX69" s="14">
        <v>2</v>
      </c>
      <c r="AY69" s="14">
        <v>0</v>
      </c>
      <c r="AZ69" s="163">
        <v>0</v>
      </c>
      <c r="BA69" s="163">
        <v>0</v>
      </c>
      <c r="BB69" s="26">
        <v>0</v>
      </c>
      <c r="BC69" s="12">
        <v>0</v>
      </c>
      <c r="BD69" s="14">
        <v>0</v>
      </c>
      <c r="BE69" s="163">
        <v>0</v>
      </c>
      <c r="BF69" s="163">
        <v>1</v>
      </c>
      <c r="BG69" s="163">
        <v>1</v>
      </c>
      <c r="BH69" s="163">
        <v>0</v>
      </c>
      <c r="BI69" s="14">
        <v>1</v>
      </c>
      <c r="BJ69" s="163">
        <v>0</v>
      </c>
      <c r="BK69" s="26">
        <v>0</v>
      </c>
      <c r="BL69" s="14">
        <v>0</v>
      </c>
      <c r="BM69" s="163">
        <v>0</v>
      </c>
      <c r="BN69" s="26">
        <v>0</v>
      </c>
      <c r="BO69" s="14">
        <v>0</v>
      </c>
      <c r="BP69" s="12">
        <v>118</v>
      </c>
      <c r="BQ69" s="163">
        <v>2</v>
      </c>
      <c r="BR69" s="14">
        <v>0</v>
      </c>
      <c r="BS69" s="163">
        <v>0</v>
      </c>
      <c r="BT69" s="163">
        <v>0</v>
      </c>
      <c r="BU69" s="26">
        <v>0</v>
      </c>
      <c r="BV69" s="14">
        <v>0</v>
      </c>
      <c r="BW69" s="209"/>
      <c r="BX69" s="3"/>
      <c r="BY69" s="3"/>
      <c r="BZ69" s="40"/>
      <c r="CA69" s="209"/>
      <c r="CB69" s="3"/>
      <c r="CC69" s="3"/>
      <c r="CD69" s="3"/>
      <c r="CE69" s="209"/>
      <c r="CF69" s="3"/>
      <c r="CG69" s="3"/>
      <c r="CH69" s="40"/>
      <c r="CI69" s="209"/>
      <c r="CJ69" s="3"/>
      <c r="CK69" s="3"/>
      <c r="CL69" s="209"/>
      <c r="CM69" s="3"/>
      <c r="CN69" s="3"/>
      <c r="CO69" s="3"/>
      <c r="CP69" s="40"/>
      <c r="CQ69" s="209"/>
      <c r="CR69" s="40"/>
      <c r="CS69" s="3"/>
      <c r="CT69" s="3"/>
    </row>
    <row r="70" spans="1:98">
      <c r="A70" s="42" t="s">
        <v>320</v>
      </c>
      <c r="B70" s="173" t="s">
        <v>303</v>
      </c>
      <c r="C70" s="12"/>
      <c r="D70" s="14" t="s">
        <v>390</v>
      </c>
      <c r="E70" s="12"/>
      <c r="F70" s="12">
        <v>2</v>
      </c>
      <c r="G70" s="14">
        <v>0</v>
      </c>
      <c r="H70" s="163">
        <v>0</v>
      </c>
      <c r="I70" s="163">
        <v>1</v>
      </c>
      <c r="J70" s="12">
        <v>1</v>
      </c>
      <c r="K70" s="14">
        <v>0</v>
      </c>
      <c r="L70" s="26">
        <v>0</v>
      </c>
      <c r="M70" s="14">
        <v>0</v>
      </c>
      <c r="N70" s="163">
        <v>1049</v>
      </c>
      <c r="O70" s="14">
        <v>0</v>
      </c>
      <c r="P70" s="26">
        <v>549</v>
      </c>
      <c r="Q70" s="12">
        <v>1121</v>
      </c>
      <c r="R70" s="209">
        <v>1.2251366120218579</v>
      </c>
      <c r="S70" s="14">
        <v>0</v>
      </c>
      <c r="T70" s="163">
        <v>1</v>
      </c>
      <c r="U70" s="163">
        <v>1</v>
      </c>
      <c r="V70" s="26">
        <v>0</v>
      </c>
      <c r="W70" s="14">
        <v>110</v>
      </c>
      <c r="X70" s="14">
        <v>0</v>
      </c>
      <c r="Y70" s="163">
        <v>0</v>
      </c>
      <c r="Z70" s="163">
        <v>0</v>
      </c>
      <c r="AA70" s="26">
        <v>0</v>
      </c>
      <c r="AB70" s="12">
        <v>0</v>
      </c>
      <c r="AC70" s="14">
        <v>0</v>
      </c>
      <c r="AD70" s="14">
        <v>0</v>
      </c>
      <c r="AE70" s="163">
        <v>1</v>
      </c>
      <c r="AF70" s="163">
        <v>0</v>
      </c>
      <c r="AG70" s="26">
        <v>0</v>
      </c>
      <c r="AH70" s="14">
        <v>100</v>
      </c>
      <c r="AI70" s="14">
        <v>0</v>
      </c>
      <c r="AJ70" s="163">
        <v>0</v>
      </c>
      <c r="AK70" s="163">
        <v>0</v>
      </c>
      <c r="AL70" s="26">
        <v>1</v>
      </c>
      <c r="AM70" s="12">
        <v>1</v>
      </c>
      <c r="AN70" s="14">
        <v>0</v>
      </c>
      <c r="AO70" s="163">
        <v>0</v>
      </c>
      <c r="AP70" s="163">
        <v>0</v>
      </c>
      <c r="AQ70" s="163">
        <v>0</v>
      </c>
      <c r="AR70" s="163">
        <v>0</v>
      </c>
      <c r="AS70" s="14">
        <v>0</v>
      </c>
      <c r="AT70" s="163">
        <v>0</v>
      </c>
      <c r="AU70" s="163">
        <v>0</v>
      </c>
      <c r="AV70" s="163">
        <v>0</v>
      </c>
      <c r="AW70" s="26">
        <v>0</v>
      </c>
      <c r="AX70" s="14">
        <v>0</v>
      </c>
      <c r="AY70" s="14">
        <v>0</v>
      </c>
      <c r="AZ70" s="163">
        <v>0</v>
      </c>
      <c r="BA70" s="163">
        <v>1</v>
      </c>
      <c r="BB70" s="26">
        <v>0</v>
      </c>
      <c r="BC70" s="12">
        <v>1</v>
      </c>
      <c r="BD70" s="14">
        <v>0</v>
      </c>
      <c r="BE70" s="163">
        <v>0</v>
      </c>
      <c r="BF70" s="163">
        <v>1</v>
      </c>
      <c r="BG70" s="163">
        <v>0</v>
      </c>
      <c r="BH70" s="163">
        <v>0</v>
      </c>
      <c r="BI70" s="14">
        <v>0</v>
      </c>
      <c r="BJ70" s="163">
        <v>0</v>
      </c>
      <c r="BK70" s="26">
        <v>0</v>
      </c>
      <c r="BL70" s="14">
        <v>0</v>
      </c>
      <c r="BM70" s="163">
        <v>0</v>
      </c>
      <c r="BN70" s="26">
        <v>0</v>
      </c>
      <c r="BO70" s="14">
        <v>1</v>
      </c>
      <c r="BP70" s="12">
        <v>120</v>
      </c>
      <c r="BQ70" s="163">
        <v>2</v>
      </c>
      <c r="BR70" s="14">
        <v>0</v>
      </c>
      <c r="BS70" s="163">
        <v>0</v>
      </c>
      <c r="BT70" s="163">
        <v>0</v>
      </c>
      <c r="BU70" s="26">
        <v>0</v>
      </c>
      <c r="BV70" s="14">
        <v>0</v>
      </c>
      <c r="BW70" s="209"/>
      <c r="BX70" s="3"/>
      <c r="BY70" s="3"/>
      <c r="BZ70" s="40"/>
      <c r="CA70" s="209"/>
      <c r="CB70" s="3"/>
      <c r="CC70" s="3"/>
      <c r="CD70" s="3"/>
      <c r="CE70" s="209"/>
      <c r="CF70" s="3"/>
      <c r="CG70" s="3"/>
      <c r="CH70" s="40"/>
      <c r="CI70" s="209"/>
      <c r="CJ70" s="3"/>
      <c r="CK70" s="3"/>
      <c r="CL70" s="209"/>
      <c r="CM70" s="3"/>
      <c r="CN70" s="3"/>
      <c r="CO70" s="3"/>
      <c r="CP70" s="40"/>
      <c r="CQ70" s="209"/>
      <c r="CR70" s="40"/>
      <c r="CS70" s="3"/>
      <c r="CT70" s="3"/>
    </row>
    <row r="71" spans="1:98">
      <c r="A71" s="42" t="s">
        <v>320</v>
      </c>
      <c r="B71" s="173" t="s">
        <v>303</v>
      </c>
      <c r="C71" s="12"/>
      <c r="D71" s="14" t="s">
        <v>391</v>
      </c>
      <c r="E71" s="12"/>
      <c r="F71" s="12">
        <v>9</v>
      </c>
      <c r="G71" s="14">
        <v>1</v>
      </c>
      <c r="H71" s="163">
        <v>1</v>
      </c>
      <c r="I71" s="163">
        <v>1</v>
      </c>
      <c r="J71" s="12">
        <v>111</v>
      </c>
      <c r="K71" s="14">
        <v>214</v>
      </c>
      <c r="L71" s="26">
        <v>1360</v>
      </c>
      <c r="M71" s="14">
        <v>571</v>
      </c>
      <c r="N71" s="163">
        <v>1218</v>
      </c>
      <c r="O71" s="14">
        <v>0</v>
      </c>
      <c r="P71" s="26">
        <v>0</v>
      </c>
      <c r="Q71" s="12">
        <v>3479</v>
      </c>
      <c r="R71" s="209">
        <v>1.9189189189189189</v>
      </c>
      <c r="S71" s="14">
        <v>1</v>
      </c>
      <c r="T71" s="163">
        <v>1</v>
      </c>
      <c r="U71" s="163">
        <v>0</v>
      </c>
      <c r="V71" s="26">
        <v>0</v>
      </c>
      <c r="W71" s="14">
        <v>1100</v>
      </c>
      <c r="X71" s="14">
        <v>1</v>
      </c>
      <c r="Y71" s="163">
        <v>0</v>
      </c>
      <c r="Z71" s="163">
        <v>0</v>
      </c>
      <c r="AA71" s="26">
        <v>0</v>
      </c>
      <c r="AB71" s="12">
        <v>1000</v>
      </c>
      <c r="AC71" s="14">
        <v>1</v>
      </c>
      <c r="AD71" s="14">
        <v>0</v>
      </c>
      <c r="AE71" s="163">
        <v>1</v>
      </c>
      <c r="AF71" s="163">
        <v>0</v>
      </c>
      <c r="AG71" s="26">
        <v>0</v>
      </c>
      <c r="AH71" s="14">
        <v>100</v>
      </c>
      <c r="AI71" s="14">
        <v>0</v>
      </c>
      <c r="AJ71" s="163">
        <v>0</v>
      </c>
      <c r="AK71" s="163">
        <v>0</v>
      </c>
      <c r="AL71" s="26">
        <v>0</v>
      </c>
      <c r="AM71" s="12">
        <v>0</v>
      </c>
      <c r="AN71" s="14">
        <v>0</v>
      </c>
      <c r="AO71" s="163">
        <v>0</v>
      </c>
      <c r="AP71" s="163">
        <v>0</v>
      </c>
      <c r="AQ71" s="163">
        <v>0</v>
      </c>
      <c r="AR71" s="163">
        <v>0</v>
      </c>
      <c r="AS71" s="14">
        <v>1</v>
      </c>
      <c r="AT71" s="163">
        <v>0</v>
      </c>
      <c r="AU71" s="163">
        <v>0</v>
      </c>
      <c r="AV71" s="163">
        <v>1</v>
      </c>
      <c r="AW71" s="26">
        <v>0</v>
      </c>
      <c r="AX71" s="14">
        <v>2</v>
      </c>
      <c r="AY71" s="14">
        <v>0</v>
      </c>
      <c r="AZ71" s="163">
        <v>1</v>
      </c>
      <c r="BA71" s="163">
        <v>0</v>
      </c>
      <c r="BB71" s="26">
        <v>0</v>
      </c>
      <c r="BC71" s="12">
        <v>1</v>
      </c>
      <c r="BD71" s="14">
        <v>0</v>
      </c>
      <c r="BE71" s="163">
        <v>0</v>
      </c>
      <c r="BF71" s="163">
        <v>0</v>
      </c>
      <c r="BG71" s="163">
        <v>0</v>
      </c>
      <c r="BH71" s="163">
        <v>0</v>
      </c>
      <c r="BI71" s="14">
        <v>1</v>
      </c>
      <c r="BJ71" s="163">
        <v>1</v>
      </c>
      <c r="BK71" s="26">
        <v>0</v>
      </c>
      <c r="BL71" s="14">
        <v>0</v>
      </c>
      <c r="BM71" s="163">
        <v>0</v>
      </c>
      <c r="BN71" s="26">
        <v>0</v>
      </c>
      <c r="BO71" s="14">
        <v>1</v>
      </c>
      <c r="BP71" s="12">
        <v>160</v>
      </c>
      <c r="BQ71" s="163">
        <v>1</v>
      </c>
      <c r="BR71" s="14">
        <v>0</v>
      </c>
      <c r="BS71" s="163">
        <v>0</v>
      </c>
      <c r="BT71" s="163">
        <v>0</v>
      </c>
      <c r="BU71" s="26">
        <v>0</v>
      </c>
      <c r="BV71" s="14">
        <v>0</v>
      </c>
      <c r="BW71" s="209"/>
      <c r="BX71" s="3"/>
      <c r="BY71" s="3"/>
      <c r="BZ71" s="40"/>
      <c r="CA71" s="209"/>
      <c r="CB71" s="3"/>
      <c r="CC71" s="3"/>
      <c r="CD71" s="3"/>
      <c r="CE71" s="209"/>
      <c r="CF71" s="3"/>
      <c r="CG71" s="3"/>
      <c r="CH71" s="40"/>
      <c r="CI71" s="209"/>
      <c r="CJ71" s="3"/>
      <c r="CK71" s="3"/>
      <c r="CL71" s="209"/>
      <c r="CM71" s="3"/>
      <c r="CN71" s="3"/>
      <c r="CO71" s="3"/>
      <c r="CP71" s="40"/>
      <c r="CQ71" s="209"/>
      <c r="CR71" s="40"/>
      <c r="CS71" s="3"/>
      <c r="CT71" s="3"/>
    </row>
    <row r="72" spans="1:98">
      <c r="A72" s="42" t="s">
        <v>320</v>
      </c>
      <c r="B72" s="173" t="s">
        <v>303</v>
      </c>
      <c r="C72" s="12"/>
      <c r="D72" s="14" t="s">
        <v>200</v>
      </c>
      <c r="E72" s="12"/>
      <c r="F72" s="12">
        <v>15</v>
      </c>
      <c r="G72" s="14">
        <v>0</v>
      </c>
      <c r="H72" s="163">
        <v>0</v>
      </c>
      <c r="I72" s="163">
        <v>1</v>
      </c>
      <c r="J72" s="12">
        <v>1</v>
      </c>
      <c r="K72" s="14">
        <v>229</v>
      </c>
      <c r="L72" s="26">
        <v>1776</v>
      </c>
      <c r="M72" s="14">
        <v>303</v>
      </c>
      <c r="N72" s="163">
        <v>1239</v>
      </c>
      <c r="O72" s="14">
        <v>0</v>
      </c>
      <c r="P72" s="26">
        <v>0</v>
      </c>
      <c r="Q72" s="12">
        <v>2770</v>
      </c>
      <c r="R72" s="209">
        <v>1.0335820895522387</v>
      </c>
      <c r="S72" s="14">
        <v>1</v>
      </c>
      <c r="T72" s="163">
        <v>1</v>
      </c>
      <c r="U72" s="163">
        <v>0</v>
      </c>
      <c r="V72" s="26">
        <v>0</v>
      </c>
      <c r="W72" s="14">
        <v>1100</v>
      </c>
      <c r="X72" s="14">
        <v>1</v>
      </c>
      <c r="Y72" s="163">
        <v>1</v>
      </c>
      <c r="Z72" s="163">
        <v>0</v>
      </c>
      <c r="AA72" s="26">
        <v>0</v>
      </c>
      <c r="AB72" s="12">
        <v>1100</v>
      </c>
      <c r="AC72" s="14">
        <v>1</v>
      </c>
      <c r="AD72" s="14">
        <v>0</v>
      </c>
      <c r="AE72" s="163">
        <v>1</v>
      </c>
      <c r="AF72" s="163">
        <v>1</v>
      </c>
      <c r="AG72" s="26">
        <v>0</v>
      </c>
      <c r="AH72" s="14">
        <v>110</v>
      </c>
      <c r="AI72" s="14">
        <v>0</v>
      </c>
      <c r="AJ72" s="163">
        <v>0</v>
      </c>
      <c r="AK72" s="163">
        <v>0</v>
      </c>
      <c r="AL72" s="26">
        <v>0</v>
      </c>
      <c r="AM72" s="12">
        <v>0</v>
      </c>
      <c r="AN72" s="14">
        <v>0</v>
      </c>
      <c r="AO72" s="163">
        <v>0</v>
      </c>
      <c r="AP72" s="163">
        <v>0</v>
      </c>
      <c r="AQ72" s="163">
        <v>0</v>
      </c>
      <c r="AR72" s="163">
        <v>0</v>
      </c>
      <c r="AS72" s="14">
        <v>1</v>
      </c>
      <c r="AT72" s="163">
        <v>1</v>
      </c>
      <c r="AU72" s="163">
        <v>0</v>
      </c>
      <c r="AV72" s="163">
        <v>1</v>
      </c>
      <c r="AW72" s="26">
        <v>0</v>
      </c>
      <c r="AX72" s="14">
        <v>3</v>
      </c>
      <c r="AY72" s="14">
        <v>1</v>
      </c>
      <c r="AZ72" s="163">
        <v>1</v>
      </c>
      <c r="BA72" s="163">
        <v>0</v>
      </c>
      <c r="BB72" s="26">
        <v>0</v>
      </c>
      <c r="BC72" s="12">
        <v>2</v>
      </c>
      <c r="BD72" s="14">
        <v>0</v>
      </c>
      <c r="BE72" s="163">
        <v>0</v>
      </c>
      <c r="BF72" s="163">
        <v>0</v>
      </c>
      <c r="BG72" s="163">
        <v>0</v>
      </c>
      <c r="BH72" s="163">
        <v>0</v>
      </c>
      <c r="BI72" s="14">
        <v>1</v>
      </c>
      <c r="BJ72" s="163">
        <v>1</v>
      </c>
      <c r="BK72" s="26">
        <v>0</v>
      </c>
      <c r="BL72" s="14">
        <v>0</v>
      </c>
      <c r="BM72" s="163">
        <v>0</v>
      </c>
      <c r="BN72" s="26">
        <v>0</v>
      </c>
      <c r="BO72" s="14">
        <v>0</v>
      </c>
      <c r="BP72" s="12">
        <v>130</v>
      </c>
      <c r="BQ72" s="163">
        <v>1</v>
      </c>
      <c r="BR72" s="14">
        <v>0</v>
      </c>
      <c r="BS72" s="163">
        <v>0</v>
      </c>
      <c r="BT72" s="163">
        <v>0</v>
      </c>
      <c r="BU72" s="26">
        <v>0</v>
      </c>
      <c r="BV72" s="14">
        <v>0</v>
      </c>
      <c r="BW72" s="209"/>
      <c r="BX72" s="3"/>
      <c r="BY72" s="3"/>
      <c r="BZ72" s="40"/>
      <c r="CA72" s="209"/>
      <c r="CB72" s="3"/>
      <c r="CC72" s="3"/>
      <c r="CD72" s="3"/>
      <c r="CE72" s="209"/>
      <c r="CF72" s="3"/>
      <c r="CG72" s="3"/>
      <c r="CH72" s="40"/>
      <c r="CI72" s="209"/>
      <c r="CJ72" s="3"/>
      <c r="CK72" s="3"/>
      <c r="CL72" s="209"/>
      <c r="CM72" s="3"/>
      <c r="CN72" s="3"/>
      <c r="CO72" s="3"/>
      <c r="CP72" s="40"/>
      <c r="CQ72" s="209"/>
      <c r="CR72" s="40"/>
      <c r="CS72" s="3"/>
      <c r="CT72" s="3"/>
    </row>
    <row r="73" spans="1:98" ht="17" thickBot="1">
      <c r="A73" s="55" t="s">
        <v>320</v>
      </c>
      <c r="B73" s="47" t="s">
        <v>303</v>
      </c>
      <c r="C73" s="33"/>
      <c r="D73" s="34" t="s">
        <v>392</v>
      </c>
      <c r="E73" s="33"/>
      <c r="F73" s="33">
        <v>7</v>
      </c>
      <c r="G73" s="34">
        <v>0</v>
      </c>
      <c r="H73" s="36">
        <v>0</v>
      </c>
      <c r="I73" s="36">
        <v>1</v>
      </c>
      <c r="J73" s="33">
        <v>1</v>
      </c>
      <c r="K73" s="34">
        <v>401</v>
      </c>
      <c r="L73" s="35">
        <v>2882</v>
      </c>
      <c r="M73" s="34">
        <v>572</v>
      </c>
      <c r="N73" s="36">
        <v>1279</v>
      </c>
      <c r="O73" s="34">
        <v>0</v>
      </c>
      <c r="P73" s="35">
        <v>362</v>
      </c>
      <c r="Q73" s="33">
        <v>3337</v>
      </c>
      <c r="R73" s="210">
        <v>2.1309067688378032</v>
      </c>
      <c r="S73" s="34">
        <v>1</v>
      </c>
      <c r="T73" s="36">
        <v>1</v>
      </c>
      <c r="U73" s="36">
        <v>1</v>
      </c>
      <c r="V73" s="35">
        <v>0</v>
      </c>
      <c r="W73" s="34">
        <v>1110</v>
      </c>
      <c r="X73" s="34">
        <v>1</v>
      </c>
      <c r="Y73" s="36">
        <v>1</v>
      </c>
      <c r="Z73" s="36">
        <v>0</v>
      </c>
      <c r="AA73" s="35">
        <v>0</v>
      </c>
      <c r="AB73" s="33">
        <v>1100</v>
      </c>
      <c r="AC73" s="34">
        <v>1</v>
      </c>
      <c r="AD73" s="34">
        <v>0</v>
      </c>
      <c r="AE73" s="36">
        <v>1</v>
      </c>
      <c r="AF73" s="36">
        <v>0</v>
      </c>
      <c r="AG73" s="35">
        <v>0</v>
      </c>
      <c r="AH73" s="34">
        <v>100</v>
      </c>
      <c r="AI73" s="34">
        <v>0</v>
      </c>
      <c r="AJ73" s="36">
        <v>0</v>
      </c>
      <c r="AK73" s="36">
        <v>0</v>
      </c>
      <c r="AL73" s="35">
        <v>1</v>
      </c>
      <c r="AM73" s="33">
        <v>1</v>
      </c>
      <c r="AN73" s="34">
        <v>0</v>
      </c>
      <c r="AO73" s="36">
        <v>0</v>
      </c>
      <c r="AP73" s="36">
        <v>0</v>
      </c>
      <c r="AQ73" s="36">
        <v>0</v>
      </c>
      <c r="AR73" s="36">
        <v>0</v>
      </c>
      <c r="AS73" s="34">
        <v>1</v>
      </c>
      <c r="AT73" s="36">
        <v>0</v>
      </c>
      <c r="AU73" s="36">
        <v>0</v>
      </c>
      <c r="AV73" s="36">
        <v>1</v>
      </c>
      <c r="AW73" s="35">
        <v>0</v>
      </c>
      <c r="AX73" s="34">
        <v>2</v>
      </c>
      <c r="AY73" s="34">
        <v>0</v>
      </c>
      <c r="AZ73" s="36">
        <v>0</v>
      </c>
      <c r="BA73" s="36">
        <v>0</v>
      </c>
      <c r="BB73" s="35">
        <v>0</v>
      </c>
      <c r="BC73" s="33">
        <v>0</v>
      </c>
      <c r="BD73" s="34">
        <v>0</v>
      </c>
      <c r="BE73" s="36">
        <v>1</v>
      </c>
      <c r="BF73" s="36">
        <v>0</v>
      </c>
      <c r="BG73" s="36">
        <v>0</v>
      </c>
      <c r="BH73" s="36">
        <v>0</v>
      </c>
      <c r="BI73" s="34">
        <v>1</v>
      </c>
      <c r="BJ73" s="36">
        <v>1</v>
      </c>
      <c r="BK73" s="35">
        <v>0</v>
      </c>
      <c r="BL73" s="34">
        <v>0</v>
      </c>
      <c r="BM73" s="36">
        <v>0</v>
      </c>
      <c r="BN73" s="35">
        <v>0</v>
      </c>
      <c r="BO73" s="34">
        <v>0</v>
      </c>
      <c r="BP73" s="33">
        <v>132</v>
      </c>
      <c r="BQ73" s="36">
        <v>1</v>
      </c>
      <c r="BR73" s="34">
        <v>0</v>
      </c>
      <c r="BS73" s="36">
        <v>0</v>
      </c>
      <c r="BT73" s="36">
        <v>0</v>
      </c>
      <c r="BU73" s="35">
        <v>0</v>
      </c>
      <c r="BV73" s="34">
        <v>0</v>
      </c>
      <c r="BW73" s="210"/>
      <c r="BX73" s="51"/>
      <c r="BY73" s="51"/>
      <c r="BZ73" s="48"/>
      <c r="CA73" s="210"/>
      <c r="CB73" s="51"/>
      <c r="CC73" s="51"/>
      <c r="CD73" s="51"/>
      <c r="CE73" s="210"/>
      <c r="CF73" s="51"/>
      <c r="CG73" s="51"/>
      <c r="CH73" s="48"/>
      <c r="CI73" s="210"/>
      <c r="CJ73" s="51"/>
      <c r="CK73" s="51"/>
      <c r="CL73" s="210"/>
      <c r="CM73" s="51"/>
      <c r="CN73" s="51"/>
      <c r="CO73" s="51"/>
      <c r="CP73" s="48"/>
      <c r="CQ73" s="210"/>
      <c r="CR73" s="48"/>
      <c r="CS73" s="3"/>
      <c r="CT73" s="3"/>
    </row>
    <row r="74" spans="1:98">
      <c r="A74" s="87" t="s">
        <v>320</v>
      </c>
      <c r="B74" s="7" t="s">
        <v>302</v>
      </c>
      <c r="C74" s="9"/>
      <c r="D74" s="11" t="s">
        <v>333</v>
      </c>
      <c r="E74" s="9" t="s">
        <v>22</v>
      </c>
      <c r="F74" s="9"/>
      <c r="G74" s="11">
        <v>0</v>
      </c>
      <c r="H74" s="8">
        <v>1</v>
      </c>
      <c r="I74" s="8">
        <v>1</v>
      </c>
      <c r="J74" s="9">
        <v>13</v>
      </c>
      <c r="K74" s="11">
        <v>299</v>
      </c>
      <c r="L74" s="41">
        <v>3708</v>
      </c>
      <c r="M74" s="11">
        <v>210</v>
      </c>
      <c r="N74" s="8">
        <v>505</v>
      </c>
      <c r="O74" s="11">
        <v>0</v>
      </c>
      <c r="P74" s="41">
        <v>439</v>
      </c>
      <c r="Q74" s="213">
        <v>4766</v>
      </c>
      <c r="R74" s="107">
        <v>2.0481306403094113</v>
      </c>
      <c r="S74" s="11">
        <v>1</v>
      </c>
      <c r="T74" s="8">
        <v>1</v>
      </c>
      <c r="U74" s="8">
        <v>1</v>
      </c>
      <c r="V74" s="41">
        <v>0</v>
      </c>
      <c r="W74" s="11">
        <v>1110</v>
      </c>
      <c r="X74" s="11">
        <v>1</v>
      </c>
      <c r="Y74" s="8">
        <v>1</v>
      </c>
      <c r="Z74" s="8">
        <v>0</v>
      </c>
      <c r="AA74" s="41">
        <v>0</v>
      </c>
      <c r="AB74" s="9">
        <v>1100</v>
      </c>
      <c r="AC74" s="11">
        <v>0</v>
      </c>
      <c r="AD74" s="11">
        <v>0</v>
      </c>
      <c r="AE74" s="8">
        <v>0</v>
      </c>
      <c r="AF74" s="8">
        <v>1</v>
      </c>
      <c r="AG74" s="41">
        <v>0</v>
      </c>
      <c r="AH74" s="11">
        <v>10</v>
      </c>
      <c r="AI74" s="11">
        <v>0</v>
      </c>
      <c r="AJ74" s="8">
        <v>0</v>
      </c>
      <c r="AK74" s="8">
        <v>1</v>
      </c>
      <c r="AL74" s="41">
        <v>0</v>
      </c>
      <c r="AM74" s="9">
        <v>10</v>
      </c>
      <c r="AN74" s="11"/>
      <c r="AO74" s="8"/>
      <c r="AP74" s="8"/>
      <c r="AQ74" s="8"/>
      <c r="AR74" s="8"/>
      <c r="AS74" s="11">
        <v>1</v>
      </c>
      <c r="AT74" s="8">
        <v>0</v>
      </c>
      <c r="AU74" s="8">
        <v>0</v>
      </c>
      <c r="AV74" s="8">
        <v>0</v>
      </c>
      <c r="AW74" s="41">
        <v>0</v>
      </c>
      <c r="AX74" s="11">
        <v>1</v>
      </c>
      <c r="AY74" s="11">
        <v>0</v>
      </c>
      <c r="AZ74" s="8">
        <v>0</v>
      </c>
      <c r="BA74" s="8">
        <v>0</v>
      </c>
      <c r="BB74" s="41">
        <v>0</v>
      </c>
      <c r="BC74" s="9">
        <v>0</v>
      </c>
      <c r="BD74" s="11">
        <v>0</v>
      </c>
      <c r="BE74" s="8">
        <v>0</v>
      </c>
      <c r="BF74" s="8">
        <v>0</v>
      </c>
      <c r="BG74" s="8">
        <v>0</v>
      </c>
      <c r="BH74" s="8">
        <v>1</v>
      </c>
      <c r="BI74" s="11">
        <v>1</v>
      </c>
      <c r="BJ74" s="8">
        <v>0</v>
      </c>
      <c r="BK74" s="41">
        <v>0</v>
      </c>
      <c r="BL74" s="11">
        <v>0</v>
      </c>
      <c r="BM74" s="8">
        <v>0</v>
      </c>
      <c r="BN74" s="41">
        <v>0</v>
      </c>
      <c r="BO74" s="11"/>
      <c r="BP74" s="213">
        <v>140</v>
      </c>
      <c r="BQ74" s="8">
        <v>2</v>
      </c>
      <c r="BR74" s="11">
        <v>0</v>
      </c>
      <c r="BS74" s="8">
        <v>0</v>
      </c>
      <c r="BT74" s="8">
        <v>0</v>
      </c>
      <c r="BU74" s="41">
        <v>0</v>
      </c>
      <c r="BV74" s="11">
        <v>0</v>
      </c>
      <c r="BW74" s="208">
        <v>67.98</v>
      </c>
      <c r="BX74" s="54"/>
      <c r="BY74" s="54"/>
      <c r="BZ74" s="10"/>
      <c r="CA74" s="208"/>
      <c r="CB74" s="54"/>
      <c r="CC74" s="54"/>
      <c r="CD74" s="54"/>
      <c r="CE74" s="208">
        <v>68.349999999999994</v>
      </c>
      <c r="CF74" s="54"/>
      <c r="CG74" s="54"/>
      <c r="CH74" s="10"/>
      <c r="CI74" s="208"/>
      <c r="CJ74" s="54"/>
      <c r="CK74" s="54"/>
      <c r="CL74" s="208"/>
      <c r="CM74" s="54"/>
      <c r="CN74" s="54"/>
      <c r="CO74" s="54"/>
      <c r="CP74" s="10"/>
      <c r="CQ74" s="208"/>
      <c r="CR74" s="10"/>
      <c r="CS74" s="3"/>
      <c r="CT74" s="3"/>
    </row>
    <row r="75" spans="1:98">
      <c r="A75" s="42" t="s">
        <v>320</v>
      </c>
      <c r="B75" s="173" t="s">
        <v>302</v>
      </c>
      <c r="C75" s="12"/>
      <c r="D75" s="14" t="s">
        <v>333</v>
      </c>
      <c r="E75" s="12" t="s">
        <v>23</v>
      </c>
      <c r="F75" s="12">
        <v>9</v>
      </c>
      <c r="G75" s="14">
        <v>0</v>
      </c>
      <c r="H75" s="163">
        <v>0</v>
      </c>
      <c r="I75" s="163">
        <v>1</v>
      </c>
      <c r="J75" s="12">
        <v>1</v>
      </c>
      <c r="K75" s="14">
        <v>301</v>
      </c>
      <c r="L75" s="26">
        <v>1691</v>
      </c>
      <c r="M75" s="14">
        <v>796</v>
      </c>
      <c r="N75" s="163">
        <v>1149</v>
      </c>
      <c r="O75" s="14">
        <v>0</v>
      </c>
      <c r="P75" s="26">
        <v>3021</v>
      </c>
      <c r="Q75" s="214">
        <v>3560</v>
      </c>
      <c r="R75" s="108">
        <v>1.3160813308687616</v>
      </c>
      <c r="S75" s="14">
        <v>1</v>
      </c>
      <c r="T75" s="163">
        <v>1</v>
      </c>
      <c r="U75" s="163">
        <v>1</v>
      </c>
      <c r="V75" s="26">
        <v>0</v>
      </c>
      <c r="W75" s="14">
        <v>1110</v>
      </c>
      <c r="X75" s="14">
        <v>0</v>
      </c>
      <c r="Y75" s="163">
        <v>1</v>
      </c>
      <c r="Z75" s="163">
        <v>0</v>
      </c>
      <c r="AA75" s="26">
        <v>0</v>
      </c>
      <c r="AB75" s="12">
        <v>100</v>
      </c>
      <c r="AC75" s="14">
        <v>1</v>
      </c>
      <c r="AD75" s="14">
        <v>1</v>
      </c>
      <c r="AE75" s="163">
        <v>0</v>
      </c>
      <c r="AF75" s="163">
        <v>0</v>
      </c>
      <c r="AG75" s="26">
        <v>0</v>
      </c>
      <c r="AH75" s="14">
        <v>1000</v>
      </c>
      <c r="AI75" s="14">
        <v>1</v>
      </c>
      <c r="AJ75" s="163">
        <v>0</v>
      </c>
      <c r="AK75" s="163">
        <v>0</v>
      </c>
      <c r="AL75" s="26">
        <v>0</v>
      </c>
      <c r="AM75" s="12">
        <v>1000</v>
      </c>
      <c r="AN75" s="14">
        <v>0</v>
      </c>
      <c r="AO75" s="163">
        <v>0</v>
      </c>
      <c r="AP75" s="163">
        <v>0</v>
      </c>
      <c r="AQ75" s="163">
        <v>0</v>
      </c>
      <c r="AS75" s="14">
        <v>1</v>
      </c>
      <c r="AT75" s="163">
        <v>0</v>
      </c>
      <c r="AU75" s="163">
        <v>0</v>
      </c>
      <c r="AV75" s="163">
        <v>0</v>
      </c>
      <c r="AW75" s="26">
        <v>0</v>
      </c>
      <c r="AX75" s="14">
        <v>1</v>
      </c>
      <c r="AY75" s="14">
        <v>0</v>
      </c>
      <c r="AZ75" s="163">
        <v>0</v>
      </c>
      <c r="BA75" s="163">
        <v>0</v>
      </c>
      <c r="BB75" s="26">
        <v>0</v>
      </c>
      <c r="BC75" s="12">
        <v>0</v>
      </c>
      <c r="BD75" s="14">
        <v>1</v>
      </c>
      <c r="BE75" s="163">
        <v>0</v>
      </c>
      <c r="BF75" s="163">
        <v>1</v>
      </c>
      <c r="BG75" s="163">
        <v>0</v>
      </c>
      <c r="BH75" s="163">
        <v>0</v>
      </c>
      <c r="BI75" s="14">
        <v>1</v>
      </c>
      <c r="BJ75" s="163">
        <v>0</v>
      </c>
      <c r="BK75" s="26">
        <v>1</v>
      </c>
      <c r="BL75" s="14">
        <v>0</v>
      </c>
      <c r="BM75" s="163">
        <v>0</v>
      </c>
      <c r="BN75" s="26"/>
      <c r="BO75" s="14">
        <v>0</v>
      </c>
      <c r="BP75" s="214">
        <v>140</v>
      </c>
      <c r="BQ75" s="163">
        <v>2</v>
      </c>
      <c r="BR75" s="14">
        <v>0</v>
      </c>
      <c r="BS75" s="163">
        <v>0</v>
      </c>
      <c r="BT75" s="163">
        <v>0</v>
      </c>
      <c r="BU75" s="26">
        <v>0</v>
      </c>
      <c r="BV75" s="14">
        <v>0</v>
      </c>
      <c r="BW75" s="209"/>
      <c r="BX75" s="3"/>
      <c r="BY75" s="3"/>
      <c r="BZ75" s="40"/>
      <c r="CA75" s="209"/>
      <c r="CB75" s="3"/>
      <c r="CC75" s="3"/>
      <c r="CD75" s="3"/>
      <c r="CE75" s="209"/>
      <c r="CF75" s="3"/>
      <c r="CG75" s="3"/>
      <c r="CH75" s="40"/>
      <c r="CI75" s="209"/>
      <c r="CJ75" s="3"/>
      <c r="CK75" s="3"/>
      <c r="CL75" s="209">
        <v>83.086864492027928</v>
      </c>
      <c r="CM75" s="3"/>
      <c r="CN75" s="3"/>
      <c r="CO75" s="3"/>
      <c r="CP75" s="40"/>
      <c r="CQ75" s="209">
        <v>83.091833052221091</v>
      </c>
      <c r="CR75" s="40"/>
      <c r="CS75" s="3"/>
      <c r="CT75" s="3"/>
    </row>
    <row r="76" spans="1:98">
      <c r="A76" s="42" t="s">
        <v>320</v>
      </c>
      <c r="B76" s="173" t="s">
        <v>302</v>
      </c>
      <c r="C76" s="12"/>
      <c r="D76" s="14" t="s">
        <v>132</v>
      </c>
      <c r="E76" s="12"/>
      <c r="F76" s="12">
        <v>3</v>
      </c>
      <c r="G76" s="14">
        <v>0</v>
      </c>
      <c r="H76" s="163">
        <v>0</v>
      </c>
      <c r="I76" s="163">
        <v>1</v>
      </c>
      <c r="J76" s="12">
        <v>1</v>
      </c>
      <c r="K76" s="14">
        <v>418</v>
      </c>
      <c r="L76" s="26">
        <v>647</v>
      </c>
      <c r="M76" s="14">
        <v>0</v>
      </c>
      <c r="N76" s="163">
        <v>0</v>
      </c>
      <c r="O76" s="14">
        <v>0</v>
      </c>
      <c r="P76" s="26">
        <v>699</v>
      </c>
      <c r="Q76" s="12">
        <v>1181</v>
      </c>
      <c r="R76" s="209">
        <v>1.4652605459057071</v>
      </c>
      <c r="S76" s="14">
        <v>1</v>
      </c>
      <c r="T76" s="163">
        <v>0</v>
      </c>
      <c r="U76" s="163">
        <v>1</v>
      </c>
      <c r="V76" s="26">
        <v>0</v>
      </c>
      <c r="W76" s="14">
        <v>1010</v>
      </c>
      <c r="X76" s="14">
        <v>1</v>
      </c>
      <c r="Y76" s="163">
        <v>0</v>
      </c>
      <c r="Z76" s="163">
        <v>0</v>
      </c>
      <c r="AA76" s="26">
        <v>0</v>
      </c>
      <c r="AB76" s="12">
        <v>1000</v>
      </c>
      <c r="AC76" s="14">
        <v>0</v>
      </c>
      <c r="AD76" s="14">
        <v>0</v>
      </c>
      <c r="AE76" s="163">
        <v>0</v>
      </c>
      <c r="AF76" s="163">
        <v>0</v>
      </c>
      <c r="AG76" s="26">
        <v>0</v>
      </c>
      <c r="AH76" s="14">
        <v>0</v>
      </c>
      <c r="AI76" s="14">
        <v>0</v>
      </c>
      <c r="AJ76" s="163">
        <v>0</v>
      </c>
      <c r="AK76" s="163">
        <v>1</v>
      </c>
      <c r="AL76" s="26">
        <v>0</v>
      </c>
      <c r="AM76" s="12">
        <v>10</v>
      </c>
      <c r="AN76" s="14">
        <v>0</v>
      </c>
      <c r="AO76" s="163">
        <v>0</v>
      </c>
      <c r="AP76" s="163">
        <v>0</v>
      </c>
      <c r="AQ76" s="163">
        <v>0</v>
      </c>
      <c r="AR76" s="163">
        <v>0</v>
      </c>
      <c r="AS76" s="14">
        <v>1</v>
      </c>
      <c r="AT76" s="163">
        <v>0</v>
      </c>
      <c r="AU76" s="163">
        <v>0</v>
      </c>
      <c r="AV76" s="163">
        <v>0</v>
      </c>
      <c r="AW76" s="26">
        <v>0</v>
      </c>
      <c r="AX76" s="14">
        <v>1</v>
      </c>
      <c r="AY76" s="14">
        <v>0</v>
      </c>
      <c r="AZ76" s="163">
        <v>0</v>
      </c>
      <c r="BA76" s="163">
        <v>0</v>
      </c>
      <c r="BB76" s="26">
        <v>0</v>
      </c>
      <c r="BC76" s="12">
        <v>0</v>
      </c>
      <c r="BD76" s="14">
        <v>1</v>
      </c>
      <c r="BE76" s="163">
        <v>1</v>
      </c>
      <c r="BF76" s="163">
        <v>0</v>
      </c>
      <c r="BG76" s="163">
        <v>0</v>
      </c>
      <c r="BH76" s="163">
        <v>0</v>
      </c>
      <c r="BI76" s="14">
        <v>1</v>
      </c>
      <c r="BJ76" s="163">
        <v>0</v>
      </c>
      <c r="BK76" s="26">
        <v>0</v>
      </c>
      <c r="BL76" s="14">
        <v>0</v>
      </c>
      <c r="BM76" s="163">
        <v>0</v>
      </c>
      <c r="BN76" s="26">
        <v>0</v>
      </c>
      <c r="BO76" s="14">
        <v>0</v>
      </c>
      <c r="BP76" s="12">
        <v>110</v>
      </c>
      <c r="BQ76" s="163">
        <v>2</v>
      </c>
      <c r="BR76" s="14">
        <v>1</v>
      </c>
      <c r="BS76" s="163">
        <v>0</v>
      </c>
      <c r="BT76" s="163">
        <v>0</v>
      </c>
      <c r="BU76" s="26">
        <v>0</v>
      </c>
      <c r="BV76" s="14">
        <v>1000</v>
      </c>
      <c r="BW76" s="209"/>
      <c r="BX76" s="3"/>
      <c r="BY76" s="3"/>
      <c r="BZ76" s="40"/>
      <c r="CA76" s="209"/>
      <c r="CB76" s="3"/>
      <c r="CC76" s="3"/>
      <c r="CD76" s="3"/>
      <c r="CE76" s="209"/>
      <c r="CF76" s="3"/>
      <c r="CG76" s="3"/>
      <c r="CH76" s="40"/>
      <c r="CI76" s="209"/>
      <c r="CJ76" s="3"/>
      <c r="CK76" s="3"/>
      <c r="CL76" s="209"/>
      <c r="CM76" s="3"/>
      <c r="CN76" s="3"/>
      <c r="CO76" s="3"/>
      <c r="CP76" s="40"/>
      <c r="CQ76" s="209"/>
      <c r="CR76" s="40"/>
      <c r="CS76" s="3"/>
      <c r="CT76" s="3"/>
    </row>
    <row r="77" spans="1:98">
      <c r="A77" s="42" t="s">
        <v>320</v>
      </c>
      <c r="B77" s="173" t="s">
        <v>302</v>
      </c>
      <c r="C77" s="12"/>
      <c r="D77" s="14" t="s">
        <v>194</v>
      </c>
      <c r="E77" s="12"/>
      <c r="F77" s="12">
        <v>13</v>
      </c>
      <c r="G77" s="14">
        <v>1</v>
      </c>
      <c r="H77" s="163">
        <v>1</v>
      </c>
      <c r="I77" s="163">
        <v>1</v>
      </c>
      <c r="J77" s="12">
        <v>111</v>
      </c>
      <c r="K77" s="14">
        <v>265</v>
      </c>
      <c r="L77" s="26">
        <v>1978</v>
      </c>
      <c r="M77" s="14">
        <v>0</v>
      </c>
      <c r="N77" s="163">
        <v>488</v>
      </c>
      <c r="O77" s="14">
        <v>0</v>
      </c>
      <c r="P77" s="26">
        <v>955</v>
      </c>
      <c r="Q77" s="12">
        <v>4068</v>
      </c>
      <c r="R77" s="209">
        <v>1.8274932614555257</v>
      </c>
      <c r="S77" s="14">
        <v>1</v>
      </c>
      <c r="T77" s="163">
        <v>1</v>
      </c>
      <c r="U77" s="163">
        <v>1</v>
      </c>
      <c r="V77" s="26">
        <v>0</v>
      </c>
      <c r="W77" s="14">
        <v>1110</v>
      </c>
      <c r="X77" s="14">
        <v>1</v>
      </c>
      <c r="Y77" s="163">
        <v>0</v>
      </c>
      <c r="Z77" s="163">
        <v>0</v>
      </c>
      <c r="AA77" s="26">
        <v>0</v>
      </c>
      <c r="AB77" s="12">
        <v>1000</v>
      </c>
      <c r="AC77" s="14">
        <v>1</v>
      </c>
      <c r="AD77" s="14">
        <v>0</v>
      </c>
      <c r="AE77" s="163">
        <v>0</v>
      </c>
      <c r="AF77" s="163">
        <v>1</v>
      </c>
      <c r="AG77" s="26">
        <v>0</v>
      </c>
      <c r="AH77" s="14">
        <v>10</v>
      </c>
      <c r="AI77" s="14">
        <v>0</v>
      </c>
      <c r="AJ77" s="163">
        <v>0</v>
      </c>
      <c r="AK77" s="163">
        <v>1</v>
      </c>
      <c r="AL77" s="26">
        <v>0</v>
      </c>
      <c r="AM77" s="12">
        <v>10</v>
      </c>
      <c r="AN77" s="14">
        <v>0</v>
      </c>
      <c r="AO77" s="163">
        <v>0</v>
      </c>
      <c r="AP77" s="163">
        <v>0</v>
      </c>
      <c r="AQ77" s="163">
        <v>0</v>
      </c>
      <c r="AR77" s="163">
        <v>0</v>
      </c>
      <c r="AS77" s="14">
        <v>1</v>
      </c>
      <c r="AT77" s="163">
        <v>0</v>
      </c>
      <c r="AU77" s="163">
        <v>0</v>
      </c>
      <c r="AV77" s="163">
        <v>1</v>
      </c>
      <c r="AW77" s="26">
        <v>0</v>
      </c>
      <c r="AX77" s="14">
        <v>2</v>
      </c>
      <c r="AY77" s="14">
        <v>0</v>
      </c>
      <c r="AZ77" s="163">
        <v>0</v>
      </c>
      <c r="BA77" s="163">
        <v>0</v>
      </c>
      <c r="BB77" s="26">
        <v>0</v>
      </c>
      <c r="BC77" s="12">
        <v>0</v>
      </c>
      <c r="BD77" s="14">
        <v>1</v>
      </c>
      <c r="BE77" s="163">
        <v>0</v>
      </c>
      <c r="BF77" s="163">
        <v>0</v>
      </c>
      <c r="BG77" s="163">
        <v>0</v>
      </c>
      <c r="BH77" s="163">
        <v>0</v>
      </c>
      <c r="BI77" s="14">
        <v>1</v>
      </c>
      <c r="BJ77" s="163">
        <v>0</v>
      </c>
      <c r="BK77" s="26">
        <v>0</v>
      </c>
      <c r="BL77" s="14">
        <v>0</v>
      </c>
      <c r="BM77" s="163">
        <v>0</v>
      </c>
      <c r="BN77" s="26">
        <v>0</v>
      </c>
      <c r="BO77" s="14">
        <v>0</v>
      </c>
      <c r="BP77" s="12">
        <v>121</v>
      </c>
      <c r="BQ77" s="163">
        <v>2</v>
      </c>
      <c r="BR77" s="14">
        <v>0</v>
      </c>
      <c r="BS77" s="163">
        <v>0</v>
      </c>
      <c r="BT77" s="163">
        <v>0</v>
      </c>
      <c r="BU77" s="26">
        <v>0</v>
      </c>
      <c r="BV77" s="14">
        <v>0</v>
      </c>
      <c r="BW77" s="209"/>
      <c r="BX77" s="3"/>
      <c r="BY77" s="3"/>
      <c r="BZ77" s="40"/>
      <c r="CA77" s="209"/>
      <c r="CB77" s="3"/>
      <c r="CC77" s="3"/>
      <c r="CD77" s="3"/>
      <c r="CE77" s="209"/>
      <c r="CF77" s="3"/>
      <c r="CG77" s="3"/>
      <c r="CH77" s="40"/>
      <c r="CI77" s="209"/>
      <c r="CJ77" s="3"/>
      <c r="CK77" s="3"/>
      <c r="CL77" s="209"/>
      <c r="CM77" s="3"/>
      <c r="CN77" s="3"/>
      <c r="CO77" s="3"/>
      <c r="CP77" s="40"/>
      <c r="CQ77" s="209"/>
      <c r="CR77" s="40"/>
      <c r="CS77" s="3"/>
      <c r="CT77" s="3"/>
    </row>
    <row r="78" spans="1:98">
      <c r="A78" s="42" t="s">
        <v>320</v>
      </c>
      <c r="B78" s="173" t="s">
        <v>302</v>
      </c>
      <c r="C78" s="12"/>
      <c r="D78" s="14" t="s">
        <v>376</v>
      </c>
      <c r="E78" s="12"/>
      <c r="F78" s="12">
        <v>8</v>
      </c>
      <c r="G78" s="14">
        <v>1</v>
      </c>
      <c r="H78" s="163">
        <v>1</v>
      </c>
      <c r="I78" s="163">
        <v>1</v>
      </c>
      <c r="J78" s="12">
        <v>111</v>
      </c>
      <c r="K78" s="14">
        <v>454</v>
      </c>
      <c r="L78" s="26">
        <v>2832</v>
      </c>
      <c r="M78" s="14">
        <v>0</v>
      </c>
      <c r="N78" s="163">
        <v>0</v>
      </c>
      <c r="O78" s="14">
        <v>0</v>
      </c>
      <c r="P78" s="26">
        <v>1182</v>
      </c>
      <c r="Q78" s="12">
        <v>3208</v>
      </c>
      <c r="R78" s="209">
        <v>3.2601626016260163</v>
      </c>
      <c r="S78" s="14">
        <v>1</v>
      </c>
      <c r="T78" s="163">
        <v>0</v>
      </c>
      <c r="U78" s="163">
        <v>1</v>
      </c>
      <c r="V78" s="26">
        <v>0</v>
      </c>
      <c r="W78" s="14">
        <v>1010</v>
      </c>
      <c r="X78" s="14">
        <v>1</v>
      </c>
      <c r="Y78" s="163">
        <v>0</v>
      </c>
      <c r="Z78" s="163">
        <v>0</v>
      </c>
      <c r="AA78" s="26">
        <v>1</v>
      </c>
      <c r="AB78" s="12">
        <v>1001</v>
      </c>
      <c r="AC78" s="14">
        <v>0</v>
      </c>
      <c r="AD78" s="14">
        <v>0</v>
      </c>
      <c r="AE78" s="163">
        <v>0</v>
      </c>
      <c r="AF78" s="163">
        <v>0</v>
      </c>
      <c r="AG78" s="26">
        <v>0</v>
      </c>
      <c r="AH78" s="14">
        <v>0</v>
      </c>
      <c r="AI78" s="14">
        <v>0</v>
      </c>
      <c r="AJ78" s="163">
        <v>0</v>
      </c>
      <c r="AK78" s="163">
        <v>1</v>
      </c>
      <c r="AL78" s="26">
        <v>0</v>
      </c>
      <c r="AM78" s="12">
        <v>10</v>
      </c>
      <c r="AN78" s="14">
        <v>0</v>
      </c>
      <c r="AO78" s="163">
        <v>0</v>
      </c>
      <c r="AP78" s="163">
        <v>0</v>
      </c>
      <c r="AQ78" s="163">
        <v>0</v>
      </c>
      <c r="AR78" s="163">
        <v>0</v>
      </c>
      <c r="AS78" s="14">
        <v>1</v>
      </c>
      <c r="AT78" s="163">
        <v>0</v>
      </c>
      <c r="AU78" s="163">
        <v>0</v>
      </c>
      <c r="AV78" s="163">
        <v>0</v>
      </c>
      <c r="AW78" s="26">
        <v>0</v>
      </c>
      <c r="AX78" s="14">
        <v>1</v>
      </c>
      <c r="AY78" s="14">
        <v>0</v>
      </c>
      <c r="AZ78" s="163">
        <v>0</v>
      </c>
      <c r="BA78" s="163">
        <v>0</v>
      </c>
      <c r="BB78" s="26">
        <v>0</v>
      </c>
      <c r="BC78" s="12">
        <v>0</v>
      </c>
      <c r="BD78" s="14">
        <v>0</v>
      </c>
      <c r="BE78" s="163">
        <v>1</v>
      </c>
      <c r="BF78" s="163">
        <v>0</v>
      </c>
      <c r="BG78" s="163">
        <v>0</v>
      </c>
      <c r="BH78" s="163">
        <v>0</v>
      </c>
      <c r="BI78" s="14">
        <v>1</v>
      </c>
      <c r="BJ78" s="163">
        <v>0</v>
      </c>
      <c r="BK78" s="26">
        <v>0</v>
      </c>
      <c r="BL78" s="14">
        <v>0</v>
      </c>
      <c r="BM78" s="163">
        <v>0</v>
      </c>
      <c r="BN78" s="26">
        <v>0</v>
      </c>
      <c r="BO78" s="14">
        <v>0</v>
      </c>
      <c r="BP78" s="12">
        <v>125</v>
      </c>
      <c r="BQ78" s="163">
        <v>2</v>
      </c>
      <c r="BR78" s="14">
        <v>0</v>
      </c>
      <c r="BS78" s="163">
        <v>0</v>
      </c>
      <c r="BT78" s="163">
        <v>0</v>
      </c>
      <c r="BU78" s="26">
        <v>0</v>
      </c>
      <c r="BV78" s="14">
        <v>0</v>
      </c>
      <c r="BW78" s="209"/>
      <c r="BX78" s="3"/>
      <c r="BY78" s="3"/>
      <c r="BZ78" s="40"/>
      <c r="CA78" s="209"/>
      <c r="CB78" s="3"/>
      <c r="CC78" s="3"/>
      <c r="CD78" s="3"/>
      <c r="CE78" s="209"/>
      <c r="CF78" s="3"/>
      <c r="CG78" s="3"/>
      <c r="CH78" s="40"/>
      <c r="CI78" s="209"/>
      <c r="CJ78" s="3"/>
      <c r="CK78" s="3"/>
      <c r="CL78" s="209"/>
      <c r="CM78" s="3"/>
      <c r="CN78" s="3"/>
      <c r="CO78" s="3"/>
      <c r="CP78" s="40"/>
      <c r="CQ78" s="209"/>
      <c r="CR78" s="40"/>
      <c r="CS78" s="3"/>
      <c r="CT78" s="3"/>
    </row>
    <row r="79" spans="1:98">
      <c r="A79" s="42" t="s">
        <v>320</v>
      </c>
      <c r="B79" s="173" t="s">
        <v>302</v>
      </c>
      <c r="C79" s="12"/>
      <c r="D79" s="14" t="s">
        <v>393</v>
      </c>
      <c r="E79" s="12" t="s">
        <v>1</v>
      </c>
      <c r="F79" s="12">
        <v>7</v>
      </c>
      <c r="G79" s="14">
        <v>0</v>
      </c>
      <c r="H79" s="163">
        <v>0</v>
      </c>
      <c r="I79" s="163">
        <v>1</v>
      </c>
      <c r="J79" s="12">
        <v>1</v>
      </c>
      <c r="K79" s="14">
        <v>304</v>
      </c>
      <c r="L79" s="26">
        <v>1027</v>
      </c>
      <c r="M79" s="14">
        <v>548</v>
      </c>
      <c r="N79" s="163">
        <v>802</v>
      </c>
      <c r="O79" s="14">
        <v>0</v>
      </c>
      <c r="P79" s="26">
        <v>1119</v>
      </c>
      <c r="Q79" s="12">
        <v>2455</v>
      </c>
      <c r="R79" s="209">
        <v>1</v>
      </c>
      <c r="S79" s="14">
        <v>1</v>
      </c>
      <c r="T79" s="163">
        <v>1</v>
      </c>
      <c r="U79" s="163">
        <v>1</v>
      </c>
      <c r="V79" s="26">
        <v>0</v>
      </c>
      <c r="W79" s="14">
        <v>1110</v>
      </c>
      <c r="X79" s="14">
        <v>1</v>
      </c>
      <c r="Y79" s="163">
        <v>0</v>
      </c>
      <c r="Z79" s="163">
        <v>0</v>
      </c>
      <c r="AA79" s="26">
        <v>0</v>
      </c>
      <c r="AB79" s="12">
        <v>1000</v>
      </c>
      <c r="AC79" s="14">
        <v>0</v>
      </c>
      <c r="AD79" s="14">
        <v>0</v>
      </c>
      <c r="AE79" s="163">
        <v>0</v>
      </c>
      <c r="AF79" s="163">
        <v>1</v>
      </c>
      <c r="AG79" s="26">
        <v>1</v>
      </c>
      <c r="AH79" s="14">
        <v>11</v>
      </c>
      <c r="AI79" s="14">
        <v>0</v>
      </c>
      <c r="AJ79" s="163">
        <v>0</v>
      </c>
      <c r="AK79" s="163">
        <v>1</v>
      </c>
      <c r="AL79" s="26">
        <v>0</v>
      </c>
      <c r="AM79" s="12">
        <v>10</v>
      </c>
      <c r="AN79" s="14">
        <v>0</v>
      </c>
      <c r="AO79" s="163">
        <v>0</v>
      </c>
      <c r="AP79" s="163">
        <v>0</v>
      </c>
      <c r="AQ79" s="163">
        <v>0</v>
      </c>
      <c r="AR79" s="163">
        <v>0</v>
      </c>
      <c r="AS79" s="14">
        <v>1</v>
      </c>
      <c r="AT79" s="163">
        <v>0</v>
      </c>
      <c r="AU79" s="163">
        <v>0</v>
      </c>
      <c r="AV79" s="163">
        <v>0</v>
      </c>
      <c r="AW79" s="26">
        <v>0</v>
      </c>
      <c r="AX79" s="14">
        <v>1</v>
      </c>
      <c r="AY79" s="14">
        <v>0</v>
      </c>
      <c r="AZ79" s="163">
        <v>0</v>
      </c>
      <c r="BA79" s="163">
        <v>1</v>
      </c>
      <c r="BB79" s="26">
        <v>0</v>
      </c>
      <c r="BC79" s="12">
        <v>1</v>
      </c>
      <c r="BD79" s="14">
        <v>0</v>
      </c>
      <c r="BE79" s="163">
        <v>0</v>
      </c>
      <c r="BF79" s="163">
        <v>0</v>
      </c>
      <c r="BG79" s="163">
        <v>1</v>
      </c>
      <c r="BH79" s="163">
        <v>0</v>
      </c>
      <c r="BI79" s="14">
        <v>1</v>
      </c>
      <c r="BJ79" s="163">
        <v>0</v>
      </c>
      <c r="BK79" s="26">
        <v>0</v>
      </c>
      <c r="BL79" s="14">
        <v>0</v>
      </c>
      <c r="BM79" s="163">
        <v>0</v>
      </c>
      <c r="BN79" s="26">
        <v>0</v>
      </c>
      <c r="BO79" s="14">
        <v>0</v>
      </c>
      <c r="BP79" s="12">
        <v>135</v>
      </c>
      <c r="BQ79" s="163">
        <v>2</v>
      </c>
      <c r="BR79" s="14">
        <v>0</v>
      </c>
      <c r="BS79" s="163">
        <v>0</v>
      </c>
      <c r="BT79" s="163">
        <v>0</v>
      </c>
      <c r="BU79" s="26">
        <v>0</v>
      </c>
      <c r="BV79" s="14">
        <v>0</v>
      </c>
      <c r="BW79" s="209"/>
      <c r="BX79" s="3"/>
      <c r="BY79" s="3"/>
      <c r="BZ79" s="40"/>
      <c r="CA79" s="209"/>
      <c r="CB79" s="3"/>
      <c r="CC79" s="3"/>
      <c r="CD79" s="3"/>
      <c r="CE79" s="209"/>
      <c r="CF79" s="3"/>
      <c r="CG79" s="3"/>
      <c r="CH79" s="40"/>
      <c r="CI79" s="209"/>
      <c r="CJ79" s="3"/>
      <c r="CK79" s="3"/>
      <c r="CL79" s="209"/>
      <c r="CM79" s="3"/>
      <c r="CN79" s="3"/>
      <c r="CO79" s="3"/>
      <c r="CP79" s="40"/>
      <c r="CQ79" s="209"/>
      <c r="CR79" s="40"/>
      <c r="CS79" s="3"/>
      <c r="CT79" s="3"/>
    </row>
    <row r="80" spans="1:98">
      <c r="A80" s="42" t="s">
        <v>320</v>
      </c>
      <c r="B80" s="173" t="s">
        <v>302</v>
      </c>
      <c r="C80" s="12"/>
      <c r="D80" s="14" t="s">
        <v>393</v>
      </c>
      <c r="E80" s="12" t="s">
        <v>0</v>
      </c>
      <c r="F80" s="12">
        <v>12</v>
      </c>
      <c r="G80" s="14">
        <v>0</v>
      </c>
      <c r="H80" s="163">
        <v>0</v>
      </c>
      <c r="I80" s="163">
        <v>1</v>
      </c>
      <c r="J80" s="12">
        <v>1</v>
      </c>
      <c r="K80" s="14">
        <v>552</v>
      </c>
      <c r="L80" s="26">
        <v>2796</v>
      </c>
      <c r="M80" s="14">
        <v>135</v>
      </c>
      <c r="N80" s="163">
        <v>517</v>
      </c>
      <c r="O80" s="14">
        <v>326</v>
      </c>
      <c r="P80" s="26">
        <v>1275</v>
      </c>
      <c r="Q80" s="12">
        <v>3288</v>
      </c>
      <c r="R80" s="209">
        <v>2.046048537647791</v>
      </c>
      <c r="S80" s="14">
        <v>1</v>
      </c>
      <c r="T80" s="163">
        <v>1</v>
      </c>
      <c r="U80" s="163">
        <v>1</v>
      </c>
      <c r="V80" s="26">
        <v>0</v>
      </c>
      <c r="W80" s="14">
        <v>1110</v>
      </c>
      <c r="X80" s="14">
        <v>1</v>
      </c>
      <c r="Y80" s="163">
        <v>0</v>
      </c>
      <c r="Z80" s="163">
        <v>0</v>
      </c>
      <c r="AA80" s="26">
        <v>1</v>
      </c>
      <c r="AB80" s="12">
        <v>1001</v>
      </c>
      <c r="AC80" s="14">
        <v>0</v>
      </c>
      <c r="AD80" s="14">
        <v>0</v>
      </c>
      <c r="AE80" s="163">
        <v>1</v>
      </c>
      <c r="AF80" s="163">
        <v>1</v>
      </c>
      <c r="AG80" s="26">
        <v>0</v>
      </c>
      <c r="AH80" s="14">
        <v>110</v>
      </c>
      <c r="AI80" s="14">
        <v>0</v>
      </c>
      <c r="AJ80" s="163">
        <v>0</v>
      </c>
      <c r="AK80" s="163">
        <v>1</v>
      </c>
      <c r="AL80" s="26">
        <v>0</v>
      </c>
      <c r="AM80" s="12">
        <v>10</v>
      </c>
      <c r="AN80" s="14">
        <v>0</v>
      </c>
      <c r="AO80" s="163">
        <v>0</v>
      </c>
      <c r="AP80" s="163">
        <v>0</v>
      </c>
      <c r="AQ80" s="163">
        <v>0</v>
      </c>
      <c r="AR80" s="163">
        <v>0</v>
      </c>
      <c r="AS80" s="14">
        <v>1</v>
      </c>
      <c r="AT80" s="163">
        <v>0</v>
      </c>
      <c r="AU80" s="163">
        <v>0</v>
      </c>
      <c r="AV80" s="163">
        <v>0</v>
      </c>
      <c r="AW80" s="26">
        <v>0</v>
      </c>
      <c r="AX80" s="14">
        <v>1</v>
      </c>
      <c r="AY80" s="14">
        <v>0</v>
      </c>
      <c r="AZ80" s="163">
        <v>0</v>
      </c>
      <c r="BA80" s="163">
        <v>1</v>
      </c>
      <c r="BB80" s="26">
        <v>0</v>
      </c>
      <c r="BC80" s="12">
        <v>1</v>
      </c>
      <c r="BD80" s="14">
        <v>0</v>
      </c>
      <c r="BE80" s="163">
        <v>1</v>
      </c>
      <c r="BF80" s="163">
        <v>0</v>
      </c>
      <c r="BG80" s="163">
        <v>0</v>
      </c>
      <c r="BH80" s="163">
        <v>0</v>
      </c>
      <c r="BI80" s="14">
        <v>1</v>
      </c>
      <c r="BJ80" s="163">
        <v>1</v>
      </c>
      <c r="BK80" s="26">
        <v>0</v>
      </c>
      <c r="BL80" s="14">
        <v>0</v>
      </c>
      <c r="BM80" s="163">
        <v>0</v>
      </c>
      <c r="BN80" s="26">
        <v>0</v>
      </c>
      <c r="BO80" s="14">
        <v>0</v>
      </c>
      <c r="BP80" s="12">
        <v>135</v>
      </c>
      <c r="BQ80" s="163">
        <v>2</v>
      </c>
      <c r="BR80" s="14">
        <v>0</v>
      </c>
      <c r="BS80" s="163">
        <v>0</v>
      </c>
      <c r="BT80" s="163">
        <v>0</v>
      </c>
      <c r="BU80" s="26">
        <v>0</v>
      </c>
      <c r="BV80" s="14">
        <v>0</v>
      </c>
      <c r="BW80" s="209"/>
      <c r="BX80" s="3"/>
      <c r="BY80" s="3"/>
      <c r="BZ80" s="40"/>
      <c r="CA80" s="209"/>
      <c r="CB80" s="3"/>
      <c r="CC80" s="3"/>
      <c r="CD80" s="3"/>
      <c r="CE80" s="209"/>
      <c r="CF80" s="3"/>
      <c r="CG80" s="3"/>
      <c r="CH80" s="40"/>
      <c r="CI80" s="209"/>
      <c r="CJ80" s="3"/>
      <c r="CK80" s="3"/>
      <c r="CL80" s="209"/>
      <c r="CM80" s="3"/>
      <c r="CN80" s="3"/>
      <c r="CO80" s="3"/>
      <c r="CP80" s="40"/>
      <c r="CQ80" s="209"/>
      <c r="CR80" s="40"/>
      <c r="CS80" s="3"/>
      <c r="CT80" s="3"/>
    </row>
    <row r="81" spans="1:98">
      <c r="A81" s="42" t="s">
        <v>320</v>
      </c>
      <c r="B81" s="173" t="s">
        <v>302</v>
      </c>
      <c r="C81" s="12"/>
      <c r="D81" s="14" t="s">
        <v>167</v>
      </c>
      <c r="E81" s="12"/>
      <c r="F81" s="12">
        <v>8</v>
      </c>
      <c r="G81" s="14">
        <v>0</v>
      </c>
      <c r="H81" s="163">
        <v>0</v>
      </c>
      <c r="I81" s="163">
        <v>1</v>
      </c>
      <c r="J81" s="12">
        <v>1</v>
      </c>
      <c r="K81" s="14">
        <v>236</v>
      </c>
      <c r="L81" s="26">
        <v>2293</v>
      </c>
      <c r="M81" s="14">
        <v>0</v>
      </c>
      <c r="N81" s="163">
        <v>923</v>
      </c>
      <c r="O81" s="14">
        <v>716</v>
      </c>
      <c r="P81" s="26">
        <v>1250</v>
      </c>
      <c r="Q81" s="12">
        <v>2293</v>
      </c>
      <c r="R81" s="209">
        <v>1.1295566502463055</v>
      </c>
      <c r="S81" s="14">
        <v>1</v>
      </c>
      <c r="T81" s="163">
        <v>1</v>
      </c>
      <c r="U81" s="163">
        <v>1</v>
      </c>
      <c r="V81" s="26">
        <v>0</v>
      </c>
      <c r="W81" s="14">
        <v>1110</v>
      </c>
      <c r="X81" s="14">
        <v>1</v>
      </c>
      <c r="Y81" s="163">
        <v>0</v>
      </c>
      <c r="Z81" s="163">
        <v>0</v>
      </c>
      <c r="AA81" s="26">
        <v>1</v>
      </c>
      <c r="AB81" s="12">
        <v>1001</v>
      </c>
      <c r="AC81" s="14">
        <v>0</v>
      </c>
      <c r="AD81" s="14">
        <v>0</v>
      </c>
      <c r="AE81" s="163">
        <v>1</v>
      </c>
      <c r="AF81" s="163">
        <v>0</v>
      </c>
      <c r="AG81" s="26">
        <v>0</v>
      </c>
      <c r="AH81" s="14">
        <v>100</v>
      </c>
      <c r="AI81" s="14">
        <v>0</v>
      </c>
      <c r="AJ81" s="163">
        <v>0</v>
      </c>
      <c r="AK81" s="163">
        <v>1</v>
      </c>
      <c r="AL81" s="26">
        <v>0</v>
      </c>
      <c r="AM81" s="12">
        <v>10</v>
      </c>
      <c r="AN81" s="14">
        <v>0</v>
      </c>
      <c r="AO81" s="163">
        <v>0</v>
      </c>
      <c r="AP81" s="163">
        <v>0</v>
      </c>
      <c r="AQ81" s="163">
        <v>0</v>
      </c>
      <c r="AR81" s="163">
        <v>0</v>
      </c>
      <c r="AS81" s="14">
        <v>0</v>
      </c>
      <c r="AT81" s="163">
        <v>1</v>
      </c>
      <c r="AU81" s="163">
        <v>0</v>
      </c>
      <c r="AV81" s="163">
        <v>1</v>
      </c>
      <c r="AW81" s="26">
        <v>0</v>
      </c>
      <c r="AX81" s="14">
        <v>2</v>
      </c>
      <c r="AY81" s="14">
        <v>0</v>
      </c>
      <c r="AZ81" s="163">
        <v>0</v>
      </c>
      <c r="BA81" s="163">
        <v>0</v>
      </c>
      <c r="BB81" s="26">
        <v>1</v>
      </c>
      <c r="BC81" s="12">
        <v>1</v>
      </c>
      <c r="BD81" s="14">
        <v>0</v>
      </c>
      <c r="BE81" s="163">
        <v>1</v>
      </c>
      <c r="BF81" s="163">
        <v>0</v>
      </c>
      <c r="BG81" s="163">
        <v>0</v>
      </c>
      <c r="BH81" s="163">
        <v>0</v>
      </c>
      <c r="BI81" s="14">
        <v>1</v>
      </c>
      <c r="BJ81" s="163">
        <v>1</v>
      </c>
      <c r="BK81" s="26">
        <v>0</v>
      </c>
      <c r="BL81" s="14">
        <v>0</v>
      </c>
      <c r="BM81" s="163">
        <v>0</v>
      </c>
      <c r="BN81" s="26">
        <v>0</v>
      </c>
      <c r="BO81" s="14">
        <v>0</v>
      </c>
      <c r="BP81" s="12">
        <v>142</v>
      </c>
      <c r="BQ81" s="163">
        <v>2</v>
      </c>
      <c r="BR81" s="14">
        <v>0</v>
      </c>
      <c r="BS81" s="163">
        <v>0</v>
      </c>
      <c r="BT81" s="163">
        <v>0</v>
      </c>
      <c r="BU81" s="26">
        <v>0</v>
      </c>
      <c r="BV81" s="14">
        <v>0</v>
      </c>
      <c r="BW81" s="209"/>
      <c r="BX81" s="3"/>
      <c r="BY81" s="3"/>
      <c r="BZ81" s="40"/>
      <c r="CA81" s="209"/>
      <c r="CB81" s="3"/>
      <c r="CC81" s="3"/>
      <c r="CD81" s="3"/>
      <c r="CE81" s="209"/>
      <c r="CF81" s="3"/>
      <c r="CG81" s="3"/>
      <c r="CH81" s="40"/>
      <c r="CI81" s="209"/>
      <c r="CJ81" s="3"/>
      <c r="CK81" s="3"/>
      <c r="CL81" s="209"/>
      <c r="CM81" s="3"/>
      <c r="CN81" s="3"/>
      <c r="CO81" s="3"/>
      <c r="CP81" s="40"/>
      <c r="CQ81" s="209"/>
      <c r="CR81" s="40"/>
      <c r="CS81" s="3"/>
      <c r="CT81" s="3"/>
    </row>
    <row r="82" spans="1:98">
      <c r="A82" s="42" t="s">
        <v>320</v>
      </c>
      <c r="B82" s="173" t="s">
        <v>302</v>
      </c>
      <c r="C82" s="12"/>
      <c r="D82" s="14" t="s">
        <v>388</v>
      </c>
      <c r="E82" s="12"/>
      <c r="F82" s="12">
        <v>11</v>
      </c>
      <c r="G82" s="14">
        <v>1</v>
      </c>
      <c r="H82" s="163">
        <v>0</v>
      </c>
      <c r="I82" s="163">
        <v>1</v>
      </c>
      <c r="J82" s="12">
        <v>101</v>
      </c>
      <c r="K82" s="14">
        <v>144</v>
      </c>
      <c r="L82" s="26">
        <v>1174</v>
      </c>
      <c r="M82" s="14">
        <v>424</v>
      </c>
      <c r="N82" s="163">
        <v>1160</v>
      </c>
      <c r="O82" s="14">
        <v>0</v>
      </c>
      <c r="P82" s="26">
        <v>0</v>
      </c>
      <c r="Q82" s="12">
        <v>2695</v>
      </c>
      <c r="R82" s="209">
        <v>1.9671532846715329</v>
      </c>
      <c r="S82" s="14">
        <v>1</v>
      </c>
      <c r="T82" s="163">
        <v>1</v>
      </c>
      <c r="U82" s="163">
        <v>0</v>
      </c>
      <c r="V82" s="26">
        <v>0</v>
      </c>
      <c r="W82" s="14">
        <v>1100</v>
      </c>
      <c r="X82" s="14">
        <v>1</v>
      </c>
      <c r="Y82" s="163">
        <v>0</v>
      </c>
      <c r="Z82" s="163">
        <v>0</v>
      </c>
      <c r="AA82" s="26">
        <v>0</v>
      </c>
      <c r="AB82" s="12">
        <v>1000</v>
      </c>
      <c r="AC82" s="14">
        <v>1</v>
      </c>
      <c r="AD82" s="14">
        <v>0</v>
      </c>
      <c r="AE82" s="163">
        <v>1</v>
      </c>
      <c r="AF82" s="163">
        <v>1</v>
      </c>
      <c r="AG82" s="26">
        <v>0</v>
      </c>
      <c r="AH82" s="14">
        <v>110</v>
      </c>
      <c r="AI82" s="14">
        <v>0</v>
      </c>
      <c r="AJ82" s="163">
        <v>0</v>
      </c>
      <c r="AK82" s="163">
        <v>0</v>
      </c>
      <c r="AL82" s="26">
        <v>0</v>
      </c>
      <c r="AM82" s="12">
        <v>0</v>
      </c>
      <c r="AN82" s="14">
        <v>0</v>
      </c>
      <c r="AO82" s="163">
        <v>0</v>
      </c>
      <c r="AP82" s="163">
        <v>0</v>
      </c>
      <c r="AQ82" s="163">
        <v>0</v>
      </c>
      <c r="AR82" s="163">
        <v>0</v>
      </c>
      <c r="AS82" s="14">
        <v>0</v>
      </c>
      <c r="AT82" s="163">
        <v>0</v>
      </c>
      <c r="AU82" s="163">
        <v>0</v>
      </c>
      <c r="AV82" s="163">
        <v>1</v>
      </c>
      <c r="AW82" s="26">
        <v>0</v>
      </c>
      <c r="AX82" s="14">
        <v>1</v>
      </c>
      <c r="AY82" s="14">
        <v>0</v>
      </c>
      <c r="AZ82" s="163">
        <v>0</v>
      </c>
      <c r="BA82" s="163">
        <v>1</v>
      </c>
      <c r="BB82" s="26">
        <v>0</v>
      </c>
      <c r="BC82" s="12">
        <v>1</v>
      </c>
      <c r="BD82" s="14">
        <v>0</v>
      </c>
      <c r="BE82" s="163">
        <v>0</v>
      </c>
      <c r="BF82" s="163">
        <v>0</v>
      </c>
      <c r="BG82" s="163">
        <v>0</v>
      </c>
      <c r="BH82" s="163">
        <v>0</v>
      </c>
      <c r="BI82" s="14">
        <v>1</v>
      </c>
      <c r="BJ82" s="163">
        <v>1</v>
      </c>
      <c r="BK82" s="26">
        <v>0</v>
      </c>
      <c r="BL82" s="14">
        <v>0</v>
      </c>
      <c r="BM82" s="163">
        <v>0</v>
      </c>
      <c r="BN82" s="26">
        <v>0</v>
      </c>
      <c r="BO82" s="14">
        <v>0</v>
      </c>
      <c r="BP82" s="12">
        <v>149</v>
      </c>
      <c r="BQ82" s="163">
        <v>2</v>
      </c>
      <c r="BR82" s="14">
        <v>0</v>
      </c>
      <c r="BS82" s="163">
        <v>0</v>
      </c>
      <c r="BT82" s="163">
        <v>0</v>
      </c>
      <c r="BU82" s="26">
        <v>0</v>
      </c>
      <c r="BV82" s="14">
        <v>0</v>
      </c>
      <c r="BW82" s="209">
        <v>54.12</v>
      </c>
      <c r="BX82" s="3">
        <v>54.2</v>
      </c>
      <c r="BY82" s="3"/>
      <c r="BZ82" s="40"/>
      <c r="CA82" s="209">
        <v>66.38</v>
      </c>
      <c r="CB82" s="3">
        <v>64.599999999999994</v>
      </c>
      <c r="CC82" s="3"/>
      <c r="CD82" s="3"/>
      <c r="CE82" s="209">
        <v>55.63</v>
      </c>
      <c r="CF82" s="3"/>
      <c r="CG82" s="3"/>
      <c r="CH82" s="40"/>
      <c r="CI82" s="209"/>
      <c r="CJ82" s="3"/>
      <c r="CK82" s="3"/>
      <c r="CL82" s="209">
        <v>72.360633471612829</v>
      </c>
      <c r="CM82" s="3"/>
      <c r="CN82" s="3"/>
      <c r="CO82" s="3"/>
      <c r="CP82" s="40"/>
      <c r="CQ82" s="209">
        <v>82.173664398148205</v>
      </c>
      <c r="CR82" s="40"/>
      <c r="CS82" s="3"/>
      <c r="CT82" s="3"/>
    </row>
    <row r="83" spans="1:98">
      <c r="A83" s="42" t="s">
        <v>320</v>
      </c>
      <c r="B83" s="173" t="s">
        <v>302</v>
      </c>
      <c r="C83" s="12"/>
      <c r="D83" s="14" t="s">
        <v>199</v>
      </c>
      <c r="E83" s="12"/>
      <c r="F83" s="12">
        <v>11</v>
      </c>
      <c r="G83" s="14">
        <v>0</v>
      </c>
      <c r="H83" s="163">
        <v>0</v>
      </c>
      <c r="I83" s="163">
        <v>1</v>
      </c>
      <c r="J83" s="12">
        <v>1</v>
      </c>
      <c r="K83" s="14">
        <v>664</v>
      </c>
      <c r="L83" s="26">
        <v>3180</v>
      </c>
      <c r="M83" s="14">
        <v>423</v>
      </c>
      <c r="N83" s="163">
        <v>692</v>
      </c>
      <c r="O83" s="14">
        <v>539</v>
      </c>
      <c r="P83" s="26">
        <v>767</v>
      </c>
      <c r="Q83" s="12">
        <v>3592</v>
      </c>
      <c r="R83" s="209">
        <v>1.2381937263012754</v>
      </c>
      <c r="S83" s="14">
        <v>1</v>
      </c>
      <c r="T83" s="163">
        <v>1</v>
      </c>
      <c r="U83" s="163">
        <v>1</v>
      </c>
      <c r="V83" s="26">
        <v>0</v>
      </c>
      <c r="W83" s="14">
        <v>1110</v>
      </c>
      <c r="X83" s="14">
        <v>1</v>
      </c>
      <c r="Y83" s="163">
        <v>0</v>
      </c>
      <c r="Z83" s="163">
        <v>0</v>
      </c>
      <c r="AA83" s="26">
        <v>1</v>
      </c>
      <c r="AB83" s="12">
        <v>1001</v>
      </c>
      <c r="AC83" s="14">
        <v>1</v>
      </c>
      <c r="AD83" s="14">
        <v>0</v>
      </c>
      <c r="AE83" s="163">
        <v>1</v>
      </c>
      <c r="AF83" s="163">
        <v>1</v>
      </c>
      <c r="AG83" s="26">
        <v>0</v>
      </c>
      <c r="AH83" s="14">
        <v>110</v>
      </c>
      <c r="AI83" s="14">
        <v>0</v>
      </c>
      <c r="AJ83" s="163">
        <v>0</v>
      </c>
      <c r="AK83" s="163">
        <v>1</v>
      </c>
      <c r="AL83" s="26">
        <v>0</v>
      </c>
      <c r="AM83" s="12">
        <v>10</v>
      </c>
      <c r="AN83" s="14">
        <v>0</v>
      </c>
      <c r="AO83" s="163">
        <v>0</v>
      </c>
      <c r="AP83" s="163">
        <v>0</v>
      </c>
      <c r="AQ83" s="163">
        <v>0</v>
      </c>
      <c r="AR83" s="163">
        <v>0</v>
      </c>
      <c r="AS83" s="14">
        <v>1</v>
      </c>
      <c r="AT83" s="163">
        <v>1</v>
      </c>
      <c r="AU83" s="163">
        <v>0</v>
      </c>
      <c r="AV83" s="163">
        <v>1</v>
      </c>
      <c r="AW83" s="26">
        <v>0</v>
      </c>
      <c r="AX83" s="14">
        <v>3</v>
      </c>
      <c r="AY83" s="14">
        <v>0</v>
      </c>
      <c r="AZ83" s="163">
        <v>0</v>
      </c>
      <c r="BA83" s="163">
        <v>1</v>
      </c>
      <c r="BB83" s="26">
        <v>0</v>
      </c>
      <c r="BC83" s="12">
        <v>1</v>
      </c>
      <c r="BD83" s="14">
        <v>1</v>
      </c>
      <c r="BE83" s="163">
        <v>1</v>
      </c>
      <c r="BF83" s="163">
        <v>0</v>
      </c>
      <c r="BG83" s="163">
        <v>0</v>
      </c>
      <c r="BH83" s="163">
        <v>0</v>
      </c>
      <c r="BI83" s="14">
        <v>1</v>
      </c>
      <c r="BJ83" s="163">
        <v>0</v>
      </c>
      <c r="BK83" s="26">
        <v>0</v>
      </c>
      <c r="BL83" s="14">
        <v>0</v>
      </c>
      <c r="BM83" s="163">
        <v>0</v>
      </c>
      <c r="BN83" s="26">
        <v>0</v>
      </c>
      <c r="BO83" s="14">
        <v>0</v>
      </c>
      <c r="BP83" s="12">
        <v>153</v>
      </c>
      <c r="BQ83" s="163">
        <v>2</v>
      </c>
      <c r="BR83" s="14">
        <v>0</v>
      </c>
      <c r="BS83" s="163">
        <v>0</v>
      </c>
      <c r="BT83" s="163">
        <v>0</v>
      </c>
      <c r="BU83" s="26">
        <v>0</v>
      </c>
      <c r="BV83" s="14">
        <v>0</v>
      </c>
      <c r="BW83" s="209"/>
      <c r="BX83" s="3"/>
      <c r="BY83" s="3"/>
      <c r="BZ83" s="40"/>
      <c r="CA83" s="209"/>
      <c r="CB83" s="3"/>
      <c r="CC83" s="3"/>
      <c r="CD83" s="3"/>
      <c r="CE83" s="209"/>
      <c r="CF83" s="3"/>
      <c r="CG83" s="3"/>
      <c r="CH83" s="40"/>
      <c r="CI83" s="209"/>
      <c r="CJ83" s="3"/>
      <c r="CK83" s="3"/>
      <c r="CL83" s="209"/>
      <c r="CM83" s="3"/>
      <c r="CN83" s="3"/>
      <c r="CO83" s="3"/>
      <c r="CP83" s="40"/>
      <c r="CQ83" s="209"/>
      <c r="CR83" s="40"/>
      <c r="CS83" s="3"/>
      <c r="CT83" s="3"/>
    </row>
    <row r="84" spans="1:98">
      <c r="A84" s="42" t="s">
        <v>320</v>
      </c>
      <c r="B84" s="173" t="s">
        <v>302</v>
      </c>
      <c r="C84" s="12"/>
      <c r="D84" s="14" t="s">
        <v>389</v>
      </c>
      <c r="E84" s="12" t="s">
        <v>1</v>
      </c>
      <c r="F84" s="12">
        <v>15</v>
      </c>
      <c r="G84" s="14">
        <v>1</v>
      </c>
      <c r="H84" s="163">
        <v>1</v>
      </c>
      <c r="I84" s="163">
        <v>1</v>
      </c>
      <c r="J84" s="12">
        <v>111</v>
      </c>
      <c r="K84" s="14">
        <v>296</v>
      </c>
      <c r="L84" s="26">
        <v>3717</v>
      </c>
      <c r="M84" s="14">
        <v>292</v>
      </c>
      <c r="N84" s="163">
        <v>2033</v>
      </c>
      <c r="O84" s="14">
        <v>0</v>
      </c>
      <c r="P84" s="26">
        <v>724</v>
      </c>
      <c r="Q84" s="12">
        <v>6199</v>
      </c>
      <c r="R84" s="209">
        <v>3.0642609985170539</v>
      </c>
      <c r="S84" s="14">
        <v>1</v>
      </c>
      <c r="T84" s="163">
        <v>1</v>
      </c>
      <c r="U84" s="163">
        <v>1</v>
      </c>
      <c r="V84" s="26">
        <v>0</v>
      </c>
      <c r="W84" s="14">
        <v>1110</v>
      </c>
      <c r="X84" s="14">
        <v>1</v>
      </c>
      <c r="Y84" s="163">
        <v>1</v>
      </c>
      <c r="Z84" s="163">
        <v>0</v>
      </c>
      <c r="AA84" s="26">
        <v>0</v>
      </c>
      <c r="AB84" s="12">
        <v>1100</v>
      </c>
      <c r="AC84" s="14">
        <v>0</v>
      </c>
      <c r="AD84" s="14">
        <v>0</v>
      </c>
      <c r="AE84" s="163">
        <v>0</v>
      </c>
      <c r="AF84" s="163">
        <v>1</v>
      </c>
      <c r="AG84" s="26">
        <v>0</v>
      </c>
      <c r="AH84" s="14">
        <v>10</v>
      </c>
      <c r="AI84" s="14">
        <v>0</v>
      </c>
      <c r="AJ84" s="163">
        <v>0</v>
      </c>
      <c r="AK84" s="163">
        <v>1</v>
      </c>
      <c r="AL84" s="26">
        <v>0</v>
      </c>
      <c r="AM84" s="12">
        <v>10</v>
      </c>
      <c r="AN84" s="14">
        <v>0</v>
      </c>
      <c r="AO84" s="163">
        <v>0</v>
      </c>
      <c r="AP84" s="163">
        <v>0</v>
      </c>
      <c r="AQ84" s="163">
        <v>0</v>
      </c>
      <c r="AR84" s="163">
        <v>0</v>
      </c>
      <c r="AS84" s="14">
        <v>1</v>
      </c>
      <c r="AT84" s="163">
        <v>0</v>
      </c>
      <c r="AU84" s="163">
        <v>0</v>
      </c>
      <c r="AV84" s="163">
        <v>0</v>
      </c>
      <c r="AW84" s="26">
        <v>0</v>
      </c>
      <c r="AX84" s="14">
        <v>1</v>
      </c>
      <c r="AY84" s="14">
        <v>0</v>
      </c>
      <c r="AZ84" s="163">
        <v>0</v>
      </c>
      <c r="BA84" s="163">
        <v>1</v>
      </c>
      <c r="BB84" s="26">
        <v>0</v>
      </c>
      <c r="BC84" s="12">
        <v>1</v>
      </c>
      <c r="BD84" s="14">
        <v>0</v>
      </c>
      <c r="BE84" s="163">
        <v>0</v>
      </c>
      <c r="BF84" s="163">
        <v>0</v>
      </c>
      <c r="BG84" s="163">
        <v>0</v>
      </c>
      <c r="BH84" s="163">
        <v>1</v>
      </c>
      <c r="BI84" s="14">
        <v>1</v>
      </c>
      <c r="BJ84" s="163">
        <v>1</v>
      </c>
      <c r="BK84" s="26">
        <v>0</v>
      </c>
      <c r="BL84" s="14">
        <v>0</v>
      </c>
      <c r="BM84" s="163">
        <v>0</v>
      </c>
      <c r="BN84" s="26">
        <v>0</v>
      </c>
      <c r="BO84" s="14">
        <v>0</v>
      </c>
      <c r="BP84" s="12">
        <v>162</v>
      </c>
      <c r="BQ84" s="163">
        <v>2</v>
      </c>
      <c r="BR84" s="14">
        <v>0</v>
      </c>
      <c r="BS84" s="163">
        <v>0</v>
      </c>
      <c r="BT84" s="163">
        <v>0</v>
      </c>
      <c r="BU84" s="26">
        <v>0</v>
      </c>
      <c r="BV84" s="14">
        <v>0</v>
      </c>
      <c r="BW84" s="209"/>
      <c r="BX84" s="3"/>
      <c r="BY84" s="3"/>
      <c r="BZ84" s="40"/>
      <c r="CA84" s="209"/>
      <c r="CB84" s="3"/>
      <c r="CC84" s="3"/>
      <c r="CD84" s="3"/>
      <c r="CE84" s="209"/>
      <c r="CF84" s="3"/>
      <c r="CG84" s="3"/>
      <c r="CH84" s="40"/>
      <c r="CI84" s="209"/>
      <c r="CJ84" s="3"/>
      <c r="CK84" s="3"/>
      <c r="CL84" s="209"/>
      <c r="CM84" s="3"/>
      <c r="CN84" s="3"/>
      <c r="CO84" s="3"/>
      <c r="CP84" s="40"/>
      <c r="CQ84" s="209"/>
      <c r="CR84" s="40"/>
      <c r="CS84" s="3"/>
      <c r="CT84" s="3"/>
    </row>
    <row r="85" spans="1:98">
      <c r="A85" s="42" t="s">
        <v>320</v>
      </c>
      <c r="B85" s="173" t="s">
        <v>302</v>
      </c>
      <c r="C85" s="12"/>
      <c r="D85" s="14" t="s">
        <v>389</v>
      </c>
      <c r="E85" s="12" t="s">
        <v>0</v>
      </c>
      <c r="F85" s="12">
        <v>13</v>
      </c>
      <c r="G85" s="14">
        <v>0</v>
      </c>
      <c r="H85" s="163">
        <v>1</v>
      </c>
      <c r="I85" s="163">
        <v>1</v>
      </c>
      <c r="J85" s="12">
        <v>11</v>
      </c>
      <c r="K85" s="14">
        <v>281</v>
      </c>
      <c r="L85" s="26">
        <v>1678</v>
      </c>
      <c r="M85" s="14">
        <v>387</v>
      </c>
      <c r="N85" s="163">
        <v>10994</v>
      </c>
      <c r="O85" s="14">
        <v>460</v>
      </c>
      <c r="P85" s="26">
        <v>2204</v>
      </c>
      <c r="Q85" s="12">
        <v>3675</v>
      </c>
      <c r="R85" s="209">
        <v>1.3059701492537314</v>
      </c>
      <c r="S85" s="14">
        <v>1</v>
      </c>
      <c r="T85" s="163">
        <v>1</v>
      </c>
      <c r="U85" s="163">
        <v>1</v>
      </c>
      <c r="V85" s="26">
        <v>0</v>
      </c>
      <c r="W85" s="14">
        <v>1110</v>
      </c>
      <c r="X85" s="14">
        <v>1</v>
      </c>
      <c r="Y85" s="163">
        <v>0</v>
      </c>
      <c r="Z85" s="163">
        <v>1</v>
      </c>
      <c r="AA85" s="26">
        <v>0</v>
      </c>
      <c r="AB85" s="12">
        <v>1010</v>
      </c>
      <c r="AC85" s="14">
        <v>0</v>
      </c>
      <c r="AD85" s="14">
        <v>0</v>
      </c>
      <c r="AE85" s="163">
        <v>0</v>
      </c>
      <c r="AF85" s="163">
        <v>1</v>
      </c>
      <c r="AG85" s="26">
        <v>1</v>
      </c>
      <c r="AH85" s="14">
        <v>11</v>
      </c>
      <c r="AI85" s="14">
        <v>0</v>
      </c>
      <c r="AJ85" s="163">
        <v>0</v>
      </c>
      <c r="AK85" s="163">
        <v>1</v>
      </c>
      <c r="AL85" s="26">
        <v>0</v>
      </c>
      <c r="AM85" s="12">
        <v>10</v>
      </c>
      <c r="AN85" s="14">
        <v>0</v>
      </c>
      <c r="AO85" s="163">
        <v>0</v>
      </c>
      <c r="AP85" s="163">
        <v>0</v>
      </c>
      <c r="AQ85" s="163">
        <v>0</v>
      </c>
      <c r="AR85" s="163">
        <v>0</v>
      </c>
      <c r="AS85" s="14">
        <v>1</v>
      </c>
      <c r="AT85" s="163">
        <v>0</v>
      </c>
      <c r="AU85" s="163">
        <v>0</v>
      </c>
      <c r="AV85" s="163">
        <v>0</v>
      </c>
      <c r="AW85" s="26">
        <v>0</v>
      </c>
      <c r="AX85" s="14">
        <v>1</v>
      </c>
      <c r="AY85" s="14">
        <v>0</v>
      </c>
      <c r="AZ85" s="163">
        <v>0</v>
      </c>
      <c r="BA85" s="163">
        <v>1</v>
      </c>
      <c r="BB85" s="26">
        <v>0</v>
      </c>
      <c r="BC85" s="12">
        <v>1</v>
      </c>
      <c r="BD85" s="14">
        <v>1</v>
      </c>
      <c r="BE85" s="163">
        <v>0</v>
      </c>
      <c r="BF85" s="163">
        <v>1</v>
      </c>
      <c r="BG85" s="163">
        <v>0</v>
      </c>
      <c r="BH85" s="163">
        <v>0</v>
      </c>
      <c r="BI85" s="14">
        <v>1</v>
      </c>
      <c r="BJ85" s="163">
        <v>1</v>
      </c>
      <c r="BK85" s="26">
        <v>1</v>
      </c>
      <c r="BL85" s="14">
        <v>0</v>
      </c>
      <c r="BM85" s="163">
        <v>0</v>
      </c>
      <c r="BN85" s="26">
        <v>0</v>
      </c>
      <c r="BO85" s="14">
        <v>0</v>
      </c>
      <c r="BP85" s="12">
        <v>162</v>
      </c>
      <c r="BQ85" s="163">
        <v>2</v>
      </c>
      <c r="BR85" s="14">
        <v>0</v>
      </c>
      <c r="BS85" s="163">
        <v>0</v>
      </c>
      <c r="BT85" s="163">
        <v>0</v>
      </c>
      <c r="BU85" s="26">
        <v>0</v>
      </c>
      <c r="BV85" s="14">
        <v>0</v>
      </c>
      <c r="BW85" s="209"/>
      <c r="BX85" s="3"/>
      <c r="BY85" s="3"/>
      <c r="BZ85" s="40"/>
      <c r="CA85" s="209"/>
      <c r="CB85" s="3"/>
      <c r="CC85" s="3"/>
      <c r="CD85" s="3"/>
      <c r="CE85" s="209"/>
      <c r="CF85" s="3"/>
      <c r="CG85" s="3"/>
      <c r="CH85" s="40"/>
      <c r="CI85" s="209"/>
      <c r="CJ85" s="3"/>
      <c r="CK85" s="3"/>
      <c r="CL85" s="209"/>
      <c r="CM85" s="3"/>
      <c r="CN85" s="3"/>
      <c r="CO85" s="3"/>
      <c r="CP85" s="40"/>
      <c r="CQ85" s="209"/>
      <c r="CR85" s="40"/>
      <c r="CS85" s="3"/>
      <c r="CT85" s="3"/>
    </row>
    <row r="86" spans="1:98">
      <c r="A86" s="42" t="s">
        <v>320</v>
      </c>
      <c r="B86" s="173" t="s">
        <v>302</v>
      </c>
      <c r="C86" s="12"/>
      <c r="D86" s="14" t="s">
        <v>200</v>
      </c>
      <c r="E86" s="12"/>
      <c r="F86" s="12">
        <v>5</v>
      </c>
      <c r="G86" s="14">
        <v>0</v>
      </c>
      <c r="H86" s="163">
        <v>0</v>
      </c>
      <c r="I86" s="163">
        <v>1</v>
      </c>
      <c r="J86" s="12">
        <v>1</v>
      </c>
      <c r="K86" s="14">
        <v>462</v>
      </c>
      <c r="L86" s="26">
        <v>1289</v>
      </c>
      <c r="M86" s="14">
        <v>0</v>
      </c>
      <c r="N86" s="163">
        <v>0</v>
      </c>
      <c r="O86" s="14">
        <v>674</v>
      </c>
      <c r="P86" s="26">
        <v>1099</v>
      </c>
      <c r="Q86" s="12">
        <v>2138</v>
      </c>
      <c r="R86" s="209">
        <v>1.6002994011976048</v>
      </c>
      <c r="S86" s="14">
        <v>1</v>
      </c>
      <c r="T86" s="163">
        <v>0</v>
      </c>
      <c r="U86" s="163">
        <v>1</v>
      </c>
      <c r="V86" s="26">
        <v>0</v>
      </c>
      <c r="W86" s="14">
        <v>1010</v>
      </c>
      <c r="X86" s="14">
        <v>1</v>
      </c>
      <c r="Y86" s="163">
        <v>0</v>
      </c>
      <c r="Z86" s="163">
        <v>0</v>
      </c>
      <c r="AA86" s="26">
        <v>0</v>
      </c>
      <c r="AB86" s="12">
        <v>1000</v>
      </c>
      <c r="AC86" s="14">
        <v>1</v>
      </c>
      <c r="AD86" s="14">
        <v>0</v>
      </c>
      <c r="AE86" s="163">
        <v>0</v>
      </c>
      <c r="AF86" s="163">
        <v>0</v>
      </c>
      <c r="AG86" s="26">
        <v>0</v>
      </c>
      <c r="AH86" s="14">
        <v>0</v>
      </c>
      <c r="AI86" s="14">
        <v>0</v>
      </c>
      <c r="AJ86" s="163">
        <v>0</v>
      </c>
      <c r="AK86" s="163">
        <v>1</v>
      </c>
      <c r="AL86" s="26">
        <v>0</v>
      </c>
      <c r="AM86" s="12">
        <v>10</v>
      </c>
      <c r="AN86" s="14">
        <v>0</v>
      </c>
      <c r="AO86" s="163">
        <v>0</v>
      </c>
      <c r="AP86" s="163">
        <v>0</v>
      </c>
      <c r="AQ86" s="163">
        <v>0</v>
      </c>
      <c r="AR86" s="163">
        <v>0</v>
      </c>
      <c r="AS86" s="14">
        <v>1</v>
      </c>
      <c r="AT86" s="163">
        <v>1</v>
      </c>
      <c r="AU86" s="163">
        <v>0</v>
      </c>
      <c r="AV86" s="163">
        <v>1</v>
      </c>
      <c r="AW86" s="26">
        <v>0</v>
      </c>
      <c r="AX86" s="14">
        <v>3</v>
      </c>
      <c r="AY86" s="14">
        <v>0</v>
      </c>
      <c r="AZ86" s="163">
        <v>0</v>
      </c>
      <c r="BA86" s="163">
        <v>0</v>
      </c>
      <c r="BB86" s="26">
        <v>0</v>
      </c>
      <c r="BC86" s="12">
        <v>0</v>
      </c>
      <c r="BD86" s="14">
        <v>0</v>
      </c>
      <c r="BE86" s="163">
        <v>1</v>
      </c>
      <c r="BF86" s="163">
        <v>0</v>
      </c>
      <c r="BG86" s="163">
        <v>1</v>
      </c>
      <c r="BH86" s="163">
        <v>0</v>
      </c>
      <c r="BI86" s="14">
        <v>1</v>
      </c>
      <c r="BJ86" s="163">
        <v>0</v>
      </c>
      <c r="BK86" s="26">
        <v>1</v>
      </c>
      <c r="BL86" s="14">
        <v>0</v>
      </c>
      <c r="BM86" s="163">
        <v>0</v>
      </c>
      <c r="BN86" s="26">
        <v>0</v>
      </c>
      <c r="BO86" s="14">
        <v>0</v>
      </c>
      <c r="BP86" s="12">
        <v>143</v>
      </c>
      <c r="BQ86" s="163">
        <v>2</v>
      </c>
      <c r="BR86" s="14">
        <v>0</v>
      </c>
      <c r="BS86" s="163">
        <v>1</v>
      </c>
      <c r="BT86" s="163">
        <v>0</v>
      </c>
      <c r="BU86" s="26">
        <v>0</v>
      </c>
      <c r="BV86" s="14">
        <v>100</v>
      </c>
      <c r="BW86" s="209">
        <v>57.09</v>
      </c>
      <c r="BX86" s="3">
        <v>66.239999999999995</v>
      </c>
      <c r="BY86" s="3"/>
      <c r="BZ86" s="40"/>
      <c r="CA86" s="209">
        <v>64.650000000000006</v>
      </c>
      <c r="CB86" s="3"/>
      <c r="CC86" s="3"/>
      <c r="CD86" s="3"/>
      <c r="CE86" s="209">
        <v>59.26</v>
      </c>
      <c r="CF86" s="3"/>
      <c r="CG86" s="3"/>
      <c r="CH86" s="40"/>
      <c r="CI86" s="209"/>
      <c r="CJ86" s="3"/>
      <c r="CK86" s="3"/>
      <c r="CL86" s="209"/>
      <c r="CM86" s="3"/>
      <c r="CN86" s="3"/>
      <c r="CO86" s="3"/>
      <c r="CP86" s="40"/>
      <c r="CQ86" s="209"/>
      <c r="CR86" s="40"/>
      <c r="CS86" s="3"/>
      <c r="CT86" s="3"/>
    </row>
    <row r="87" spans="1:98" ht="17" thickBot="1">
      <c r="A87" s="55" t="s">
        <v>320</v>
      </c>
      <c r="B87" s="47" t="s">
        <v>302</v>
      </c>
      <c r="C87" s="33"/>
      <c r="D87" s="34" t="s">
        <v>190</v>
      </c>
      <c r="E87" s="33"/>
      <c r="F87" s="33">
        <v>7</v>
      </c>
      <c r="G87" s="34">
        <v>0</v>
      </c>
      <c r="H87" s="36">
        <v>0</v>
      </c>
      <c r="I87" s="36">
        <v>1</v>
      </c>
      <c r="J87" s="33">
        <v>1</v>
      </c>
      <c r="K87" s="34">
        <v>356</v>
      </c>
      <c r="L87" s="35">
        <v>1377</v>
      </c>
      <c r="M87" s="34">
        <v>253</v>
      </c>
      <c r="N87" s="36">
        <v>803</v>
      </c>
      <c r="O87" s="34">
        <v>0</v>
      </c>
      <c r="P87" s="35">
        <v>0</v>
      </c>
      <c r="Q87" s="33">
        <v>1368</v>
      </c>
      <c r="R87" s="210">
        <v>1.3846153846153846</v>
      </c>
      <c r="S87" s="34">
        <v>1</v>
      </c>
      <c r="T87" s="36">
        <v>1</v>
      </c>
      <c r="U87" s="36">
        <v>0</v>
      </c>
      <c r="V87" s="35">
        <v>0</v>
      </c>
      <c r="W87" s="34">
        <v>1100</v>
      </c>
      <c r="X87" s="34">
        <v>1</v>
      </c>
      <c r="Y87" s="36">
        <v>0</v>
      </c>
      <c r="Z87" s="36">
        <v>0</v>
      </c>
      <c r="AA87" s="35">
        <v>0</v>
      </c>
      <c r="AB87" s="33">
        <v>1000</v>
      </c>
      <c r="AC87" s="34">
        <v>0</v>
      </c>
      <c r="AD87" s="34">
        <v>0</v>
      </c>
      <c r="AE87" s="36">
        <v>1</v>
      </c>
      <c r="AF87" s="36">
        <v>1</v>
      </c>
      <c r="AG87" s="35">
        <v>0</v>
      </c>
      <c r="AH87" s="34">
        <v>110</v>
      </c>
      <c r="AI87" s="34">
        <v>0</v>
      </c>
      <c r="AJ87" s="36">
        <v>0</v>
      </c>
      <c r="AK87" s="36">
        <v>0</v>
      </c>
      <c r="AL87" s="35">
        <v>0</v>
      </c>
      <c r="AM87" s="33">
        <v>0</v>
      </c>
      <c r="AN87" s="34">
        <v>0</v>
      </c>
      <c r="AO87" s="36">
        <v>0</v>
      </c>
      <c r="AP87" s="36">
        <v>0</v>
      </c>
      <c r="AQ87" s="36">
        <v>0</v>
      </c>
      <c r="AR87" s="36">
        <v>0</v>
      </c>
      <c r="AS87" s="34">
        <v>1</v>
      </c>
      <c r="AT87" s="36">
        <v>1</v>
      </c>
      <c r="AU87" s="36">
        <v>0</v>
      </c>
      <c r="AV87" s="36">
        <v>1</v>
      </c>
      <c r="AW87" s="35">
        <v>0</v>
      </c>
      <c r="AX87" s="34">
        <v>3</v>
      </c>
      <c r="AY87" s="34">
        <v>0</v>
      </c>
      <c r="AZ87" s="36">
        <v>0</v>
      </c>
      <c r="BA87" s="36">
        <v>0</v>
      </c>
      <c r="BB87" s="35">
        <v>0</v>
      </c>
      <c r="BC87" s="33">
        <v>0</v>
      </c>
      <c r="BD87" s="34">
        <v>0</v>
      </c>
      <c r="BE87" s="36">
        <v>0</v>
      </c>
      <c r="BF87" s="36">
        <v>0</v>
      </c>
      <c r="BG87" s="36">
        <v>0</v>
      </c>
      <c r="BH87" s="36">
        <v>0</v>
      </c>
      <c r="BI87" s="34">
        <v>1</v>
      </c>
      <c r="BJ87" s="36">
        <v>1</v>
      </c>
      <c r="BK87" s="35">
        <v>0</v>
      </c>
      <c r="BL87" s="34">
        <v>0</v>
      </c>
      <c r="BM87" s="36">
        <v>0</v>
      </c>
      <c r="BN87" s="35">
        <v>0</v>
      </c>
      <c r="BO87" s="34">
        <v>0</v>
      </c>
      <c r="BP87" s="33">
        <v>130</v>
      </c>
      <c r="BQ87" s="36">
        <v>2</v>
      </c>
      <c r="BR87" s="34">
        <v>0</v>
      </c>
      <c r="BS87" s="36">
        <v>0</v>
      </c>
      <c r="BT87" s="36">
        <v>0</v>
      </c>
      <c r="BU87" s="35">
        <v>0</v>
      </c>
      <c r="BV87" s="34">
        <v>0</v>
      </c>
      <c r="BW87" s="210"/>
      <c r="BX87" s="51"/>
      <c r="BY87" s="51"/>
      <c r="BZ87" s="48"/>
      <c r="CA87" s="210"/>
      <c r="CB87" s="51"/>
      <c r="CC87" s="51"/>
      <c r="CD87" s="51"/>
      <c r="CE87" s="210"/>
      <c r="CF87" s="51"/>
      <c r="CG87" s="51"/>
      <c r="CH87" s="48"/>
      <c r="CI87" s="210"/>
      <c r="CJ87" s="51"/>
      <c r="CK87" s="51"/>
      <c r="CL87" s="210">
        <v>82.947258366485286</v>
      </c>
      <c r="CM87" s="51"/>
      <c r="CN87" s="51"/>
      <c r="CO87" s="51"/>
      <c r="CP87" s="48"/>
      <c r="CQ87" s="210">
        <v>82.406160942189885</v>
      </c>
      <c r="CR87" s="48"/>
      <c r="CS87" s="3"/>
      <c r="CT87" s="3"/>
    </row>
    <row r="88" spans="1:98">
      <c r="A88" s="87" t="s">
        <v>320</v>
      </c>
      <c r="B88" s="7" t="s">
        <v>304</v>
      </c>
      <c r="C88" s="9"/>
      <c r="D88" s="11" t="s">
        <v>189</v>
      </c>
      <c r="E88" s="7"/>
      <c r="F88" s="101">
        <v>2</v>
      </c>
      <c r="G88" s="102">
        <v>0</v>
      </c>
      <c r="H88" s="100">
        <v>0</v>
      </c>
      <c r="I88" s="100">
        <v>1</v>
      </c>
      <c r="J88" s="9">
        <v>1</v>
      </c>
      <c r="K88" s="102">
        <v>0</v>
      </c>
      <c r="L88" s="104">
        <v>719</v>
      </c>
      <c r="M88" s="102">
        <v>0</v>
      </c>
      <c r="N88" s="100">
        <v>996</v>
      </c>
      <c r="O88" s="102">
        <v>0</v>
      </c>
      <c r="P88" s="104">
        <v>0</v>
      </c>
      <c r="Q88" s="101">
        <v>1261</v>
      </c>
      <c r="R88" s="215">
        <v>1.1169176262178919</v>
      </c>
      <c r="S88" s="102">
        <v>1</v>
      </c>
      <c r="T88" s="100">
        <v>1</v>
      </c>
      <c r="U88" s="100">
        <v>0</v>
      </c>
      <c r="V88" s="104">
        <v>0</v>
      </c>
      <c r="W88" s="11">
        <v>1100</v>
      </c>
      <c r="X88" s="102">
        <v>1</v>
      </c>
      <c r="Y88" s="100">
        <v>0</v>
      </c>
      <c r="Z88" s="100">
        <v>0</v>
      </c>
      <c r="AA88" s="104">
        <v>0</v>
      </c>
      <c r="AB88" s="9">
        <v>1000</v>
      </c>
      <c r="AC88" s="102">
        <v>1</v>
      </c>
      <c r="AD88" s="102">
        <v>0</v>
      </c>
      <c r="AE88" s="100">
        <v>1</v>
      </c>
      <c r="AF88" s="100">
        <v>0</v>
      </c>
      <c r="AG88" s="104">
        <v>0</v>
      </c>
      <c r="AH88" s="11">
        <v>100</v>
      </c>
      <c r="AI88" s="102">
        <v>0</v>
      </c>
      <c r="AJ88" s="100">
        <v>0</v>
      </c>
      <c r="AK88" s="100">
        <v>0</v>
      </c>
      <c r="AL88" s="104">
        <v>0</v>
      </c>
      <c r="AM88" s="9">
        <v>0</v>
      </c>
      <c r="AN88" s="102">
        <v>0</v>
      </c>
      <c r="AO88" s="100">
        <v>0</v>
      </c>
      <c r="AP88" s="100">
        <v>0</v>
      </c>
      <c r="AQ88" s="100">
        <v>0</v>
      </c>
      <c r="AR88" s="100">
        <v>0</v>
      </c>
      <c r="AS88" s="102">
        <v>1</v>
      </c>
      <c r="AT88" s="100">
        <v>0</v>
      </c>
      <c r="AU88" s="100">
        <v>0</v>
      </c>
      <c r="AV88" s="100">
        <v>0</v>
      </c>
      <c r="AW88" s="104">
        <v>0</v>
      </c>
      <c r="AX88" s="11">
        <v>1</v>
      </c>
      <c r="AY88" s="102">
        <v>1</v>
      </c>
      <c r="AZ88" s="100">
        <v>0</v>
      </c>
      <c r="BA88" s="100">
        <v>0</v>
      </c>
      <c r="BB88" s="104">
        <v>0</v>
      </c>
      <c r="BC88" s="9">
        <v>1</v>
      </c>
      <c r="BD88" s="102">
        <v>0</v>
      </c>
      <c r="BE88" s="100">
        <v>0</v>
      </c>
      <c r="BF88" s="100">
        <v>0</v>
      </c>
      <c r="BG88" s="100">
        <v>0</v>
      </c>
      <c r="BH88" s="100">
        <v>0</v>
      </c>
      <c r="BI88" s="102">
        <v>0</v>
      </c>
      <c r="BJ88" s="100">
        <v>1</v>
      </c>
      <c r="BK88" s="104">
        <v>0</v>
      </c>
      <c r="BL88" s="102">
        <v>0</v>
      </c>
      <c r="BM88" s="100">
        <v>0</v>
      </c>
      <c r="BN88" s="104">
        <v>0</v>
      </c>
      <c r="BO88" s="102">
        <v>0</v>
      </c>
      <c r="BP88" s="101">
        <v>102</v>
      </c>
      <c r="BQ88" s="100">
        <v>2</v>
      </c>
      <c r="BR88" s="102">
        <v>0</v>
      </c>
      <c r="BS88" s="100">
        <v>0</v>
      </c>
      <c r="BT88" s="100">
        <v>0</v>
      </c>
      <c r="BU88" s="104">
        <v>0</v>
      </c>
      <c r="BV88" s="11">
        <v>0</v>
      </c>
      <c r="BW88" s="208"/>
      <c r="BX88" s="54"/>
      <c r="BY88" s="54"/>
      <c r="BZ88" s="10"/>
      <c r="CA88" s="208"/>
      <c r="CB88" s="54"/>
      <c r="CC88" s="54"/>
      <c r="CD88" s="54"/>
      <c r="CE88" s="208"/>
      <c r="CF88" s="54"/>
      <c r="CG88" s="54"/>
      <c r="CH88" s="10"/>
      <c r="CI88" s="208"/>
      <c r="CJ88" s="54"/>
      <c r="CK88" s="54"/>
      <c r="CL88" s="208"/>
      <c r="CM88" s="54"/>
      <c r="CN88" s="54"/>
      <c r="CO88" s="54"/>
      <c r="CP88" s="10"/>
      <c r="CQ88" s="208"/>
      <c r="CR88" s="10"/>
      <c r="CS88" s="3"/>
      <c r="CT88" s="3"/>
    </row>
    <row r="89" spans="1:98">
      <c r="A89" s="42" t="s">
        <v>320</v>
      </c>
      <c r="B89" s="173" t="s">
        <v>304</v>
      </c>
      <c r="C89" s="12"/>
      <c r="D89" s="14" t="s">
        <v>194</v>
      </c>
      <c r="E89" s="173"/>
      <c r="F89" s="25">
        <v>10</v>
      </c>
      <c r="G89" s="23">
        <v>1</v>
      </c>
      <c r="H89" s="24">
        <v>1</v>
      </c>
      <c r="I89" s="24">
        <v>1</v>
      </c>
      <c r="J89" s="12">
        <v>111</v>
      </c>
      <c r="K89" s="23">
        <v>336</v>
      </c>
      <c r="L89" s="52">
        <v>1477</v>
      </c>
      <c r="M89" s="23">
        <v>0</v>
      </c>
      <c r="N89" s="24">
        <v>219</v>
      </c>
      <c r="O89" s="23">
        <v>189</v>
      </c>
      <c r="P89" s="52">
        <v>1162</v>
      </c>
      <c r="Q89" s="25">
        <v>2428</v>
      </c>
      <c r="R89" s="212">
        <v>1.3756373937677053</v>
      </c>
      <c r="S89" s="23">
        <v>1</v>
      </c>
      <c r="T89" s="24">
        <v>1</v>
      </c>
      <c r="U89" s="24">
        <v>1</v>
      </c>
      <c r="V89" s="52">
        <v>0</v>
      </c>
      <c r="W89" s="14">
        <v>1110</v>
      </c>
      <c r="X89" s="23">
        <v>1</v>
      </c>
      <c r="Y89" s="24">
        <v>0</v>
      </c>
      <c r="Z89" s="24">
        <v>0</v>
      </c>
      <c r="AA89" s="52">
        <v>1</v>
      </c>
      <c r="AB89" s="12">
        <v>1001</v>
      </c>
      <c r="AC89" s="23">
        <v>1</v>
      </c>
      <c r="AD89" s="23">
        <v>0</v>
      </c>
      <c r="AE89" s="24">
        <v>0</v>
      </c>
      <c r="AF89" s="24">
        <v>0</v>
      </c>
      <c r="AG89" s="52">
        <v>1</v>
      </c>
      <c r="AH89" s="14">
        <v>1</v>
      </c>
      <c r="AI89" s="23">
        <v>0</v>
      </c>
      <c r="AJ89" s="24">
        <v>0</v>
      </c>
      <c r="AK89" s="24">
        <v>0</v>
      </c>
      <c r="AL89" s="52">
        <v>1</v>
      </c>
      <c r="AM89" s="12">
        <v>1</v>
      </c>
      <c r="AN89" s="23">
        <v>0</v>
      </c>
      <c r="AO89" s="24">
        <v>0</v>
      </c>
      <c r="AP89" s="24">
        <v>0</v>
      </c>
      <c r="AQ89" s="24">
        <v>0</v>
      </c>
      <c r="AR89" s="24">
        <v>0</v>
      </c>
      <c r="AS89" s="23">
        <v>1</v>
      </c>
      <c r="AT89" s="24">
        <v>1</v>
      </c>
      <c r="AU89" s="24">
        <v>0</v>
      </c>
      <c r="AV89" s="24">
        <v>1</v>
      </c>
      <c r="AW89" s="52">
        <v>0</v>
      </c>
      <c r="AX89" s="14">
        <v>3</v>
      </c>
      <c r="AY89" s="23">
        <v>0</v>
      </c>
      <c r="AZ89" s="24">
        <v>0</v>
      </c>
      <c r="BA89" s="24">
        <v>0</v>
      </c>
      <c r="BB89" s="52">
        <v>1</v>
      </c>
      <c r="BC89" s="12">
        <v>1</v>
      </c>
      <c r="BD89" s="23">
        <v>0</v>
      </c>
      <c r="BE89" s="24">
        <v>1</v>
      </c>
      <c r="BF89" s="24">
        <v>0</v>
      </c>
      <c r="BG89" s="24">
        <v>0</v>
      </c>
      <c r="BH89" s="24">
        <v>0</v>
      </c>
      <c r="BI89" s="23">
        <v>1</v>
      </c>
      <c r="BJ89" s="24">
        <v>1</v>
      </c>
      <c r="BK89" s="52">
        <v>0</v>
      </c>
      <c r="BL89" s="23">
        <v>0</v>
      </c>
      <c r="BM89" s="24">
        <v>0</v>
      </c>
      <c r="BN89" s="52">
        <v>0</v>
      </c>
      <c r="BO89" s="23">
        <v>0</v>
      </c>
      <c r="BP89" s="25">
        <v>131</v>
      </c>
      <c r="BQ89" s="24">
        <v>1</v>
      </c>
      <c r="BR89" s="23">
        <v>0</v>
      </c>
      <c r="BS89" s="24">
        <v>0</v>
      </c>
      <c r="BT89" s="24">
        <v>0</v>
      </c>
      <c r="BU89" s="52">
        <v>0</v>
      </c>
      <c r="BV89" s="14">
        <v>0</v>
      </c>
      <c r="BW89" s="209"/>
      <c r="BX89" s="3"/>
      <c r="BY89" s="3"/>
      <c r="BZ89" s="40"/>
      <c r="CA89" s="209"/>
      <c r="CB89" s="3"/>
      <c r="CC89" s="3"/>
      <c r="CD89" s="3"/>
      <c r="CE89" s="209"/>
      <c r="CF89" s="3"/>
      <c r="CG89" s="3"/>
      <c r="CH89" s="40"/>
      <c r="CI89" s="209"/>
      <c r="CJ89" s="3"/>
      <c r="CK89" s="3"/>
      <c r="CL89" s="209"/>
      <c r="CM89" s="3"/>
      <c r="CN89" s="3"/>
      <c r="CO89" s="3"/>
      <c r="CP89" s="40"/>
      <c r="CQ89" s="209"/>
      <c r="CR89" s="40"/>
      <c r="CS89" s="3"/>
      <c r="CT89" s="3"/>
    </row>
    <row r="90" spans="1:98">
      <c r="A90" s="42" t="s">
        <v>320</v>
      </c>
      <c r="B90" s="173" t="s">
        <v>304</v>
      </c>
      <c r="C90" s="12"/>
      <c r="D90" s="14" t="s">
        <v>376</v>
      </c>
      <c r="E90" s="173"/>
      <c r="F90" s="25">
        <v>5</v>
      </c>
      <c r="G90" s="23">
        <v>0</v>
      </c>
      <c r="H90" s="24">
        <v>0</v>
      </c>
      <c r="I90" s="24">
        <v>1</v>
      </c>
      <c r="J90" s="12">
        <v>1</v>
      </c>
      <c r="K90" s="23">
        <v>410</v>
      </c>
      <c r="L90" s="52">
        <v>1302</v>
      </c>
      <c r="M90" s="23">
        <v>0</v>
      </c>
      <c r="N90" s="24">
        <v>891</v>
      </c>
      <c r="O90" s="23">
        <v>938</v>
      </c>
      <c r="P90" s="52">
        <v>1013</v>
      </c>
      <c r="Q90" s="25">
        <v>2752</v>
      </c>
      <c r="R90" s="212">
        <v>1.6578313253012049</v>
      </c>
      <c r="S90" s="23">
        <v>1</v>
      </c>
      <c r="T90" s="24">
        <v>1</v>
      </c>
      <c r="U90" s="24">
        <v>1</v>
      </c>
      <c r="V90" s="52">
        <v>0</v>
      </c>
      <c r="W90" s="14">
        <v>1110</v>
      </c>
      <c r="X90" s="23">
        <v>1</v>
      </c>
      <c r="Y90" s="24">
        <v>0</v>
      </c>
      <c r="Z90" s="24">
        <v>0</v>
      </c>
      <c r="AA90" s="52">
        <v>1</v>
      </c>
      <c r="AB90" s="12">
        <v>1001</v>
      </c>
      <c r="AC90" s="23">
        <v>0</v>
      </c>
      <c r="AD90" s="23">
        <v>0</v>
      </c>
      <c r="AE90" s="24">
        <v>1</v>
      </c>
      <c r="AF90" s="24">
        <v>0</v>
      </c>
      <c r="AG90" s="52">
        <v>0</v>
      </c>
      <c r="AH90" s="14">
        <v>100</v>
      </c>
      <c r="AI90" s="23">
        <v>0</v>
      </c>
      <c r="AJ90" s="24">
        <v>0</v>
      </c>
      <c r="AK90" s="24">
        <v>1</v>
      </c>
      <c r="AL90" s="52">
        <v>0</v>
      </c>
      <c r="AM90" s="12">
        <v>10</v>
      </c>
      <c r="AN90" s="23">
        <v>0</v>
      </c>
      <c r="AO90" s="24">
        <v>0</v>
      </c>
      <c r="AP90" s="24">
        <v>0</v>
      </c>
      <c r="AQ90" s="24">
        <v>0</v>
      </c>
      <c r="AR90" s="24">
        <v>0</v>
      </c>
      <c r="AS90" s="23">
        <v>1</v>
      </c>
      <c r="AT90" s="24">
        <v>0</v>
      </c>
      <c r="AU90" s="24">
        <v>0</v>
      </c>
      <c r="AV90" s="24">
        <v>0</v>
      </c>
      <c r="AW90" s="52">
        <v>0</v>
      </c>
      <c r="AX90" s="14">
        <v>1</v>
      </c>
      <c r="AY90" s="23">
        <v>1</v>
      </c>
      <c r="AZ90" s="24">
        <v>0</v>
      </c>
      <c r="BA90" s="24">
        <v>0</v>
      </c>
      <c r="BB90" s="52">
        <v>0</v>
      </c>
      <c r="BC90" s="12">
        <v>1</v>
      </c>
      <c r="BD90" s="23">
        <v>1</v>
      </c>
      <c r="BE90" s="24">
        <v>0</v>
      </c>
      <c r="BF90" s="24">
        <v>0</v>
      </c>
      <c r="BG90" s="24">
        <v>0</v>
      </c>
      <c r="BH90" s="24">
        <v>1</v>
      </c>
      <c r="BI90" s="23">
        <v>1</v>
      </c>
      <c r="BJ90" s="24">
        <v>1</v>
      </c>
      <c r="BK90" s="52">
        <v>0</v>
      </c>
      <c r="BL90" s="23">
        <v>0</v>
      </c>
      <c r="BM90" s="24">
        <v>0</v>
      </c>
      <c r="BN90" s="52">
        <v>0</v>
      </c>
      <c r="BO90" s="23">
        <v>0</v>
      </c>
      <c r="BP90" s="25">
        <v>119</v>
      </c>
      <c r="BQ90" s="24">
        <v>2</v>
      </c>
      <c r="BR90" s="23">
        <v>0</v>
      </c>
      <c r="BS90" s="24">
        <v>0</v>
      </c>
      <c r="BT90" s="24">
        <v>0</v>
      </c>
      <c r="BU90" s="52">
        <v>0</v>
      </c>
      <c r="BV90" s="14">
        <v>0</v>
      </c>
      <c r="BW90" s="209"/>
      <c r="BX90" s="3"/>
      <c r="BY90" s="3"/>
      <c r="BZ90" s="40"/>
      <c r="CA90" s="209"/>
      <c r="CB90" s="3"/>
      <c r="CC90" s="3"/>
      <c r="CD90" s="3"/>
      <c r="CE90" s="209"/>
      <c r="CF90" s="3"/>
      <c r="CG90" s="3"/>
      <c r="CH90" s="40"/>
      <c r="CI90" s="209"/>
      <c r="CJ90" s="3"/>
      <c r="CK90" s="3"/>
      <c r="CL90" s="209">
        <v>82.669341933659737</v>
      </c>
      <c r="CM90" s="3"/>
      <c r="CN90" s="3"/>
      <c r="CO90" s="3"/>
      <c r="CP90" s="40"/>
      <c r="CQ90" s="209">
        <v>81.650333501327083</v>
      </c>
      <c r="CR90" s="40">
        <v>82.467910132763095</v>
      </c>
      <c r="CS90" s="3"/>
      <c r="CT90" s="3"/>
    </row>
    <row r="91" spans="1:98">
      <c r="A91" s="42" t="s">
        <v>320</v>
      </c>
      <c r="B91" s="173" t="s">
        <v>304</v>
      </c>
      <c r="C91" s="12"/>
      <c r="D91" s="14" t="s">
        <v>393</v>
      </c>
      <c r="E91" s="173"/>
      <c r="F91" s="25">
        <v>3</v>
      </c>
      <c r="G91" s="23">
        <v>1</v>
      </c>
      <c r="H91" s="24">
        <v>0</v>
      </c>
      <c r="I91" s="24">
        <v>1</v>
      </c>
      <c r="J91" s="12">
        <v>101</v>
      </c>
      <c r="K91" s="23">
        <v>0</v>
      </c>
      <c r="L91" s="52">
        <v>1217</v>
      </c>
      <c r="M91" s="23">
        <v>549</v>
      </c>
      <c r="N91" s="24">
        <v>1421</v>
      </c>
      <c r="O91" s="23">
        <v>0</v>
      </c>
      <c r="P91" s="52">
        <v>0</v>
      </c>
      <c r="Q91" s="25">
        <v>1421</v>
      </c>
      <c r="R91" s="212">
        <v>1.1358912869704236</v>
      </c>
      <c r="S91" s="23">
        <v>1</v>
      </c>
      <c r="T91" s="24">
        <v>1</v>
      </c>
      <c r="U91" s="24">
        <v>0</v>
      </c>
      <c r="V91" s="52">
        <v>0</v>
      </c>
      <c r="W91" s="14">
        <v>1100</v>
      </c>
      <c r="X91" s="23">
        <v>1</v>
      </c>
      <c r="Y91" s="24">
        <v>0</v>
      </c>
      <c r="Z91" s="24">
        <v>0</v>
      </c>
      <c r="AA91" s="52">
        <v>0</v>
      </c>
      <c r="AB91" s="12">
        <v>1000</v>
      </c>
      <c r="AC91" s="23">
        <v>1</v>
      </c>
      <c r="AD91" s="23">
        <v>0</v>
      </c>
      <c r="AE91" s="24">
        <v>1</v>
      </c>
      <c r="AF91" s="24">
        <v>0</v>
      </c>
      <c r="AG91" s="52">
        <v>0</v>
      </c>
      <c r="AH91" s="14">
        <v>100</v>
      </c>
      <c r="AI91" s="23">
        <v>0</v>
      </c>
      <c r="AJ91" s="24">
        <v>0</v>
      </c>
      <c r="AK91" s="24">
        <v>0</v>
      </c>
      <c r="AL91" s="52">
        <v>0</v>
      </c>
      <c r="AM91" s="12">
        <v>0</v>
      </c>
      <c r="AN91" s="23">
        <v>0</v>
      </c>
      <c r="AO91" s="24">
        <v>0</v>
      </c>
      <c r="AP91" s="24">
        <v>0</v>
      </c>
      <c r="AQ91" s="24">
        <v>0</v>
      </c>
      <c r="AR91" s="24">
        <v>0</v>
      </c>
      <c r="AS91" s="23">
        <v>1</v>
      </c>
      <c r="AT91" s="24">
        <v>0</v>
      </c>
      <c r="AU91" s="24">
        <v>1</v>
      </c>
      <c r="AV91" s="24">
        <v>1</v>
      </c>
      <c r="AW91" s="52">
        <v>0</v>
      </c>
      <c r="AX91" s="14">
        <v>3</v>
      </c>
      <c r="AY91" s="23">
        <v>1</v>
      </c>
      <c r="AZ91" s="24">
        <v>0</v>
      </c>
      <c r="BA91" s="24">
        <v>0</v>
      </c>
      <c r="BB91" s="52">
        <v>0</v>
      </c>
      <c r="BC91" s="12">
        <v>1</v>
      </c>
      <c r="BD91" s="23">
        <v>0</v>
      </c>
      <c r="BE91" s="24">
        <v>0</v>
      </c>
      <c r="BF91" s="24">
        <v>0</v>
      </c>
      <c r="BG91" s="24">
        <v>0</v>
      </c>
      <c r="BH91" s="24">
        <v>0</v>
      </c>
      <c r="BI91" s="23">
        <v>1</v>
      </c>
      <c r="BJ91" s="24">
        <v>1</v>
      </c>
      <c r="BK91" s="52">
        <v>0</v>
      </c>
      <c r="BL91" s="23">
        <v>0</v>
      </c>
      <c r="BM91" s="24">
        <v>0</v>
      </c>
      <c r="BN91" s="52">
        <v>0</v>
      </c>
      <c r="BO91" s="23">
        <v>1</v>
      </c>
      <c r="BP91" s="25">
        <v>100</v>
      </c>
      <c r="BQ91" s="24">
        <v>1</v>
      </c>
      <c r="BR91" s="23">
        <v>0</v>
      </c>
      <c r="BS91" s="24">
        <v>0</v>
      </c>
      <c r="BT91" s="24">
        <v>0</v>
      </c>
      <c r="BU91" s="52">
        <v>0</v>
      </c>
      <c r="BV91" s="14">
        <v>0</v>
      </c>
      <c r="BW91" s="209"/>
      <c r="BX91" s="3"/>
      <c r="BY91" s="3"/>
      <c r="BZ91" s="40"/>
      <c r="CA91" s="209"/>
      <c r="CB91" s="3"/>
      <c r="CC91" s="3"/>
      <c r="CD91" s="3"/>
      <c r="CE91" s="209"/>
      <c r="CF91" s="3"/>
      <c r="CG91" s="3"/>
      <c r="CH91" s="40"/>
      <c r="CI91" s="209"/>
      <c r="CJ91" s="3"/>
      <c r="CK91" s="3"/>
      <c r="CL91" s="209"/>
      <c r="CM91" s="3"/>
      <c r="CN91" s="3"/>
      <c r="CO91" s="3"/>
      <c r="CP91" s="40"/>
      <c r="CQ91" s="209"/>
      <c r="CR91" s="40"/>
      <c r="CS91" s="3"/>
      <c r="CT91" s="3"/>
    </row>
    <row r="92" spans="1:98">
      <c r="A92" s="42" t="s">
        <v>320</v>
      </c>
      <c r="B92" s="173" t="s">
        <v>304</v>
      </c>
      <c r="C92" s="12"/>
      <c r="D92" s="14" t="s">
        <v>383</v>
      </c>
      <c r="E92" s="173"/>
      <c r="F92" s="25">
        <v>7</v>
      </c>
      <c r="G92" s="23">
        <v>0</v>
      </c>
      <c r="H92" s="24">
        <v>0</v>
      </c>
      <c r="I92" s="24">
        <v>1</v>
      </c>
      <c r="J92" s="12">
        <v>1</v>
      </c>
      <c r="K92" s="23">
        <v>215</v>
      </c>
      <c r="L92" s="52">
        <v>1707</v>
      </c>
      <c r="M92" s="23">
        <v>194</v>
      </c>
      <c r="N92" s="24">
        <v>474</v>
      </c>
      <c r="O92" s="23">
        <v>0</v>
      </c>
      <c r="P92" s="52">
        <v>834</v>
      </c>
      <c r="Q92" s="25">
        <v>1923</v>
      </c>
      <c r="R92" s="212">
        <v>1.8908554572271385</v>
      </c>
      <c r="S92" s="23">
        <v>1</v>
      </c>
      <c r="T92" s="24">
        <v>1</v>
      </c>
      <c r="U92" s="24">
        <v>1</v>
      </c>
      <c r="V92" s="52">
        <v>0</v>
      </c>
      <c r="W92" s="14">
        <v>1110</v>
      </c>
      <c r="X92" s="23">
        <v>1</v>
      </c>
      <c r="Y92" s="24">
        <v>0</v>
      </c>
      <c r="Z92" s="24">
        <v>0</v>
      </c>
      <c r="AA92" s="52">
        <v>1</v>
      </c>
      <c r="AB92" s="12">
        <v>1001</v>
      </c>
      <c r="AC92" s="23">
        <v>1</v>
      </c>
      <c r="AD92" s="23">
        <v>0</v>
      </c>
      <c r="AE92" s="24">
        <v>1</v>
      </c>
      <c r="AF92" s="24">
        <v>0</v>
      </c>
      <c r="AG92" s="52">
        <v>1</v>
      </c>
      <c r="AH92" s="14">
        <v>101</v>
      </c>
      <c r="AI92" s="23">
        <v>0</v>
      </c>
      <c r="AJ92" s="24">
        <v>0</v>
      </c>
      <c r="AK92" s="24">
        <v>0</v>
      </c>
      <c r="AL92" s="52">
        <v>1</v>
      </c>
      <c r="AM92" s="12">
        <v>1</v>
      </c>
      <c r="AN92" s="23">
        <v>0</v>
      </c>
      <c r="AO92" s="24">
        <v>0</v>
      </c>
      <c r="AP92" s="24">
        <v>0</v>
      </c>
      <c r="AQ92" s="24">
        <v>0</v>
      </c>
      <c r="AR92" s="24">
        <v>0</v>
      </c>
      <c r="AS92" s="23">
        <v>1</v>
      </c>
      <c r="AT92" s="24">
        <v>0</v>
      </c>
      <c r="AU92" s="24">
        <v>0</v>
      </c>
      <c r="AV92" s="24">
        <v>1</v>
      </c>
      <c r="AW92" s="52">
        <v>0</v>
      </c>
      <c r="AX92" s="14">
        <v>2</v>
      </c>
      <c r="AY92" s="23">
        <v>0</v>
      </c>
      <c r="AZ92" s="24">
        <v>0</v>
      </c>
      <c r="BA92" s="24">
        <v>1</v>
      </c>
      <c r="BB92" s="52">
        <v>1</v>
      </c>
      <c r="BC92" s="12">
        <v>2</v>
      </c>
      <c r="BD92" s="23">
        <v>0</v>
      </c>
      <c r="BE92" s="24">
        <v>1</v>
      </c>
      <c r="BF92" s="24">
        <v>0</v>
      </c>
      <c r="BG92" s="24">
        <v>0</v>
      </c>
      <c r="BH92" s="24">
        <v>0</v>
      </c>
      <c r="BI92" s="23">
        <v>1</v>
      </c>
      <c r="BJ92" s="24">
        <v>1</v>
      </c>
      <c r="BK92" s="52">
        <v>0</v>
      </c>
      <c r="BL92" s="23">
        <v>0</v>
      </c>
      <c r="BM92" s="24">
        <v>0</v>
      </c>
      <c r="BN92" s="52">
        <v>0</v>
      </c>
      <c r="BO92" s="23">
        <v>0</v>
      </c>
      <c r="BP92" s="25">
        <v>104</v>
      </c>
      <c r="BQ92" s="24">
        <v>2</v>
      </c>
      <c r="BR92" s="23">
        <v>0</v>
      </c>
      <c r="BS92" s="24">
        <v>0</v>
      </c>
      <c r="BT92" s="24">
        <v>0</v>
      </c>
      <c r="BU92" s="52">
        <v>0</v>
      </c>
      <c r="BV92" s="14">
        <v>0</v>
      </c>
      <c r="BW92" s="209"/>
      <c r="BX92" s="3"/>
      <c r="BY92" s="3"/>
      <c r="BZ92" s="40"/>
      <c r="CA92" s="209"/>
      <c r="CB92" s="3"/>
      <c r="CC92" s="3"/>
      <c r="CD92" s="3"/>
      <c r="CE92" s="209"/>
      <c r="CF92" s="3"/>
      <c r="CG92" s="3"/>
      <c r="CH92" s="40"/>
      <c r="CI92" s="209"/>
      <c r="CJ92" s="3"/>
      <c r="CK92" s="3"/>
      <c r="CL92" s="209"/>
      <c r="CM92" s="3"/>
      <c r="CN92" s="3"/>
      <c r="CO92" s="3"/>
      <c r="CP92" s="40"/>
      <c r="CQ92" s="209"/>
      <c r="CR92" s="40"/>
      <c r="CS92" s="3"/>
      <c r="CT92" s="3"/>
    </row>
    <row r="93" spans="1:98">
      <c r="A93" s="42" t="s">
        <v>320</v>
      </c>
      <c r="B93" s="173" t="s">
        <v>304</v>
      </c>
      <c r="C93" s="12"/>
      <c r="D93" s="14" t="s">
        <v>201</v>
      </c>
      <c r="E93" s="173"/>
      <c r="F93" s="25">
        <v>2</v>
      </c>
      <c r="G93" s="23">
        <v>0</v>
      </c>
      <c r="H93" s="24">
        <v>0</v>
      </c>
      <c r="I93" s="24">
        <v>1</v>
      </c>
      <c r="J93" s="12">
        <v>1</v>
      </c>
      <c r="K93" s="23">
        <v>0</v>
      </c>
      <c r="L93" s="52">
        <v>0</v>
      </c>
      <c r="M93" s="23">
        <v>0</v>
      </c>
      <c r="N93" s="24">
        <v>423</v>
      </c>
      <c r="O93" s="23">
        <v>0</v>
      </c>
      <c r="P93" s="52">
        <v>423</v>
      </c>
      <c r="Q93" s="25">
        <v>581</v>
      </c>
      <c r="R93" s="212">
        <v>1.3735224586288417</v>
      </c>
      <c r="S93" s="23">
        <v>0</v>
      </c>
      <c r="T93" s="24">
        <v>1</v>
      </c>
      <c r="U93" s="24">
        <v>1</v>
      </c>
      <c r="V93" s="52">
        <v>0</v>
      </c>
      <c r="W93" s="14">
        <v>110</v>
      </c>
      <c r="X93" s="23">
        <v>0</v>
      </c>
      <c r="Y93" s="24">
        <v>0</v>
      </c>
      <c r="Z93" s="24">
        <v>0</v>
      </c>
      <c r="AA93" s="52">
        <v>0</v>
      </c>
      <c r="AB93" s="12">
        <v>0</v>
      </c>
      <c r="AC93" s="23">
        <v>0</v>
      </c>
      <c r="AD93" s="23">
        <v>0</v>
      </c>
      <c r="AE93" s="24">
        <v>1</v>
      </c>
      <c r="AF93" s="24">
        <v>0</v>
      </c>
      <c r="AG93" s="52">
        <v>0</v>
      </c>
      <c r="AH93" s="14">
        <v>100</v>
      </c>
      <c r="AI93" s="23">
        <v>0</v>
      </c>
      <c r="AJ93" s="24">
        <v>0</v>
      </c>
      <c r="AK93" s="24">
        <v>0</v>
      </c>
      <c r="AL93" s="52">
        <v>1</v>
      </c>
      <c r="AM93" s="12">
        <v>1</v>
      </c>
      <c r="AN93" s="23">
        <v>0</v>
      </c>
      <c r="AO93" s="24">
        <v>0</v>
      </c>
      <c r="AP93" s="24">
        <v>0</v>
      </c>
      <c r="AQ93" s="24">
        <v>0</v>
      </c>
      <c r="AR93" s="24">
        <v>0</v>
      </c>
      <c r="AS93" s="23">
        <v>0</v>
      </c>
      <c r="AT93" s="24">
        <v>0</v>
      </c>
      <c r="AU93" s="24">
        <v>0</v>
      </c>
      <c r="AV93" s="24">
        <v>0</v>
      </c>
      <c r="AW93" s="52">
        <v>0</v>
      </c>
      <c r="AX93" s="14">
        <v>0</v>
      </c>
      <c r="AY93" s="23">
        <v>0</v>
      </c>
      <c r="AZ93" s="24">
        <v>1</v>
      </c>
      <c r="BA93" s="24">
        <v>0</v>
      </c>
      <c r="BB93" s="52">
        <v>0</v>
      </c>
      <c r="BC93" s="12">
        <v>1</v>
      </c>
      <c r="BD93" s="23">
        <v>0</v>
      </c>
      <c r="BE93" s="24">
        <v>0</v>
      </c>
      <c r="BF93" s="24">
        <v>0</v>
      </c>
      <c r="BG93" s="24">
        <v>0</v>
      </c>
      <c r="BH93" s="24">
        <v>0</v>
      </c>
      <c r="BI93" s="23">
        <v>0</v>
      </c>
      <c r="BJ93" s="24">
        <v>0</v>
      </c>
      <c r="BK93" s="52">
        <v>1</v>
      </c>
      <c r="BL93" s="23">
        <v>0</v>
      </c>
      <c r="BM93" s="24">
        <v>0</v>
      </c>
      <c r="BN93" s="52">
        <v>0</v>
      </c>
      <c r="BO93" s="23">
        <v>0</v>
      </c>
      <c r="BP93" s="25">
        <v>73</v>
      </c>
      <c r="BQ93" s="24">
        <v>2</v>
      </c>
      <c r="BR93" s="23">
        <v>0</v>
      </c>
      <c r="BS93" s="24">
        <v>0</v>
      </c>
      <c r="BT93" s="24">
        <v>0</v>
      </c>
      <c r="BU93" s="52">
        <v>0</v>
      </c>
      <c r="BV93" s="14">
        <v>0</v>
      </c>
      <c r="BW93" s="209"/>
      <c r="BX93" s="3"/>
      <c r="BY93" s="3"/>
      <c r="BZ93" s="40"/>
      <c r="CA93" s="209"/>
      <c r="CB93" s="3"/>
      <c r="CC93" s="3"/>
      <c r="CD93" s="3"/>
      <c r="CE93" s="209"/>
      <c r="CF93" s="3"/>
      <c r="CG93" s="3"/>
      <c r="CH93" s="40"/>
      <c r="CI93" s="209"/>
      <c r="CJ93" s="3"/>
      <c r="CK93" s="3"/>
      <c r="CL93" s="209"/>
      <c r="CM93" s="3"/>
      <c r="CN93" s="3"/>
      <c r="CO93" s="3"/>
      <c r="CP93" s="40"/>
      <c r="CQ93" s="209"/>
      <c r="CR93" s="40"/>
      <c r="CS93" s="3"/>
      <c r="CT93" s="3"/>
    </row>
    <row r="94" spans="1:98">
      <c r="A94" s="42" t="s">
        <v>320</v>
      </c>
      <c r="B94" s="173" t="s">
        <v>304</v>
      </c>
      <c r="C94" s="12"/>
      <c r="D94" s="14" t="s">
        <v>130</v>
      </c>
      <c r="E94" s="173"/>
      <c r="F94" s="25">
        <v>0</v>
      </c>
      <c r="G94" s="23">
        <v>0</v>
      </c>
      <c r="H94" s="24">
        <v>1</v>
      </c>
      <c r="I94" s="24">
        <v>1</v>
      </c>
      <c r="J94" s="12">
        <v>11</v>
      </c>
      <c r="K94" s="23">
        <v>193</v>
      </c>
      <c r="L94" s="52">
        <v>1543</v>
      </c>
      <c r="M94" s="23">
        <v>0</v>
      </c>
      <c r="N94" s="24">
        <v>0</v>
      </c>
      <c r="O94" s="23">
        <v>0</v>
      </c>
      <c r="P94" s="52">
        <v>1384</v>
      </c>
      <c r="Q94" s="25">
        <v>3094</v>
      </c>
      <c r="R94" s="212">
        <v>2.810172570390554</v>
      </c>
      <c r="S94" s="23">
        <v>1</v>
      </c>
      <c r="T94" s="24">
        <v>0</v>
      </c>
      <c r="U94" s="24">
        <v>1</v>
      </c>
      <c r="V94" s="52">
        <v>0</v>
      </c>
      <c r="W94" s="14">
        <v>1010</v>
      </c>
      <c r="X94" s="23">
        <v>1</v>
      </c>
      <c r="Y94" s="24">
        <v>0</v>
      </c>
      <c r="Z94" s="24">
        <v>0</v>
      </c>
      <c r="AA94" s="52">
        <v>0</v>
      </c>
      <c r="AB94" s="12">
        <v>1000</v>
      </c>
      <c r="AC94" s="23">
        <v>1</v>
      </c>
      <c r="AD94" s="23">
        <v>0</v>
      </c>
      <c r="AE94" s="24">
        <v>0</v>
      </c>
      <c r="AF94" s="24">
        <v>0</v>
      </c>
      <c r="AG94" s="52">
        <v>0</v>
      </c>
      <c r="AH94" s="14">
        <v>0</v>
      </c>
      <c r="AI94" s="23">
        <v>0</v>
      </c>
      <c r="AJ94" s="24">
        <v>0</v>
      </c>
      <c r="AK94" s="24">
        <v>0</v>
      </c>
      <c r="AL94" s="52">
        <v>1</v>
      </c>
      <c r="AM94" s="12">
        <v>1</v>
      </c>
      <c r="AN94" s="23">
        <v>0</v>
      </c>
      <c r="AO94" s="24">
        <v>0</v>
      </c>
      <c r="AP94" s="24">
        <v>0</v>
      </c>
      <c r="AQ94" s="24">
        <v>0</v>
      </c>
      <c r="AR94" s="24">
        <v>0</v>
      </c>
      <c r="AS94" s="23">
        <v>1</v>
      </c>
      <c r="AT94" s="24">
        <v>0</v>
      </c>
      <c r="AU94" s="24">
        <v>0</v>
      </c>
      <c r="AV94" s="24">
        <v>0</v>
      </c>
      <c r="AW94" s="52">
        <v>0</v>
      </c>
      <c r="AX94" s="14">
        <v>1</v>
      </c>
      <c r="AY94" s="23">
        <v>0</v>
      </c>
      <c r="AZ94" s="24">
        <v>0</v>
      </c>
      <c r="BA94" s="24">
        <v>0</v>
      </c>
      <c r="BB94" s="52">
        <v>0</v>
      </c>
      <c r="BC94" s="12">
        <v>0</v>
      </c>
      <c r="BD94" s="23">
        <v>0</v>
      </c>
      <c r="BE94" s="24">
        <v>0</v>
      </c>
      <c r="BF94" s="24">
        <v>0</v>
      </c>
      <c r="BG94" s="24">
        <v>0</v>
      </c>
      <c r="BH94" s="24">
        <v>0</v>
      </c>
      <c r="BI94" s="23">
        <v>1</v>
      </c>
      <c r="BJ94" s="24">
        <v>0</v>
      </c>
      <c r="BK94" s="52">
        <v>0</v>
      </c>
      <c r="BL94" s="23">
        <v>0</v>
      </c>
      <c r="BM94" s="24">
        <v>0</v>
      </c>
      <c r="BN94" s="52">
        <v>0</v>
      </c>
      <c r="BO94" s="23">
        <v>0</v>
      </c>
      <c r="BP94" s="25">
        <v>134</v>
      </c>
      <c r="BQ94" s="24">
        <v>1</v>
      </c>
      <c r="BR94" s="23">
        <v>0</v>
      </c>
      <c r="BS94" s="24">
        <v>0</v>
      </c>
      <c r="BT94" s="24">
        <v>0</v>
      </c>
      <c r="BU94" s="52">
        <v>0</v>
      </c>
      <c r="BV94" s="14">
        <v>0</v>
      </c>
      <c r="BW94" s="209"/>
      <c r="BX94" s="3"/>
      <c r="BY94" s="3"/>
      <c r="BZ94" s="40"/>
      <c r="CA94" s="209"/>
      <c r="CB94" s="3"/>
      <c r="CC94" s="3"/>
      <c r="CD94" s="3"/>
      <c r="CE94" s="209"/>
      <c r="CF94" s="3"/>
      <c r="CG94" s="3"/>
      <c r="CH94" s="40"/>
      <c r="CI94" s="209"/>
      <c r="CJ94" s="3"/>
      <c r="CK94" s="3"/>
      <c r="CL94" s="209">
        <v>82.80604143107881</v>
      </c>
      <c r="CM94" s="3">
        <v>83.020071542561652</v>
      </c>
      <c r="CN94" s="3"/>
      <c r="CO94" s="3"/>
      <c r="CP94" s="40"/>
      <c r="CQ94" s="209">
        <v>82.596319579118244</v>
      </c>
      <c r="CR94" s="40"/>
      <c r="CS94" s="3"/>
      <c r="CT94" s="3"/>
    </row>
    <row r="95" spans="1:98">
      <c r="A95" s="42" t="s">
        <v>320</v>
      </c>
      <c r="B95" s="173" t="s">
        <v>304</v>
      </c>
      <c r="C95" s="12"/>
      <c r="D95" s="14" t="s">
        <v>385</v>
      </c>
      <c r="E95" s="173"/>
      <c r="F95" s="25">
        <v>6</v>
      </c>
      <c r="G95" s="23">
        <v>0</v>
      </c>
      <c r="H95" s="24">
        <v>0</v>
      </c>
      <c r="I95" s="24">
        <v>1</v>
      </c>
      <c r="J95" s="12">
        <v>1</v>
      </c>
      <c r="K95" s="23">
        <v>260</v>
      </c>
      <c r="L95" s="52">
        <v>783</v>
      </c>
      <c r="M95" s="23">
        <v>0</v>
      </c>
      <c r="N95" s="24">
        <v>2583</v>
      </c>
      <c r="O95" s="23">
        <v>0</v>
      </c>
      <c r="P95" s="52">
        <v>0</v>
      </c>
      <c r="Q95" s="25">
        <v>2583</v>
      </c>
      <c r="R95" s="212">
        <v>2.168765743073048</v>
      </c>
      <c r="S95" s="23">
        <v>1</v>
      </c>
      <c r="T95" s="24">
        <v>1</v>
      </c>
      <c r="U95" s="24">
        <v>0</v>
      </c>
      <c r="V95" s="52">
        <v>0</v>
      </c>
      <c r="W95" s="14">
        <v>1100</v>
      </c>
      <c r="X95" s="23">
        <v>1</v>
      </c>
      <c r="Y95" s="24">
        <v>0</v>
      </c>
      <c r="Z95" s="24">
        <v>0</v>
      </c>
      <c r="AA95" s="52">
        <v>0</v>
      </c>
      <c r="AB95" s="12">
        <v>1000</v>
      </c>
      <c r="AC95" s="23">
        <v>0</v>
      </c>
      <c r="AD95" s="23">
        <v>0</v>
      </c>
      <c r="AE95" s="24">
        <v>1</v>
      </c>
      <c r="AF95" s="24">
        <v>0</v>
      </c>
      <c r="AG95" s="52">
        <v>0</v>
      </c>
      <c r="AH95" s="14">
        <v>100</v>
      </c>
      <c r="AI95" s="23">
        <v>0</v>
      </c>
      <c r="AJ95" s="24">
        <v>0</v>
      </c>
      <c r="AK95" s="24">
        <v>0</v>
      </c>
      <c r="AL95" s="52">
        <v>0</v>
      </c>
      <c r="AM95" s="12">
        <v>0</v>
      </c>
      <c r="AN95" s="23">
        <v>0</v>
      </c>
      <c r="AO95" s="24">
        <v>0</v>
      </c>
      <c r="AP95" s="24">
        <v>0</v>
      </c>
      <c r="AQ95" s="24">
        <v>0</v>
      </c>
      <c r="AR95" s="24">
        <v>0</v>
      </c>
      <c r="AS95" s="23">
        <v>1</v>
      </c>
      <c r="AT95" s="24">
        <v>0</v>
      </c>
      <c r="AU95" s="24">
        <v>0</v>
      </c>
      <c r="AV95" s="24">
        <v>0</v>
      </c>
      <c r="AW95" s="52">
        <v>0</v>
      </c>
      <c r="AX95" s="14">
        <v>1</v>
      </c>
      <c r="AY95" s="23">
        <v>0</v>
      </c>
      <c r="AZ95" s="24">
        <v>0</v>
      </c>
      <c r="BA95" s="24">
        <v>0</v>
      </c>
      <c r="BB95" s="52">
        <v>0</v>
      </c>
      <c r="BC95" s="12">
        <v>0</v>
      </c>
      <c r="BD95" s="23">
        <v>0</v>
      </c>
      <c r="BE95" s="24">
        <v>0</v>
      </c>
      <c r="BF95" s="24">
        <v>0</v>
      </c>
      <c r="BG95" s="24">
        <v>0</v>
      </c>
      <c r="BH95" s="24">
        <v>0</v>
      </c>
      <c r="BI95" s="23">
        <v>1</v>
      </c>
      <c r="BJ95" s="24">
        <v>1</v>
      </c>
      <c r="BK95" s="52">
        <v>0</v>
      </c>
      <c r="BL95" s="23">
        <v>0</v>
      </c>
      <c r="BM95" s="24">
        <v>0</v>
      </c>
      <c r="BN95" s="52">
        <v>0</v>
      </c>
      <c r="BO95" s="23">
        <v>1</v>
      </c>
      <c r="BP95" s="25">
        <v>118</v>
      </c>
      <c r="BQ95" s="24">
        <v>1</v>
      </c>
      <c r="BR95" s="23">
        <v>0</v>
      </c>
      <c r="BS95" s="24">
        <v>0</v>
      </c>
      <c r="BT95" s="24">
        <v>0</v>
      </c>
      <c r="BU95" s="52">
        <v>0</v>
      </c>
      <c r="BV95" s="14">
        <v>0</v>
      </c>
      <c r="BW95" s="209"/>
      <c r="BX95" s="3"/>
      <c r="BY95" s="3"/>
      <c r="BZ95" s="40"/>
      <c r="CA95" s="209"/>
      <c r="CB95" s="3"/>
      <c r="CC95" s="3"/>
      <c r="CD95" s="3"/>
      <c r="CE95" s="209"/>
      <c r="CF95" s="3"/>
      <c r="CG95" s="3"/>
      <c r="CH95" s="40"/>
      <c r="CI95" s="209"/>
      <c r="CJ95" s="3"/>
      <c r="CK95" s="3"/>
      <c r="CL95" s="209"/>
      <c r="CM95" s="3"/>
      <c r="CN95" s="3"/>
      <c r="CO95" s="3"/>
      <c r="CP95" s="40"/>
      <c r="CQ95" s="209"/>
      <c r="CR95" s="40"/>
      <c r="CS95" s="3"/>
      <c r="CT95" s="3"/>
    </row>
    <row r="96" spans="1:98">
      <c r="A96" s="42" t="s">
        <v>320</v>
      </c>
      <c r="B96" s="173" t="s">
        <v>304</v>
      </c>
      <c r="C96" s="12"/>
      <c r="D96" s="14" t="s">
        <v>202</v>
      </c>
      <c r="E96" s="173"/>
      <c r="F96" s="25">
        <v>10</v>
      </c>
      <c r="G96" s="23">
        <v>1</v>
      </c>
      <c r="H96" s="24">
        <v>1</v>
      </c>
      <c r="I96" s="24">
        <v>1</v>
      </c>
      <c r="J96" s="12">
        <v>111</v>
      </c>
      <c r="K96" s="23">
        <v>218</v>
      </c>
      <c r="L96" s="52">
        <v>3856</v>
      </c>
      <c r="M96" s="23">
        <v>0</v>
      </c>
      <c r="N96" s="24">
        <v>1086</v>
      </c>
      <c r="O96" s="23">
        <v>769</v>
      </c>
      <c r="P96" s="52">
        <v>816</v>
      </c>
      <c r="Q96" s="25">
        <v>4691</v>
      </c>
      <c r="R96" s="212">
        <v>2.4820105820105822</v>
      </c>
      <c r="S96" s="23">
        <v>1</v>
      </c>
      <c r="T96" s="24">
        <v>1</v>
      </c>
      <c r="U96" s="24">
        <v>1</v>
      </c>
      <c r="V96" s="52">
        <v>0</v>
      </c>
      <c r="W96" s="14">
        <v>1110</v>
      </c>
      <c r="X96" s="23">
        <v>1</v>
      </c>
      <c r="Y96" s="24">
        <v>0</v>
      </c>
      <c r="Z96" s="24">
        <v>0</v>
      </c>
      <c r="AA96" s="52">
        <v>1</v>
      </c>
      <c r="AB96" s="12">
        <v>1001</v>
      </c>
      <c r="AC96" s="23">
        <v>1</v>
      </c>
      <c r="AD96" s="23">
        <v>0</v>
      </c>
      <c r="AE96" s="24">
        <v>1</v>
      </c>
      <c r="AF96" s="24">
        <v>0</v>
      </c>
      <c r="AG96" s="52">
        <v>0</v>
      </c>
      <c r="AH96" s="14">
        <v>100</v>
      </c>
      <c r="AI96" s="23">
        <v>0</v>
      </c>
      <c r="AJ96" s="24">
        <v>0</v>
      </c>
      <c r="AK96" s="24">
        <v>1</v>
      </c>
      <c r="AL96" s="52">
        <v>0</v>
      </c>
      <c r="AM96" s="12">
        <v>10</v>
      </c>
      <c r="AN96" s="23">
        <v>0</v>
      </c>
      <c r="AO96" s="24">
        <v>0</v>
      </c>
      <c r="AP96" s="24">
        <v>0</v>
      </c>
      <c r="AQ96" s="24">
        <v>0</v>
      </c>
      <c r="AR96" s="24">
        <v>0</v>
      </c>
      <c r="AS96" s="23">
        <v>1</v>
      </c>
      <c r="AT96" s="24">
        <v>0</v>
      </c>
      <c r="AU96" s="24">
        <v>0</v>
      </c>
      <c r="AV96" s="24">
        <v>1</v>
      </c>
      <c r="AW96" s="52">
        <v>0</v>
      </c>
      <c r="AX96" s="14">
        <v>2</v>
      </c>
      <c r="AY96" s="23">
        <v>0</v>
      </c>
      <c r="AZ96" s="24">
        <v>0</v>
      </c>
      <c r="BA96" s="24">
        <v>1</v>
      </c>
      <c r="BB96" s="52">
        <v>0</v>
      </c>
      <c r="BC96" s="12">
        <v>1</v>
      </c>
      <c r="BD96" s="23">
        <v>0</v>
      </c>
      <c r="BE96" s="24">
        <v>1</v>
      </c>
      <c r="BF96" s="24">
        <v>0</v>
      </c>
      <c r="BG96" s="24">
        <v>0</v>
      </c>
      <c r="BH96" s="24">
        <v>0</v>
      </c>
      <c r="BI96" s="23">
        <v>1</v>
      </c>
      <c r="BJ96" s="24">
        <v>1</v>
      </c>
      <c r="BK96" s="52">
        <v>0</v>
      </c>
      <c r="BL96" s="23">
        <v>0</v>
      </c>
      <c r="BM96" s="24">
        <v>0</v>
      </c>
      <c r="BN96" s="52">
        <v>0</v>
      </c>
      <c r="BO96" s="23">
        <v>0</v>
      </c>
      <c r="BP96" s="25">
        <v>123</v>
      </c>
      <c r="BQ96" s="24">
        <v>1</v>
      </c>
      <c r="BR96" s="23">
        <v>0</v>
      </c>
      <c r="BS96" s="24">
        <v>1</v>
      </c>
      <c r="BT96" s="24">
        <v>0</v>
      </c>
      <c r="BU96" s="52">
        <v>0</v>
      </c>
      <c r="BV96" s="14">
        <v>100</v>
      </c>
      <c r="BW96" s="209"/>
      <c r="BX96" s="3"/>
      <c r="BY96" s="3"/>
      <c r="BZ96" s="40"/>
      <c r="CA96" s="209"/>
      <c r="CB96" s="3"/>
      <c r="CC96" s="3"/>
      <c r="CD96" s="3"/>
      <c r="CE96" s="209"/>
      <c r="CF96" s="3"/>
      <c r="CG96" s="3"/>
      <c r="CH96" s="40"/>
      <c r="CI96" s="209"/>
      <c r="CJ96" s="3"/>
      <c r="CK96" s="3"/>
      <c r="CL96" s="209"/>
      <c r="CM96" s="3"/>
      <c r="CN96" s="3"/>
      <c r="CO96" s="3"/>
      <c r="CP96" s="40"/>
      <c r="CQ96" s="209"/>
      <c r="CR96" s="40"/>
      <c r="CS96" s="3"/>
      <c r="CT96" s="3"/>
    </row>
    <row r="97" spans="1:98">
      <c r="A97" s="42" t="s">
        <v>320</v>
      </c>
      <c r="B97" s="173" t="s">
        <v>304</v>
      </c>
      <c r="C97" s="12"/>
      <c r="D97" s="14" t="s">
        <v>394</v>
      </c>
      <c r="E97" s="173"/>
      <c r="F97" s="25">
        <v>17</v>
      </c>
      <c r="G97" s="23">
        <v>1</v>
      </c>
      <c r="H97" s="24">
        <v>1</v>
      </c>
      <c r="I97" s="24">
        <v>1</v>
      </c>
      <c r="J97" s="12">
        <v>111</v>
      </c>
      <c r="K97" s="23">
        <v>582</v>
      </c>
      <c r="L97" s="52">
        <v>2343</v>
      </c>
      <c r="M97" s="23">
        <v>254</v>
      </c>
      <c r="N97" s="24">
        <v>1360</v>
      </c>
      <c r="O97" s="23">
        <v>0</v>
      </c>
      <c r="P97" s="52">
        <v>0</v>
      </c>
      <c r="Q97" s="25">
        <v>6637</v>
      </c>
      <c r="R97" s="212">
        <v>3.7307476110174256</v>
      </c>
      <c r="S97" s="23">
        <v>1</v>
      </c>
      <c r="T97" s="24">
        <v>1</v>
      </c>
      <c r="U97" s="24">
        <v>0</v>
      </c>
      <c r="V97" s="52">
        <v>0</v>
      </c>
      <c r="W97" s="14">
        <v>1100</v>
      </c>
      <c r="X97" s="23">
        <v>1</v>
      </c>
      <c r="Y97" s="24">
        <v>1</v>
      </c>
      <c r="Z97" s="24">
        <v>0</v>
      </c>
      <c r="AA97" s="52">
        <v>0</v>
      </c>
      <c r="AB97" s="12">
        <v>1100</v>
      </c>
      <c r="AC97" s="23">
        <v>1</v>
      </c>
      <c r="AD97" s="23">
        <v>0</v>
      </c>
      <c r="AE97" s="24">
        <v>0</v>
      </c>
      <c r="AF97" s="24">
        <v>1</v>
      </c>
      <c r="AG97" s="52">
        <v>0</v>
      </c>
      <c r="AH97" s="14">
        <v>10</v>
      </c>
      <c r="AI97" s="23">
        <v>0</v>
      </c>
      <c r="AJ97" s="24">
        <v>0</v>
      </c>
      <c r="AK97" s="24">
        <v>0</v>
      </c>
      <c r="AL97" s="52">
        <v>0</v>
      </c>
      <c r="AM97" s="12">
        <v>0</v>
      </c>
      <c r="AN97" s="23">
        <v>0</v>
      </c>
      <c r="AO97" s="24">
        <v>0</v>
      </c>
      <c r="AP97" s="24">
        <v>0</v>
      </c>
      <c r="AQ97" s="24">
        <v>0</v>
      </c>
      <c r="AR97" s="24">
        <v>0</v>
      </c>
      <c r="AS97" s="23">
        <v>1</v>
      </c>
      <c r="AT97" s="24">
        <v>0</v>
      </c>
      <c r="AU97" s="24">
        <v>0</v>
      </c>
      <c r="AV97" s="24">
        <v>0</v>
      </c>
      <c r="AW97" s="52">
        <v>0</v>
      </c>
      <c r="AX97" s="14">
        <v>1</v>
      </c>
      <c r="AY97" s="23">
        <v>0</v>
      </c>
      <c r="AZ97" s="24">
        <v>0</v>
      </c>
      <c r="BA97" s="24">
        <v>1</v>
      </c>
      <c r="BB97" s="52">
        <v>0</v>
      </c>
      <c r="BC97" s="12">
        <v>1</v>
      </c>
      <c r="BD97" s="23">
        <v>0</v>
      </c>
      <c r="BE97" s="24">
        <v>0</v>
      </c>
      <c r="BF97" s="24">
        <v>0</v>
      </c>
      <c r="BG97" s="24">
        <v>0</v>
      </c>
      <c r="BH97" s="24">
        <v>0</v>
      </c>
      <c r="BI97" s="23">
        <v>1</v>
      </c>
      <c r="BJ97" s="24">
        <v>0</v>
      </c>
      <c r="BK97" s="52">
        <v>0</v>
      </c>
      <c r="BL97" s="23">
        <v>0</v>
      </c>
      <c r="BM97" s="24">
        <v>0</v>
      </c>
      <c r="BN97" s="52">
        <v>0</v>
      </c>
      <c r="BO97" s="23">
        <v>1</v>
      </c>
      <c r="BP97" s="25">
        <v>131</v>
      </c>
      <c r="BQ97" s="24">
        <v>1</v>
      </c>
      <c r="BR97" s="23">
        <v>0</v>
      </c>
      <c r="BS97" s="24">
        <v>0</v>
      </c>
      <c r="BT97" s="24">
        <v>0</v>
      </c>
      <c r="BU97" s="52">
        <v>0</v>
      </c>
      <c r="BV97" s="14">
        <v>0</v>
      </c>
      <c r="BW97" s="209"/>
      <c r="BX97" s="3"/>
      <c r="BY97" s="3"/>
      <c r="BZ97" s="40"/>
      <c r="CA97" s="209"/>
      <c r="CB97" s="3"/>
      <c r="CC97" s="3"/>
      <c r="CD97" s="3"/>
      <c r="CE97" s="209"/>
      <c r="CF97" s="3"/>
      <c r="CG97" s="3"/>
      <c r="CH97" s="40"/>
      <c r="CI97" s="209"/>
      <c r="CJ97" s="3"/>
      <c r="CK97" s="3"/>
      <c r="CL97" s="209"/>
      <c r="CM97" s="3"/>
      <c r="CN97" s="3"/>
      <c r="CO97" s="3"/>
      <c r="CP97" s="40"/>
      <c r="CQ97" s="209"/>
      <c r="CR97" s="40"/>
      <c r="CS97" s="3"/>
      <c r="CT97" s="3"/>
    </row>
    <row r="98" spans="1:98">
      <c r="A98" s="42" t="s">
        <v>320</v>
      </c>
      <c r="B98" s="173" t="s">
        <v>304</v>
      </c>
      <c r="C98" s="12"/>
      <c r="D98" s="14" t="s">
        <v>167</v>
      </c>
      <c r="E98" s="173"/>
      <c r="F98" s="25">
        <v>3</v>
      </c>
      <c r="G98" s="23">
        <v>0</v>
      </c>
      <c r="H98" s="24">
        <v>0</v>
      </c>
      <c r="I98" s="24">
        <v>1</v>
      </c>
      <c r="J98" s="12">
        <v>1</v>
      </c>
      <c r="K98" s="23">
        <v>0</v>
      </c>
      <c r="L98" s="52">
        <v>3611</v>
      </c>
      <c r="M98" s="23">
        <v>0</v>
      </c>
      <c r="N98" s="24">
        <v>491</v>
      </c>
      <c r="O98" s="23">
        <v>0</v>
      </c>
      <c r="P98" s="52">
        <v>1699</v>
      </c>
      <c r="Q98" s="25">
        <v>3611</v>
      </c>
      <c r="R98" s="212">
        <v>1.0791990436341901</v>
      </c>
      <c r="S98" s="23">
        <v>1</v>
      </c>
      <c r="T98" s="24">
        <v>1</v>
      </c>
      <c r="U98" s="24">
        <v>1</v>
      </c>
      <c r="V98" s="52">
        <v>0</v>
      </c>
      <c r="W98" s="14">
        <v>1110</v>
      </c>
      <c r="X98" s="23">
        <v>0</v>
      </c>
      <c r="Y98" s="24">
        <v>0</v>
      </c>
      <c r="Z98" s="24">
        <v>0</v>
      </c>
      <c r="AA98" s="52">
        <v>1</v>
      </c>
      <c r="AB98" s="12">
        <v>1</v>
      </c>
      <c r="AC98" s="23">
        <v>1</v>
      </c>
      <c r="AD98" s="23">
        <v>0</v>
      </c>
      <c r="AE98" s="24">
        <v>0</v>
      </c>
      <c r="AF98" s="24">
        <v>0</v>
      </c>
      <c r="AG98" s="52">
        <v>1</v>
      </c>
      <c r="AH98" s="14">
        <v>1</v>
      </c>
      <c r="AI98" s="23">
        <v>0</v>
      </c>
      <c r="AJ98" s="24">
        <v>0</v>
      </c>
      <c r="AK98" s="24">
        <v>1</v>
      </c>
      <c r="AL98" s="52">
        <v>0</v>
      </c>
      <c r="AM98" s="12">
        <v>10</v>
      </c>
      <c r="AN98" s="23">
        <v>0</v>
      </c>
      <c r="AO98" s="24">
        <v>0</v>
      </c>
      <c r="AP98" s="24">
        <v>0</v>
      </c>
      <c r="AQ98" s="24">
        <v>0</v>
      </c>
      <c r="AR98" s="24">
        <v>0</v>
      </c>
      <c r="AS98" s="23">
        <v>1</v>
      </c>
      <c r="AT98" s="24">
        <v>0</v>
      </c>
      <c r="AU98" s="24">
        <v>0</v>
      </c>
      <c r="AV98" s="24">
        <v>1</v>
      </c>
      <c r="AW98" s="52">
        <v>0</v>
      </c>
      <c r="AX98" s="14">
        <v>2</v>
      </c>
      <c r="AY98" s="23">
        <v>0</v>
      </c>
      <c r="AZ98" s="24">
        <v>0</v>
      </c>
      <c r="BA98" s="24">
        <v>0</v>
      </c>
      <c r="BB98" s="52">
        <v>0</v>
      </c>
      <c r="BC98" s="12">
        <v>0</v>
      </c>
      <c r="BD98" s="23">
        <v>1</v>
      </c>
      <c r="BE98" s="24">
        <v>0</v>
      </c>
      <c r="BF98" s="24">
        <v>0</v>
      </c>
      <c r="BG98" s="24">
        <v>0</v>
      </c>
      <c r="BH98" s="24">
        <v>1</v>
      </c>
      <c r="BI98" s="23">
        <v>1</v>
      </c>
      <c r="BJ98" s="24">
        <v>0</v>
      </c>
      <c r="BK98" s="52">
        <v>0</v>
      </c>
      <c r="BL98" s="23">
        <v>0</v>
      </c>
      <c r="BM98" s="24">
        <v>0</v>
      </c>
      <c r="BN98" s="52">
        <v>0</v>
      </c>
      <c r="BO98" s="23">
        <v>0</v>
      </c>
      <c r="BP98" s="25">
        <v>126</v>
      </c>
      <c r="BQ98" s="24">
        <v>2</v>
      </c>
      <c r="BR98" s="23">
        <v>0</v>
      </c>
      <c r="BS98" s="24">
        <v>0</v>
      </c>
      <c r="BT98" s="24">
        <v>0</v>
      </c>
      <c r="BU98" s="52">
        <v>0</v>
      </c>
      <c r="BV98" s="14">
        <v>0</v>
      </c>
      <c r="BW98" s="209"/>
      <c r="BX98" s="3"/>
      <c r="BY98" s="3"/>
      <c r="BZ98" s="40"/>
      <c r="CA98" s="209"/>
      <c r="CB98" s="3"/>
      <c r="CC98" s="3"/>
      <c r="CD98" s="3"/>
      <c r="CE98" s="209"/>
      <c r="CF98" s="3"/>
      <c r="CG98" s="3"/>
      <c r="CH98" s="40"/>
      <c r="CI98" s="209"/>
      <c r="CJ98" s="3"/>
      <c r="CK98" s="3"/>
      <c r="CL98" s="209"/>
      <c r="CM98" s="3"/>
      <c r="CN98" s="3"/>
      <c r="CO98" s="3"/>
      <c r="CP98" s="40"/>
      <c r="CQ98" s="209"/>
      <c r="CR98" s="40"/>
      <c r="CS98" s="3"/>
      <c r="CT98" s="3"/>
    </row>
    <row r="99" spans="1:98">
      <c r="A99" s="42" t="s">
        <v>320</v>
      </c>
      <c r="B99" s="173" t="s">
        <v>304</v>
      </c>
      <c r="C99" s="12"/>
      <c r="D99" s="14" t="s">
        <v>388</v>
      </c>
      <c r="E99" s="173"/>
      <c r="F99" s="25">
        <v>19</v>
      </c>
      <c r="G99" s="23">
        <v>1</v>
      </c>
      <c r="H99" s="24">
        <v>0</v>
      </c>
      <c r="I99" s="24">
        <v>1</v>
      </c>
      <c r="J99" s="12">
        <v>101</v>
      </c>
      <c r="K99" s="23">
        <v>207</v>
      </c>
      <c r="L99" s="52">
        <v>3683</v>
      </c>
      <c r="M99" s="23">
        <v>233</v>
      </c>
      <c r="N99" s="24">
        <v>511</v>
      </c>
      <c r="O99" s="23">
        <v>0</v>
      </c>
      <c r="P99" s="52">
        <v>456</v>
      </c>
      <c r="Q99" s="25">
        <v>6216</v>
      </c>
      <c r="R99" s="212">
        <v>2.0116504854368933</v>
      </c>
      <c r="S99" s="23">
        <v>1</v>
      </c>
      <c r="T99" s="24">
        <v>1</v>
      </c>
      <c r="U99" s="24">
        <v>1</v>
      </c>
      <c r="V99" s="52">
        <v>0</v>
      </c>
      <c r="W99" s="14">
        <v>1110</v>
      </c>
      <c r="X99" s="23">
        <v>1</v>
      </c>
      <c r="Y99" s="24">
        <v>0</v>
      </c>
      <c r="Z99" s="24">
        <v>0</v>
      </c>
      <c r="AA99" s="52">
        <v>0</v>
      </c>
      <c r="AB99" s="12">
        <v>1000</v>
      </c>
      <c r="AC99" s="23">
        <v>1</v>
      </c>
      <c r="AD99" s="23">
        <v>0</v>
      </c>
      <c r="AE99" s="24">
        <v>1</v>
      </c>
      <c r="AF99" s="24">
        <v>1</v>
      </c>
      <c r="AG99" s="52">
        <v>0</v>
      </c>
      <c r="AH99" s="14">
        <v>110</v>
      </c>
      <c r="AI99" s="23">
        <v>0</v>
      </c>
      <c r="AJ99" s="24">
        <v>0</v>
      </c>
      <c r="AK99" s="24">
        <v>1</v>
      </c>
      <c r="AL99" s="52">
        <v>0</v>
      </c>
      <c r="AM99" s="12">
        <v>10</v>
      </c>
      <c r="AN99" s="23">
        <v>0</v>
      </c>
      <c r="AO99" s="24">
        <v>0</v>
      </c>
      <c r="AP99" s="24">
        <v>0</v>
      </c>
      <c r="AQ99" s="24">
        <v>0</v>
      </c>
      <c r="AR99" s="24">
        <v>0</v>
      </c>
      <c r="AS99" s="23">
        <v>1</v>
      </c>
      <c r="AT99" s="24">
        <v>0</v>
      </c>
      <c r="AU99" s="24">
        <v>0</v>
      </c>
      <c r="AV99" s="24">
        <v>0</v>
      </c>
      <c r="AW99" s="52">
        <v>0</v>
      </c>
      <c r="AX99" s="14">
        <v>1</v>
      </c>
      <c r="AY99" s="23">
        <v>0</v>
      </c>
      <c r="AZ99" s="24">
        <v>0</v>
      </c>
      <c r="BA99" s="24">
        <v>0</v>
      </c>
      <c r="BB99" s="52">
        <v>1</v>
      </c>
      <c r="BC99" s="12">
        <v>1</v>
      </c>
      <c r="BD99" s="23">
        <v>1</v>
      </c>
      <c r="BE99" s="24">
        <v>0</v>
      </c>
      <c r="BF99" s="24">
        <v>0</v>
      </c>
      <c r="BG99" s="24">
        <v>0</v>
      </c>
      <c r="BH99" s="24">
        <v>0</v>
      </c>
      <c r="BI99" s="23">
        <v>1</v>
      </c>
      <c r="BJ99" s="24">
        <v>0</v>
      </c>
      <c r="BK99" s="52">
        <v>0</v>
      </c>
      <c r="BL99" s="23">
        <v>0</v>
      </c>
      <c r="BM99" s="24">
        <v>0</v>
      </c>
      <c r="BN99" s="52">
        <v>0</v>
      </c>
      <c r="BO99" s="23">
        <v>0</v>
      </c>
      <c r="BP99" s="25">
        <v>157</v>
      </c>
      <c r="BQ99" s="24">
        <v>1</v>
      </c>
      <c r="BR99" s="23">
        <v>0</v>
      </c>
      <c r="BS99" s="24">
        <v>0</v>
      </c>
      <c r="BT99" s="24">
        <v>0</v>
      </c>
      <c r="BU99" s="52">
        <v>0</v>
      </c>
      <c r="BV99" s="14">
        <v>0</v>
      </c>
      <c r="BW99" s="209"/>
      <c r="BX99" s="3"/>
      <c r="BY99" s="3"/>
      <c r="BZ99" s="40"/>
      <c r="CA99" s="209"/>
      <c r="CB99" s="3"/>
      <c r="CC99" s="3"/>
      <c r="CD99" s="3"/>
      <c r="CE99" s="209"/>
      <c r="CF99" s="3"/>
      <c r="CG99" s="3"/>
      <c r="CH99" s="40"/>
      <c r="CI99" s="209"/>
      <c r="CJ99" s="3"/>
      <c r="CK99" s="3"/>
      <c r="CL99" s="209"/>
      <c r="CM99" s="3"/>
      <c r="CN99" s="3"/>
      <c r="CO99" s="3"/>
      <c r="CP99" s="40"/>
      <c r="CQ99" s="209"/>
      <c r="CR99" s="40"/>
      <c r="CS99" s="3"/>
      <c r="CT99" s="3"/>
    </row>
    <row r="100" spans="1:98">
      <c r="A100" s="42" t="s">
        <v>320</v>
      </c>
      <c r="B100" s="173" t="s">
        <v>304</v>
      </c>
      <c r="C100" s="12"/>
      <c r="D100" s="14" t="s">
        <v>199</v>
      </c>
      <c r="E100" s="173"/>
      <c r="F100" s="25">
        <v>10</v>
      </c>
      <c r="G100" s="23">
        <v>0</v>
      </c>
      <c r="H100" s="24">
        <v>0</v>
      </c>
      <c r="I100" s="24">
        <v>1</v>
      </c>
      <c r="J100" s="12">
        <v>1</v>
      </c>
      <c r="K100" s="23">
        <v>235</v>
      </c>
      <c r="L100" s="52">
        <v>1720</v>
      </c>
      <c r="M100" s="23">
        <v>391</v>
      </c>
      <c r="N100" s="24">
        <v>901</v>
      </c>
      <c r="O100" s="23">
        <v>0</v>
      </c>
      <c r="P100" s="52">
        <v>0</v>
      </c>
      <c r="Q100" s="25">
        <v>2617</v>
      </c>
      <c r="R100" s="212">
        <v>1.555885850178359</v>
      </c>
      <c r="S100" s="23">
        <v>1</v>
      </c>
      <c r="T100" s="24">
        <v>1</v>
      </c>
      <c r="U100" s="24">
        <v>0</v>
      </c>
      <c r="V100" s="52">
        <v>0</v>
      </c>
      <c r="W100" s="14">
        <v>1100</v>
      </c>
      <c r="X100" s="23">
        <v>1</v>
      </c>
      <c r="Y100" s="24">
        <v>0</v>
      </c>
      <c r="Z100" s="24">
        <v>0</v>
      </c>
      <c r="AA100" s="52">
        <v>1</v>
      </c>
      <c r="AB100" s="12">
        <v>1001</v>
      </c>
      <c r="AC100" s="23">
        <v>1</v>
      </c>
      <c r="AD100" s="23">
        <v>0</v>
      </c>
      <c r="AE100" s="24">
        <v>1</v>
      </c>
      <c r="AF100" s="24">
        <v>1</v>
      </c>
      <c r="AG100" s="52">
        <v>0</v>
      </c>
      <c r="AH100" s="14">
        <v>110</v>
      </c>
      <c r="AI100" s="23">
        <v>0</v>
      </c>
      <c r="AJ100" s="24">
        <v>0</v>
      </c>
      <c r="AK100" s="24">
        <v>0</v>
      </c>
      <c r="AL100" s="52">
        <v>0</v>
      </c>
      <c r="AM100" s="12">
        <v>0</v>
      </c>
      <c r="AN100" s="23">
        <v>0</v>
      </c>
      <c r="AO100" s="24">
        <v>0</v>
      </c>
      <c r="AP100" s="24">
        <v>0</v>
      </c>
      <c r="AQ100" s="24">
        <v>0</v>
      </c>
      <c r="AR100" s="24">
        <v>0</v>
      </c>
      <c r="AS100" s="23">
        <v>1</v>
      </c>
      <c r="AT100" s="24">
        <v>0</v>
      </c>
      <c r="AU100" s="24">
        <v>0</v>
      </c>
      <c r="AV100" s="24">
        <v>1</v>
      </c>
      <c r="AW100" s="52">
        <v>0</v>
      </c>
      <c r="AX100" s="14">
        <v>2</v>
      </c>
      <c r="AY100" s="23">
        <v>0</v>
      </c>
      <c r="AZ100" s="24">
        <v>0</v>
      </c>
      <c r="BA100" s="24">
        <v>1</v>
      </c>
      <c r="BB100" s="52">
        <v>0</v>
      </c>
      <c r="BC100" s="12">
        <v>1</v>
      </c>
      <c r="BD100" s="23">
        <v>0</v>
      </c>
      <c r="BE100" s="24">
        <v>0</v>
      </c>
      <c r="BF100" s="24">
        <v>0</v>
      </c>
      <c r="BG100" s="24">
        <v>0</v>
      </c>
      <c r="BH100" s="24">
        <v>0</v>
      </c>
      <c r="BI100" s="23">
        <v>1</v>
      </c>
      <c r="BJ100" s="24">
        <v>1</v>
      </c>
      <c r="BK100" s="52">
        <v>0</v>
      </c>
      <c r="BL100" s="23">
        <v>0</v>
      </c>
      <c r="BM100" s="24">
        <v>0</v>
      </c>
      <c r="BN100" s="52">
        <v>0</v>
      </c>
      <c r="BO100" s="23">
        <v>1</v>
      </c>
      <c r="BP100" s="25">
        <v>115</v>
      </c>
      <c r="BQ100" s="24">
        <v>1</v>
      </c>
      <c r="BR100" s="23">
        <v>0</v>
      </c>
      <c r="BS100" s="24">
        <v>0</v>
      </c>
      <c r="BT100" s="24">
        <v>0</v>
      </c>
      <c r="BU100" s="52">
        <v>0</v>
      </c>
      <c r="BV100" s="14">
        <v>0</v>
      </c>
      <c r="BW100" s="209"/>
      <c r="BX100" s="3"/>
      <c r="BY100" s="3"/>
      <c r="BZ100" s="40"/>
      <c r="CA100" s="209"/>
      <c r="CB100" s="3"/>
      <c r="CC100" s="3"/>
      <c r="CD100" s="3"/>
      <c r="CE100" s="209"/>
      <c r="CF100" s="3"/>
      <c r="CG100" s="3"/>
      <c r="CH100" s="40"/>
      <c r="CI100" s="209"/>
      <c r="CJ100" s="3"/>
      <c r="CK100" s="3"/>
      <c r="CL100" s="209">
        <v>84.030781913859542</v>
      </c>
      <c r="CM100" s="3">
        <v>84.398676811839962</v>
      </c>
      <c r="CN100" s="3"/>
      <c r="CO100" s="3"/>
      <c r="CP100" s="40"/>
      <c r="CQ100" s="209">
        <v>82.697129467290395</v>
      </c>
      <c r="CR100" s="40">
        <v>82.243454528132148</v>
      </c>
      <c r="CS100" s="3"/>
      <c r="CT100" s="3"/>
    </row>
    <row r="101" spans="1:98">
      <c r="A101" s="42" t="s">
        <v>320</v>
      </c>
      <c r="B101" s="173" t="s">
        <v>304</v>
      </c>
      <c r="C101" s="12"/>
      <c r="D101" s="14" t="s">
        <v>174</v>
      </c>
      <c r="E101" s="173"/>
      <c r="F101" s="25">
        <v>12</v>
      </c>
      <c r="G101" s="23">
        <v>0</v>
      </c>
      <c r="H101" s="24">
        <v>0</v>
      </c>
      <c r="I101" s="24">
        <v>1</v>
      </c>
      <c r="J101" s="12">
        <v>1</v>
      </c>
      <c r="K101" s="23">
        <v>203</v>
      </c>
      <c r="L101" s="52">
        <v>1815</v>
      </c>
      <c r="M101" s="23">
        <v>95</v>
      </c>
      <c r="N101" s="24">
        <v>680</v>
      </c>
      <c r="O101" s="23">
        <v>0</v>
      </c>
      <c r="P101" s="52">
        <v>0</v>
      </c>
      <c r="Q101" s="25">
        <v>2151</v>
      </c>
      <c r="R101" s="212">
        <v>1.1620745542949757</v>
      </c>
      <c r="S101" s="23">
        <v>1</v>
      </c>
      <c r="T101" s="24">
        <v>1</v>
      </c>
      <c r="U101" s="24">
        <v>0</v>
      </c>
      <c r="V101" s="52">
        <v>0</v>
      </c>
      <c r="W101" s="14">
        <v>1100</v>
      </c>
      <c r="X101" s="23">
        <v>1</v>
      </c>
      <c r="Y101" s="24">
        <v>1</v>
      </c>
      <c r="Z101" s="24">
        <v>0</v>
      </c>
      <c r="AA101" s="52">
        <v>0</v>
      </c>
      <c r="AB101" s="12">
        <v>1100</v>
      </c>
      <c r="AC101" s="23">
        <v>1</v>
      </c>
      <c r="AD101" s="23">
        <v>0</v>
      </c>
      <c r="AE101" s="24">
        <v>0</v>
      </c>
      <c r="AF101" s="24">
        <v>1</v>
      </c>
      <c r="AG101" s="52">
        <v>0</v>
      </c>
      <c r="AH101" s="14">
        <v>10</v>
      </c>
      <c r="AI101" s="23">
        <v>0</v>
      </c>
      <c r="AJ101" s="24">
        <v>0</v>
      </c>
      <c r="AK101" s="24">
        <v>0</v>
      </c>
      <c r="AL101" s="52">
        <v>0</v>
      </c>
      <c r="AM101" s="12">
        <v>0</v>
      </c>
      <c r="AN101" s="23">
        <v>0</v>
      </c>
      <c r="AO101" s="24">
        <v>0</v>
      </c>
      <c r="AP101" s="24">
        <v>0</v>
      </c>
      <c r="AQ101" s="24">
        <v>0</v>
      </c>
      <c r="AR101" s="24">
        <v>0</v>
      </c>
      <c r="AS101" s="23">
        <v>1</v>
      </c>
      <c r="AT101" s="24">
        <v>0</v>
      </c>
      <c r="AU101" s="24">
        <v>0</v>
      </c>
      <c r="AV101" s="24">
        <v>1</v>
      </c>
      <c r="AW101" s="52">
        <v>0</v>
      </c>
      <c r="AX101" s="14">
        <v>2</v>
      </c>
      <c r="AY101" s="23">
        <v>1</v>
      </c>
      <c r="AZ101" s="24">
        <v>0</v>
      </c>
      <c r="BA101" s="24">
        <v>0</v>
      </c>
      <c r="BB101" s="52">
        <v>0</v>
      </c>
      <c r="BC101" s="12">
        <v>1</v>
      </c>
      <c r="BD101" s="23">
        <v>0</v>
      </c>
      <c r="BE101" s="24">
        <v>0</v>
      </c>
      <c r="BF101" s="24">
        <v>0</v>
      </c>
      <c r="BG101" s="24">
        <v>0</v>
      </c>
      <c r="BH101" s="24">
        <v>0</v>
      </c>
      <c r="BI101" s="23">
        <v>1</v>
      </c>
      <c r="BJ101" s="24">
        <v>1</v>
      </c>
      <c r="BK101" s="52">
        <v>0</v>
      </c>
      <c r="BL101" s="23">
        <v>0</v>
      </c>
      <c r="BM101" s="24">
        <v>0</v>
      </c>
      <c r="BN101" s="52">
        <v>0</v>
      </c>
      <c r="BO101" s="23">
        <v>1</v>
      </c>
      <c r="BP101" s="25">
        <v>121</v>
      </c>
      <c r="BQ101" s="24">
        <v>1</v>
      </c>
      <c r="BR101" s="23">
        <v>0</v>
      </c>
      <c r="BS101" s="24">
        <v>0</v>
      </c>
      <c r="BT101" s="24">
        <v>0</v>
      </c>
      <c r="BU101" s="52">
        <v>0</v>
      </c>
      <c r="BV101" s="14">
        <v>0</v>
      </c>
      <c r="BW101" s="209"/>
      <c r="BX101" s="3"/>
      <c r="BY101" s="3"/>
      <c r="BZ101" s="40"/>
      <c r="CA101" s="209"/>
      <c r="CB101" s="3"/>
      <c r="CC101" s="3"/>
      <c r="CD101" s="3"/>
      <c r="CE101" s="209"/>
      <c r="CF101" s="3"/>
      <c r="CG101" s="3"/>
      <c r="CH101" s="40"/>
      <c r="CI101" s="209"/>
      <c r="CJ101" s="3"/>
      <c r="CK101" s="3"/>
      <c r="CL101" s="209"/>
      <c r="CM101" s="3"/>
      <c r="CN101" s="3"/>
      <c r="CO101" s="3"/>
      <c r="CP101" s="40"/>
      <c r="CQ101" s="209"/>
      <c r="CR101" s="40"/>
      <c r="CS101" s="3"/>
      <c r="CT101" s="3"/>
    </row>
    <row r="102" spans="1:98">
      <c r="A102" s="42" t="s">
        <v>320</v>
      </c>
      <c r="B102" s="173" t="s">
        <v>304</v>
      </c>
      <c r="C102" s="12"/>
      <c r="D102" s="14" t="s">
        <v>261</v>
      </c>
      <c r="E102" s="173"/>
      <c r="F102" s="25">
        <v>8</v>
      </c>
      <c r="G102" s="23">
        <v>1</v>
      </c>
      <c r="H102" s="24">
        <v>0</v>
      </c>
      <c r="I102" s="24">
        <v>1</v>
      </c>
      <c r="J102" s="12">
        <v>101</v>
      </c>
      <c r="K102" s="23">
        <v>306</v>
      </c>
      <c r="L102" s="52">
        <v>1849</v>
      </c>
      <c r="M102" s="23">
        <v>0</v>
      </c>
      <c r="N102" s="24">
        <v>0</v>
      </c>
      <c r="O102" s="23">
        <v>153</v>
      </c>
      <c r="P102" s="52">
        <v>1754</v>
      </c>
      <c r="Q102" s="25">
        <v>4142</v>
      </c>
      <c r="R102" s="212">
        <v>2.6948601171112556</v>
      </c>
      <c r="S102" s="23">
        <v>1</v>
      </c>
      <c r="T102" s="24">
        <v>0</v>
      </c>
      <c r="U102" s="24">
        <v>1</v>
      </c>
      <c r="V102" s="52">
        <v>0</v>
      </c>
      <c r="W102" s="14">
        <v>1010</v>
      </c>
      <c r="X102" s="23">
        <v>1</v>
      </c>
      <c r="Y102" s="24">
        <v>1</v>
      </c>
      <c r="Z102" s="24">
        <v>0</v>
      </c>
      <c r="AA102" s="52">
        <v>0</v>
      </c>
      <c r="AB102" s="12">
        <v>1100</v>
      </c>
      <c r="AC102" s="23">
        <v>1</v>
      </c>
      <c r="AD102" s="23">
        <v>0</v>
      </c>
      <c r="AE102" s="24">
        <v>0</v>
      </c>
      <c r="AF102" s="24">
        <v>0</v>
      </c>
      <c r="AG102" s="52">
        <v>0</v>
      </c>
      <c r="AH102" s="14">
        <v>0</v>
      </c>
      <c r="AI102" s="23">
        <v>0</v>
      </c>
      <c r="AJ102" s="24">
        <v>0</v>
      </c>
      <c r="AK102" s="24">
        <v>1</v>
      </c>
      <c r="AL102" s="52">
        <v>1</v>
      </c>
      <c r="AM102" s="12">
        <v>11</v>
      </c>
      <c r="AN102" s="23">
        <v>0</v>
      </c>
      <c r="AO102" s="24">
        <v>0</v>
      </c>
      <c r="AP102" s="24">
        <v>0</v>
      </c>
      <c r="AQ102" s="24">
        <v>0</v>
      </c>
      <c r="AR102" s="24">
        <v>0</v>
      </c>
      <c r="AS102" s="23">
        <v>1</v>
      </c>
      <c r="AT102" s="24">
        <v>0</v>
      </c>
      <c r="AU102" s="24">
        <v>0</v>
      </c>
      <c r="AV102" s="24">
        <v>0</v>
      </c>
      <c r="AW102" s="52">
        <v>0</v>
      </c>
      <c r="AX102" s="14">
        <v>1</v>
      </c>
      <c r="AY102" s="23">
        <v>0</v>
      </c>
      <c r="AZ102" s="24">
        <v>0</v>
      </c>
      <c r="BA102" s="24">
        <v>0</v>
      </c>
      <c r="BB102" s="52">
        <v>0</v>
      </c>
      <c r="BC102" s="12">
        <v>0</v>
      </c>
      <c r="BD102" s="23">
        <v>0</v>
      </c>
      <c r="BE102" s="24">
        <v>0</v>
      </c>
      <c r="BF102" s="24">
        <v>0</v>
      </c>
      <c r="BG102" s="24">
        <v>0</v>
      </c>
      <c r="BH102" s="24">
        <v>0</v>
      </c>
      <c r="BI102" s="23">
        <v>1</v>
      </c>
      <c r="BJ102" s="24">
        <v>0</v>
      </c>
      <c r="BK102" s="52">
        <v>0</v>
      </c>
      <c r="BL102" s="23">
        <v>0</v>
      </c>
      <c r="BM102" s="24">
        <v>0</v>
      </c>
      <c r="BN102" s="52">
        <v>0</v>
      </c>
      <c r="BO102" s="23">
        <v>0</v>
      </c>
      <c r="BP102" s="25">
        <v>114</v>
      </c>
      <c r="BQ102" s="24">
        <v>2</v>
      </c>
      <c r="BR102" s="23">
        <v>0</v>
      </c>
      <c r="BS102" s="24">
        <v>0</v>
      </c>
      <c r="BT102" s="24">
        <v>0</v>
      </c>
      <c r="BU102" s="52">
        <v>0</v>
      </c>
      <c r="BV102" s="14">
        <v>0</v>
      </c>
      <c r="BW102" s="209"/>
      <c r="BX102" s="3"/>
      <c r="BY102" s="3"/>
      <c r="BZ102" s="40"/>
      <c r="CA102" s="209"/>
      <c r="CB102" s="3"/>
      <c r="CC102" s="3"/>
      <c r="CD102" s="3"/>
      <c r="CE102" s="209"/>
      <c r="CF102" s="3"/>
      <c r="CG102" s="3"/>
      <c r="CH102" s="40"/>
      <c r="CI102" s="209"/>
      <c r="CJ102" s="3"/>
      <c r="CK102" s="3"/>
      <c r="CL102" s="209"/>
      <c r="CM102" s="3"/>
      <c r="CN102" s="3"/>
      <c r="CO102" s="3"/>
      <c r="CP102" s="40"/>
      <c r="CQ102" s="209"/>
      <c r="CR102" s="40"/>
      <c r="CS102" s="3"/>
      <c r="CT102" s="3"/>
    </row>
    <row r="103" spans="1:98">
      <c r="A103" s="42" t="s">
        <v>320</v>
      </c>
      <c r="B103" s="173" t="s">
        <v>304</v>
      </c>
      <c r="C103" s="12"/>
      <c r="D103" s="14" t="s">
        <v>206</v>
      </c>
      <c r="E103" s="173"/>
      <c r="F103" s="25">
        <v>8</v>
      </c>
      <c r="G103" s="23">
        <v>0</v>
      </c>
      <c r="H103" s="24">
        <v>1</v>
      </c>
      <c r="I103" s="24">
        <v>1</v>
      </c>
      <c r="J103" s="12">
        <v>11</v>
      </c>
      <c r="K103" s="23">
        <v>251</v>
      </c>
      <c r="L103" s="52">
        <v>1589</v>
      </c>
      <c r="M103" s="23">
        <v>0</v>
      </c>
      <c r="N103" s="24">
        <v>350</v>
      </c>
      <c r="O103" s="23">
        <v>0</v>
      </c>
      <c r="P103" s="52">
        <v>1723</v>
      </c>
      <c r="Q103" s="25">
        <v>2774</v>
      </c>
      <c r="R103" s="212">
        <v>1.426954732510288</v>
      </c>
      <c r="S103" s="23">
        <v>1</v>
      </c>
      <c r="T103" s="24">
        <v>1</v>
      </c>
      <c r="U103" s="24">
        <v>1</v>
      </c>
      <c r="V103" s="52">
        <v>0</v>
      </c>
      <c r="W103" s="14">
        <v>1110</v>
      </c>
      <c r="X103" s="23">
        <v>1</v>
      </c>
      <c r="Y103" s="24">
        <v>1</v>
      </c>
      <c r="Z103" s="24">
        <v>0</v>
      </c>
      <c r="AA103" s="52">
        <v>0</v>
      </c>
      <c r="AB103" s="12">
        <v>1100</v>
      </c>
      <c r="AC103" s="23">
        <v>1</v>
      </c>
      <c r="AD103" s="23">
        <v>1</v>
      </c>
      <c r="AE103" s="24">
        <v>0</v>
      </c>
      <c r="AF103" s="24">
        <v>0</v>
      </c>
      <c r="AG103" s="52">
        <v>0</v>
      </c>
      <c r="AH103" s="14">
        <v>1000</v>
      </c>
      <c r="AI103" s="23">
        <v>0</v>
      </c>
      <c r="AJ103" s="24">
        <v>0</v>
      </c>
      <c r="AK103" s="24">
        <v>1</v>
      </c>
      <c r="AL103" s="52">
        <v>0</v>
      </c>
      <c r="AM103" s="12">
        <v>10</v>
      </c>
      <c r="AN103" s="23">
        <v>0</v>
      </c>
      <c r="AO103" s="24">
        <v>0</v>
      </c>
      <c r="AP103" s="24">
        <v>0</v>
      </c>
      <c r="AQ103" s="24">
        <v>0</v>
      </c>
      <c r="AR103" s="24">
        <v>0</v>
      </c>
      <c r="AS103" s="23">
        <v>1</v>
      </c>
      <c r="AT103" s="24">
        <v>0</v>
      </c>
      <c r="AU103" s="24">
        <v>0</v>
      </c>
      <c r="AV103" s="24">
        <v>0</v>
      </c>
      <c r="AW103" s="52">
        <v>0</v>
      </c>
      <c r="AX103" s="14">
        <v>1</v>
      </c>
      <c r="AY103" s="23">
        <v>1</v>
      </c>
      <c r="AZ103" s="24">
        <v>0</v>
      </c>
      <c r="BA103" s="24">
        <v>0</v>
      </c>
      <c r="BB103" s="52">
        <v>0</v>
      </c>
      <c r="BC103" s="12">
        <v>1</v>
      </c>
      <c r="BD103" s="23">
        <v>1</v>
      </c>
      <c r="BE103" s="24">
        <v>1</v>
      </c>
      <c r="BF103" s="24">
        <v>0</v>
      </c>
      <c r="BG103" s="24">
        <v>0</v>
      </c>
      <c r="BH103" s="24">
        <v>0</v>
      </c>
      <c r="BI103" s="23">
        <v>1</v>
      </c>
      <c r="BJ103" s="24">
        <v>1</v>
      </c>
      <c r="BK103" s="52">
        <v>1</v>
      </c>
      <c r="BL103" s="23">
        <v>0</v>
      </c>
      <c r="BM103" s="24">
        <v>0</v>
      </c>
      <c r="BN103" s="52">
        <v>0</v>
      </c>
      <c r="BO103" s="23">
        <v>0</v>
      </c>
      <c r="BP103" s="25">
        <v>113</v>
      </c>
      <c r="BQ103" s="24">
        <v>2</v>
      </c>
      <c r="BR103" s="23">
        <v>0</v>
      </c>
      <c r="BS103" s="24">
        <v>0</v>
      </c>
      <c r="BT103" s="24">
        <v>0</v>
      </c>
      <c r="BU103" s="52">
        <v>0</v>
      </c>
      <c r="BV103" s="14">
        <v>0</v>
      </c>
      <c r="BW103" s="209"/>
      <c r="BX103" s="3"/>
      <c r="BY103" s="3"/>
      <c r="BZ103" s="40"/>
      <c r="CA103" s="209"/>
      <c r="CB103" s="3"/>
      <c r="CC103" s="3"/>
      <c r="CD103" s="3"/>
      <c r="CE103" s="209"/>
      <c r="CF103" s="3"/>
      <c r="CG103" s="3"/>
      <c r="CH103" s="40"/>
      <c r="CI103" s="209"/>
      <c r="CJ103" s="3"/>
      <c r="CK103" s="3"/>
      <c r="CL103" s="209">
        <v>82.543310081349333</v>
      </c>
      <c r="CM103" s="3"/>
      <c r="CN103" s="3"/>
      <c r="CO103" s="3"/>
      <c r="CP103" s="40"/>
      <c r="CQ103" s="209">
        <v>82.787668437337331</v>
      </c>
      <c r="CR103" s="40"/>
      <c r="CS103" s="3"/>
      <c r="CT103" s="3"/>
    </row>
    <row r="104" spans="1:98">
      <c r="A104" s="42" t="s">
        <v>320</v>
      </c>
      <c r="B104" s="173" t="s">
        <v>304</v>
      </c>
      <c r="C104" s="12"/>
      <c r="D104" s="14" t="s">
        <v>395</v>
      </c>
      <c r="E104" s="173"/>
      <c r="F104" s="25">
        <v>15</v>
      </c>
      <c r="G104" s="23">
        <v>1</v>
      </c>
      <c r="H104" s="24">
        <v>1</v>
      </c>
      <c r="I104" s="24">
        <v>1</v>
      </c>
      <c r="J104" s="12">
        <v>111</v>
      </c>
      <c r="K104" s="23">
        <v>975</v>
      </c>
      <c r="L104" s="52">
        <v>3139</v>
      </c>
      <c r="M104" s="23">
        <v>264</v>
      </c>
      <c r="N104" s="24">
        <v>1802</v>
      </c>
      <c r="O104" s="23">
        <v>425</v>
      </c>
      <c r="P104" s="52">
        <v>1188</v>
      </c>
      <c r="Q104" s="25">
        <v>6504</v>
      </c>
      <c r="R104" s="212">
        <v>1.8808559861191441</v>
      </c>
      <c r="S104" s="23">
        <v>1</v>
      </c>
      <c r="T104" s="24">
        <v>1</v>
      </c>
      <c r="U104" s="24">
        <v>1</v>
      </c>
      <c r="V104" s="52">
        <v>0</v>
      </c>
      <c r="W104" s="14">
        <v>1110</v>
      </c>
      <c r="X104" s="23">
        <v>1</v>
      </c>
      <c r="Y104" s="24">
        <v>1</v>
      </c>
      <c r="Z104" s="24">
        <v>0</v>
      </c>
      <c r="AA104" s="52">
        <v>0</v>
      </c>
      <c r="AB104" s="12">
        <v>1100</v>
      </c>
      <c r="AC104" s="23">
        <v>1</v>
      </c>
      <c r="AD104" s="23">
        <v>0</v>
      </c>
      <c r="AE104" s="24">
        <v>1</v>
      </c>
      <c r="AF104" s="24">
        <v>0</v>
      </c>
      <c r="AG104" s="52">
        <v>0</v>
      </c>
      <c r="AH104" s="14">
        <v>100</v>
      </c>
      <c r="AI104" s="23">
        <v>0</v>
      </c>
      <c r="AJ104" s="24">
        <v>0</v>
      </c>
      <c r="AK104" s="24">
        <v>1</v>
      </c>
      <c r="AL104" s="52">
        <v>0</v>
      </c>
      <c r="AM104" s="12">
        <v>10</v>
      </c>
      <c r="AN104" s="23">
        <v>0</v>
      </c>
      <c r="AO104" s="24">
        <v>0</v>
      </c>
      <c r="AP104" s="24">
        <v>0</v>
      </c>
      <c r="AQ104" s="24">
        <v>0</v>
      </c>
      <c r="AR104" s="24">
        <v>0</v>
      </c>
      <c r="AS104" s="23">
        <v>1</v>
      </c>
      <c r="AT104" s="24">
        <v>0</v>
      </c>
      <c r="AU104" s="24">
        <v>0</v>
      </c>
      <c r="AV104" s="24">
        <v>0</v>
      </c>
      <c r="AW104" s="52">
        <v>0</v>
      </c>
      <c r="AX104" s="14">
        <v>1</v>
      </c>
      <c r="AY104" s="23">
        <v>0</v>
      </c>
      <c r="AZ104" s="24">
        <v>0</v>
      </c>
      <c r="BA104" s="24">
        <v>0</v>
      </c>
      <c r="BB104" s="52">
        <v>0</v>
      </c>
      <c r="BC104" s="12">
        <v>0</v>
      </c>
      <c r="BD104" s="23">
        <v>1</v>
      </c>
      <c r="BE104" s="24">
        <v>0</v>
      </c>
      <c r="BF104" s="24">
        <v>0</v>
      </c>
      <c r="BG104" s="24">
        <v>0</v>
      </c>
      <c r="BH104" s="24">
        <v>1</v>
      </c>
      <c r="BI104" s="23">
        <v>1</v>
      </c>
      <c r="BJ104" s="24">
        <v>1</v>
      </c>
      <c r="BK104" s="52">
        <v>0</v>
      </c>
      <c r="BL104" s="23">
        <v>0</v>
      </c>
      <c r="BM104" s="24">
        <v>0</v>
      </c>
      <c r="BN104" s="52">
        <v>0</v>
      </c>
      <c r="BO104" s="23">
        <v>0</v>
      </c>
      <c r="BP104" s="25">
        <v>132</v>
      </c>
      <c r="BQ104" s="24">
        <v>1</v>
      </c>
      <c r="BR104" s="23">
        <v>0</v>
      </c>
      <c r="BS104" s="24">
        <v>0</v>
      </c>
      <c r="BT104" s="24">
        <v>0</v>
      </c>
      <c r="BU104" s="52">
        <v>0</v>
      </c>
      <c r="BV104" s="14">
        <v>0</v>
      </c>
      <c r="BW104" s="209"/>
      <c r="BX104" s="3"/>
      <c r="BY104" s="3"/>
      <c r="BZ104" s="40"/>
      <c r="CA104" s="209"/>
      <c r="CB104" s="3"/>
      <c r="CC104" s="3"/>
      <c r="CD104" s="3"/>
      <c r="CE104" s="209"/>
      <c r="CF104" s="3"/>
      <c r="CG104" s="3"/>
      <c r="CH104" s="40"/>
      <c r="CI104" s="209"/>
      <c r="CJ104" s="3"/>
      <c r="CK104" s="3"/>
      <c r="CL104" s="209"/>
      <c r="CM104" s="3"/>
      <c r="CN104" s="3"/>
      <c r="CO104" s="3"/>
      <c r="CP104" s="40"/>
      <c r="CQ104" s="209"/>
      <c r="CR104" s="40"/>
      <c r="CS104" s="3"/>
      <c r="CT104" s="3"/>
    </row>
    <row r="105" spans="1:98" ht="17" thickBot="1">
      <c r="A105" s="42" t="s">
        <v>320</v>
      </c>
      <c r="B105" s="173" t="s">
        <v>304</v>
      </c>
      <c r="C105" s="12"/>
      <c r="D105" s="14" t="s">
        <v>190</v>
      </c>
      <c r="E105" s="173"/>
      <c r="F105" s="25">
        <v>5</v>
      </c>
      <c r="G105" s="23">
        <v>0</v>
      </c>
      <c r="H105" s="24">
        <v>0</v>
      </c>
      <c r="I105" s="24">
        <v>1</v>
      </c>
      <c r="J105" s="12">
        <v>1</v>
      </c>
      <c r="K105" s="23">
        <v>208</v>
      </c>
      <c r="L105" s="52">
        <v>1777</v>
      </c>
      <c r="M105" s="23">
        <v>80</v>
      </c>
      <c r="N105" s="24">
        <v>1143</v>
      </c>
      <c r="O105" s="23">
        <v>0</v>
      </c>
      <c r="P105" s="52">
        <v>0</v>
      </c>
      <c r="Q105" s="25">
        <v>1777</v>
      </c>
      <c r="R105" s="212">
        <v>1.0108077360637087</v>
      </c>
      <c r="S105" s="23">
        <v>1</v>
      </c>
      <c r="T105" s="24">
        <v>1</v>
      </c>
      <c r="U105" s="24">
        <v>0</v>
      </c>
      <c r="V105" s="52">
        <v>0</v>
      </c>
      <c r="W105" s="14">
        <v>1100</v>
      </c>
      <c r="X105" s="23">
        <v>1</v>
      </c>
      <c r="Y105" s="24">
        <v>0</v>
      </c>
      <c r="Z105" s="24">
        <v>0</v>
      </c>
      <c r="AA105" s="52">
        <v>0</v>
      </c>
      <c r="AB105" s="12">
        <v>1000</v>
      </c>
      <c r="AC105" s="23">
        <v>1</v>
      </c>
      <c r="AD105" s="23">
        <v>0</v>
      </c>
      <c r="AE105" s="24">
        <v>1</v>
      </c>
      <c r="AF105" s="24">
        <v>1</v>
      </c>
      <c r="AG105" s="52">
        <v>0</v>
      </c>
      <c r="AH105" s="14">
        <v>110</v>
      </c>
      <c r="AI105" s="23">
        <v>0</v>
      </c>
      <c r="AJ105" s="24">
        <v>0</v>
      </c>
      <c r="AK105" s="24">
        <v>0</v>
      </c>
      <c r="AL105" s="52">
        <v>0</v>
      </c>
      <c r="AM105" s="12">
        <v>0</v>
      </c>
      <c r="AN105" s="23">
        <v>0</v>
      </c>
      <c r="AO105" s="24">
        <v>0</v>
      </c>
      <c r="AP105" s="24">
        <v>0</v>
      </c>
      <c r="AQ105" s="24">
        <v>0</v>
      </c>
      <c r="AR105" s="24">
        <v>0</v>
      </c>
      <c r="AS105" s="23">
        <v>1</v>
      </c>
      <c r="AT105" s="24">
        <v>0</v>
      </c>
      <c r="AU105" s="24">
        <v>0</v>
      </c>
      <c r="AV105" s="24">
        <v>0</v>
      </c>
      <c r="AW105" s="52">
        <v>0</v>
      </c>
      <c r="AX105" s="14">
        <v>1</v>
      </c>
      <c r="AY105" s="23">
        <v>0</v>
      </c>
      <c r="AZ105" s="24">
        <v>0</v>
      </c>
      <c r="BA105" s="24">
        <v>1</v>
      </c>
      <c r="BB105" s="52">
        <v>0</v>
      </c>
      <c r="BC105" s="12">
        <v>1</v>
      </c>
      <c r="BD105" s="23">
        <v>0</v>
      </c>
      <c r="BE105" s="24">
        <v>0</v>
      </c>
      <c r="BF105" s="24">
        <v>0</v>
      </c>
      <c r="BG105" s="24">
        <v>0</v>
      </c>
      <c r="BH105" s="24">
        <v>0</v>
      </c>
      <c r="BI105" s="23">
        <v>1</v>
      </c>
      <c r="BJ105" s="24">
        <v>1</v>
      </c>
      <c r="BK105" s="52">
        <v>0</v>
      </c>
      <c r="BL105" s="23">
        <v>0</v>
      </c>
      <c r="BM105" s="24">
        <v>0</v>
      </c>
      <c r="BN105" s="52">
        <v>0</v>
      </c>
      <c r="BO105" s="23">
        <v>1</v>
      </c>
      <c r="BP105" s="25">
        <v>128</v>
      </c>
      <c r="BQ105" s="24">
        <v>2</v>
      </c>
      <c r="BR105" s="23">
        <v>0</v>
      </c>
      <c r="BS105" s="24">
        <v>0</v>
      </c>
      <c r="BT105" s="24">
        <v>0</v>
      </c>
      <c r="BU105" s="52">
        <v>0</v>
      </c>
      <c r="BV105" s="14">
        <v>0</v>
      </c>
      <c r="BW105" s="209"/>
      <c r="BX105" s="3"/>
      <c r="BY105" s="3"/>
      <c r="BZ105" s="40"/>
      <c r="CA105" s="209"/>
      <c r="CB105" s="3"/>
      <c r="CC105" s="3"/>
      <c r="CD105" s="3"/>
      <c r="CE105" s="209"/>
      <c r="CF105" s="3"/>
      <c r="CG105" s="3"/>
      <c r="CH105" s="40"/>
      <c r="CI105" s="209"/>
      <c r="CJ105" s="3"/>
      <c r="CK105" s="3"/>
      <c r="CL105" s="209"/>
      <c r="CM105" s="3"/>
      <c r="CN105" s="3"/>
      <c r="CO105" s="3"/>
      <c r="CP105" s="40"/>
      <c r="CQ105" s="209"/>
      <c r="CR105" s="40"/>
      <c r="CS105" s="3"/>
      <c r="CT105" s="3"/>
    </row>
    <row r="106" spans="1:98">
      <c r="A106" s="87" t="s">
        <v>320</v>
      </c>
      <c r="B106" s="7" t="s">
        <v>301</v>
      </c>
      <c r="C106" s="9"/>
      <c r="D106" s="11" t="s">
        <v>132</v>
      </c>
      <c r="E106" s="9"/>
      <c r="F106" s="9">
        <v>14</v>
      </c>
      <c r="G106" s="11">
        <v>0</v>
      </c>
      <c r="H106" s="8">
        <v>0</v>
      </c>
      <c r="I106" s="8">
        <v>1</v>
      </c>
      <c r="J106" s="9">
        <v>1</v>
      </c>
      <c r="K106" s="11">
        <v>98</v>
      </c>
      <c r="L106" s="41">
        <v>443</v>
      </c>
      <c r="M106" s="11">
        <v>116</v>
      </c>
      <c r="N106" s="8">
        <v>391</v>
      </c>
      <c r="O106" s="11">
        <v>141</v>
      </c>
      <c r="P106" s="41">
        <v>205</v>
      </c>
      <c r="Q106" s="9">
        <v>1171</v>
      </c>
      <c r="R106" s="208">
        <v>2.8913580246913582</v>
      </c>
      <c r="S106" s="11">
        <v>1</v>
      </c>
      <c r="T106" s="8">
        <v>1</v>
      </c>
      <c r="U106" s="8">
        <v>1</v>
      </c>
      <c r="V106" s="41">
        <v>0</v>
      </c>
      <c r="W106" s="11">
        <v>1110</v>
      </c>
      <c r="X106" s="11">
        <v>1</v>
      </c>
      <c r="Y106" s="8">
        <v>1</v>
      </c>
      <c r="Z106" s="8">
        <v>0</v>
      </c>
      <c r="AA106" s="41">
        <v>0</v>
      </c>
      <c r="AB106" s="9">
        <v>1100</v>
      </c>
      <c r="AC106" s="11">
        <v>0</v>
      </c>
      <c r="AD106" s="11">
        <v>1</v>
      </c>
      <c r="AE106" s="8">
        <v>1</v>
      </c>
      <c r="AF106" s="8">
        <v>0</v>
      </c>
      <c r="AG106" s="41">
        <v>0</v>
      </c>
      <c r="AH106" s="11">
        <v>1100</v>
      </c>
      <c r="AI106" s="11">
        <v>0</v>
      </c>
      <c r="AJ106" s="8">
        <v>0</v>
      </c>
      <c r="AK106" s="8">
        <v>1</v>
      </c>
      <c r="AL106" s="41">
        <v>0</v>
      </c>
      <c r="AM106" s="9">
        <v>10</v>
      </c>
      <c r="AN106" s="11">
        <v>0</v>
      </c>
      <c r="AO106" s="8">
        <v>0</v>
      </c>
      <c r="AP106" s="8">
        <v>0</v>
      </c>
      <c r="AQ106" s="8">
        <v>0</v>
      </c>
      <c r="AR106" s="8">
        <v>0</v>
      </c>
      <c r="AS106" s="11">
        <v>0</v>
      </c>
      <c r="AT106" s="8">
        <v>0</v>
      </c>
      <c r="AU106" s="8">
        <v>1</v>
      </c>
      <c r="AV106" s="8">
        <v>0</v>
      </c>
      <c r="AW106" s="41">
        <v>0</v>
      </c>
      <c r="AX106" s="11">
        <v>1</v>
      </c>
      <c r="AY106" s="11">
        <v>0</v>
      </c>
      <c r="AZ106" s="8">
        <v>0</v>
      </c>
      <c r="BA106" s="8">
        <v>0</v>
      </c>
      <c r="BB106" s="41">
        <v>0</v>
      </c>
      <c r="BC106" s="9">
        <v>0</v>
      </c>
      <c r="BD106" s="11">
        <v>0</v>
      </c>
      <c r="BE106" s="8">
        <v>1</v>
      </c>
      <c r="BF106" s="8">
        <v>0</v>
      </c>
      <c r="BG106" s="8">
        <v>0</v>
      </c>
      <c r="BH106" s="8">
        <v>0</v>
      </c>
      <c r="BI106" s="11">
        <v>1</v>
      </c>
      <c r="BJ106" s="8">
        <v>1</v>
      </c>
      <c r="BK106" s="41">
        <v>0</v>
      </c>
      <c r="BL106" s="11">
        <v>0</v>
      </c>
      <c r="BM106" s="8">
        <v>0</v>
      </c>
      <c r="BN106" s="41">
        <v>0</v>
      </c>
      <c r="BO106" s="11">
        <v>0</v>
      </c>
      <c r="BP106" s="9">
        <v>67</v>
      </c>
      <c r="BQ106" s="8">
        <v>1</v>
      </c>
      <c r="BR106" s="11"/>
      <c r="BS106" s="8"/>
      <c r="BT106" s="8"/>
      <c r="BU106" s="41"/>
      <c r="BV106" s="11">
        <v>0</v>
      </c>
      <c r="BW106" s="208"/>
      <c r="BX106" s="54"/>
      <c r="BY106" s="54"/>
      <c r="BZ106" s="10"/>
      <c r="CA106" s="208"/>
      <c r="CB106" s="54"/>
      <c r="CC106" s="54"/>
      <c r="CD106" s="54"/>
      <c r="CE106" s="208"/>
      <c r="CF106" s="54"/>
      <c r="CG106" s="54"/>
      <c r="CH106" s="10"/>
      <c r="CI106" s="208"/>
      <c r="CJ106" s="54"/>
      <c r="CK106" s="54"/>
      <c r="CL106" s="208"/>
      <c r="CM106" s="54"/>
      <c r="CN106" s="54"/>
      <c r="CO106" s="54"/>
      <c r="CP106" s="10"/>
      <c r="CQ106" s="208"/>
      <c r="CR106" s="10"/>
      <c r="CS106" s="3"/>
      <c r="CT106" s="3"/>
    </row>
    <row r="107" spans="1:98">
      <c r="A107" s="42" t="s">
        <v>320</v>
      </c>
      <c r="B107" s="173" t="s">
        <v>301</v>
      </c>
      <c r="C107" s="12"/>
      <c r="D107" s="14" t="s">
        <v>167</v>
      </c>
      <c r="E107" s="12"/>
      <c r="F107" s="12">
        <v>6</v>
      </c>
      <c r="G107" s="14">
        <v>1</v>
      </c>
      <c r="H107" s="163">
        <v>0</v>
      </c>
      <c r="I107" s="163">
        <v>1</v>
      </c>
      <c r="J107" s="12">
        <v>101</v>
      </c>
      <c r="K107" s="14">
        <v>368</v>
      </c>
      <c r="L107" s="26">
        <v>2909</v>
      </c>
      <c r="M107" s="14">
        <v>301</v>
      </c>
      <c r="N107" s="163">
        <v>1103</v>
      </c>
      <c r="O107" s="14">
        <v>480</v>
      </c>
      <c r="P107" s="26">
        <v>1337</v>
      </c>
      <c r="Q107" s="12">
        <v>2909</v>
      </c>
      <c r="R107" s="209">
        <v>1.6179087875417131</v>
      </c>
      <c r="S107" s="14">
        <v>1</v>
      </c>
      <c r="T107" s="163">
        <v>1</v>
      </c>
      <c r="U107" s="163">
        <v>1</v>
      </c>
      <c r="V107" s="26">
        <v>0</v>
      </c>
      <c r="W107" s="14">
        <v>1110</v>
      </c>
      <c r="X107" s="14">
        <v>1</v>
      </c>
      <c r="Y107" s="163">
        <v>0</v>
      </c>
      <c r="Z107" s="163">
        <v>0</v>
      </c>
      <c r="AA107" s="26">
        <v>1</v>
      </c>
      <c r="AB107" s="12">
        <v>1001</v>
      </c>
      <c r="AC107" s="14">
        <v>1</v>
      </c>
      <c r="AD107" s="14">
        <v>0</v>
      </c>
      <c r="AE107" s="163">
        <v>1</v>
      </c>
      <c r="AF107" s="163">
        <v>0</v>
      </c>
      <c r="AG107" s="26">
        <v>0</v>
      </c>
      <c r="AH107" s="14">
        <v>100</v>
      </c>
      <c r="AI107" s="14">
        <v>0</v>
      </c>
      <c r="AJ107" s="163">
        <v>0</v>
      </c>
      <c r="AK107" s="163">
        <v>1</v>
      </c>
      <c r="AL107" s="26">
        <v>0</v>
      </c>
      <c r="AM107" s="12">
        <v>10</v>
      </c>
      <c r="AN107" s="14">
        <v>0</v>
      </c>
      <c r="AO107" s="163">
        <v>0</v>
      </c>
      <c r="AP107" s="163">
        <v>0</v>
      </c>
      <c r="AQ107" s="163">
        <v>0</v>
      </c>
      <c r="AR107" s="163">
        <v>0</v>
      </c>
      <c r="AS107" s="14">
        <v>1</v>
      </c>
      <c r="AT107" s="163">
        <v>0</v>
      </c>
      <c r="AU107" s="163">
        <v>0</v>
      </c>
      <c r="AV107" s="163">
        <v>0</v>
      </c>
      <c r="AW107" s="26">
        <v>0</v>
      </c>
      <c r="AX107" s="14">
        <v>1</v>
      </c>
      <c r="AY107" s="14">
        <v>1</v>
      </c>
      <c r="AZ107" s="163">
        <v>0</v>
      </c>
      <c r="BA107" s="163">
        <v>0</v>
      </c>
      <c r="BB107" s="26">
        <v>0</v>
      </c>
      <c r="BC107" s="12">
        <v>1</v>
      </c>
      <c r="BD107" s="14">
        <v>0</v>
      </c>
      <c r="BE107" s="163">
        <v>1</v>
      </c>
      <c r="BF107" s="163">
        <v>0</v>
      </c>
      <c r="BG107" s="163">
        <v>0</v>
      </c>
      <c r="BH107" s="163">
        <v>1</v>
      </c>
      <c r="BI107" s="14">
        <v>1</v>
      </c>
      <c r="BJ107" s="163">
        <v>1</v>
      </c>
      <c r="BK107" s="26">
        <v>0</v>
      </c>
      <c r="BL107" s="14">
        <v>0</v>
      </c>
      <c r="BM107" s="163">
        <v>1</v>
      </c>
      <c r="BN107" s="26">
        <v>0</v>
      </c>
      <c r="BO107" s="14">
        <v>0</v>
      </c>
      <c r="BP107" s="12">
        <v>100</v>
      </c>
      <c r="BQ107" s="163">
        <v>2</v>
      </c>
      <c r="BR107" s="14">
        <v>1</v>
      </c>
      <c r="BS107" s="163">
        <v>0</v>
      </c>
      <c r="BT107" s="163">
        <v>1</v>
      </c>
      <c r="BU107" s="26">
        <v>0</v>
      </c>
      <c r="BV107" s="14">
        <v>1010</v>
      </c>
      <c r="BW107" s="209">
        <v>64.16</v>
      </c>
      <c r="BX107" s="3"/>
      <c r="BY107" s="3"/>
      <c r="BZ107" s="40"/>
      <c r="CA107" s="209"/>
      <c r="CB107" s="3"/>
      <c r="CC107" s="3"/>
      <c r="CD107" s="3"/>
      <c r="CE107" s="209">
        <v>65.22</v>
      </c>
      <c r="CF107" s="3"/>
      <c r="CG107" s="3"/>
      <c r="CH107" s="40"/>
      <c r="CI107" s="209"/>
      <c r="CJ107" s="3"/>
      <c r="CK107" s="3"/>
      <c r="CL107" s="209">
        <v>83.395715741583146</v>
      </c>
      <c r="CM107" s="3"/>
      <c r="CN107" s="3"/>
      <c r="CO107" s="3"/>
      <c r="CP107" s="40"/>
      <c r="CQ107" s="209"/>
      <c r="CR107" s="40">
        <v>82.958613546052774</v>
      </c>
      <c r="CS107" s="3"/>
      <c r="CT107" s="3"/>
    </row>
    <row r="108" spans="1:98" ht="17" thickBot="1">
      <c r="A108" s="55" t="s">
        <v>320</v>
      </c>
      <c r="B108" s="47" t="s">
        <v>301</v>
      </c>
      <c r="C108" s="33"/>
      <c r="D108" s="34" t="s">
        <v>168</v>
      </c>
      <c r="E108" s="33"/>
      <c r="F108" s="33">
        <v>23</v>
      </c>
      <c r="G108" s="34">
        <v>0</v>
      </c>
      <c r="H108" s="36">
        <v>0</v>
      </c>
      <c r="I108" s="36">
        <v>1</v>
      </c>
      <c r="J108" s="33">
        <v>1</v>
      </c>
      <c r="K108" s="34">
        <v>664</v>
      </c>
      <c r="L108" s="35">
        <v>2901</v>
      </c>
      <c r="M108" s="34">
        <v>426</v>
      </c>
      <c r="N108" s="36">
        <v>2110</v>
      </c>
      <c r="O108" s="34">
        <v>598</v>
      </c>
      <c r="P108" s="35">
        <v>1922</v>
      </c>
      <c r="Q108" s="33">
        <v>6732</v>
      </c>
      <c r="R108" s="210">
        <v>1.8126009693053311</v>
      </c>
      <c r="S108" s="34">
        <v>1</v>
      </c>
      <c r="T108" s="36">
        <v>1</v>
      </c>
      <c r="U108" s="36">
        <v>1</v>
      </c>
      <c r="V108" s="35">
        <v>0</v>
      </c>
      <c r="W108" s="34">
        <v>1110</v>
      </c>
      <c r="X108" s="34">
        <v>1</v>
      </c>
      <c r="Y108" s="36">
        <v>0</v>
      </c>
      <c r="Z108" s="36">
        <v>0</v>
      </c>
      <c r="AA108" s="35">
        <v>1</v>
      </c>
      <c r="AB108" s="33">
        <v>1001</v>
      </c>
      <c r="AC108" s="34">
        <v>1</v>
      </c>
      <c r="AD108" s="34">
        <v>1</v>
      </c>
      <c r="AE108" s="36">
        <v>1</v>
      </c>
      <c r="AF108" s="36">
        <v>0</v>
      </c>
      <c r="AG108" s="35">
        <v>0</v>
      </c>
      <c r="AH108" s="34">
        <v>1100</v>
      </c>
      <c r="AI108" s="34">
        <v>0</v>
      </c>
      <c r="AJ108" s="36">
        <v>0</v>
      </c>
      <c r="AK108" s="36">
        <v>1</v>
      </c>
      <c r="AL108" s="35">
        <v>0</v>
      </c>
      <c r="AM108" s="33">
        <v>10</v>
      </c>
      <c r="AN108" s="34">
        <v>0</v>
      </c>
      <c r="AO108" s="36">
        <v>0</v>
      </c>
      <c r="AP108" s="36">
        <v>0</v>
      </c>
      <c r="AQ108" s="36">
        <v>0</v>
      </c>
      <c r="AR108" s="36">
        <v>0</v>
      </c>
      <c r="AS108" s="34">
        <v>1</v>
      </c>
      <c r="AT108" s="36">
        <v>1</v>
      </c>
      <c r="AU108" s="36">
        <v>0</v>
      </c>
      <c r="AV108" s="36">
        <v>0</v>
      </c>
      <c r="AW108" s="35">
        <v>0</v>
      </c>
      <c r="AX108" s="34">
        <v>2</v>
      </c>
      <c r="AY108" s="34">
        <v>0</v>
      </c>
      <c r="AZ108" s="36">
        <v>0</v>
      </c>
      <c r="BA108" s="36">
        <v>1</v>
      </c>
      <c r="BB108" s="35">
        <v>0</v>
      </c>
      <c r="BC108" s="33">
        <v>1</v>
      </c>
      <c r="BD108" s="34">
        <v>1</v>
      </c>
      <c r="BE108" s="36">
        <v>1</v>
      </c>
      <c r="BF108" s="36">
        <v>0</v>
      </c>
      <c r="BG108" s="36">
        <v>0</v>
      </c>
      <c r="BH108" s="36">
        <v>0</v>
      </c>
      <c r="BI108" s="34">
        <v>1</v>
      </c>
      <c r="BJ108" s="36">
        <v>1</v>
      </c>
      <c r="BK108" s="35">
        <v>0</v>
      </c>
      <c r="BL108" s="34">
        <v>0</v>
      </c>
      <c r="BM108" s="36">
        <v>1</v>
      </c>
      <c r="BN108" s="35">
        <v>0</v>
      </c>
      <c r="BO108" s="34">
        <v>0</v>
      </c>
      <c r="BP108" s="33">
        <v>99</v>
      </c>
      <c r="BQ108" s="36">
        <v>1</v>
      </c>
      <c r="BR108" s="34"/>
      <c r="BS108" s="36"/>
      <c r="BT108" s="36"/>
      <c r="BU108" s="35"/>
      <c r="BV108" s="34">
        <v>0</v>
      </c>
      <c r="BW108" s="210">
        <v>65.930000000000007</v>
      </c>
      <c r="BX108" s="51">
        <v>64.37</v>
      </c>
      <c r="BY108" s="51"/>
      <c r="BZ108" s="48"/>
      <c r="CA108" s="210"/>
      <c r="CB108" s="51"/>
      <c r="CC108" s="51"/>
      <c r="CD108" s="51"/>
      <c r="CE108" s="210">
        <v>63.33</v>
      </c>
      <c r="CF108" s="51"/>
      <c r="CG108" s="51"/>
      <c r="CH108" s="48"/>
      <c r="CI108" s="210"/>
      <c r="CJ108" s="51"/>
      <c r="CK108" s="51"/>
      <c r="CL108" s="210">
        <v>82.655685793436049</v>
      </c>
      <c r="CM108" s="51">
        <v>82.571388635004425</v>
      </c>
      <c r="CN108" s="51">
        <v>82.656756277513708</v>
      </c>
      <c r="CO108" s="51"/>
      <c r="CP108" s="48"/>
      <c r="CQ108" s="210"/>
      <c r="CR108" s="48">
        <v>82.360695563785995</v>
      </c>
      <c r="CS108" s="3"/>
      <c r="CT108" s="3"/>
    </row>
    <row r="109" spans="1:98">
      <c r="A109" s="87" t="s">
        <v>320</v>
      </c>
      <c r="B109" s="7" t="s">
        <v>300</v>
      </c>
      <c r="C109" s="9"/>
      <c r="D109" s="11" t="s">
        <v>132</v>
      </c>
      <c r="E109" s="9"/>
      <c r="F109" s="9">
        <v>2</v>
      </c>
      <c r="G109" s="11">
        <v>1</v>
      </c>
      <c r="H109" s="8">
        <v>0</v>
      </c>
      <c r="I109" s="8">
        <v>1</v>
      </c>
      <c r="J109" s="9">
        <v>101</v>
      </c>
      <c r="K109" s="11">
        <v>357</v>
      </c>
      <c r="L109" s="41">
        <v>676</v>
      </c>
      <c r="M109" s="11">
        <v>0</v>
      </c>
      <c r="N109" s="8">
        <v>1399</v>
      </c>
      <c r="O109" s="11">
        <v>0</v>
      </c>
      <c r="P109" s="41">
        <v>0</v>
      </c>
      <c r="Q109" s="9">
        <v>1399</v>
      </c>
      <c r="R109" s="11">
        <v>1.5561735261401557</v>
      </c>
      <c r="S109" s="11">
        <v>1</v>
      </c>
      <c r="T109" s="8">
        <v>1</v>
      </c>
      <c r="U109" s="8">
        <v>0</v>
      </c>
      <c r="V109" s="41">
        <v>0</v>
      </c>
      <c r="W109" s="11">
        <v>1100</v>
      </c>
      <c r="X109" s="11">
        <v>1</v>
      </c>
      <c r="Y109" s="8">
        <v>0</v>
      </c>
      <c r="Z109" s="8">
        <v>0</v>
      </c>
      <c r="AA109" s="41">
        <v>0</v>
      </c>
      <c r="AB109" s="9">
        <v>1000</v>
      </c>
      <c r="AC109" s="11">
        <v>1</v>
      </c>
      <c r="AD109" s="11">
        <v>0</v>
      </c>
      <c r="AE109" s="8">
        <v>1</v>
      </c>
      <c r="AF109" s="8">
        <v>0</v>
      </c>
      <c r="AG109" s="41">
        <v>0</v>
      </c>
      <c r="AH109" s="11">
        <v>100</v>
      </c>
      <c r="AI109" s="11">
        <v>0</v>
      </c>
      <c r="AJ109" s="8">
        <v>0</v>
      </c>
      <c r="AK109" s="8">
        <v>0</v>
      </c>
      <c r="AL109" s="41">
        <v>0</v>
      </c>
      <c r="AM109" s="9">
        <v>0</v>
      </c>
      <c r="AN109" s="11">
        <v>0</v>
      </c>
      <c r="AO109" s="8">
        <v>0</v>
      </c>
      <c r="AP109" s="8">
        <v>0</v>
      </c>
      <c r="AQ109" s="8">
        <v>0</v>
      </c>
      <c r="AR109" s="8">
        <v>0</v>
      </c>
      <c r="AS109" s="11">
        <v>1</v>
      </c>
      <c r="AT109" s="8">
        <v>0</v>
      </c>
      <c r="AU109" s="8">
        <v>0</v>
      </c>
      <c r="AV109" s="8">
        <v>0</v>
      </c>
      <c r="AW109" s="41">
        <v>0</v>
      </c>
      <c r="AX109" s="11">
        <v>1</v>
      </c>
      <c r="AY109" s="11">
        <v>1</v>
      </c>
      <c r="AZ109" s="8">
        <v>0</v>
      </c>
      <c r="BA109" s="8">
        <v>0</v>
      </c>
      <c r="BB109" s="41">
        <v>0</v>
      </c>
      <c r="BC109" s="9">
        <v>1</v>
      </c>
      <c r="BD109" s="11">
        <v>0</v>
      </c>
      <c r="BE109" s="8">
        <v>0</v>
      </c>
      <c r="BF109" s="8">
        <v>0</v>
      </c>
      <c r="BG109" s="8">
        <v>0</v>
      </c>
      <c r="BH109" s="8">
        <v>0</v>
      </c>
      <c r="BI109" s="11">
        <v>1</v>
      </c>
      <c r="BJ109" s="8">
        <v>1</v>
      </c>
      <c r="BK109" s="41">
        <v>0</v>
      </c>
      <c r="BL109" s="11">
        <v>0</v>
      </c>
      <c r="BM109" s="8">
        <v>0</v>
      </c>
      <c r="BN109" s="41">
        <v>0</v>
      </c>
      <c r="BO109" s="11">
        <v>0</v>
      </c>
      <c r="BP109" s="9">
        <v>95</v>
      </c>
      <c r="BQ109" s="8">
        <v>2</v>
      </c>
      <c r="BR109" s="11">
        <v>0</v>
      </c>
      <c r="BS109" s="8">
        <v>0</v>
      </c>
      <c r="BT109" s="8">
        <v>0</v>
      </c>
      <c r="BU109" s="41">
        <v>0</v>
      </c>
      <c r="BV109" s="11">
        <v>0</v>
      </c>
      <c r="BW109" s="208"/>
      <c r="BX109" s="54"/>
      <c r="BY109" s="54"/>
      <c r="BZ109" s="10"/>
      <c r="CA109" s="208"/>
      <c r="CB109" s="54"/>
      <c r="CC109" s="54"/>
      <c r="CD109" s="54"/>
      <c r="CE109" s="208"/>
      <c r="CF109" s="54"/>
      <c r="CG109" s="54"/>
      <c r="CH109" s="10"/>
      <c r="CI109" s="208"/>
      <c r="CJ109" s="54"/>
      <c r="CK109" s="54"/>
      <c r="CL109" s="208">
        <v>83.460068942366817</v>
      </c>
      <c r="CM109" s="54"/>
      <c r="CN109" s="54"/>
      <c r="CO109" s="54"/>
      <c r="CP109" s="10"/>
      <c r="CQ109" s="208">
        <v>83.483288069754323</v>
      </c>
      <c r="CR109" s="10"/>
      <c r="CS109" s="3"/>
      <c r="CT109" s="3"/>
    </row>
    <row r="110" spans="1:98">
      <c r="A110" s="42" t="s">
        <v>320</v>
      </c>
      <c r="B110" s="173" t="s">
        <v>300</v>
      </c>
      <c r="C110" s="12"/>
      <c r="D110" s="14" t="s">
        <v>167</v>
      </c>
      <c r="E110" s="12"/>
      <c r="F110" s="12">
        <v>5</v>
      </c>
      <c r="G110" s="14">
        <v>0</v>
      </c>
      <c r="H110" s="163">
        <v>0</v>
      </c>
      <c r="I110" s="163">
        <v>1</v>
      </c>
      <c r="J110" s="12">
        <v>1</v>
      </c>
      <c r="K110" s="14">
        <v>164</v>
      </c>
      <c r="L110" s="26">
        <v>1185</v>
      </c>
      <c r="M110" s="14">
        <v>776</v>
      </c>
      <c r="N110" s="163">
        <v>1274</v>
      </c>
      <c r="O110" s="14">
        <v>0</v>
      </c>
      <c r="P110" s="26">
        <v>0</v>
      </c>
      <c r="Q110" s="12">
        <v>2422</v>
      </c>
      <c r="R110" s="209">
        <v>1.3792710706150342</v>
      </c>
      <c r="S110" s="14">
        <v>1</v>
      </c>
      <c r="T110" s="163">
        <v>1</v>
      </c>
      <c r="U110" s="163">
        <v>0</v>
      </c>
      <c r="V110" s="26">
        <v>0</v>
      </c>
      <c r="W110" s="14">
        <v>1100</v>
      </c>
      <c r="X110" s="14">
        <v>1</v>
      </c>
      <c r="Y110" s="163">
        <v>1</v>
      </c>
      <c r="Z110" s="163">
        <v>0</v>
      </c>
      <c r="AA110" s="26">
        <v>0</v>
      </c>
      <c r="AB110" s="12">
        <v>1100</v>
      </c>
      <c r="AC110" s="14">
        <v>0</v>
      </c>
      <c r="AD110" s="14">
        <v>0</v>
      </c>
      <c r="AE110" s="163">
        <v>1</v>
      </c>
      <c r="AF110" s="163">
        <v>1</v>
      </c>
      <c r="AG110" s="26">
        <v>0</v>
      </c>
      <c r="AH110" s="14">
        <v>110</v>
      </c>
      <c r="AI110" s="14">
        <v>0</v>
      </c>
      <c r="AJ110" s="163">
        <v>0</v>
      </c>
      <c r="AK110" s="163">
        <v>0</v>
      </c>
      <c r="AL110" s="26">
        <v>0</v>
      </c>
      <c r="AM110" s="12">
        <v>0</v>
      </c>
      <c r="AN110" s="14">
        <v>0</v>
      </c>
      <c r="AO110" s="163">
        <v>0</v>
      </c>
      <c r="AP110" s="163">
        <v>0</v>
      </c>
      <c r="AQ110" s="163">
        <v>0</v>
      </c>
      <c r="AR110" s="163">
        <v>0</v>
      </c>
      <c r="AS110" s="14">
        <v>1</v>
      </c>
      <c r="AT110" s="163">
        <v>1</v>
      </c>
      <c r="AU110" s="163">
        <v>0</v>
      </c>
      <c r="AV110" s="163">
        <v>0</v>
      </c>
      <c r="AW110" s="26">
        <v>0</v>
      </c>
      <c r="AX110" s="14">
        <v>2</v>
      </c>
      <c r="AY110" s="14">
        <v>1</v>
      </c>
      <c r="AZ110" s="163">
        <v>0</v>
      </c>
      <c r="BA110" s="163">
        <v>0</v>
      </c>
      <c r="BB110" s="26">
        <v>0</v>
      </c>
      <c r="BC110" s="12">
        <v>1</v>
      </c>
      <c r="BD110" s="14">
        <v>0</v>
      </c>
      <c r="BE110" s="163">
        <v>0</v>
      </c>
      <c r="BF110" s="163">
        <v>0</v>
      </c>
      <c r="BG110" s="163">
        <v>0</v>
      </c>
      <c r="BH110" s="163">
        <v>0</v>
      </c>
      <c r="BI110" s="14">
        <v>1</v>
      </c>
      <c r="BJ110" s="163">
        <v>1</v>
      </c>
      <c r="BK110" s="26">
        <v>0</v>
      </c>
      <c r="BL110" s="14">
        <v>0</v>
      </c>
      <c r="BM110" s="163">
        <v>0</v>
      </c>
      <c r="BN110" s="26">
        <v>0</v>
      </c>
      <c r="BO110" s="14">
        <v>0</v>
      </c>
      <c r="BP110" s="12">
        <v>108</v>
      </c>
      <c r="BQ110" s="163">
        <v>2</v>
      </c>
      <c r="BR110" s="14">
        <v>0</v>
      </c>
      <c r="BS110" s="163">
        <v>0</v>
      </c>
      <c r="BT110" s="163">
        <v>0</v>
      </c>
      <c r="BU110" s="26">
        <v>0</v>
      </c>
      <c r="BV110" s="14">
        <v>0</v>
      </c>
      <c r="BW110" s="209"/>
      <c r="BX110" s="3"/>
      <c r="BY110" s="3"/>
      <c r="BZ110" s="40"/>
      <c r="CA110" s="209"/>
      <c r="CB110" s="3"/>
      <c r="CC110" s="3"/>
      <c r="CD110" s="3"/>
      <c r="CE110" s="209"/>
      <c r="CF110" s="3"/>
      <c r="CG110" s="3"/>
      <c r="CH110" s="40"/>
      <c r="CI110" s="209"/>
      <c r="CJ110" s="3"/>
      <c r="CK110" s="3"/>
      <c r="CL110" s="209"/>
      <c r="CM110" s="3"/>
      <c r="CN110" s="3"/>
      <c r="CO110" s="3"/>
      <c r="CP110" s="40"/>
      <c r="CQ110" s="209"/>
      <c r="CR110" s="40"/>
      <c r="CS110" s="3"/>
      <c r="CT110" s="3"/>
    </row>
    <row r="111" spans="1:98">
      <c r="A111" s="42" t="s">
        <v>320</v>
      </c>
      <c r="B111" s="173" t="s">
        <v>300</v>
      </c>
      <c r="C111" s="12"/>
      <c r="D111" s="14" t="s">
        <v>168</v>
      </c>
      <c r="E111" s="12"/>
      <c r="F111" s="12">
        <v>3</v>
      </c>
      <c r="G111" s="14">
        <v>0</v>
      </c>
      <c r="H111" s="163">
        <v>0</v>
      </c>
      <c r="I111" s="163">
        <v>1</v>
      </c>
      <c r="J111" s="12">
        <v>1</v>
      </c>
      <c r="K111" s="14">
        <v>0</v>
      </c>
      <c r="L111" s="26">
        <v>667</v>
      </c>
      <c r="M111" s="14">
        <v>0</v>
      </c>
      <c r="N111" s="163">
        <v>0</v>
      </c>
      <c r="O111" s="14">
        <v>645</v>
      </c>
      <c r="P111" s="26">
        <v>653</v>
      </c>
      <c r="Q111" s="12">
        <v>1079</v>
      </c>
      <c r="R111" s="209">
        <v>1.454177897574124</v>
      </c>
      <c r="S111" s="14">
        <v>1</v>
      </c>
      <c r="T111" s="163">
        <v>0</v>
      </c>
      <c r="U111" s="163">
        <v>1</v>
      </c>
      <c r="V111" s="26">
        <v>0</v>
      </c>
      <c r="W111" s="14">
        <v>1010</v>
      </c>
      <c r="X111" s="14">
        <v>1</v>
      </c>
      <c r="Y111" s="163">
        <v>0</v>
      </c>
      <c r="Z111" s="163">
        <v>0</v>
      </c>
      <c r="AA111" s="26">
        <v>0</v>
      </c>
      <c r="AB111" s="12">
        <v>1000</v>
      </c>
      <c r="AC111" s="14"/>
      <c r="AD111" s="14">
        <v>0</v>
      </c>
      <c r="AE111" s="163">
        <v>0</v>
      </c>
      <c r="AF111" s="163">
        <v>0</v>
      </c>
      <c r="AG111" s="26">
        <v>0</v>
      </c>
      <c r="AH111" s="14">
        <v>0</v>
      </c>
      <c r="AI111" s="14">
        <v>0</v>
      </c>
      <c r="AJ111" s="163">
        <v>0</v>
      </c>
      <c r="AK111" s="163">
        <v>1</v>
      </c>
      <c r="AL111" s="26">
        <v>0</v>
      </c>
      <c r="AM111" s="12">
        <v>10</v>
      </c>
      <c r="AN111" s="14">
        <v>0</v>
      </c>
      <c r="AO111" s="163">
        <v>0</v>
      </c>
      <c r="AP111" s="163">
        <v>0</v>
      </c>
      <c r="AQ111" s="163">
        <v>0</v>
      </c>
      <c r="AR111" s="163">
        <v>0</v>
      </c>
      <c r="AS111" s="14">
        <v>1</v>
      </c>
      <c r="AT111" s="163">
        <v>1</v>
      </c>
      <c r="AU111" s="163">
        <v>0</v>
      </c>
      <c r="AV111" s="163">
        <v>0</v>
      </c>
      <c r="AW111" s="26">
        <v>0</v>
      </c>
      <c r="AX111" s="14">
        <v>2</v>
      </c>
      <c r="AY111" s="14">
        <v>0</v>
      </c>
      <c r="AZ111" s="163">
        <v>0</v>
      </c>
      <c r="BA111" s="163">
        <v>0</v>
      </c>
      <c r="BB111" s="26">
        <v>0</v>
      </c>
      <c r="BC111" s="12">
        <v>0</v>
      </c>
      <c r="BD111" s="14">
        <v>1</v>
      </c>
      <c r="BE111" s="163">
        <v>1</v>
      </c>
      <c r="BF111" s="163">
        <v>0</v>
      </c>
      <c r="BG111" s="163">
        <v>0</v>
      </c>
      <c r="BH111" s="163">
        <v>0</v>
      </c>
      <c r="BI111" s="14">
        <v>1</v>
      </c>
      <c r="BJ111" s="163">
        <v>0</v>
      </c>
      <c r="BK111" s="26">
        <v>1</v>
      </c>
      <c r="BL111" s="14">
        <v>0</v>
      </c>
      <c r="BM111" s="163">
        <v>0</v>
      </c>
      <c r="BN111" s="26">
        <v>0</v>
      </c>
      <c r="BO111" s="14">
        <v>0</v>
      </c>
      <c r="BP111" s="12">
        <v>77</v>
      </c>
      <c r="BQ111" s="163">
        <v>2</v>
      </c>
      <c r="BR111" s="14">
        <v>0</v>
      </c>
      <c r="BS111" s="163">
        <v>0</v>
      </c>
      <c r="BT111" s="163">
        <v>0</v>
      </c>
      <c r="BU111" s="26">
        <v>0</v>
      </c>
      <c r="BV111" s="14">
        <v>0</v>
      </c>
      <c r="BW111" s="209"/>
      <c r="BX111" s="3"/>
      <c r="BY111" s="3"/>
      <c r="BZ111" s="40"/>
      <c r="CA111" s="209"/>
      <c r="CB111" s="3"/>
      <c r="CC111" s="3"/>
      <c r="CD111" s="3"/>
      <c r="CE111" s="209"/>
      <c r="CF111" s="3"/>
      <c r="CG111" s="3"/>
      <c r="CH111" s="40"/>
      <c r="CI111" s="209"/>
      <c r="CJ111" s="3"/>
      <c r="CK111" s="3"/>
      <c r="CL111" s="209">
        <v>82.906828784097613</v>
      </c>
      <c r="CM111" s="3"/>
      <c r="CN111" s="3"/>
      <c r="CO111" s="3"/>
      <c r="CP111" s="40"/>
      <c r="CQ111" s="209">
        <v>83.282638920062709</v>
      </c>
      <c r="CR111" s="40"/>
      <c r="CS111" s="3"/>
      <c r="CT111" s="3"/>
    </row>
    <row r="112" spans="1:98">
      <c r="A112" s="42" t="s">
        <v>320</v>
      </c>
      <c r="B112" s="173" t="s">
        <v>300</v>
      </c>
      <c r="C112" s="12"/>
      <c r="D112" s="14" t="s">
        <v>199</v>
      </c>
      <c r="E112" s="12"/>
      <c r="F112" s="12">
        <v>4</v>
      </c>
      <c r="G112" s="14">
        <v>0</v>
      </c>
      <c r="H112" s="163">
        <v>0</v>
      </c>
      <c r="I112" s="163">
        <v>1</v>
      </c>
      <c r="J112" s="12">
        <v>1</v>
      </c>
      <c r="K112" s="14">
        <v>691</v>
      </c>
      <c r="L112" s="26">
        <v>1383</v>
      </c>
      <c r="M112" s="14">
        <v>748</v>
      </c>
      <c r="N112" s="163">
        <v>1075</v>
      </c>
      <c r="O112" s="14">
        <v>0</v>
      </c>
      <c r="P112" s="26">
        <v>0</v>
      </c>
      <c r="Q112" s="12">
        <v>2029</v>
      </c>
      <c r="R112" s="209">
        <v>1.7705061082024434</v>
      </c>
      <c r="S112" s="14">
        <v>1</v>
      </c>
      <c r="T112" s="163">
        <v>1</v>
      </c>
      <c r="U112" s="163">
        <v>0</v>
      </c>
      <c r="V112" s="26">
        <v>0</v>
      </c>
      <c r="W112" s="14">
        <v>1100</v>
      </c>
      <c r="X112" s="14">
        <v>1</v>
      </c>
      <c r="Y112" s="163">
        <v>0</v>
      </c>
      <c r="Z112" s="163">
        <v>0</v>
      </c>
      <c r="AA112" s="26">
        <v>1</v>
      </c>
      <c r="AB112" s="12">
        <v>1001</v>
      </c>
      <c r="AC112" s="14">
        <v>1</v>
      </c>
      <c r="AD112" s="14">
        <v>0</v>
      </c>
      <c r="AE112" s="163">
        <v>1</v>
      </c>
      <c r="AF112" s="163">
        <v>0</v>
      </c>
      <c r="AG112" s="26">
        <v>0</v>
      </c>
      <c r="AH112" s="14">
        <v>100</v>
      </c>
      <c r="AI112" s="14">
        <v>0</v>
      </c>
      <c r="AJ112" s="163">
        <v>0</v>
      </c>
      <c r="AK112" s="163">
        <v>0</v>
      </c>
      <c r="AL112" s="26">
        <v>0</v>
      </c>
      <c r="AM112" s="12">
        <v>0</v>
      </c>
      <c r="AN112" s="14">
        <v>0</v>
      </c>
      <c r="AO112" s="163">
        <v>0</v>
      </c>
      <c r="AP112" s="163">
        <v>0</v>
      </c>
      <c r="AQ112" s="163">
        <v>0</v>
      </c>
      <c r="AR112" s="163">
        <v>0</v>
      </c>
      <c r="AS112" s="14">
        <v>0</v>
      </c>
      <c r="AT112" s="163">
        <v>0</v>
      </c>
      <c r="AU112" s="163">
        <v>0</v>
      </c>
      <c r="AV112" s="163">
        <v>1</v>
      </c>
      <c r="AW112" s="26">
        <v>0</v>
      </c>
      <c r="AX112" s="14">
        <v>1</v>
      </c>
      <c r="AY112" s="14">
        <v>0</v>
      </c>
      <c r="AZ112" s="163">
        <v>0</v>
      </c>
      <c r="BA112" s="163">
        <v>0</v>
      </c>
      <c r="BB112" s="26">
        <v>1</v>
      </c>
      <c r="BC112" s="12">
        <v>1</v>
      </c>
      <c r="BD112" s="14">
        <v>0</v>
      </c>
      <c r="BE112" s="163">
        <v>0</v>
      </c>
      <c r="BF112" s="163">
        <v>0</v>
      </c>
      <c r="BG112" s="163">
        <v>0</v>
      </c>
      <c r="BH112" s="163">
        <v>0</v>
      </c>
      <c r="BI112" s="14">
        <v>1</v>
      </c>
      <c r="BJ112" s="163">
        <v>1</v>
      </c>
      <c r="BK112" s="26">
        <v>0</v>
      </c>
      <c r="BL112" s="14">
        <v>0</v>
      </c>
      <c r="BM112" s="163">
        <v>0</v>
      </c>
      <c r="BN112" s="26">
        <v>0</v>
      </c>
      <c r="BO112" s="14">
        <v>1</v>
      </c>
      <c r="BP112" s="12">
        <v>106</v>
      </c>
      <c r="BQ112" s="163">
        <v>2</v>
      </c>
      <c r="BR112" s="14">
        <v>0</v>
      </c>
      <c r="BS112" s="163">
        <v>0</v>
      </c>
      <c r="BT112" s="163">
        <v>0</v>
      </c>
      <c r="BU112" s="26">
        <v>0</v>
      </c>
      <c r="BV112" s="14">
        <v>0</v>
      </c>
      <c r="BW112" s="209"/>
      <c r="BX112" s="3"/>
      <c r="BY112" s="3"/>
      <c r="BZ112" s="40"/>
      <c r="CA112" s="209"/>
      <c r="CB112" s="3"/>
      <c r="CC112" s="3"/>
      <c r="CD112" s="3"/>
      <c r="CE112" s="209"/>
      <c r="CF112" s="3"/>
      <c r="CG112" s="3"/>
      <c r="CH112" s="40"/>
      <c r="CI112" s="209"/>
      <c r="CJ112" s="3"/>
      <c r="CK112" s="3"/>
      <c r="CL112" s="209"/>
      <c r="CM112" s="3"/>
      <c r="CN112" s="3"/>
      <c r="CO112" s="3"/>
      <c r="CP112" s="40"/>
      <c r="CQ112" s="209"/>
      <c r="CR112" s="40"/>
      <c r="CS112" s="3"/>
      <c r="CT112" s="3"/>
    </row>
    <row r="113" spans="1:98" ht="17" thickBot="1">
      <c r="A113" s="55" t="s">
        <v>320</v>
      </c>
      <c r="B113" s="47" t="s">
        <v>300</v>
      </c>
      <c r="C113" s="33"/>
      <c r="D113" s="34" t="s">
        <v>396</v>
      </c>
      <c r="E113" s="33"/>
      <c r="F113" s="33">
        <v>18</v>
      </c>
      <c r="G113" s="34">
        <v>1</v>
      </c>
      <c r="H113" s="36">
        <v>0</v>
      </c>
      <c r="I113" s="36">
        <v>1</v>
      </c>
      <c r="J113" s="33">
        <v>101</v>
      </c>
      <c r="K113" s="34">
        <v>264</v>
      </c>
      <c r="L113" s="35">
        <v>1839</v>
      </c>
      <c r="M113" s="34">
        <v>87</v>
      </c>
      <c r="N113" s="36">
        <v>158</v>
      </c>
      <c r="O113" s="34">
        <v>443</v>
      </c>
      <c r="P113" s="35">
        <v>1444</v>
      </c>
      <c r="Q113" s="33">
        <v>2847</v>
      </c>
      <c r="R113" s="210">
        <v>1.5439262472885034</v>
      </c>
      <c r="S113" s="34">
        <v>1</v>
      </c>
      <c r="T113" s="36">
        <v>1</v>
      </c>
      <c r="U113" s="36">
        <v>1</v>
      </c>
      <c r="V113" s="35">
        <v>0</v>
      </c>
      <c r="W113" s="34">
        <v>1110</v>
      </c>
      <c r="X113" s="34">
        <v>1</v>
      </c>
      <c r="Y113" s="36">
        <v>0</v>
      </c>
      <c r="Z113" s="36">
        <v>0</v>
      </c>
      <c r="AA113" s="35">
        <v>0</v>
      </c>
      <c r="AB113" s="33">
        <v>1000</v>
      </c>
      <c r="AC113" s="34">
        <v>1</v>
      </c>
      <c r="AD113" s="34">
        <v>1</v>
      </c>
      <c r="AE113" s="36">
        <v>0</v>
      </c>
      <c r="AF113" s="36">
        <v>0</v>
      </c>
      <c r="AG113" s="35">
        <v>0</v>
      </c>
      <c r="AH113" s="34">
        <v>1000</v>
      </c>
      <c r="AI113" s="34">
        <v>0</v>
      </c>
      <c r="AJ113" s="36">
        <v>0</v>
      </c>
      <c r="AK113" s="36">
        <v>1</v>
      </c>
      <c r="AL113" s="35">
        <v>0</v>
      </c>
      <c r="AM113" s="33">
        <v>10</v>
      </c>
      <c r="AN113" s="34">
        <v>0</v>
      </c>
      <c r="AO113" s="36">
        <v>0</v>
      </c>
      <c r="AP113" s="36">
        <v>0</v>
      </c>
      <c r="AQ113" s="36">
        <v>0</v>
      </c>
      <c r="AR113" s="36">
        <v>0</v>
      </c>
      <c r="AS113" s="34">
        <v>1</v>
      </c>
      <c r="AT113" s="36">
        <v>0</v>
      </c>
      <c r="AU113" s="36">
        <v>0</v>
      </c>
      <c r="AV113" s="36">
        <v>0</v>
      </c>
      <c r="AW113" s="35">
        <v>0</v>
      </c>
      <c r="AX113" s="34">
        <v>1</v>
      </c>
      <c r="AY113" s="34">
        <v>0</v>
      </c>
      <c r="AZ113" s="36">
        <v>0</v>
      </c>
      <c r="BA113" s="36">
        <v>0</v>
      </c>
      <c r="BB113" s="35">
        <v>1</v>
      </c>
      <c r="BC113" s="33">
        <v>1</v>
      </c>
      <c r="BD113" s="34">
        <v>1</v>
      </c>
      <c r="BE113" s="36">
        <v>1</v>
      </c>
      <c r="BF113" s="36">
        <v>0</v>
      </c>
      <c r="BG113" s="36">
        <v>0</v>
      </c>
      <c r="BH113" s="36">
        <v>0</v>
      </c>
      <c r="BI113" s="34">
        <v>1</v>
      </c>
      <c r="BJ113" s="36">
        <v>1</v>
      </c>
      <c r="BK113" s="35">
        <v>0</v>
      </c>
      <c r="BL113" s="34">
        <v>0</v>
      </c>
      <c r="BM113" s="36">
        <v>1</v>
      </c>
      <c r="BN113" s="35">
        <v>0</v>
      </c>
      <c r="BO113" s="34">
        <v>0</v>
      </c>
      <c r="BP113" s="33">
        <v>126</v>
      </c>
      <c r="BQ113" s="36">
        <v>2</v>
      </c>
      <c r="BR113" s="34">
        <v>0</v>
      </c>
      <c r="BS113" s="36">
        <v>0</v>
      </c>
      <c r="BT113" s="36">
        <v>0</v>
      </c>
      <c r="BU113" s="35">
        <v>0</v>
      </c>
      <c r="BV113" s="34">
        <v>0</v>
      </c>
      <c r="BW113" s="210"/>
      <c r="BX113" s="51"/>
      <c r="BY113" s="51"/>
      <c r="BZ113" s="48"/>
      <c r="CA113" s="210"/>
      <c r="CB113" s="51"/>
      <c r="CC113" s="51"/>
      <c r="CD113" s="51"/>
      <c r="CE113" s="210"/>
      <c r="CF113" s="51"/>
      <c r="CG113" s="51"/>
      <c r="CH113" s="48"/>
      <c r="CI113" s="210"/>
      <c r="CJ113" s="51"/>
      <c r="CK113" s="51"/>
      <c r="CL113" s="210"/>
      <c r="CM113" s="51"/>
      <c r="CN113" s="51"/>
      <c r="CO113" s="51"/>
      <c r="CP113" s="48"/>
      <c r="CQ113" s="210"/>
      <c r="CR113" s="48"/>
      <c r="CS113" s="3"/>
      <c r="CT113" s="3"/>
    </row>
    <row r="114" spans="1:98">
      <c r="A114" s="87" t="s">
        <v>320</v>
      </c>
      <c r="B114" s="7" t="s">
        <v>305</v>
      </c>
      <c r="C114" s="9"/>
      <c r="D114" s="11" t="s">
        <v>189</v>
      </c>
      <c r="E114" s="7"/>
      <c r="F114" s="101">
        <v>6</v>
      </c>
      <c r="G114" s="102">
        <v>0</v>
      </c>
      <c r="H114" s="100">
        <v>0</v>
      </c>
      <c r="I114" s="100">
        <v>1</v>
      </c>
      <c r="J114" s="9">
        <v>1</v>
      </c>
      <c r="K114" s="102">
        <v>273</v>
      </c>
      <c r="L114" s="104">
        <v>986</v>
      </c>
      <c r="M114" s="102">
        <v>105</v>
      </c>
      <c r="N114" s="100">
        <v>1162</v>
      </c>
      <c r="O114" s="102">
        <v>0</v>
      </c>
      <c r="P114" s="104">
        <v>0</v>
      </c>
      <c r="Q114" s="101">
        <v>1301</v>
      </c>
      <c r="R114" s="215">
        <v>1.3221544715447155</v>
      </c>
      <c r="S114" s="102">
        <v>1</v>
      </c>
      <c r="T114" s="100">
        <v>1</v>
      </c>
      <c r="U114" s="100">
        <v>0</v>
      </c>
      <c r="V114" s="104">
        <v>0</v>
      </c>
      <c r="W114" s="11">
        <v>1100</v>
      </c>
      <c r="X114" s="102">
        <v>1</v>
      </c>
      <c r="Y114" s="100">
        <v>1</v>
      </c>
      <c r="Z114" s="100">
        <v>1</v>
      </c>
      <c r="AA114" s="104">
        <v>0</v>
      </c>
      <c r="AB114" s="9">
        <v>1110</v>
      </c>
      <c r="AC114" s="102">
        <v>0</v>
      </c>
      <c r="AD114" s="102">
        <v>0</v>
      </c>
      <c r="AE114" s="100">
        <v>1</v>
      </c>
      <c r="AF114" s="100">
        <v>1</v>
      </c>
      <c r="AG114" s="104">
        <v>0</v>
      </c>
      <c r="AH114" s="11">
        <v>110</v>
      </c>
      <c r="AI114" s="102">
        <v>0</v>
      </c>
      <c r="AJ114" s="100">
        <v>0</v>
      </c>
      <c r="AK114" s="100">
        <v>0</v>
      </c>
      <c r="AL114" s="104">
        <v>0</v>
      </c>
      <c r="AM114" s="9">
        <v>0</v>
      </c>
      <c r="AN114" s="102">
        <v>0</v>
      </c>
      <c r="AO114" s="100">
        <v>0</v>
      </c>
      <c r="AP114" s="100">
        <v>0</v>
      </c>
      <c r="AQ114" s="100">
        <v>0</v>
      </c>
      <c r="AR114" s="100">
        <v>0</v>
      </c>
      <c r="AS114" s="102">
        <v>1</v>
      </c>
      <c r="AT114" s="100">
        <v>1</v>
      </c>
      <c r="AU114" s="100">
        <v>0</v>
      </c>
      <c r="AV114" s="100">
        <v>0</v>
      </c>
      <c r="AW114" s="104">
        <v>0</v>
      </c>
      <c r="AX114" s="11">
        <v>2</v>
      </c>
      <c r="AY114" s="102">
        <v>0</v>
      </c>
      <c r="AZ114" s="100">
        <v>0</v>
      </c>
      <c r="BA114" s="100">
        <v>0</v>
      </c>
      <c r="BB114" s="104">
        <v>0</v>
      </c>
      <c r="BC114" s="9">
        <v>0</v>
      </c>
      <c r="BD114" s="102">
        <v>0</v>
      </c>
      <c r="BE114" s="100">
        <v>0</v>
      </c>
      <c r="BF114" s="100">
        <v>0</v>
      </c>
      <c r="BG114" s="100">
        <v>0</v>
      </c>
      <c r="BH114" s="100">
        <v>0</v>
      </c>
      <c r="BI114" s="102">
        <v>1</v>
      </c>
      <c r="BJ114" s="100">
        <v>1</v>
      </c>
      <c r="BK114" s="104">
        <v>0</v>
      </c>
      <c r="BL114" s="102">
        <v>0</v>
      </c>
      <c r="BM114" s="100">
        <v>1</v>
      </c>
      <c r="BN114" s="104">
        <v>0</v>
      </c>
      <c r="BO114" s="102">
        <v>1</v>
      </c>
      <c r="BP114" s="101">
        <v>105</v>
      </c>
      <c r="BQ114" s="100">
        <v>1</v>
      </c>
      <c r="BR114" s="102">
        <v>0</v>
      </c>
      <c r="BS114" s="100">
        <v>0</v>
      </c>
      <c r="BT114" s="100">
        <v>0</v>
      </c>
      <c r="BU114" s="104">
        <v>0</v>
      </c>
      <c r="BV114" s="11">
        <v>0</v>
      </c>
      <c r="BW114" s="208"/>
      <c r="BX114" s="54"/>
      <c r="BY114" s="54"/>
      <c r="BZ114" s="10"/>
      <c r="CA114" s="208"/>
      <c r="CB114" s="54"/>
      <c r="CC114" s="54"/>
      <c r="CD114" s="54"/>
      <c r="CE114" s="208"/>
      <c r="CF114" s="54"/>
      <c r="CG114" s="54"/>
      <c r="CH114" s="10"/>
      <c r="CI114" s="208"/>
      <c r="CJ114" s="54"/>
      <c r="CK114" s="54"/>
      <c r="CL114" s="208"/>
      <c r="CM114" s="54"/>
      <c r="CN114" s="54"/>
      <c r="CO114" s="54"/>
      <c r="CP114" s="10"/>
      <c r="CQ114" s="208"/>
      <c r="CR114" s="10"/>
      <c r="CS114" s="3"/>
      <c r="CT114" s="3"/>
    </row>
    <row r="115" spans="1:98">
      <c r="A115" s="42" t="s">
        <v>320</v>
      </c>
      <c r="B115" s="173" t="s">
        <v>305</v>
      </c>
      <c r="C115" s="12"/>
      <c r="D115" s="14" t="s">
        <v>145</v>
      </c>
      <c r="E115" s="173"/>
      <c r="F115" s="25">
        <v>56</v>
      </c>
      <c r="G115" s="23">
        <v>0</v>
      </c>
      <c r="H115" s="24">
        <v>1</v>
      </c>
      <c r="I115" s="24">
        <v>1</v>
      </c>
      <c r="J115" s="12">
        <v>11</v>
      </c>
      <c r="K115" s="23">
        <v>169</v>
      </c>
      <c r="L115" s="52">
        <v>2000</v>
      </c>
      <c r="M115" s="23">
        <v>228</v>
      </c>
      <c r="N115" s="24">
        <v>567</v>
      </c>
      <c r="O115" s="23">
        <v>0</v>
      </c>
      <c r="P115" s="52">
        <v>0</v>
      </c>
      <c r="Q115" s="25">
        <v>5026</v>
      </c>
      <c r="R115" s="212">
        <v>1.4094223219293325</v>
      </c>
      <c r="S115" s="23">
        <v>1</v>
      </c>
      <c r="T115" s="24">
        <v>1</v>
      </c>
      <c r="U115" s="24">
        <v>0</v>
      </c>
      <c r="V115" s="52">
        <v>0</v>
      </c>
      <c r="W115" s="14">
        <v>1100</v>
      </c>
      <c r="X115" s="23">
        <v>1</v>
      </c>
      <c r="Y115" s="24">
        <v>1</v>
      </c>
      <c r="Z115" s="24">
        <v>1</v>
      </c>
      <c r="AA115" s="52">
        <v>0</v>
      </c>
      <c r="AB115" s="12">
        <v>1110</v>
      </c>
      <c r="AC115" s="23">
        <v>1</v>
      </c>
      <c r="AD115" s="23">
        <v>0</v>
      </c>
      <c r="AE115" s="24">
        <v>1</v>
      </c>
      <c r="AF115" s="24">
        <v>1</v>
      </c>
      <c r="AG115" s="52">
        <v>1</v>
      </c>
      <c r="AH115" s="14">
        <v>111</v>
      </c>
      <c r="AI115" s="23">
        <v>0</v>
      </c>
      <c r="AJ115" s="24">
        <v>0</v>
      </c>
      <c r="AK115" s="24">
        <v>0</v>
      </c>
      <c r="AL115" s="52">
        <v>0</v>
      </c>
      <c r="AM115" s="12">
        <v>0</v>
      </c>
      <c r="AN115" s="23">
        <v>0</v>
      </c>
      <c r="AO115" s="24">
        <v>0</v>
      </c>
      <c r="AP115" s="24">
        <v>0</v>
      </c>
      <c r="AQ115" s="24">
        <v>0</v>
      </c>
      <c r="AR115" s="24">
        <v>0</v>
      </c>
      <c r="AS115" s="23">
        <v>1</v>
      </c>
      <c r="AT115" s="24">
        <v>0</v>
      </c>
      <c r="AU115" s="24">
        <v>0</v>
      </c>
      <c r="AV115" s="24">
        <v>1</v>
      </c>
      <c r="AW115" s="52">
        <v>0</v>
      </c>
      <c r="AX115" s="14">
        <v>2</v>
      </c>
      <c r="AY115" s="23">
        <v>0</v>
      </c>
      <c r="AZ115" s="24">
        <v>0</v>
      </c>
      <c r="BA115" s="24">
        <v>0</v>
      </c>
      <c r="BB115" s="52">
        <v>0</v>
      </c>
      <c r="BC115" s="12">
        <v>0</v>
      </c>
      <c r="BD115" s="23">
        <v>0</v>
      </c>
      <c r="BE115" s="24">
        <v>0</v>
      </c>
      <c r="BF115" s="24">
        <v>0</v>
      </c>
      <c r="BG115" s="24">
        <v>0</v>
      </c>
      <c r="BH115" s="24">
        <v>0</v>
      </c>
      <c r="BI115" s="23">
        <v>1</v>
      </c>
      <c r="BJ115" s="24">
        <v>1</v>
      </c>
      <c r="BK115" s="52">
        <v>0</v>
      </c>
      <c r="BL115" s="23">
        <v>0</v>
      </c>
      <c r="BM115" s="24">
        <v>1</v>
      </c>
      <c r="BN115" s="52">
        <v>0</v>
      </c>
      <c r="BO115" s="23">
        <v>1</v>
      </c>
      <c r="BP115" s="25">
        <v>128</v>
      </c>
      <c r="BQ115" s="24">
        <v>0</v>
      </c>
      <c r="BR115" s="23">
        <v>0</v>
      </c>
      <c r="BS115" s="24">
        <v>0</v>
      </c>
      <c r="BT115" s="24">
        <v>0</v>
      </c>
      <c r="BU115" s="52">
        <v>0</v>
      </c>
      <c r="BV115" s="14">
        <v>0</v>
      </c>
      <c r="BW115" s="209">
        <v>68.94</v>
      </c>
      <c r="BX115" s="3">
        <v>67.63</v>
      </c>
      <c r="BY115" s="3">
        <v>64.760000000000005</v>
      </c>
      <c r="BZ115" s="40">
        <v>71.52</v>
      </c>
      <c r="CA115" s="209">
        <v>68.930000000000007</v>
      </c>
      <c r="CB115" s="3"/>
      <c r="CC115" s="3"/>
      <c r="CD115" s="3"/>
      <c r="CE115" s="209">
        <v>69.88</v>
      </c>
      <c r="CF115" s="3">
        <v>67.290000000000006</v>
      </c>
      <c r="CG115" s="3">
        <v>68.900000000000006</v>
      </c>
      <c r="CH115" s="40"/>
      <c r="CI115" s="209"/>
      <c r="CJ115" s="3"/>
      <c r="CK115" s="3"/>
      <c r="CL115" s="209">
        <v>84.660663226393027</v>
      </c>
      <c r="CM115" s="3">
        <v>84.852864774615554</v>
      </c>
      <c r="CN115" s="3"/>
      <c r="CO115" s="3"/>
      <c r="CP115" s="40"/>
      <c r="CQ115" s="209"/>
      <c r="CR115" s="40"/>
      <c r="CS115" s="3"/>
      <c r="CT115" s="3"/>
    </row>
    <row r="116" spans="1:98">
      <c r="A116" s="42" t="s">
        <v>320</v>
      </c>
      <c r="B116" s="173" t="s">
        <v>305</v>
      </c>
      <c r="C116" s="12"/>
      <c r="D116" s="14" t="s">
        <v>381</v>
      </c>
      <c r="E116" s="173"/>
      <c r="F116" s="25">
        <v>12</v>
      </c>
      <c r="G116" s="23">
        <v>1</v>
      </c>
      <c r="H116" s="24">
        <v>0</v>
      </c>
      <c r="I116" s="24">
        <v>1</v>
      </c>
      <c r="J116" s="12">
        <v>101</v>
      </c>
      <c r="K116" s="23">
        <v>172</v>
      </c>
      <c r="L116" s="52">
        <v>546</v>
      </c>
      <c r="M116" s="23">
        <v>80</v>
      </c>
      <c r="N116" s="24">
        <v>321</v>
      </c>
      <c r="O116" s="23">
        <v>0</v>
      </c>
      <c r="P116" s="52">
        <v>0</v>
      </c>
      <c r="Q116" s="25">
        <v>1072</v>
      </c>
      <c r="R116" s="212">
        <v>1.7097288676236044</v>
      </c>
      <c r="S116" s="23">
        <v>1</v>
      </c>
      <c r="T116" s="24">
        <v>1</v>
      </c>
      <c r="U116" s="24">
        <v>0</v>
      </c>
      <c r="V116" s="52">
        <v>0</v>
      </c>
      <c r="W116" s="14">
        <v>1100</v>
      </c>
      <c r="X116" s="23">
        <v>1</v>
      </c>
      <c r="Y116" s="24">
        <v>1</v>
      </c>
      <c r="Z116" s="24">
        <v>0</v>
      </c>
      <c r="AA116" s="52">
        <v>0</v>
      </c>
      <c r="AB116" s="12">
        <v>1100</v>
      </c>
      <c r="AC116" s="23">
        <v>0</v>
      </c>
      <c r="AD116" s="23">
        <v>0</v>
      </c>
      <c r="AE116" s="24">
        <v>0</v>
      </c>
      <c r="AF116" s="24">
        <v>1</v>
      </c>
      <c r="AG116" s="52">
        <v>0</v>
      </c>
      <c r="AH116" s="14">
        <v>10</v>
      </c>
      <c r="AI116" s="23">
        <v>0</v>
      </c>
      <c r="AJ116" s="24">
        <v>0</v>
      </c>
      <c r="AK116" s="24">
        <v>0</v>
      </c>
      <c r="AL116" s="52">
        <v>0</v>
      </c>
      <c r="AM116" s="12">
        <v>0</v>
      </c>
      <c r="AN116" s="23">
        <v>0</v>
      </c>
      <c r="AO116" s="24">
        <v>0</v>
      </c>
      <c r="AP116" s="24">
        <v>0</v>
      </c>
      <c r="AQ116" s="24">
        <v>0</v>
      </c>
      <c r="AR116" s="24">
        <v>0</v>
      </c>
      <c r="AS116" s="23">
        <v>1</v>
      </c>
      <c r="AT116" s="24">
        <v>0</v>
      </c>
      <c r="AU116" s="24">
        <v>0</v>
      </c>
      <c r="AV116" s="24">
        <v>0</v>
      </c>
      <c r="AW116" s="52">
        <v>0</v>
      </c>
      <c r="AX116" s="14">
        <v>1</v>
      </c>
      <c r="AY116" s="23">
        <v>0</v>
      </c>
      <c r="AZ116" s="24">
        <v>0</v>
      </c>
      <c r="BA116" s="24">
        <v>0</v>
      </c>
      <c r="BB116" s="52">
        <v>0</v>
      </c>
      <c r="BC116" s="12">
        <v>0</v>
      </c>
      <c r="BD116" s="23">
        <v>0</v>
      </c>
      <c r="BE116" s="24">
        <v>0</v>
      </c>
      <c r="BF116" s="24">
        <v>0</v>
      </c>
      <c r="BG116" s="24">
        <v>0</v>
      </c>
      <c r="BH116" s="24">
        <v>0</v>
      </c>
      <c r="BI116" s="23">
        <v>1</v>
      </c>
      <c r="BJ116" s="24">
        <v>1</v>
      </c>
      <c r="BK116" s="52">
        <v>0</v>
      </c>
      <c r="BL116" s="23">
        <v>0</v>
      </c>
      <c r="BM116" s="24">
        <v>0</v>
      </c>
      <c r="BN116" s="52">
        <v>0</v>
      </c>
      <c r="BO116" s="23">
        <v>1</v>
      </c>
      <c r="BP116" s="25">
        <v>127</v>
      </c>
      <c r="BQ116" s="24">
        <v>2</v>
      </c>
      <c r="BR116" s="23">
        <v>0</v>
      </c>
      <c r="BS116" s="24">
        <v>0</v>
      </c>
      <c r="BT116" s="24">
        <v>0</v>
      </c>
      <c r="BU116" s="52">
        <v>0</v>
      </c>
      <c r="BV116" s="14">
        <v>0</v>
      </c>
      <c r="BW116" s="209"/>
      <c r="BX116" s="3"/>
      <c r="BY116" s="3"/>
      <c r="BZ116" s="40"/>
      <c r="CA116" s="209"/>
      <c r="CB116" s="3"/>
      <c r="CC116" s="3"/>
      <c r="CD116" s="3"/>
      <c r="CE116" s="209"/>
      <c r="CF116" s="3"/>
      <c r="CG116" s="3"/>
      <c r="CH116" s="40"/>
      <c r="CI116" s="209"/>
      <c r="CJ116" s="3"/>
      <c r="CK116" s="3"/>
      <c r="CL116" s="209"/>
      <c r="CM116" s="3"/>
      <c r="CN116" s="3"/>
      <c r="CO116" s="3"/>
      <c r="CP116" s="40"/>
      <c r="CQ116" s="209"/>
      <c r="CR116" s="40"/>
      <c r="CS116" s="3"/>
      <c r="CT116" s="3"/>
    </row>
    <row r="117" spans="1:98">
      <c r="A117" s="42" t="s">
        <v>320</v>
      </c>
      <c r="B117" s="173" t="s">
        <v>305</v>
      </c>
      <c r="C117" s="12"/>
      <c r="D117" s="14" t="s">
        <v>382</v>
      </c>
      <c r="E117" s="173"/>
      <c r="F117" s="25">
        <v>10</v>
      </c>
      <c r="G117" s="23">
        <v>0</v>
      </c>
      <c r="H117" s="24">
        <v>0</v>
      </c>
      <c r="I117" s="24">
        <v>1</v>
      </c>
      <c r="J117" s="12">
        <v>1</v>
      </c>
      <c r="K117" s="23">
        <v>182</v>
      </c>
      <c r="L117" s="52">
        <v>1369</v>
      </c>
      <c r="M117" s="23">
        <v>228</v>
      </c>
      <c r="N117" s="24">
        <v>805</v>
      </c>
      <c r="O117" s="23">
        <v>0</v>
      </c>
      <c r="P117" s="52">
        <v>0</v>
      </c>
      <c r="Q117" s="25">
        <v>1566</v>
      </c>
      <c r="R117" s="212">
        <v>1.0255402750491158</v>
      </c>
      <c r="S117" s="23">
        <v>1</v>
      </c>
      <c r="T117" s="24">
        <v>1</v>
      </c>
      <c r="U117" s="24">
        <v>0</v>
      </c>
      <c r="V117" s="52">
        <v>0</v>
      </c>
      <c r="W117" s="14">
        <v>1100</v>
      </c>
      <c r="X117" s="23">
        <v>0</v>
      </c>
      <c r="Y117" s="24">
        <v>1</v>
      </c>
      <c r="Z117" s="24">
        <v>1</v>
      </c>
      <c r="AA117" s="52">
        <v>0</v>
      </c>
      <c r="AB117" s="12">
        <v>110</v>
      </c>
      <c r="AC117" s="23">
        <v>1</v>
      </c>
      <c r="AD117" s="23">
        <v>0</v>
      </c>
      <c r="AE117" s="24">
        <v>1</v>
      </c>
      <c r="AF117" s="24">
        <v>0</v>
      </c>
      <c r="AG117" s="52">
        <v>0</v>
      </c>
      <c r="AH117" s="14">
        <v>100</v>
      </c>
      <c r="AI117" s="23">
        <v>0</v>
      </c>
      <c r="AJ117" s="24">
        <v>0</v>
      </c>
      <c r="AK117" s="24">
        <v>0</v>
      </c>
      <c r="AL117" s="52">
        <v>0</v>
      </c>
      <c r="AM117" s="12">
        <v>0</v>
      </c>
      <c r="AN117" s="23">
        <v>0</v>
      </c>
      <c r="AO117" s="24">
        <v>0</v>
      </c>
      <c r="AP117" s="24">
        <v>0</v>
      </c>
      <c r="AQ117" s="24">
        <v>0</v>
      </c>
      <c r="AR117" s="24">
        <v>0</v>
      </c>
      <c r="AS117" s="23">
        <v>1</v>
      </c>
      <c r="AT117" s="24">
        <v>0</v>
      </c>
      <c r="AU117" s="24">
        <v>0</v>
      </c>
      <c r="AV117" s="24">
        <v>1</v>
      </c>
      <c r="AW117" s="52">
        <v>0</v>
      </c>
      <c r="AX117" s="14">
        <v>2</v>
      </c>
      <c r="AY117" s="23">
        <v>0</v>
      </c>
      <c r="AZ117" s="24">
        <v>0</v>
      </c>
      <c r="BA117" s="24">
        <v>0</v>
      </c>
      <c r="BB117" s="52">
        <v>1</v>
      </c>
      <c r="BC117" s="12">
        <v>1</v>
      </c>
      <c r="BD117" s="23">
        <v>0</v>
      </c>
      <c r="BE117" s="24">
        <v>0</v>
      </c>
      <c r="BF117" s="24">
        <v>0</v>
      </c>
      <c r="BG117" s="24">
        <v>0</v>
      </c>
      <c r="BH117" s="24">
        <v>0</v>
      </c>
      <c r="BI117" s="23">
        <v>1</v>
      </c>
      <c r="BJ117" s="24">
        <v>1</v>
      </c>
      <c r="BK117" s="52">
        <v>0</v>
      </c>
      <c r="BL117" s="23">
        <v>0</v>
      </c>
      <c r="BM117" s="24">
        <v>1</v>
      </c>
      <c r="BN117" s="52">
        <v>0</v>
      </c>
      <c r="BO117" s="23">
        <v>1</v>
      </c>
      <c r="BP117" s="25">
        <v>123</v>
      </c>
      <c r="BQ117" s="24">
        <v>2</v>
      </c>
      <c r="BR117" s="23">
        <v>0</v>
      </c>
      <c r="BS117" s="24">
        <v>0</v>
      </c>
      <c r="BT117" s="24">
        <v>0</v>
      </c>
      <c r="BU117" s="52">
        <v>0</v>
      </c>
      <c r="BV117" s="14">
        <v>0</v>
      </c>
      <c r="BW117" s="209"/>
      <c r="BX117" s="3"/>
      <c r="BY117" s="3"/>
      <c r="BZ117" s="40"/>
      <c r="CA117" s="209"/>
      <c r="CB117" s="3"/>
      <c r="CC117" s="3"/>
      <c r="CD117" s="3"/>
      <c r="CE117" s="209"/>
      <c r="CF117" s="3"/>
      <c r="CG117" s="3"/>
      <c r="CH117" s="40"/>
      <c r="CI117" s="209"/>
      <c r="CJ117" s="3"/>
      <c r="CK117" s="3"/>
      <c r="CL117" s="209"/>
      <c r="CM117" s="3"/>
      <c r="CN117" s="3"/>
      <c r="CO117" s="3"/>
      <c r="CP117" s="40"/>
      <c r="CQ117" s="209"/>
      <c r="CR117" s="40"/>
      <c r="CS117" s="3"/>
      <c r="CT117" s="3"/>
    </row>
    <row r="118" spans="1:98">
      <c r="A118" s="42" t="s">
        <v>320</v>
      </c>
      <c r="B118" s="173" t="s">
        <v>305</v>
      </c>
      <c r="C118" s="12"/>
      <c r="D118" s="14" t="s">
        <v>383</v>
      </c>
      <c r="E118" s="173"/>
      <c r="F118" s="25">
        <v>22</v>
      </c>
      <c r="G118" s="23">
        <v>0</v>
      </c>
      <c r="H118" s="24">
        <v>0</v>
      </c>
      <c r="I118" s="24">
        <v>1</v>
      </c>
      <c r="J118" s="12">
        <v>1</v>
      </c>
      <c r="K118" s="23">
        <v>178</v>
      </c>
      <c r="L118" s="52">
        <v>895</v>
      </c>
      <c r="M118" s="23">
        <v>123</v>
      </c>
      <c r="N118" s="24">
        <v>337</v>
      </c>
      <c r="O118" s="23">
        <v>0</v>
      </c>
      <c r="P118" s="52">
        <v>0</v>
      </c>
      <c r="Q118" s="25">
        <v>1088</v>
      </c>
      <c r="R118" s="212">
        <v>1.096774193548387</v>
      </c>
      <c r="S118" s="23">
        <v>1</v>
      </c>
      <c r="T118" s="24">
        <v>1</v>
      </c>
      <c r="U118" s="24">
        <v>0</v>
      </c>
      <c r="V118" s="52">
        <v>0</v>
      </c>
      <c r="W118" s="14">
        <v>1100</v>
      </c>
      <c r="X118" s="23">
        <v>1</v>
      </c>
      <c r="Y118" s="24">
        <v>1</v>
      </c>
      <c r="Z118" s="24">
        <v>0</v>
      </c>
      <c r="AA118" s="52">
        <v>0</v>
      </c>
      <c r="AB118" s="12">
        <v>1100</v>
      </c>
      <c r="AC118" s="23">
        <v>1</v>
      </c>
      <c r="AD118" s="23">
        <v>0</v>
      </c>
      <c r="AE118" s="24">
        <v>1</v>
      </c>
      <c r="AF118" s="24">
        <v>1</v>
      </c>
      <c r="AG118" s="52">
        <v>0</v>
      </c>
      <c r="AH118" s="14">
        <v>110</v>
      </c>
      <c r="AI118" s="23">
        <v>0</v>
      </c>
      <c r="AJ118" s="24">
        <v>0</v>
      </c>
      <c r="AK118" s="24">
        <v>0</v>
      </c>
      <c r="AL118" s="52">
        <v>0</v>
      </c>
      <c r="AM118" s="12">
        <v>0</v>
      </c>
      <c r="AN118" s="23">
        <v>0</v>
      </c>
      <c r="AO118" s="24">
        <v>0</v>
      </c>
      <c r="AP118" s="24">
        <v>0</v>
      </c>
      <c r="AQ118" s="24">
        <v>0</v>
      </c>
      <c r="AR118" s="24">
        <v>0</v>
      </c>
      <c r="AS118" s="23">
        <v>1</v>
      </c>
      <c r="AT118" s="24">
        <v>0</v>
      </c>
      <c r="AU118" s="24">
        <v>0</v>
      </c>
      <c r="AV118" s="24">
        <v>0</v>
      </c>
      <c r="AW118" s="52">
        <v>0</v>
      </c>
      <c r="AX118" s="14">
        <v>1</v>
      </c>
      <c r="AY118" s="23">
        <v>0</v>
      </c>
      <c r="AZ118" s="24">
        <v>0</v>
      </c>
      <c r="BA118" s="24">
        <v>0</v>
      </c>
      <c r="BB118" s="52">
        <v>0</v>
      </c>
      <c r="BC118" s="12">
        <v>0</v>
      </c>
      <c r="BD118" s="23">
        <v>0</v>
      </c>
      <c r="BE118" s="24">
        <v>0</v>
      </c>
      <c r="BF118" s="24">
        <v>0</v>
      </c>
      <c r="BG118" s="24">
        <v>0</v>
      </c>
      <c r="BH118" s="24">
        <v>0</v>
      </c>
      <c r="BI118" s="23">
        <v>1</v>
      </c>
      <c r="BJ118" s="24">
        <v>1</v>
      </c>
      <c r="BK118" s="52">
        <v>0</v>
      </c>
      <c r="BL118" s="23">
        <v>0</v>
      </c>
      <c r="BM118" s="24">
        <v>0</v>
      </c>
      <c r="BN118" s="52">
        <v>0</v>
      </c>
      <c r="BO118" s="23">
        <v>1</v>
      </c>
      <c r="BP118" s="25">
        <v>113</v>
      </c>
      <c r="BQ118" s="24">
        <v>1</v>
      </c>
      <c r="BR118" s="23">
        <v>0</v>
      </c>
      <c r="BS118" s="24">
        <v>0</v>
      </c>
      <c r="BT118" s="24">
        <v>0</v>
      </c>
      <c r="BU118" s="52">
        <v>0</v>
      </c>
      <c r="BV118" s="14">
        <v>0</v>
      </c>
      <c r="BW118" s="209"/>
      <c r="BX118" s="3"/>
      <c r="BY118" s="3"/>
      <c r="BZ118" s="40"/>
      <c r="CA118" s="209"/>
      <c r="CB118" s="3"/>
      <c r="CC118" s="3"/>
      <c r="CD118" s="3"/>
      <c r="CE118" s="209"/>
      <c r="CF118" s="3"/>
      <c r="CG118" s="3"/>
      <c r="CH118" s="40"/>
      <c r="CI118" s="209"/>
      <c r="CJ118" s="3"/>
      <c r="CK118" s="3"/>
      <c r="CL118" s="209"/>
      <c r="CM118" s="3"/>
      <c r="CN118" s="3"/>
      <c r="CO118" s="3"/>
      <c r="CP118" s="40"/>
      <c r="CQ118" s="209"/>
      <c r="CR118" s="40"/>
      <c r="CS118" s="3"/>
      <c r="CT118" s="3"/>
    </row>
    <row r="119" spans="1:98">
      <c r="A119" s="42" t="s">
        <v>320</v>
      </c>
      <c r="B119" s="173" t="s">
        <v>305</v>
      </c>
      <c r="C119" s="12"/>
      <c r="D119" s="14" t="s">
        <v>385</v>
      </c>
      <c r="E119" s="173"/>
      <c r="F119" s="25">
        <v>9</v>
      </c>
      <c r="G119" s="23">
        <v>1</v>
      </c>
      <c r="H119" s="24">
        <v>0</v>
      </c>
      <c r="I119" s="24">
        <v>1</v>
      </c>
      <c r="J119" s="12">
        <v>101</v>
      </c>
      <c r="K119" s="23">
        <v>89</v>
      </c>
      <c r="L119" s="52">
        <v>1101</v>
      </c>
      <c r="M119" s="23">
        <v>265</v>
      </c>
      <c r="N119" s="24">
        <v>626</v>
      </c>
      <c r="O119" s="23">
        <v>0</v>
      </c>
      <c r="P119" s="52">
        <v>0</v>
      </c>
      <c r="Q119" s="25">
        <v>1135</v>
      </c>
      <c r="R119" s="212">
        <v>0.8825816485225505</v>
      </c>
      <c r="S119" s="23">
        <v>1</v>
      </c>
      <c r="T119" s="24">
        <v>1</v>
      </c>
      <c r="U119" s="24">
        <v>0</v>
      </c>
      <c r="V119" s="52">
        <v>0</v>
      </c>
      <c r="W119" s="14">
        <v>1100</v>
      </c>
      <c r="X119" s="23">
        <v>1</v>
      </c>
      <c r="Y119" s="24">
        <v>1</v>
      </c>
      <c r="Z119" s="24">
        <v>0</v>
      </c>
      <c r="AA119" s="52">
        <v>1</v>
      </c>
      <c r="AB119" s="12">
        <v>1101</v>
      </c>
      <c r="AC119" s="23">
        <v>1</v>
      </c>
      <c r="AD119" s="23">
        <v>0</v>
      </c>
      <c r="AE119" s="24">
        <v>1</v>
      </c>
      <c r="AF119" s="24">
        <v>1</v>
      </c>
      <c r="AG119" s="52">
        <v>0</v>
      </c>
      <c r="AH119" s="14">
        <v>110</v>
      </c>
      <c r="AI119" s="23">
        <v>0</v>
      </c>
      <c r="AJ119" s="24">
        <v>0</v>
      </c>
      <c r="AK119" s="24">
        <v>0</v>
      </c>
      <c r="AL119" s="52">
        <v>0</v>
      </c>
      <c r="AM119" s="12">
        <v>0</v>
      </c>
      <c r="AN119" s="23">
        <v>0</v>
      </c>
      <c r="AO119" s="24">
        <v>0</v>
      </c>
      <c r="AP119" s="24">
        <v>0</v>
      </c>
      <c r="AQ119" s="24">
        <v>0</v>
      </c>
      <c r="AR119" s="24">
        <v>0</v>
      </c>
      <c r="AS119" s="23">
        <v>1</v>
      </c>
      <c r="AT119" s="24">
        <v>0</v>
      </c>
      <c r="AU119" s="24">
        <v>0</v>
      </c>
      <c r="AV119" s="24">
        <v>0</v>
      </c>
      <c r="AW119" s="52">
        <v>0</v>
      </c>
      <c r="AX119" s="14">
        <v>1</v>
      </c>
      <c r="AY119" s="23">
        <v>0</v>
      </c>
      <c r="AZ119" s="24">
        <v>1</v>
      </c>
      <c r="BA119" s="24">
        <v>0</v>
      </c>
      <c r="BB119" s="52">
        <v>1</v>
      </c>
      <c r="BC119" s="12">
        <v>2</v>
      </c>
      <c r="BD119" s="23">
        <v>0</v>
      </c>
      <c r="BE119" s="24">
        <v>0</v>
      </c>
      <c r="BF119" s="24">
        <v>0</v>
      </c>
      <c r="BG119" s="24">
        <v>0</v>
      </c>
      <c r="BH119" s="24">
        <v>0</v>
      </c>
      <c r="BI119" s="23">
        <v>1</v>
      </c>
      <c r="BJ119" s="24">
        <v>1</v>
      </c>
      <c r="BK119" s="52">
        <v>0</v>
      </c>
      <c r="BL119" s="23">
        <v>0</v>
      </c>
      <c r="BM119" s="24">
        <v>0</v>
      </c>
      <c r="BN119" s="52">
        <v>0</v>
      </c>
      <c r="BO119" s="23">
        <v>1</v>
      </c>
      <c r="BP119" s="25">
        <v>118</v>
      </c>
      <c r="BQ119" s="24">
        <v>1</v>
      </c>
      <c r="BR119" s="23">
        <v>0</v>
      </c>
      <c r="BS119" s="24">
        <v>0</v>
      </c>
      <c r="BT119" s="24">
        <v>0</v>
      </c>
      <c r="BU119" s="52">
        <v>0</v>
      </c>
      <c r="BV119" s="14">
        <v>0</v>
      </c>
      <c r="BW119" s="209"/>
      <c r="BX119" s="3"/>
      <c r="BY119" s="3"/>
      <c r="BZ119" s="40"/>
      <c r="CA119" s="209"/>
      <c r="CB119" s="3"/>
      <c r="CC119" s="3"/>
      <c r="CD119" s="3"/>
      <c r="CE119" s="209"/>
      <c r="CF119" s="3"/>
      <c r="CG119" s="3"/>
      <c r="CH119" s="40"/>
      <c r="CI119" s="209"/>
      <c r="CJ119" s="3"/>
      <c r="CK119" s="3"/>
      <c r="CL119" s="209"/>
      <c r="CM119" s="3"/>
      <c r="CN119" s="3"/>
      <c r="CO119" s="3"/>
      <c r="CP119" s="40"/>
      <c r="CQ119" s="209"/>
      <c r="CR119" s="40"/>
      <c r="CS119" s="3"/>
      <c r="CT119" s="3"/>
    </row>
    <row r="120" spans="1:98">
      <c r="A120" s="42" t="s">
        <v>320</v>
      </c>
      <c r="B120" s="173" t="s">
        <v>305</v>
      </c>
      <c r="C120" s="12"/>
      <c r="D120" s="14" t="s">
        <v>386</v>
      </c>
      <c r="E120" s="173"/>
      <c r="F120" s="25">
        <v>14</v>
      </c>
      <c r="G120" s="23">
        <v>1</v>
      </c>
      <c r="H120" s="24">
        <v>0</v>
      </c>
      <c r="I120" s="24">
        <v>1</v>
      </c>
      <c r="J120" s="12">
        <v>101</v>
      </c>
      <c r="K120" s="23">
        <v>102</v>
      </c>
      <c r="L120" s="52">
        <v>711</v>
      </c>
      <c r="M120" s="23">
        <v>679</v>
      </c>
      <c r="N120" s="24">
        <v>883</v>
      </c>
      <c r="O120" s="23">
        <v>0</v>
      </c>
      <c r="P120" s="52">
        <v>0</v>
      </c>
      <c r="Q120" s="25">
        <v>2126</v>
      </c>
      <c r="R120" s="212">
        <v>1.2987171655467318</v>
      </c>
      <c r="S120" s="23">
        <v>1</v>
      </c>
      <c r="T120" s="24">
        <v>1</v>
      </c>
      <c r="U120" s="24">
        <v>0</v>
      </c>
      <c r="V120" s="52">
        <v>0</v>
      </c>
      <c r="W120" s="14">
        <v>1100</v>
      </c>
      <c r="X120" s="23">
        <v>0</v>
      </c>
      <c r="Y120" s="24">
        <v>1</v>
      </c>
      <c r="Z120" s="24">
        <v>1</v>
      </c>
      <c r="AA120" s="52">
        <v>0</v>
      </c>
      <c r="AB120" s="12">
        <v>110</v>
      </c>
      <c r="AC120" s="23">
        <v>0</v>
      </c>
      <c r="AD120" s="23">
        <v>0</v>
      </c>
      <c r="AE120" s="24">
        <v>1</v>
      </c>
      <c r="AF120" s="24">
        <v>0</v>
      </c>
      <c r="AG120" s="52">
        <v>0</v>
      </c>
      <c r="AH120" s="14">
        <v>100</v>
      </c>
      <c r="AI120" s="23">
        <v>0</v>
      </c>
      <c r="AJ120" s="24">
        <v>0</v>
      </c>
      <c r="AK120" s="24">
        <v>0</v>
      </c>
      <c r="AL120" s="52">
        <v>0</v>
      </c>
      <c r="AM120" s="12">
        <v>0</v>
      </c>
      <c r="AN120" s="23">
        <v>0</v>
      </c>
      <c r="AO120" s="24">
        <v>0</v>
      </c>
      <c r="AP120" s="24">
        <v>0</v>
      </c>
      <c r="AQ120" s="24">
        <v>0</v>
      </c>
      <c r="AR120" s="24">
        <v>0</v>
      </c>
      <c r="AS120" s="23">
        <v>1</v>
      </c>
      <c r="AT120" s="24">
        <v>0</v>
      </c>
      <c r="AU120" s="24">
        <v>0</v>
      </c>
      <c r="AV120" s="24">
        <v>0</v>
      </c>
      <c r="AW120" s="52">
        <v>0</v>
      </c>
      <c r="AX120" s="14">
        <v>1</v>
      </c>
      <c r="AY120" s="23">
        <v>1</v>
      </c>
      <c r="AZ120" s="24">
        <v>0</v>
      </c>
      <c r="BA120" s="24">
        <v>0</v>
      </c>
      <c r="BB120" s="52">
        <v>0</v>
      </c>
      <c r="BC120" s="12">
        <v>1</v>
      </c>
      <c r="BD120" s="23">
        <v>0</v>
      </c>
      <c r="BE120" s="24">
        <v>0</v>
      </c>
      <c r="BF120" s="24">
        <v>0</v>
      </c>
      <c r="BG120" s="24">
        <v>0</v>
      </c>
      <c r="BH120" s="24">
        <v>0</v>
      </c>
      <c r="BI120" s="23">
        <v>1</v>
      </c>
      <c r="BJ120" s="24">
        <v>1</v>
      </c>
      <c r="BK120" s="52">
        <v>0</v>
      </c>
      <c r="BL120" s="23">
        <v>0</v>
      </c>
      <c r="BM120" s="24">
        <v>0</v>
      </c>
      <c r="BN120" s="52">
        <v>0</v>
      </c>
      <c r="BO120" s="23">
        <v>1</v>
      </c>
      <c r="BP120" s="25">
        <v>145</v>
      </c>
      <c r="BQ120" s="24">
        <v>1</v>
      </c>
      <c r="BR120" s="23">
        <v>0</v>
      </c>
      <c r="BS120" s="24">
        <v>0</v>
      </c>
      <c r="BT120" s="24">
        <v>0</v>
      </c>
      <c r="BU120" s="52">
        <v>0</v>
      </c>
      <c r="BV120" s="14">
        <v>0</v>
      </c>
      <c r="BW120" s="209"/>
      <c r="BX120" s="3"/>
      <c r="BY120" s="3"/>
      <c r="BZ120" s="40"/>
      <c r="CA120" s="209"/>
      <c r="CB120" s="3"/>
      <c r="CC120" s="3"/>
      <c r="CD120" s="3"/>
      <c r="CE120" s="209"/>
      <c r="CF120" s="3"/>
      <c r="CG120" s="3"/>
      <c r="CH120" s="40"/>
      <c r="CI120" s="209"/>
      <c r="CJ120" s="3"/>
      <c r="CK120" s="3"/>
      <c r="CL120" s="209"/>
      <c r="CM120" s="3"/>
      <c r="CN120" s="3"/>
      <c r="CO120" s="3"/>
      <c r="CP120" s="40"/>
      <c r="CQ120" s="209"/>
      <c r="CR120" s="40"/>
      <c r="CS120" s="3"/>
      <c r="CT120" s="3"/>
    </row>
    <row r="121" spans="1:98">
      <c r="A121" s="42" t="s">
        <v>320</v>
      </c>
      <c r="B121" s="173" t="s">
        <v>305</v>
      </c>
      <c r="C121" s="12"/>
      <c r="D121" s="14" t="s">
        <v>387</v>
      </c>
      <c r="E121" s="173"/>
      <c r="F121" s="25">
        <v>28</v>
      </c>
      <c r="G121" s="23">
        <v>1</v>
      </c>
      <c r="H121" s="24">
        <v>0</v>
      </c>
      <c r="I121" s="24">
        <v>1</v>
      </c>
      <c r="J121" s="12">
        <v>101</v>
      </c>
      <c r="K121" s="23">
        <v>221</v>
      </c>
      <c r="L121" s="52">
        <v>1260</v>
      </c>
      <c r="M121" s="23">
        <v>197</v>
      </c>
      <c r="N121" s="24">
        <v>958</v>
      </c>
      <c r="O121" s="23">
        <v>0</v>
      </c>
      <c r="P121" s="52">
        <v>0</v>
      </c>
      <c r="Q121" s="25">
        <v>3433</v>
      </c>
      <c r="R121" s="212">
        <v>1.2862495316597977</v>
      </c>
      <c r="S121" s="23">
        <v>1</v>
      </c>
      <c r="T121" s="24">
        <v>1</v>
      </c>
      <c r="U121" s="24">
        <v>0</v>
      </c>
      <c r="V121" s="52">
        <v>0</v>
      </c>
      <c r="W121" s="14">
        <v>1100</v>
      </c>
      <c r="X121" s="23">
        <v>1</v>
      </c>
      <c r="Y121" s="24">
        <v>1</v>
      </c>
      <c r="Z121" s="24">
        <v>0</v>
      </c>
      <c r="AA121" s="52">
        <v>0</v>
      </c>
      <c r="AB121" s="12">
        <v>1100</v>
      </c>
      <c r="AC121" s="23">
        <v>1</v>
      </c>
      <c r="AD121" s="23">
        <v>0</v>
      </c>
      <c r="AE121" s="24">
        <v>1</v>
      </c>
      <c r="AF121" s="24">
        <v>1</v>
      </c>
      <c r="AG121" s="52">
        <v>0</v>
      </c>
      <c r="AH121" s="14">
        <v>110</v>
      </c>
      <c r="AI121" s="23">
        <v>0</v>
      </c>
      <c r="AJ121" s="24">
        <v>0</v>
      </c>
      <c r="AK121" s="24">
        <v>0</v>
      </c>
      <c r="AL121" s="52">
        <v>0</v>
      </c>
      <c r="AM121" s="12">
        <v>0</v>
      </c>
      <c r="AN121" s="23">
        <v>0</v>
      </c>
      <c r="AO121" s="24">
        <v>0</v>
      </c>
      <c r="AP121" s="24">
        <v>0</v>
      </c>
      <c r="AQ121" s="24">
        <v>0</v>
      </c>
      <c r="AR121" s="24">
        <v>0</v>
      </c>
      <c r="AS121" s="23">
        <v>1</v>
      </c>
      <c r="AT121" s="24">
        <v>1</v>
      </c>
      <c r="AU121" s="24">
        <v>0</v>
      </c>
      <c r="AV121" s="24">
        <v>0</v>
      </c>
      <c r="AW121" s="52">
        <v>0</v>
      </c>
      <c r="AX121" s="14">
        <v>2</v>
      </c>
      <c r="AY121" s="23">
        <v>0</v>
      </c>
      <c r="AZ121" s="24">
        <v>0</v>
      </c>
      <c r="BA121" s="24">
        <v>0</v>
      </c>
      <c r="BB121" s="52">
        <v>0</v>
      </c>
      <c r="BC121" s="12">
        <v>0</v>
      </c>
      <c r="BD121" s="23">
        <v>0</v>
      </c>
      <c r="BE121" s="24">
        <v>0</v>
      </c>
      <c r="BF121" s="24">
        <v>0</v>
      </c>
      <c r="BG121" s="24">
        <v>0</v>
      </c>
      <c r="BH121" s="24">
        <v>0</v>
      </c>
      <c r="BI121" s="23">
        <v>1</v>
      </c>
      <c r="BJ121" s="24">
        <v>1</v>
      </c>
      <c r="BK121" s="52">
        <v>0</v>
      </c>
      <c r="BL121" s="23">
        <v>0</v>
      </c>
      <c r="BM121" s="24">
        <v>0</v>
      </c>
      <c r="BN121" s="52">
        <v>0</v>
      </c>
      <c r="BO121" s="23">
        <v>1</v>
      </c>
      <c r="BP121" s="25">
        <v>133</v>
      </c>
      <c r="BQ121" s="24">
        <v>1</v>
      </c>
      <c r="BR121" s="23">
        <v>0</v>
      </c>
      <c r="BS121" s="24">
        <v>0</v>
      </c>
      <c r="BT121" s="24">
        <v>0</v>
      </c>
      <c r="BU121" s="52">
        <v>0</v>
      </c>
      <c r="BV121" s="14">
        <v>0</v>
      </c>
      <c r="BW121" s="209"/>
      <c r="BX121" s="3"/>
      <c r="BY121" s="3"/>
      <c r="BZ121" s="40"/>
      <c r="CA121" s="209"/>
      <c r="CB121" s="3"/>
      <c r="CC121" s="3"/>
      <c r="CD121" s="3"/>
      <c r="CE121" s="209"/>
      <c r="CF121" s="3"/>
      <c r="CG121" s="3"/>
      <c r="CH121" s="40"/>
      <c r="CI121" s="209"/>
      <c r="CJ121" s="3"/>
      <c r="CK121" s="3"/>
      <c r="CL121" s="209"/>
      <c r="CM121" s="3"/>
      <c r="CN121" s="3"/>
      <c r="CO121" s="3"/>
      <c r="CP121" s="40"/>
      <c r="CQ121" s="209"/>
      <c r="CR121" s="40"/>
      <c r="CS121" s="3"/>
      <c r="CT121" s="3"/>
    </row>
    <row r="122" spans="1:98">
      <c r="A122" s="42" t="s">
        <v>320</v>
      </c>
      <c r="B122" s="173" t="s">
        <v>305</v>
      </c>
      <c r="C122" s="12"/>
      <c r="D122" s="14" t="s">
        <v>397</v>
      </c>
      <c r="E122" s="173"/>
      <c r="F122" s="25">
        <v>14</v>
      </c>
      <c r="G122" s="23">
        <v>0</v>
      </c>
      <c r="H122" s="24">
        <v>0</v>
      </c>
      <c r="I122" s="24">
        <v>1</v>
      </c>
      <c r="J122" s="12">
        <v>1</v>
      </c>
      <c r="K122" s="23">
        <v>135</v>
      </c>
      <c r="L122" s="52">
        <v>653</v>
      </c>
      <c r="M122" s="23">
        <v>76</v>
      </c>
      <c r="N122" s="24">
        <v>182</v>
      </c>
      <c r="O122" s="23">
        <v>0</v>
      </c>
      <c r="P122" s="52">
        <v>0</v>
      </c>
      <c r="Q122" s="25">
        <v>1025</v>
      </c>
      <c r="R122" s="212">
        <v>2.1808510638297873</v>
      </c>
      <c r="S122" s="23">
        <v>1</v>
      </c>
      <c r="T122" s="24">
        <v>1</v>
      </c>
      <c r="U122" s="24">
        <v>0</v>
      </c>
      <c r="V122" s="52">
        <v>0</v>
      </c>
      <c r="W122" s="14">
        <v>1100</v>
      </c>
      <c r="X122" s="23">
        <v>0</v>
      </c>
      <c r="Y122" s="24">
        <v>1</v>
      </c>
      <c r="Z122" s="24">
        <v>0</v>
      </c>
      <c r="AA122" s="52">
        <v>0</v>
      </c>
      <c r="AB122" s="12">
        <v>100</v>
      </c>
      <c r="AC122" s="23">
        <v>1</v>
      </c>
      <c r="AD122" s="23">
        <v>1</v>
      </c>
      <c r="AE122" s="24">
        <v>0</v>
      </c>
      <c r="AF122" s="24">
        <v>1</v>
      </c>
      <c r="AG122" s="52">
        <v>0</v>
      </c>
      <c r="AH122" s="14">
        <v>1010</v>
      </c>
      <c r="AI122" s="23">
        <v>0</v>
      </c>
      <c r="AJ122" s="24">
        <v>0</v>
      </c>
      <c r="AK122" s="24">
        <v>0</v>
      </c>
      <c r="AL122" s="52">
        <v>0</v>
      </c>
      <c r="AM122" s="12">
        <v>0</v>
      </c>
      <c r="AN122" s="23">
        <v>0</v>
      </c>
      <c r="AO122" s="24">
        <v>0</v>
      </c>
      <c r="AP122" s="24">
        <v>0</v>
      </c>
      <c r="AQ122" s="24">
        <v>0</v>
      </c>
      <c r="AR122" s="24">
        <v>0</v>
      </c>
      <c r="AS122" s="23">
        <v>1</v>
      </c>
      <c r="AT122" s="24">
        <v>0</v>
      </c>
      <c r="AU122" s="24">
        <v>0</v>
      </c>
      <c r="AV122" s="24">
        <v>0</v>
      </c>
      <c r="AW122" s="52">
        <v>0</v>
      </c>
      <c r="AX122" s="14">
        <v>1</v>
      </c>
      <c r="AY122" s="23">
        <v>0</v>
      </c>
      <c r="AZ122" s="24">
        <v>0</v>
      </c>
      <c r="BA122" s="24">
        <v>0</v>
      </c>
      <c r="BB122" s="52">
        <v>0</v>
      </c>
      <c r="BC122" s="12">
        <v>0</v>
      </c>
      <c r="BD122" s="23">
        <v>0</v>
      </c>
      <c r="BE122" s="24">
        <v>0</v>
      </c>
      <c r="BF122" s="24">
        <v>0</v>
      </c>
      <c r="BG122" s="24">
        <v>0</v>
      </c>
      <c r="BH122" s="24">
        <v>0</v>
      </c>
      <c r="BI122" s="23">
        <v>0</v>
      </c>
      <c r="BJ122" s="24">
        <v>0</v>
      </c>
      <c r="BK122" s="52">
        <v>0</v>
      </c>
      <c r="BL122" s="23">
        <v>0</v>
      </c>
      <c r="BM122" s="24">
        <v>0</v>
      </c>
      <c r="BN122" s="52">
        <v>0</v>
      </c>
      <c r="BO122" s="23">
        <v>1</v>
      </c>
      <c r="BP122" s="25">
        <v>133</v>
      </c>
      <c r="BQ122" s="24">
        <v>2</v>
      </c>
      <c r="BR122" s="23">
        <v>0</v>
      </c>
      <c r="BS122" s="24">
        <v>0</v>
      </c>
      <c r="BT122" s="24">
        <v>0</v>
      </c>
      <c r="BU122" s="52">
        <v>0</v>
      </c>
      <c r="BV122" s="14">
        <v>0</v>
      </c>
      <c r="BW122" s="209"/>
      <c r="BX122" s="3"/>
      <c r="BY122" s="3"/>
      <c r="BZ122" s="40"/>
      <c r="CA122" s="209"/>
      <c r="CB122" s="3"/>
      <c r="CC122" s="3"/>
      <c r="CD122" s="3"/>
      <c r="CE122" s="209"/>
      <c r="CF122" s="3"/>
      <c r="CG122" s="3"/>
      <c r="CH122" s="40"/>
      <c r="CI122" s="209"/>
      <c r="CJ122" s="3"/>
      <c r="CK122" s="3"/>
      <c r="CL122" s="209"/>
      <c r="CM122" s="3"/>
      <c r="CN122" s="3"/>
      <c r="CO122" s="3"/>
      <c r="CP122" s="40"/>
      <c r="CQ122" s="209"/>
      <c r="CR122" s="40"/>
      <c r="CS122" s="3"/>
      <c r="CT122" s="3"/>
    </row>
    <row r="123" spans="1:98">
      <c r="A123" s="42" t="s">
        <v>320</v>
      </c>
      <c r="B123" s="173" t="s">
        <v>305</v>
      </c>
      <c r="C123" s="12"/>
      <c r="D123" s="14" t="s">
        <v>208</v>
      </c>
      <c r="E123" s="173"/>
      <c r="F123" s="25">
        <v>6</v>
      </c>
      <c r="G123" s="23">
        <v>0</v>
      </c>
      <c r="H123" s="24">
        <v>0</v>
      </c>
      <c r="I123" s="24">
        <v>1</v>
      </c>
      <c r="J123" s="12">
        <v>1</v>
      </c>
      <c r="K123" s="23">
        <v>88</v>
      </c>
      <c r="L123" s="52">
        <v>925</v>
      </c>
      <c r="M123" s="23">
        <v>0</v>
      </c>
      <c r="N123" s="24">
        <v>426</v>
      </c>
      <c r="O123" s="23">
        <v>0</v>
      </c>
      <c r="P123" s="52">
        <v>0</v>
      </c>
      <c r="Q123" s="25">
        <v>925</v>
      </c>
      <c r="R123" s="212">
        <v>1.2187088274044795</v>
      </c>
      <c r="S123" s="23">
        <v>1</v>
      </c>
      <c r="T123" s="24">
        <v>1</v>
      </c>
      <c r="U123" s="24">
        <v>0</v>
      </c>
      <c r="V123" s="52">
        <v>0</v>
      </c>
      <c r="W123" s="14">
        <v>1100</v>
      </c>
      <c r="X123" s="23">
        <v>1</v>
      </c>
      <c r="Y123" s="24">
        <v>1</v>
      </c>
      <c r="Z123" s="24">
        <v>0</v>
      </c>
      <c r="AA123" s="52">
        <v>0</v>
      </c>
      <c r="AB123" s="12">
        <v>1100</v>
      </c>
      <c r="AC123" s="23">
        <v>0</v>
      </c>
      <c r="AD123" s="23">
        <v>0</v>
      </c>
      <c r="AE123" s="24">
        <v>1</v>
      </c>
      <c r="AF123" s="24">
        <v>0</v>
      </c>
      <c r="AG123" s="52">
        <v>0</v>
      </c>
      <c r="AH123" s="14">
        <v>100</v>
      </c>
      <c r="AI123" s="23">
        <v>0</v>
      </c>
      <c r="AJ123" s="24">
        <v>0</v>
      </c>
      <c r="AK123" s="24">
        <v>0</v>
      </c>
      <c r="AL123" s="52">
        <v>0</v>
      </c>
      <c r="AM123" s="12">
        <v>0</v>
      </c>
      <c r="AN123" s="23">
        <v>0</v>
      </c>
      <c r="AO123" s="24">
        <v>0</v>
      </c>
      <c r="AP123" s="24">
        <v>0</v>
      </c>
      <c r="AQ123" s="24">
        <v>0</v>
      </c>
      <c r="AR123" s="24">
        <v>0</v>
      </c>
      <c r="AS123" s="23">
        <v>1</v>
      </c>
      <c r="AT123" s="24">
        <v>0</v>
      </c>
      <c r="AU123" s="24">
        <v>0</v>
      </c>
      <c r="AV123" s="24">
        <v>0</v>
      </c>
      <c r="AW123" s="52">
        <v>0</v>
      </c>
      <c r="AX123" s="14">
        <v>1</v>
      </c>
      <c r="AY123" s="23">
        <v>0</v>
      </c>
      <c r="AZ123" s="24">
        <v>0</v>
      </c>
      <c r="BA123" s="24">
        <v>0</v>
      </c>
      <c r="BB123" s="52">
        <v>0</v>
      </c>
      <c r="BC123" s="12">
        <v>0</v>
      </c>
      <c r="BD123" s="23">
        <v>0</v>
      </c>
      <c r="BE123" s="24">
        <v>0</v>
      </c>
      <c r="BF123" s="24">
        <v>0</v>
      </c>
      <c r="BG123" s="24">
        <v>0</v>
      </c>
      <c r="BH123" s="24">
        <v>0</v>
      </c>
      <c r="BI123" s="23">
        <v>1</v>
      </c>
      <c r="BJ123" s="24">
        <v>0</v>
      </c>
      <c r="BK123" s="52">
        <v>0</v>
      </c>
      <c r="BL123" s="23">
        <v>0</v>
      </c>
      <c r="BM123" s="24">
        <v>0</v>
      </c>
      <c r="BN123" s="52">
        <v>0</v>
      </c>
      <c r="BO123" s="23">
        <v>1</v>
      </c>
      <c r="BP123" s="25">
        <v>94</v>
      </c>
      <c r="BQ123" s="24">
        <v>1</v>
      </c>
      <c r="BR123" s="23">
        <v>0</v>
      </c>
      <c r="BS123" s="24">
        <v>0</v>
      </c>
      <c r="BT123" s="24">
        <v>0</v>
      </c>
      <c r="BU123" s="52">
        <v>0</v>
      </c>
      <c r="BV123" s="14">
        <v>0</v>
      </c>
      <c r="BW123" s="209"/>
      <c r="BX123" s="3"/>
      <c r="BY123" s="3"/>
      <c r="BZ123" s="40"/>
      <c r="CA123" s="209"/>
      <c r="CB123" s="3"/>
      <c r="CC123" s="3"/>
      <c r="CD123" s="3"/>
      <c r="CE123" s="209"/>
      <c r="CF123" s="3"/>
      <c r="CG123" s="3"/>
      <c r="CH123" s="40"/>
      <c r="CI123" s="209"/>
      <c r="CJ123" s="3"/>
      <c r="CK123" s="3"/>
      <c r="CL123" s="209"/>
      <c r="CM123" s="3"/>
      <c r="CN123" s="3"/>
      <c r="CO123" s="3"/>
      <c r="CP123" s="40"/>
      <c r="CQ123" s="209"/>
      <c r="CR123" s="40"/>
      <c r="CS123" s="3"/>
      <c r="CT123" s="3"/>
    </row>
    <row r="124" spans="1:98">
      <c r="A124" s="42" t="s">
        <v>320</v>
      </c>
      <c r="B124" s="173" t="s">
        <v>305</v>
      </c>
      <c r="C124" s="12"/>
      <c r="D124" s="14" t="s">
        <v>388</v>
      </c>
      <c r="E124" s="173"/>
      <c r="F124" s="25">
        <v>5</v>
      </c>
      <c r="G124" s="23">
        <v>0</v>
      </c>
      <c r="H124" s="24">
        <v>0</v>
      </c>
      <c r="I124" s="24">
        <v>1</v>
      </c>
      <c r="J124" s="12">
        <v>1</v>
      </c>
      <c r="K124" s="23">
        <v>158</v>
      </c>
      <c r="L124" s="52">
        <v>680</v>
      </c>
      <c r="M124" s="23">
        <v>207</v>
      </c>
      <c r="N124" s="24">
        <v>252</v>
      </c>
      <c r="O124" s="23">
        <v>0</v>
      </c>
      <c r="P124" s="52">
        <v>0</v>
      </c>
      <c r="Q124" s="25">
        <v>680</v>
      </c>
      <c r="R124" s="212">
        <v>1.5315315315315314</v>
      </c>
      <c r="S124" s="23">
        <v>1</v>
      </c>
      <c r="T124" s="24">
        <v>1</v>
      </c>
      <c r="U124" s="24">
        <v>0</v>
      </c>
      <c r="V124" s="52">
        <v>0</v>
      </c>
      <c r="W124" s="14">
        <v>1100</v>
      </c>
      <c r="X124" s="23">
        <v>1</v>
      </c>
      <c r="Y124" s="24">
        <v>1</v>
      </c>
      <c r="Z124" s="24">
        <v>0</v>
      </c>
      <c r="AA124" s="52">
        <v>1</v>
      </c>
      <c r="AB124" s="12">
        <v>1101</v>
      </c>
      <c r="AC124" s="23">
        <v>1</v>
      </c>
      <c r="AD124" s="23">
        <v>0</v>
      </c>
      <c r="AE124" s="24">
        <v>0</v>
      </c>
      <c r="AF124" s="24">
        <v>1</v>
      </c>
      <c r="AG124" s="52">
        <v>0</v>
      </c>
      <c r="AH124" s="14">
        <v>10</v>
      </c>
      <c r="AI124" s="23">
        <v>0</v>
      </c>
      <c r="AJ124" s="24">
        <v>0</v>
      </c>
      <c r="AK124" s="24">
        <v>0</v>
      </c>
      <c r="AL124" s="52">
        <v>0</v>
      </c>
      <c r="AM124" s="12">
        <v>0</v>
      </c>
      <c r="AN124" s="23">
        <v>0</v>
      </c>
      <c r="AO124" s="24">
        <v>0</v>
      </c>
      <c r="AP124" s="24">
        <v>0</v>
      </c>
      <c r="AQ124" s="24">
        <v>0</v>
      </c>
      <c r="AR124" s="24">
        <v>0</v>
      </c>
      <c r="AS124" s="23">
        <v>1</v>
      </c>
      <c r="AT124" s="24">
        <v>0</v>
      </c>
      <c r="AU124" s="24">
        <v>0</v>
      </c>
      <c r="AV124" s="24">
        <v>0</v>
      </c>
      <c r="AW124" s="52">
        <v>0</v>
      </c>
      <c r="AX124" s="14">
        <v>1</v>
      </c>
      <c r="AY124" s="23">
        <v>0</v>
      </c>
      <c r="AZ124" s="24">
        <v>0</v>
      </c>
      <c r="BA124" s="24">
        <v>0</v>
      </c>
      <c r="BB124" s="52">
        <v>0</v>
      </c>
      <c r="BC124" s="12">
        <v>0</v>
      </c>
      <c r="BD124" s="23">
        <v>0</v>
      </c>
      <c r="BE124" s="24">
        <v>0</v>
      </c>
      <c r="BF124" s="24">
        <v>0</v>
      </c>
      <c r="BG124" s="24">
        <v>0</v>
      </c>
      <c r="BH124" s="24">
        <v>0</v>
      </c>
      <c r="BI124" s="23">
        <v>1</v>
      </c>
      <c r="BJ124" s="24">
        <v>1</v>
      </c>
      <c r="BK124" s="52">
        <v>0</v>
      </c>
      <c r="BL124" s="23">
        <v>0</v>
      </c>
      <c r="BM124" s="24">
        <v>1</v>
      </c>
      <c r="BN124" s="52">
        <v>0</v>
      </c>
      <c r="BO124" s="23">
        <v>1</v>
      </c>
      <c r="BP124" s="25">
        <v>94</v>
      </c>
      <c r="BQ124" s="24">
        <v>1</v>
      </c>
      <c r="BR124" s="23">
        <v>0</v>
      </c>
      <c r="BS124" s="24">
        <v>0</v>
      </c>
      <c r="BT124" s="24">
        <v>0</v>
      </c>
      <c r="BU124" s="52">
        <v>0</v>
      </c>
      <c r="BV124" s="14">
        <v>0</v>
      </c>
      <c r="BW124" s="209"/>
      <c r="BX124" s="3"/>
      <c r="BY124" s="3"/>
      <c r="BZ124" s="40"/>
      <c r="CA124" s="209"/>
      <c r="CB124" s="3"/>
      <c r="CC124" s="3"/>
      <c r="CD124" s="3"/>
      <c r="CE124" s="209"/>
      <c r="CF124" s="3"/>
      <c r="CG124" s="3"/>
      <c r="CH124" s="40"/>
      <c r="CI124" s="209"/>
      <c r="CJ124" s="3"/>
      <c r="CK124" s="3"/>
      <c r="CL124" s="209"/>
      <c r="CM124" s="3"/>
      <c r="CN124" s="3"/>
      <c r="CO124" s="3"/>
      <c r="CP124" s="40"/>
      <c r="CQ124" s="209"/>
      <c r="CR124" s="40"/>
      <c r="CS124" s="3"/>
      <c r="CT124" s="3"/>
    </row>
    <row r="125" spans="1:98">
      <c r="A125" s="42" t="s">
        <v>320</v>
      </c>
      <c r="B125" s="173" t="s">
        <v>305</v>
      </c>
      <c r="C125" s="12"/>
      <c r="D125" s="14" t="s">
        <v>144</v>
      </c>
      <c r="E125" s="173"/>
      <c r="F125" s="25">
        <v>3</v>
      </c>
      <c r="G125" s="23">
        <v>0</v>
      </c>
      <c r="H125" s="24">
        <v>0</v>
      </c>
      <c r="I125" s="24">
        <v>1</v>
      </c>
      <c r="J125" s="12">
        <v>1</v>
      </c>
      <c r="K125" s="23">
        <v>0</v>
      </c>
      <c r="L125" s="52">
        <v>357</v>
      </c>
      <c r="M125" s="23">
        <v>131</v>
      </c>
      <c r="N125" s="24">
        <v>339</v>
      </c>
      <c r="O125" s="23">
        <v>0</v>
      </c>
      <c r="P125" s="52">
        <v>0</v>
      </c>
      <c r="Q125" s="25">
        <v>474</v>
      </c>
      <c r="R125" s="212">
        <v>1.8959999999999999</v>
      </c>
      <c r="S125" s="23">
        <v>1</v>
      </c>
      <c r="T125" s="24">
        <v>1</v>
      </c>
      <c r="U125" s="24">
        <v>0</v>
      </c>
      <c r="V125" s="52">
        <v>0</v>
      </c>
      <c r="W125" s="14">
        <v>1100</v>
      </c>
      <c r="X125" s="23">
        <v>0</v>
      </c>
      <c r="Y125" s="24">
        <v>1</v>
      </c>
      <c r="Z125" s="24">
        <v>0</v>
      </c>
      <c r="AA125" s="52">
        <v>0</v>
      </c>
      <c r="AB125" s="12">
        <v>100</v>
      </c>
      <c r="AC125" s="23">
        <v>0</v>
      </c>
      <c r="AD125" s="23">
        <v>0</v>
      </c>
      <c r="AE125" s="24">
        <v>1</v>
      </c>
      <c r="AF125" s="24">
        <v>1</v>
      </c>
      <c r="AG125" s="52">
        <v>0</v>
      </c>
      <c r="AH125" s="14">
        <v>110</v>
      </c>
      <c r="AI125" s="23">
        <v>0</v>
      </c>
      <c r="AJ125" s="24">
        <v>0</v>
      </c>
      <c r="AK125" s="24">
        <v>0</v>
      </c>
      <c r="AL125" s="52">
        <v>0</v>
      </c>
      <c r="AM125" s="12">
        <v>0</v>
      </c>
      <c r="AN125" s="23">
        <v>0</v>
      </c>
      <c r="AO125" s="24">
        <v>0</v>
      </c>
      <c r="AP125" s="24">
        <v>0</v>
      </c>
      <c r="AQ125" s="24">
        <v>0</v>
      </c>
      <c r="AR125" s="24">
        <v>0</v>
      </c>
      <c r="AS125" s="23">
        <v>1</v>
      </c>
      <c r="AT125" s="24">
        <v>0</v>
      </c>
      <c r="AU125" s="24">
        <v>0</v>
      </c>
      <c r="AV125" s="24">
        <v>1</v>
      </c>
      <c r="AW125" s="52">
        <v>0</v>
      </c>
      <c r="AX125" s="14">
        <v>2</v>
      </c>
      <c r="AY125" s="23">
        <v>0</v>
      </c>
      <c r="AZ125" s="24">
        <v>0</v>
      </c>
      <c r="BA125" s="24">
        <v>0</v>
      </c>
      <c r="BB125" s="52">
        <v>0</v>
      </c>
      <c r="BC125" s="12">
        <v>0</v>
      </c>
      <c r="BD125" s="23">
        <v>0</v>
      </c>
      <c r="BE125" s="24">
        <v>0</v>
      </c>
      <c r="BF125" s="24">
        <v>0</v>
      </c>
      <c r="BG125" s="24">
        <v>0</v>
      </c>
      <c r="BH125" s="24">
        <v>0</v>
      </c>
      <c r="BI125" s="23">
        <v>1</v>
      </c>
      <c r="BJ125" s="24">
        <v>0</v>
      </c>
      <c r="BK125" s="52">
        <v>0</v>
      </c>
      <c r="BL125" s="23">
        <v>0</v>
      </c>
      <c r="BM125" s="24">
        <v>0</v>
      </c>
      <c r="BN125" s="52">
        <v>0</v>
      </c>
      <c r="BO125" s="23">
        <v>1</v>
      </c>
      <c r="BP125" s="25">
        <v>81</v>
      </c>
      <c r="BQ125" s="24">
        <v>2</v>
      </c>
      <c r="BR125" s="23">
        <v>0</v>
      </c>
      <c r="BS125" s="24">
        <v>0</v>
      </c>
      <c r="BT125" s="24">
        <v>0</v>
      </c>
      <c r="BU125" s="52">
        <v>0</v>
      </c>
      <c r="BV125" s="14">
        <v>0</v>
      </c>
      <c r="BW125" s="209"/>
      <c r="BX125" s="3"/>
      <c r="BY125" s="3"/>
      <c r="BZ125" s="40"/>
      <c r="CA125" s="209"/>
      <c r="CB125" s="3"/>
      <c r="CC125" s="3"/>
      <c r="CD125" s="3"/>
      <c r="CE125" s="209"/>
      <c r="CF125" s="3"/>
      <c r="CG125" s="3"/>
      <c r="CH125" s="40"/>
      <c r="CI125" s="209"/>
      <c r="CJ125" s="3"/>
      <c r="CK125" s="3"/>
      <c r="CL125" s="209"/>
      <c r="CM125" s="3"/>
      <c r="CN125" s="3"/>
      <c r="CO125" s="3"/>
      <c r="CP125" s="40"/>
      <c r="CQ125" s="209"/>
      <c r="CR125" s="40"/>
      <c r="CS125" s="3"/>
      <c r="CT125" s="3"/>
    </row>
    <row r="126" spans="1:98">
      <c r="A126" s="42" t="s">
        <v>320</v>
      </c>
      <c r="B126" s="173" t="s">
        <v>305</v>
      </c>
      <c r="C126" s="12"/>
      <c r="D126" s="14" t="s">
        <v>389</v>
      </c>
      <c r="E126" s="173"/>
      <c r="F126" s="25">
        <v>6</v>
      </c>
      <c r="G126" s="23">
        <v>0</v>
      </c>
      <c r="H126" s="24">
        <v>1</v>
      </c>
      <c r="I126" s="24">
        <v>1</v>
      </c>
      <c r="J126" s="12">
        <v>11</v>
      </c>
      <c r="K126" s="23">
        <v>366</v>
      </c>
      <c r="L126" s="52">
        <v>913</v>
      </c>
      <c r="M126" s="23">
        <v>112</v>
      </c>
      <c r="N126" s="24">
        <v>322</v>
      </c>
      <c r="O126" s="23">
        <v>0</v>
      </c>
      <c r="P126" s="52">
        <v>0</v>
      </c>
      <c r="Q126" s="25">
        <v>1119</v>
      </c>
      <c r="R126" s="212">
        <v>1.5370879120879122</v>
      </c>
      <c r="S126" s="23">
        <v>1</v>
      </c>
      <c r="T126" s="24">
        <v>1</v>
      </c>
      <c r="U126" s="24">
        <v>0</v>
      </c>
      <c r="V126" s="52">
        <v>0</v>
      </c>
      <c r="W126" s="14">
        <v>1100</v>
      </c>
      <c r="X126" s="23">
        <v>0</v>
      </c>
      <c r="Y126" s="24">
        <v>1</v>
      </c>
      <c r="Z126" s="24">
        <v>1</v>
      </c>
      <c r="AA126" s="52">
        <v>0</v>
      </c>
      <c r="AB126" s="12">
        <v>110</v>
      </c>
      <c r="AC126" s="23">
        <v>1</v>
      </c>
      <c r="AD126" s="23">
        <v>0</v>
      </c>
      <c r="AE126" s="24">
        <v>0</v>
      </c>
      <c r="AF126" s="24">
        <v>1</v>
      </c>
      <c r="AG126" s="52">
        <v>1</v>
      </c>
      <c r="AH126" s="14">
        <v>11</v>
      </c>
      <c r="AI126" s="23">
        <v>0</v>
      </c>
      <c r="AJ126" s="24">
        <v>0</v>
      </c>
      <c r="AK126" s="24">
        <v>0</v>
      </c>
      <c r="AL126" s="52">
        <v>0</v>
      </c>
      <c r="AM126" s="12">
        <v>0</v>
      </c>
      <c r="AN126" s="23">
        <v>0</v>
      </c>
      <c r="AO126" s="24">
        <v>0</v>
      </c>
      <c r="AP126" s="24">
        <v>0</v>
      </c>
      <c r="AQ126" s="24">
        <v>0</v>
      </c>
      <c r="AR126" s="24">
        <v>0</v>
      </c>
      <c r="AS126" s="23">
        <v>0</v>
      </c>
      <c r="AT126" s="24">
        <v>0</v>
      </c>
      <c r="AU126" s="24">
        <v>0</v>
      </c>
      <c r="AV126" s="24">
        <v>1</v>
      </c>
      <c r="AW126" s="52">
        <v>0</v>
      </c>
      <c r="AX126" s="14">
        <v>1</v>
      </c>
      <c r="AY126" s="23">
        <v>1</v>
      </c>
      <c r="AZ126" s="24">
        <v>0</v>
      </c>
      <c r="BA126" s="24">
        <v>0</v>
      </c>
      <c r="BB126" s="52">
        <v>0</v>
      </c>
      <c r="BC126" s="12">
        <v>1</v>
      </c>
      <c r="BD126" s="23">
        <v>0</v>
      </c>
      <c r="BE126" s="24">
        <v>0</v>
      </c>
      <c r="BF126" s="24">
        <v>0</v>
      </c>
      <c r="BG126" s="24">
        <v>0</v>
      </c>
      <c r="BH126" s="24">
        <v>0</v>
      </c>
      <c r="BI126" s="23">
        <v>1</v>
      </c>
      <c r="BJ126" s="24">
        <v>0</v>
      </c>
      <c r="BK126" s="52">
        <v>0</v>
      </c>
      <c r="BL126" s="23">
        <v>0</v>
      </c>
      <c r="BM126" s="24">
        <v>0</v>
      </c>
      <c r="BN126" s="52">
        <v>0</v>
      </c>
      <c r="BO126" s="23">
        <v>1</v>
      </c>
      <c r="BP126" s="25">
        <v>112</v>
      </c>
      <c r="BQ126" s="24">
        <v>2</v>
      </c>
      <c r="BR126" s="23">
        <v>1</v>
      </c>
      <c r="BS126" s="24">
        <v>0</v>
      </c>
      <c r="BT126" s="24">
        <v>0</v>
      </c>
      <c r="BU126" s="52">
        <v>0</v>
      </c>
      <c r="BV126" s="14">
        <v>1000</v>
      </c>
      <c r="BW126" s="209"/>
      <c r="BX126" s="3"/>
      <c r="BY126" s="3"/>
      <c r="BZ126" s="40"/>
      <c r="CA126" s="209"/>
      <c r="CB126" s="3"/>
      <c r="CC126" s="3"/>
      <c r="CD126" s="3"/>
      <c r="CE126" s="209"/>
      <c r="CF126" s="3"/>
      <c r="CG126" s="3"/>
      <c r="CH126" s="40"/>
      <c r="CI126" s="209"/>
      <c r="CJ126" s="3"/>
      <c r="CK126" s="3"/>
      <c r="CL126" s="209"/>
      <c r="CM126" s="3"/>
      <c r="CN126" s="3"/>
      <c r="CO126" s="3"/>
      <c r="CP126" s="40"/>
      <c r="CQ126" s="209"/>
      <c r="CR126" s="40"/>
      <c r="CS126" s="3"/>
      <c r="CT126" s="3"/>
    </row>
    <row r="127" spans="1:98">
      <c r="A127" s="42" t="s">
        <v>320</v>
      </c>
      <c r="B127" s="173" t="s">
        <v>305</v>
      </c>
      <c r="C127" s="12"/>
      <c r="D127" s="14" t="s">
        <v>390</v>
      </c>
      <c r="E127" s="173"/>
      <c r="F127" s="25">
        <v>30</v>
      </c>
      <c r="G127" s="23">
        <v>1</v>
      </c>
      <c r="H127" s="24">
        <v>0</v>
      </c>
      <c r="I127" s="24">
        <v>1</v>
      </c>
      <c r="J127" s="12">
        <v>101</v>
      </c>
      <c r="K127" s="23">
        <v>89</v>
      </c>
      <c r="L127" s="52">
        <v>1119</v>
      </c>
      <c r="M127" s="23">
        <v>34</v>
      </c>
      <c r="N127" s="24">
        <v>224</v>
      </c>
      <c r="O127" s="23" t="s">
        <v>6</v>
      </c>
      <c r="P127" s="52" t="s">
        <v>6</v>
      </c>
      <c r="Q127" s="25">
        <v>1901</v>
      </c>
      <c r="R127" s="212">
        <v>1.5281350482315113</v>
      </c>
      <c r="S127" s="23">
        <v>1</v>
      </c>
      <c r="T127" s="24">
        <v>1</v>
      </c>
      <c r="U127" s="24">
        <v>0</v>
      </c>
      <c r="V127" s="52">
        <v>0</v>
      </c>
      <c r="W127" s="14">
        <v>1100</v>
      </c>
      <c r="X127" s="23">
        <v>1</v>
      </c>
      <c r="Y127" s="24">
        <v>1</v>
      </c>
      <c r="Z127" s="24">
        <v>0</v>
      </c>
      <c r="AA127" s="52">
        <v>1</v>
      </c>
      <c r="AB127" s="12">
        <v>1101</v>
      </c>
      <c r="AC127" s="23">
        <v>1</v>
      </c>
      <c r="AD127" s="23">
        <v>0</v>
      </c>
      <c r="AE127" s="24">
        <v>0</v>
      </c>
      <c r="AF127" s="24">
        <v>1</v>
      </c>
      <c r="AG127" s="52">
        <v>1</v>
      </c>
      <c r="AH127" s="14">
        <v>11</v>
      </c>
      <c r="AI127" s="23">
        <v>0</v>
      </c>
      <c r="AJ127" s="24">
        <v>0</v>
      </c>
      <c r="AK127" s="24">
        <v>0</v>
      </c>
      <c r="AL127" s="52">
        <v>0</v>
      </c>
      <c r="AM127" s="12">
        <v>0</v>
      </c>
      <c r="AN127" s="23">
        <v>0</v>
      </c>
      <c r="AO127" s="24">
        <v>0</v>
      </c>
      <c r="AP127" s="24">
        <v>0</v>
      </c>
      <c r="AQ127" s="24">
        <v>0</v>
      </c>
      <c r="AR127" s="24">
        <v>0</v>
      </c>
      <c r="AS127" s="23">
        <v>1</v>
      </c>
      <c r="AT127" s="24">
        <v>0</v>
      </c>
      <c r="AU127" s="24">
        <v>1</v>
      </c>
      <c r="AV127" s="24">
        <v>0</v>
      </c>
      <c r="AW127" s="52">
        <v>0</v>
      </c>
      <c r="AX127" s="14">
        <v>2</v>
      </c>
      <c r="AY127" s="23">
        <v>0</v>
      </c>
      <c r="AZ127" s="24">
        <v>0</v>
      </c>
      <c r="BA127" s="24">
        <v>0</v>
      </c>
      <c r="BB127" s="52">
        <v>0</v>
      </c>
      <c r="BC127" s="12">
        <v>0</v>
      </c>
      <c r="BD127" s="23">
        <v>0</v>
      </c>
      <c r="BE127" s="24">
        <v>0</v>
      </c>
      <c r="BF127" s="24">
        <v>0</v>
      </c>
      <c r="BG127" s="24">
        <v>0</v>
      </c>
      <c r="BH127" s="24">
        <v>0</v>
      </c>
      <c r="BI127" s="23">
        <v>1</v>
      </c>
      <c r="BJ127" s="24">
        <v>1</v>
      </c>
      <c r="BK127" s="52">
        <v>0</v>
      </c>
      <c r="BL127" s="23">
        <v>0</v>
      </c>
      <c r="BM127" s="24">
        <v>0</v>
      </c>
      <c r="BN127" s="52">
        <v>0</v>
      </c>
      <c r="BO127" s="23">
        <v>1</v>
      </c>
      <c r="BP127" s="25">
        <v>117</v>
      </c>
      <c r="BQ127" s="24">
        <v>1</v>
      </c>
      <c r="BR127" s="23">
        <v>0</v>
      </c>
      <c r="BS127" s="24">
        <v>0</v>
      </c>
      <c r="BT127" s="24">
        <v>0</v>
      </c>
      <c r="BU127" s="52">
        <v>0</v>
      </c>
      <c r="BV127" s="14">
        <v>0</v>
      </c>
      <c r="BW127" s="209"/>
      <c r="BX127" s="3"/>
      <c r="BY127" s="3"/>
      <c r="BZ127" s="40"/>
      <c r="CA127" s="209"/>
      <c r="CB127" s="3"/>
      <c r="CC127" s="3"/>
      <c r="CD127" s="3"/>
      <c r="CE127" s="209"/>
      <c r="CF127" s="3"/>
      <c r="CG127" s="3"/>
      <c r="CH127" s="40"/>
      <c r="CI127" s="209"/>
      <c r="CJ127" s="3"/>
      <c r="CK127" s="3"/>
      <c r="CL127" s="209"/>
      <c r="CM127" s="3"/>
      <c r="CN127" s="3"/>
      <c r="CO127" s="3"/>
      <c r="CP127" s="40"/>
      <c r="CQ127" s="209"/>
      <c r="CR127" s="40"/>
      <c r="CS127" s="3"/>
      <c r="CT127" s="3"/>
    </row>
    <row r="128" spans="1:98">
      <c r="A128" s="42" t="s">
        <v>320</v>
      </c>
      <c r="B128" s="173" t="s">
        <v>305</v>
      </c>
      <c r="C128" s="12"/>
      <c r="D128" s="14" t="s">
        <v>391</v>
      </c>
      <c r="E128" s="173"/>
      <c r="F128" s="25">
        <v>4</v>
      </c>
      <c r="G128" s="23">
        <v>0</v>
      </c>
      <c r="H128" s="24">
        <v>0</v>
      </c>
      <c r="I128" s="24">
        <v>1</v>
      </c>
      <c r="J128" s="12">
        <v>1</v>
      </c>
      <c r="K128" s="23">
        <v>236</v>
      </c>
      <c r="L128" s="52">
        <v>1541</v>
      </c>
      <c r="M128" s="23">
        <v>0</v>
      </c>
      <c r="N128" s="24">
        <v>422</v>
      </c>
      <c r="O128" s="23">
        <v>0</v>
      </c>
      <c r="P128" s="52">
        <v>0</v>
      </c>
      <c r="Q128" s="25">
        <v>1541</v>
      </c>
      <c r="R128" s="212">
        <v>2.8069216757741349</v>
      </c>
      <c r="S128" s="23">
        <v>1</v>
      </c>
      <c r="T128" s="24">
        <v>1</v>
      </c>
      <c r="U128" s="24">
        <v>0</v>
      </c>
      <c r="V128" s="52">
        <v>0</v>
      </c>
      <c r="W128" s="14">
        <v>1100</v>
      </c>
      <c r="X128" s="23">
        <v>0</v>
      </c>
      <c r="Y128" s="24">
        <v>1</v>
      </c>
      <c r="Z128" s="24">
        <v>0</v>
      </c>
      <c r="AA128" s="52">
        <v>0</v>
      </c>
      <c r="AB128" s="12">
        <v>100</v>
      </c>
      <c r="AC128" s="23">
        <v>1</v>
      </c>
      <c r="AD128" s="23">
        <v>0</v>
      </c>
      <c r="AE128" s="24">
        <v>1</v>
      </c>
      <c r="AF128" s="24">
        <v>0</v>
      </c>
      <c r="AG128" s="52">
        <v>0</v>
      </c>
      <c r="AH128" s="14">
        <v>100</v>
      </c>
      <c r="AI128" s="23">
        <v>0</v>
      </c>
      <c r="AJ128" s="24">
        <v>0</v>
      </c>
      <c r="AK128" s="24">
        <v>0</v>
      </c>
      <c r="AL128" s="52">
        <v>0</v>
      </c>
      <c r="AM128" s="12">
        <v>0</v>
      </c>
      <c r="AN128" s="23">
        <v>0</v>
      </c>
      <c r="AO128" s="24">
        <v>0</v>
      </c>
      <c r="AP128" s="24">
        <v>0</v>
      </c>
      <c r="AQ128" s="24">
        <v>0</v>
      </c>
      <c r="AR128" s="24">
        <v>0</v>
      </c>
      <c r="AS128" s="23">
        <v>1</v>
      </c>
      <c r="AT128" s="24">
        <v>0</v>
      </c>
      <c r="AU128" s="24">
        <v>0</v>
      </c>
      <c r="AV128" s="24">
        <v>0</v>
      </c>
      <c r="AW128" s="52">
        <v>0</v>
      </c>
      <c r="AX128" s="14">
        <v>1</v>
      </c>
      <c r="AY128" s="23">
        <v>0</v>
      </c>
      <c r="AZ128" s="24">
        <v>0</v>
      </c>
      <c r="BA128" s="24">
        <v>0</v>
      </c>
      <c r="BB128" s="52">
        <v>0</v>
      </c>
      <c r="BC128" s="12">
        <v>0</v>
      </c>
      <c r="BD128" s="23">
        <v>0</v>
      </c>
      <c r="BE128" s="24">
        <v>0</v>
      </c>
      <c r="BF128" s="24">
        <v>0</v>
      </c>
      <c r="BG128" s="24">
        <v>0</v>
      </c>
      <c r="BH128" s="24">
        <v>0</v>
      </c>
      <c r="BI128" s="23">
        <v>1</v>
      </c>
      <c r="BJ128" s="24">
        <v>0</v>
      </c>
      <c r="BK128" s="52">
        <v>0</v>
      </c>
      <c r="BL128" s="23">
        <v>0</v>
      </c>
      <c r="BM128" s="24">
        <v>0</v>
      </c>
      <c r="BN128" s="52">
        <v>0</v>
      </c>
      <c r="BO128" s="23">
        <v>1</v>
      </c>
      <c r="BP128" s="25">
        <v>124</v>
      </c>
      <c r="BQ128" s="24">
        <v>2</v>
      </c>
      <c r="BR128" s="23">
        <v>0</v>
      </c>
      <c r="BS128" s="24">
        <v>0</v>
      </c>
      <c r="BT128" s="24">
        <v>0</v>
      </c>
      <c r="BU128" s="52">
        <v>0</v>
      </c>
      <c r="BV128" s="14">
        <v>0</v>
      </c>
      <c r="BW128" s="209"/>
      <c r="BX128" s="3"/>
      <c r="BY128" s="3"/>
      <c r="BZ128" s="40"/>
      <c r="CA128" s="209"/>
      <c r="CB128" s="3"/>
      <c r="CC128" s="3"/>
      <c r="CD128" s="3"/>
      <c r="CE128" s="209"/>
      <c r="CF128" s="3"/>
      <c r="CG128" s="3"/>
      <c r="CH128" s="40"/>
      <c r="CI128" s="209"/>
      <c r="CJ128" s="3"/>
      <c r="CK128" s="3"/>
      <c r="CL128" s="209">
        <v>85.05308993942667</v>
      </c>
      <c r="CM128" s="3"/>
      <c r="CN128" s="3"/>
      <c r="CO128" s="3"/>
      <c r="CP128" s="40"/>
      <c r="CQ128" s="209">
        <v>85.443478179536839</v>
      </c>
      <c r="CR128" s="40">
        <v>84.763290272526334</v>
      </c>
      <c r="CS128" s="3"/>
      <c r="CT128" s="3"/>
    </row>
    <row r="129" spans="1:98">
      <c r="A129" s="42" t="s">
        <v>320</v>
      </c>
      <c r="B129" s="173" t="s">
        <v>305</v>
      </c>
      <c r="C129" s="12"/>
      <c r="D129" s="14" t="s">
        <v>200</v>
      </c>
      <c r="E129" s="173"/>
      <c r="F129" s="25">
        <v>19</v>
      </c>
      <c r="G129" s="23">
        <v>0</v>
      </c>
      <c r="H129" s="24">
        <v>0</v>
      </c>
      <c r="I129" s="24">
        <v>1</v>
      </c>
      <c r="J129" s="12">
        <v>1</v>
      </c>
      <c r="K129" s="23">
        <v>62</v>
      </c>
      <c r="L129" s="52">
        <v>1623</v>
      </c>
      <c r="M129" s="23">
        <v>119</v>
      </c>
      <c r="N129" s="24">
        <v>311</v>
      </c>
      <c r="O129" s="23">
        <v>0</v>
      </c>
      <c r="P129" s="52">
        <v>0</v>
      </c>
      <c r="Q129" s="25">
        <v>2425</v>
      </c>
      <c r="R129" s="212">
        <v>3.303814713896458</v>
      </c>
      <c r="S129" s="23">
        <v>1</v>
      </c>
      <c r="T129" s="24">
        <v>1</v>
      </c>
      <c r="U129" s="24">
        <v>0</v>
      </c>
      <c r="V129" s="52">
        <v>0</v>
      </c>
      <c r="W129" s="14">
        <v>1100</v>
      </c>
      <c r="X129" s="23">
        <v>1</v>
      </c>
      <c r="Y129" s="24">
        <v>1</v>
      </c>
      <c r="Z129" s="24">
        <v>0</v>
      </c>
      <c r="AA129" s="52">
        <v>0</v>
      </c>
      <c r="AB129" s="12">
        <v>1100</v>
      </c>
      <c r="AC129" s="23">
        <v>1</v>
      </c>
      <c r="AD129" s="23">
        <v>0</v>
      </c>
      <c r="AE129" s="24">
        <v>1</v>
      </c>
      <c r="AF129" s="24">
        <v>1</v>
      </c>
      <c r="AG129" s="52">
        <v>0</v>
      </c>
      <c r="AH129" s="14">
        <v>110</v>
      </c>
      <c r="AI129" s="23">
        <v>0</v>
      </c>
      <c r="AJ129" s="24">
        <v>0</v>
      </c>
      <c r="AK129" s="24">
        <v>0</v>
      </c>
      <c r="AL129" s="52">
        <v>0</v>
      </c>
      <c r="AM129" s="12">
        <v>0</v>
      </c>
      <c r="AN129" s="23">
        <v>0</v>
      </c>
      <c r="AO129" s="24">
        <v>0</v>
      </c>
      <c r="AP129" s="24">
        <v>0</v>
      </c>
      <c r="AQ129" s="24">
        <v>0</v>
      </c>
      <c r="AR129" s="24">
        <v>0</v>
      </c>
      <c r="AS129" s="23">
        <v>1</v>
      </c>
      <c r="AT129" s="24">
        <v>0</v>
      </c>
      <c r="AU129" s="24">
        <v>0</v>
      </c>
      <c r="AV129" s="24">
        <v>1</v>
      </c>
      <c r="AW129" s="52">
        <v>0</v>
      </c>
      <c r="AX129" s="14">
        <v>2</v>
      </c>
      <c r="AY129" s="23">
        <v>0</v>
      </c>
      <c r="AZ129" s="24">
        <v>0</v>
      </c>
      <c r="BA129" s="24">
        <v>0</v>
      </c>
      <c r="BB129" s="52">
        <v>1</v>
      </c>
      <c r="BC129" s="12">
        <v>1</v>
      </c>
      <c r="BD129" s="23">
        <v>0</v>
      </c>
      <c r="BE129" s="24">
        <v>0</v>
      </c>
      <c r="BF129" s="24">
        <v>0</v>
      </c>
      <c r="BG129" s="24">
        <v>0</v>
      </c>
      <c r="BH129" s="24">
        <v>0</v>
      </c>
      <c r="BI129" s="23">
        <v>1</v>
      </c>
      <c r="BJ129" s="24">
        <v>1</v>
      </c>
      <c r="BK129" s="52">
        <v>0</v>
      </c>
      <c r="BL129" s="23">
        <v>0</v>
      </c>
      <c r="BM129" s="24">
        <v>1</v>
      </c>
      <c r="BN129" s="52">
        <v>0</v>
      </c>
      <c r="BO129" s="23">
        <v>1</v>
      </c>
      <c r="BP129" s="25">
        <v>111</v>
      </c>
      <c r="BQ129" s="24">
        <v>1</v>
      </c>
      <c r="BR129" s="23">
        <v>0</v>
      </c>
      <c r="BS129" s="24">
        <v>0</v>
      </c>
      <c r="BT129" s="24">
        <v>0</v>
      </c>
      <c r="BU129" s="52">
        <v>0</v>
      </c>
      <c r="BV129" s="14">
        <v>0</v>
      </c>
      <c r="BW129" s="209"/>
      <c r="BX129" s="3"/>
      <c r="BY129" s="3"/>
      <c r="BZ129" s="40"/>
      <c r="CA129" s="209"/>
      <c r="CB129" s="3"/>
      <c r="CC129" s="3"/>
      <c r="CD129" s="3"/>
      <c r="CE129" s="209"/>
      <c r="CF129" s="3"/>
      <c r="CG129" s="3"/>
      <c r="CH129" s="40"/>
      <c r="CI129" s="209"/>
      <c r="CJ129" s="3"/>
      <c r="CK129" s="3"/>
      <c r="CL129" s="209"/>
      <c r="CM129" s="3"/>
      <c r="CN129" s="3"/>
      <c r="CO129" s="3"/>
      <c r="CP129" s="40"/>
      <c r="CQ129" s="209"/>
      <c r="CR129" s="40"/>
      <c r="CS129" s="3"/>
      <c r="CT129" s="3"/>
    </row>
    <row r="130" spans="1:98">
      <c r="A130" s="42" t="s">
        <v>320</v>
      </c>
      <c r="B130" s="173" t="s">
        <v>305</v>
      </c>
      <c r="C130" s="12"/>
      <c r="D130" s="14" t="s">
        <v>392</v>
      </c>
      <c r="E130" s="173" t="s">
        <v>1</v>
      </c>
      <c r="F130" s="25">
        <v>44</v>
      </c>
      <c r="G130" s="23">
        <v>1</v>
      </c>
      <c r="H130" s="24">
        <v>1</v>
      </c>
      <c r="I130" s="24">
        <v>1</v>
      </c>
      <c r="J130" s="12">
        <v>111</v>
      </c>
      <c r="K130" s="23">
        <v>140</v>
      </c>
      <c r="L130" s="52">
        <v>1318</v>
      </c>
      <c r="M130" s="23">
        <v>309</v>
      </c>
      <c r="N130" s="24">
        <v>560</v>
      </c>
      <c r="O130" s="23">
        <v>0</v>
      </c>
      <c r="P130" s="52">
        <v>0</v>
      </c>
      <c r="Q130" s="25">
        <v>4355</v>
      </c>
      <c r="R130" s="212">
        <v>2.2483221476510069</v>
      </c>
      <c r="S130" s="23">
        <v>1</v>
      </c>
      <c r="T130" s="24">
        <v>1</v>
      </c>
      <c r="U130" s="24">
        <v>0</v>
      </c>
      <c r="V130" s="52">
        <v>0</v>
      </c>
      <c r="W130" s="14">
        <v>1100</v>
      </c>
      <c r="X130" s="23">
        <v>1</v>
      </c>
      <c r="Y130" s="24">
        <v>1</v>
      </c>
      <c r="Z130" s="24">
        <v>1</v>
      </c>
      <c r="AA130" s="52">
        <v>0</v>
      </c>
      <c r="AB130" s="12">
        <v>1110</v>
      </c>
      <c r="AC130" s="23">
        <v>1</v>
      </c>
      <c r="AD130" s="23">
        <v>0</v>
      </c>
      <c r="AE130" s="24">
        <v>0</v>
      </c>
      <c r="AF130" s="24">
        <v>1</v>
      </c>
      <c r="AG130" s="52">
        <v>1</v>
      </c>
      <c r="AH130" s="14">
        <v>11</v>
      </c>
      <c r="AI130" s="23">
        <v>0</v>
      </c>
      <c r="AJ130" s="24">
        <v>0</v>
      </c>
      <c r="AK130" s="24">
        <v>0</v>
      </c>
      <c r="AL130" s="52">
        <v>0</v>
      </c>
      <c r="AM130" s="12">
        <v>0</v>
      </c>
      <c r="AN130" s="23">
        <v>0</v>
      </c>
      <c r="AO130" s="24">
        <v>0</v>
      </c>
      <c r="AP130" s="24">
        <v>0</v>
      </c>
      <c r="AQ130" s="24">
        <v>0</v>
      </c>
      <c r="AR130" s="24">
        <v>0</v>
      </c>
      <c r="AS130" s="23">
        <v>1</v>
      </c>
      <c r="AT130" s="24">
        <v>1</v>
      </c>
      <c r="AU130" s="24">
        <v>0</v>
      </c>
      <c r="AV130" s="24">
        <v>0</v>
      </c>
      <c r="AW130" s="52">
        <v>0</v>
      </c>
      <c r="AX130" s="14">
        <v>2</v>
      </c>
      <c r="AY130" s="23">
        <v>0</v>
      </c>
      <c r="AZ130" s="24">
        <v>0</v>
      </c>
      <c r="BA130" s="24">
        <v>0</v>
      </c>
      <c r="BB130" s="52">
        <v>0</v>
      </c>
      <c r="BC130" s="12">
        <v>0</v>
      </c>
      <c r="BD130" s="23">
        <v>0</v>
      </c>
      <c r="BE130" s="24">
        <v>0</v>
      </c>
      <c r="BF130" s="24">
        <v>0</v>
      </c>
      <c r="BG130" s="24">
        <v>0</v>
      </c>
      <c r="BH130" s="24">
        <v>0</v>
      </c>
      <c r="BI130" s="23">
        <v>1</v>
      </c>
      <c r="BJ130" s="24">
        <v>1</v>
      </c>
      <c r="BK130" s="52">
        <v>0</v>
      </c>
      <c r="BL130" s="23">
        <v>0</v>
      </c>
      <c r="BM130" s="24">
        <v>1</v>
      </c>
      <c r="BN130" s="52">
        <v>0</v>
      </c>
      <c r="BO130" s="23">
        <v>1</v>
      </c>
      <c r="BP130" s="25">
        <v>140</v>
      </c>
      <c r="BQ130" s="24">
        <v>1</v>
      </c>
      <c r="BR130" s="23">
        <v>0</v>
      </c>
      <c r="BS130" s="24">
        <v>0</v>
      </c>
      <c r="BT130" s="24">
        <v>0</v>
      </c>
      <c r="BU130" s="52">
        <v>0</v>
      </c>
      <c r="BV130" s="14">
        <v>0</v>
      </c>
      <c r="BW130" s="209"/>
      <c r="BX130" s="3"/>
      <c r="BY130" s="3"/>
      <c r="BZ130" s="40"/>
      <c r="CA130" s="209"/>
      <c r="CB130" s="3"/>
      <c r="CC130" s="3"/>
      <c r="CD130" s="3"/>
      <c r="CE130" s="209"/>
      <c r="CF130" s="3"/>
      <c r="CG130" s="3"/>
      <c r="CH130" s="40"/>
      <c r="CI130" s="209"/>
      <c r="CJ130" s="3"/>
      <c r="CK130" s="3"/>
      <c r="CL130" s="209"/>
      <c r="CM130" s="3"/>
      <c r="CN130" s="3"/>
      <c r="CO130" s="3"/>
      <c r="CP130" s="40"/>
      <c r="CQ130" s="209"/>
      <c r="CR130" s="40"/>
      <c r="CS130" s="3"/>
      <c r="CT130" s="3"/>
    </row>
    <row r="131" spans="1:98" ht="17" thickBot="1">
      <c r="A131" s="55" t="s">
        <v>320</v>
      </c>
      <c r="B131" s="47" t="s">
        <v>305</v>
      </c>
      <c r="C131" s="33"/>
      <c r="D131" s="34" t="s">
        <v>392</v>
      </c>
      <c r="E131" s="47" t="s">
        <v>0</v>
      </c>
      <c r="F131" s="109">
        <v>24</v>
      </c>
      <c r="G131" s="105">
        <v>1</v>
      </c>
      <c r="H131" s="103">
        <v>0</v>
      </c>
      <c r="I131" s="103">
        <v>1</v>
      </c>
      <c r="J131" s="33">
        <v>101</v>
      </c>
      <c r="K131" s="105">
        <v>188</v>
      </c>
      <c r="L131" s="106">
        <v>1074</v>
      </c>
      <c r="M131" s="105">
        <v>270</v>
      </c>
      <c r="N131" s="103">
        <v>769</v>
      </c>
      <c r="O131" s="105">
        <v>0</v>
      </c>
      <c r="P131" s="106">
        <v>0</v>
      </c>
      <c r="Q131" s="109">
        <v>2649</v>
      </c>
      <c r="R131" s="216">
        <v>1.2747834456207892</v>
      </c>
      <c r="S131" s="105">
        <v>1</v>
      </c>
      <c r="T131" s="103">
        <v>1</v>
      </c>
      <c r="U131" s="103">
        <v>0</v>
      </c>
      <c r="V131" s="106">
        <v>0</v>
      </c>
      <c r="W131" s="34">
        <v>1100</v>
      </c>
      <c r="X131" s="105">
        <v>1</v>
      </c>
      <c r="Y131" s="103">
        <v>1</v>
      </c>
      <c r="Z131" s="103">
        <v>1</v>
      </c>
      <c r="AA131" s="106">
        <v>0</v>
      </c>
      <c r="AB131" s="33">
        <v>1110</v>
      </c>
      <c r="AC131" s="105">
        <v>1</v>
      </c>
      <c r="AD131" s="105">
        <v>0</v>
      </c>
      <c r="AE131" s="103">
        <v>1</v>
      </c>
      <c r="AF131" s="103">
        <v>1</v>
      </c>
      <c r="AG131" s="106">
        <v>0</v>
      </c>
      <c r="AH131" s="34">
        <v>110</v>
      </c>
      <c r="AI131" s="105">
        <v>0</v>
      </c>
      <c r="AJ131" s="103">
        <v>0</v>
      </c>
      <c r="AK131" s="103">
        <v>0</v>
      </c>
      <c r="AL131" s="106">
        <v>0</v>
      </c>
      <c r="AM131" s="33">
        <v>0</v>
      </c>
      <c r="AN131" s="105">
        <v>0</v>
      </c>
      <c r="AO131" s="103">
        <v>0</v>
      </c>
      <c r="AP131" s="103">
        <v>0</v>
      </c>
      <c r="AQ131" s="103">
        <v>0</v>
      </c>
      <c r="AR131" s="103">
        <v>0</v>
      </c>
      <c r="AS131" s="105">
        <v>1</v>
      </c>
      <c r="AT131" s="103">
        <v>0</v>
      </c>
      <c r="AU131" s="103">
        <v>0</v>
      </c>
      <c r="AV131" s="103">
        <v>0</v>
      </c>
      <c r="AW131" s="106">
        <v>0</v>
      </c>
      <c r="AX131" s="34">
        <v>1</v>
      </c>
      <c r="AY131" s="105">
        <v>0</v>
      </c>
      <c r="AZ131" s="103">
        <v>0</v>
      </c>
      <c r="BA131" s="103">
        <v>0</v>
      </c>
      <c r="BB131" s="106">
        <v>0</v>
      </c>
      <c r="BC131" s="33">
        <v>0</v>
      </c>
      <c r="BD131" s="105">
        <v>0</v>
      </c>
      <c r="BE131" s="103">
        <v>0</v>
      </c>
      <c r="BF131" s="103">
        <v>0</v>
      </c>
      <c r="BG131" s="103">
        <v>0</v>
      </c>
      <c r="BH131" s="103">
        <v>0</v>
      </c>
      <c r="BI131" s="105">
        <v>1</v>
      </c>
      <c r="BJ131" s="103">
        <v>0</v>
      </c>
      <c r="BK131" s="106">
        <v>0</v>
      </c>
      <c r="BL131" s="105">
        <v>0</v>
      </c>
      <c r="BM131" s="103">
        <v>0</v>
      </c>
      <c r="BN131" s="106">
        <v>0</v>
      </c>
      <c r="BO131" s="105">
        <v>1</v>
      </c>
      <c r="BP131" s="109">
        <v>140</v>
      </c>
      <c r="BQ131" s="103">
        <v>1</v>
      </c>
      <c r="BR131" s="105">
        <v>0</v>
      </c>
      <c r="BS131" s="103">
        <v>0</v>
      </c>
      <c r="BT131" s="103">
        <v>0</v>
      </c>
      <c r="BU131" s="106">
        <v>0</v>
      </c>
      <c r="BV131" s="34">
        <v>0</v>
      </c>
      <c r="BW131" s="210"/>
      <c r="BX131" s="51"/>
      <c r="BY131" s="51"/>
      <c r="BZ131" s="48"/>
      <c r="CA131" s="210"/>
      <c r="CB131" s="51"/>
      <c r="CC131" s="51"/>
      <c r="CD131" s="51"/>
      <c r="CE131" s="210"/>
      <c r="CF131" s="51"/>
      <c r="CG131" s="51"/>
      <c r="CH131" s="48"/>
      <c r="CI131" s="210"/>
      <c r="CJ131" s="51"/>
      <c r="CK131" s="51"/>
      <c r="CL131" s="210"/>
      <c r="CM131" s="51"/>
      <c r="CN131" s="51"/>
      <c r="CO131" s="51"/>
      <c r="CP131" s="48"/>
      <c r="CQ131" s="210"/>
      <c r="CR131" s="48"/>
      <c r="CS131" s="3"/>
      <c r="CT131" s="3"/>
    </row>
    <row r="132" spans="1:98" ht="17" thickBot="1">
      <c r="A132" s="88" t="s">
        <v>320</v>
      </c>
      <c r="B132" s="185" t="s">
        <v>296</v>
      </c>
      <c r="C132" s="27"/>
      <c r="D132" s="28" t="s">
        <v>168</v>
      </c>
      <c r="E132" s="27"/>
      <c r="F132" s="27">
        <v>6</v>
      </c>
      <c r="G132" s="28">
        <v>1</v>
      </c>
      <c r="H132" s="30">
        <v>0</v>
      </c>
      <c r="I132" s="30">
        <v>1</v>
      </c>
      <c r="J132" s="27">
        <v>101</v>
      </c>
      <c r="K132" s="28">
        <v>180</v>
      </c>
      <c r="L132" s="29">
        <v>618</v>
      </c>
      <c r="M132" s="28">
        <v>300</v>
      </c>
      <c r="N132" s="30">
        <v>330</v>
      </c>
      <c r="O132" s="28">
        <v>0</v>
      </c>
      <c r="P132" s="29">
        <v>0</v>
      </c>
      <c r="Q132" s="27">
        <v>1306</v>
      </c>
      <c r="R132" s="211">
        <v>2.3745454545454545</v>
      </c>
      <c r="S132" s="28">
        <v>1</v>
      </c>
      <c r="T132" s="30">
        <v>1</v>
      </c>
      <c r="U132" s="30">
        <v>0</v>
      </c>
      <c r="V132" s="29">
        <v>0</v>
      </c>
      <c r="W132" s="28">
        <v>1100</v>
      </c>
      <c r="X132" s="28">
        <v>0</v>
      </c>
      <c r="Y132" s="30">
        <v>1</v>
      </c>
      <c r="Z132" s="30">
        <v>0</v>
      </c>
      <c r="AA132" s="29">
        <v>0</v>
      </c>
      <c r="AB132" s="27">
        <v>100</v>
      </c>
      <c r="AC132" s="28">
        <v>0</v>
      </c>
      <c r="AD132" s="28">
        <v>0</v>
      </c>
      <c r="AE132" s="30">
        <v>1</v>
      </c>
      <c r="AF132" s="30">
        <v>0</v>
      </c>
      <c r="AG132" s="29">
        <v>0</v>
      </c>
      <c r="AH132" s="28">
        <v>100</v>
      </c>
      <c r="AI132" s="28">
        <v>0</v>
      </c>
      <c r="AJ132" s="30">
        <v>0</v>
      </c>
      <c r="AK132" s="30">
        <v>0</v>
      </c>
      <c r="AL132" s="29">
        <v>0</v>
      </c>
      <c r="AM132" s="27">
        <v>0</v>
      </c>
      <c r="AN132" s="28">
        <v>0</v>
      </c>
      <c r="AO132" s="30">
        <v>0</v>
      </c>
      <c r="AP132" s="30">
        <v>0</v>
      </c>
      <c r="AQ132" s="30">
        <v>0</v>
      </c>
      <c r="AR132" s="30">
        <v>0</v>
      </c>
      <c r="AS132" s="28">
        <v>0</v>
      </c>
      <c r="AT132" s="30">
        <v>0</v>
      </c>
      <c r="AU132" s="30">
        <v>1</v>
      </c>
      <c r="AV132" s="30">
        <v>0</v>
      </c>
      <c r="AW132" s="29">
        <v>0</v>
      </c>
      <c r="AX132" s="28">
        <v>1</v>
      </c>
      <c r="AY132" s="28">
        <v>1</v>
      </c>
      <c r="AZ132" s="30">
        <v>0</v>
      </c>
      <c r="BA132" s="30">
        <v>0</v>
      </c>
      <c r="BB132" s="29">
        <v>0</v>
      </c>
      <c r="BC132" s="27">
        <v>1</v>
      </c>
      <c r="BD132" s="99">
        <v>0</v>
      </c>
      <c r="BE132" s="98">
        <v>0</v>
      </c>
      <c r="BF132" s="98">
        <v>0</v>
      </c>
      <c r="BG132" s="98">
        <v>0</v>
      </c>
      <c r="BH132" s="98">
        <v>0</v>
      </c>
      <c r="BI132" s="28">
        <v>1</v>
      </c>
      <c r="BJ132" s="30">
        <v>1</v>
      </c>
      <c r="BK132" s="29">
        <v>0</v>
      </c>
      <c r="BL132" s="28">
        <v>0</v>
      </c>
      <c r="BM132" s="30">
        <v>0</v>
      </c>
      <c r="BN132" s="29">
        <v>0</v>
      </c>
      <c r="BO132" s="28">
        <v>1</v>
      </c>
      <c r="BP132" s="27">
        <v>94</v>
      </c>
      <c r="BQ132" s="30">
        <v>2</v>
      </c>
      <c r="BR132" s="28">
        <v>0</v>
      </c>
      <c r="BS132" s="30">
        <v>0</v>
      </c>
      <c r="BT132" s="30">
        <v>0</v>
      </c>
      <c r="BU132" s="29">
        <v>0</v>
      </c>
      <c r="BV132" s="28">
        <v>0</v>
      </c>
      <c r="BW132" s="211"/>
      <c r="BX132" s="77"/>
      <c r="BY132" s="77"/>
      <c r="BZ132" s="45"/>
      <c r="CA132" s="211"/>
      <c r="CB132" s="77"/>
      <c r="CC132" s="77"/>
      <c r="CD132" s="77"/>
      <c r="CE132" s="211"/>
      <c r="CF132" s="77"/>
      <c r="CG132" s="77"/>
      <c r="CH132" s="45"/>
      <c r="CI132" s="211"/>
      <c r="CJ132" s="77"/>
      <c r="CK132" s="77"/>
      <c r="CL132" s="211"/>
      <c r="CM132" s="77"/>
      <c r="CN132" s="77"/>
      <c r="CO132" s="77"/>
      <c r="CP132" s="45"/>
      <c r="CQ132" s="211"/>
      <c r="CR132" s="45"/>
      <c r="CS132" s="3"/>
      <c r="CT132" s="3"/>
    </row>
    <row r="133" spans="1:98">
      <c r="A133" s="87" t="s">
        <v>320</v>
      </c>
      <c r="B133" s="7" t="s">
        <v>311</v>
      </c>
      <c r="C133" s="9"/>
      <c r="D133" s="11" t="s">
        <v>132</v>
      </c>
      <c r="E133" s="9"/>
      <c r="F133" s="9">
        <v>30</v>
      </c>
      <c r="G133" s="11">
        <v>1</v>
      </c>
      <c r="H133" s="8">
        <v>1</v>
      </c>
      <c r="I133" s="8">
        <v>1</v>
      </c>
      <c r="J133" s="9">
        <v>111</v>
      </c>
      <c r="K133" s="11">
        <v>118</v>
      </c>
      <c r="L133" s="41">
        <v>1206</v>
      </c>
      <c r="M133" s="11">
        <v>82</v>
      </c>
      <c r="N133" s="8">
        <v>436</v>
      </c>
      <c r="O133" s="11">
        <v>0</v>
      </c>
      <c r="P133" s="41">
        <v>0</v>
      </c>
      <c r="Q133" s="9">
        <v>2270</v>
      </c>
      <c r="R133" s="208">
        <v>2.2233104799216457</v>
      </c>
      <c r="S133" s="11">
        <v>1</v>
      </c>
      <c r="T133" s="8">
        <v>1</v>
      </c>
      <c r="U133" s="8">
        <v>0</v>
      </c>
      <c r="V133" s="41">
        <v>0</v>
      </c>
      <c r="W133" s="11">
        <v>1100</v>
      </c>
      <c r="X133" s="11">
        <v>1</v>
      </c>
      <c r="Y133" s="8">
        <v>1</v>
      </c>
      <c r="Z133" s="8">
        <v>0</v>
      </c>
      <c r="AA133" s="41">
        <v>0</v>
      </c>
      <c r="AB133" s="9">
        <v>1100</v>
      </c>
      <c r="AC133" s="11">
        <v>1</v>
      </c>
      <c r="AD133" s="11">
        <v>0</v>
      </c>
      <c r="AE133" s="8">
        <v>1</v>
      </c>
      <c r="AF133" s="8">
        <v>1</v>
      </c>
      <c r="AG133" s="41">
        <v>0</v>
      </c>
      <c r="AH133" s="11">
        <v>110</v>
      </c>
      <c r="AI133" s="11">
        <v>0</v>
      </c>
      <c r="AJ133" s="8">
        <v>0</v>
      </c>
      <c r="AK133" s="8">
        <v>0</v>
      </c>
      <c r="AL133" s="41">
        <v>0</v>
      </c>
      <c r="AM133" s="9">
        <v>0</v>
      </c>
      <c r="AN133" s="11">
        <v>0</v>
      </c>
      <c r="AO133" s="8">
        <v>0</v>
      </c>
      <c r="AP133" s="8">
        <v>0</v>
      </c>
      <c r="AQ133" s="8">
        <v>0</v>
      </c>
      <c r="AR133" s="8">
        <v>0</v>
      </c>
      <c r="AS133" s="11">
        <v>0</v>
      </c>
      <c r="AT133" s="8">
        <v>1</v>
      </c>
      <c r="AU133" s="8">
        <v>0</v>
      </c>
      <c r="AV133" s="8">
        <v>1</v>
      </c>
      <c r="AW133" s="41">
        <v>0</v>
      </c>
      <c r="AX133" s="11">
        <v>2</v>
      </c>
      <c r="AY133" s="11">
        <v>0</v>
      </c>
      <c r="AZ133" s="8">
        <v>0</v>
      </c>
      <c r="BA133" s="8">
        <v>1</v>
      </c>
      <c r="BB133" s="41">
        <v>0</v>
      </c>
      <c r="BC133" s="9">
        <v>1</v>
      </c>
      <c r="BD133" s="11">
        <v>0</v>
      </c>
      <c r="BE133" s="8">
        <v>0</v>
      </c>
      <c r="BF133" s="8">
        <v>0</v>
      </c>
      <c r="BG133" s="8">
        <v>0</v>
      </c>
      <c r="BH133" s="8">
        <v>0</v>
      </c>
      <c r="BI133" s="11">
        <v>1</v>
      </c>
      <c r="BJ133" s="8">
        <v>1</v>
      </c>
      <c r="BK133" s="41">
        <v>0</v>
      </c>
      <c r="BL133" s="11">
        <v>0</v>
      </c>
      <c r="BM133" s="8">
        <v>0</v>
      </c>
      <c r="BN133" s="41">
        <v>0</v>
      </c>
      <c r="BO133" s="11">
        <v>0</v>
      </c>
      <c r="BP133" s="9">
        <v>115</v>
      </c>
      <c r="BQ133" s="8">
        <v>1</v>
      </c>
      <c r="BR133" s="11">
        <v>0</v>
      </c>
      <c r="BS133" s="8">
        <v>0</v>
      </c>
      <c r="BT133" s="8">
        <v>0</v>
      </c>
      <c r="BU133" s="41">
        <v>0</v>
      </c>
      <c r="BV133" s="11">
        <v>0</v>
      </c>
      <c r="BW133" s="208"/>
      <c r="BX133" s="54"/>
      <c r="BY133" s="54"/>
      <c r="BZ133" s="10"/>
      <c r="CA133" s="208"/>
      <c r="CB133" s="54"/>
      <c r="CC133" s="54"/>
      <c r="CD133" s="54"/>
      <c r="CE133" s="208"/>
      <c r="CF133" s="54"/>
      <c r="CG133" s="54"/>
      <c r="CH133" s="10"/>
      <c r="CI133" s="208"/>
      <c r="CJ133" s="54"/>
      <c r="CK133" s="54"/>
      <c r="CL133" s="208"/>
      <c r="CM133" s="54"/>
      <c r="CN133" s="54"/>
      <c r="CO133" s="54"/>
      <c r="CP133" s="10"/>
      <c r="CQ133" s="208"/>
      <c r="CR133" s="10"/>
      <c r="CS133" s="3"/>
      <c r="CT133" s="3"/>
    </row>
    <row r="134" spans="1:98" ht="17" thickBot="1">
      <c r="A134" s="42" t="s">
        <v>320</v>
      </c>
      <c r="B134" s="173" t="s">
        <v>311</v>
      </c>
      <c r="C134" s="12"/>
      <c r="D134" s="14" t="s">
        <v>167</v>
      </c>
      <c r="E134" s="12"/>
      <c r="F134" s="12">
        <v>18</v>
      </c>
      <c r="G134" s="14">
        <v>0</v>
      </c>
      <c r="H134" s="163">
        <v>0</v>
      </c>
      <c r="I134" s="163">
        <v>1</v>
      </c>
      <c r="J134" s="12">
        <v>1</v>
      </c>
      <c r="K134" s="14">
        <v>156</v>
      </c>
      <c r="L134" s="26">
        <v>8.0620155038759689E-2</v>
      </c>
      <c r="M134" s="14">
        <v>88</v>
      </c>
      <c r="N134" s="163">
        <v>557</v>
      </c>
      <c r="O134" s="14">
        <v>0</v>
      </c>
      <c r="P134" s="26">
        <v>0</v>
      </c>
      <c r="Q134" s="12">
        <v>2375</v>
      </c>
      <c r="R134" s="209">
        <v>1.5263496143958868</v>
      </c>
      <c r="S134" s="14">
        <v>1</v>
      </c>
      <c r="T134" s="163">
        <v>1</v>
      </c>
      <c r="U134" s="163">
        <v>0</v>
      </c>
      <c r="V134" s="26">
        <v>0</v>
      </c>
      <c r="W134" s="14">
        <v>1100</v>
      </c>
      <c r="X134" s="14">
        <v>0</v>
      </c>
      <c r="Y134" s="163">
        <v>1</v>
      </c>
      <c r="Z134" s="163">
        <v>0</v>
      </c>
      <c r="AA134" s="26">
        <v>0</v>
      </c>
      <c r="AB134" s="12">
        <v>100</v>
      </c>
      <c r="AC134" s="14">
        <v>0</v>
      </c>
      <c r="AD134" s="14">
        <v>0</v>
      </c>
      <c r="AE134" s="163">
        <v>1</v>
      </c>
      <c r="AF134" s="163">
        <v>1</v>
      </c>
      <c r="AG134" s="26">
        <v>0</v>
      </c>
      <c r="AH134" s="14">
        <v>110</v>
      </c>
      <c r="AI134" s="14">
        <v>0</v>
      </c>
      <c r="AJ134" s="163">
        <v>0</v>
      </c>
      <c r="AK134" s="163">
        <v>0</v>
      </c>
      <c r="AL134" s="26">
        <v>0</v>
      </c>
      <c r="AM134" s="12">
        <v>0</v>
      </c>
      <c r="AN134" s="14">
        <v>0</v>
      </c>
      <c r="AO134" s="163">
        <v>0</v>
      </c>
      <c r="AP134" s="163">
        <v>0</v>
      </c>
      <c r="AQ134" s="163">
        <v>0</v>
      </c>
      <c r="AR134" s="163">
        <v>0</v>
      </c>
      <c r="AS134" s="14">
        <v>0</v>
      </c>
      <c r="AT134" s="163">
        <v>0</v>
      </c>
      <c r="AU134" s="163">
        <v>0</v>
      </c>
      <c r="AV134" s="163">
        <v>1</v>
      </c>
      <c r="AW134" s="26">
        <v>0</v>
      </c>
      <c r="AX134" s="14">
        <v>1</v>
      </c>
      <c r="AY134" s="14">
        <v>1</v>
      </c>
      <c r="AZ134" s="163">
        <v>0</v>
      </c>
      <c r="BA134" s="163">
        <v>1</v>
      </c>
      <c r="BB134" s="26">
        <v>0</v>
      </c>
      <c r="BC134" s="12">
        <v>2</v>
      </c>
      <c r="BD134" s="14">
        <v>0</v>
      </c>
      <c r="BE134" s="163">
        <v>0</v>
      </c>
      <c r="BF134" s="163">
        <v>0</v>
      </c>
      <c r="BG134" s="163">
        <v>0</v>
      </c>
      <c r="BH134" s="163">
        <v>0</v>
      </c>
      <c r="BI134" s="14">
        <v>1</v>
      </c>
      <c r="BJ134" s="163">
        <v>1</v>
      </c>
      <c r="BK134" s="26">
        <v>0</v>
      </c>
      <c r="BL134" s="14">
        <v>0</v>
      </c>
      <c r="BM134" s="163">
        <v>0</v>
      </c>
      <c r="BN134" s="26">
        <v>0</v>
      </c>
      <c r="BO134" s="14">
        <v>1</v>
      </c>
      <c r="BP134" s="12">
        <v>128</v>
      </c>
      <c r="BQ134" s="163">
        <v>1</v>
      </c>
      <c r="BR134" s="14">
        <v>0</v>
      </c>
      <c r="BS134" s="163">
        <v>0</v>
      </c>
      <c r="BT134" s="163">
        <v>0</v>
      </c>
      <c r="BU134" s="26">
        <v>0</v>
      </c>
      <c r="BV134" s="14">
        <v>0</v>
      </c>
      <c r="BW134" s="209"/>
      <c r="BX134" s="3"/>
      <c r="BY134" s="3"/>
      <c r="BZ134" s="40"/>
      <c r="CA134" s="209"/>
      <c r="CB134" s="3"/>
      <c r="CC134" s="3"/>
      <c r="CD134" s="3"/>
      <c r="CE134" s="209"/>
      <c r="CF134" s="3"/>
      <c r="CG134" s="3"/>
      <c r="CH134" s="40"/>
      <c r="CI134" s="209"/>
      <c r="CJ134" s="3"/>
      <c r="CK134" s="3"/>
      <c r="CL134" s="209"/>
      <c r="CM134" s="3"/>
      <c r="CN134" s="3"/>
      <c r="CO134" s="3"/>
      <c r="CP134" s="40"/>
      <c r="CQ134" s="209"/>
      <c r="CR134" s="40"/>
      <c r="CS134" s="3"/>
      <c r="CT134" s="3"/>
    </row>
    <row r="135" spans="1:98">
      <c r="A135" s="87" t="s">
        <v>321</v>
      </c>
      <c r="B135" s="7" t="s">
        <v>426</v>
      </c>
      <c r="C135" s="9"/>
      <c r="D135" s="11" t="s">
        <v>167</v>
      </c>
      <c r="E135" s="9"/>
      <c r="F135" s="9">
        <v>12</v>
      </c>
      <c r="G135" s="11">
        <v>0</v>
      </c>
      <c r="H135" s="8">
        <v>0</v>
      </c>
      <c r="I135" s="8">
        <v>1</v>
      </c>
      <c r="J135" s="9">
        <v>1</v>
      </c>
      <c r="K135" s="11">
        <v>68</v>
      </c>
      <c r="L135" s="41">
        <v>270</v>
      </c>
      <c r="M135" s="11">
        <v>413</v>
      </c>
      <c r="N135" s="8">
        <v>457</v>
      </c>
      <c r="O135" s="11">
        <v>0</v>
      </c>
      <c r="P135" s="41">
        <v>0</v>
      </c>
      <c r="Q135" s="9">
        <v>840</v>
      </c>
      <c r="R135" s="208">
        <v>1.386138613861386</v>
      </c>
      <c r="S135" s="11">
        <v>1</v>
      </c>
      <c r="T135" s="8">
        <v>1</v>
      </c>
      <c r="U135" s="8">
        <v>0</v>
      </c>
      <c r="V135" s="41">
        <v>0</v>
      </c>
      <c r="W135" s="11">
        <v>1100</v>
      </c>
      <c r="X135" s="11">
        <v>1</v>
      </c>
      <c r="Y135" s="8">
        <v>1</v>
      </c>
      <c r="Z135" s="8">
        <v>1</v>
      </c>
      <c r="AA135" s="41">
        <v>0</v>
      </c>
      <c r="AB135" s="9">
        <v>1110</v>
      </c>
      <c r="AC135" s="11">
        <v>0</v>
      </c>
      <c r="AD135" s="11">
        <v>0</v>
      </c>
      <c r="AE135" s="8">
        <v>1</v>
      </c>
      <c r="AF135" s="8">
        <v>0</v>
      </c>
      <c r="AG135" s="41">
        <v>0</v>
      </c>
      <c r="AH135" s="11">
        <v>100</v>
      </c>
      <c r="AI135" s="11">
        <v>0</v>
      </c>
      <c r="AJ135" s="8">
        <v>0</v>
      </c>
      <c r="AK135" s="8">
        <v>0</v>
      </c>
      <c r="AL135" s="41">
        <v>0</v>
      </c>
      <c r="AM135" s="9">
        <v>0</v>
      </c>
      <c r="AN135" s="11">
        <v>0</v>
      </c>
      <c r="AO135" s="8">
        <v>0</v>
      </c>
      <c r="AP135" s="8">
        <v>0</v>
      </c>
      <c r="AQ135" s="8">
        <v>0</v>
      </c>
      <c r="AR135" s="8">
        <v>0</v>
      </c>
      <c r="AS135" s="11">
        <v>0</v>
      </c>
      <c r="AT135" s="8">
        <v>0</v>
      </c>
      <c r="AU135" s="8">
        <v>1</v>
      </c>
      <c r="AV135" s="8">
        <v>1</v>
      </c>
      <c r="AW135" s="41">
        <v>0</v>
      </c>
      <c r="AX135" s="11">
        <v>2</v>
      </c>
      <c r="AY135" s="11">
        <v>1</v>
      </c>
      <c r="AZ135" s="8">
        <v>0</v>
      </c>
      <c r="BA135" s="8">
        <v>0</v>
      </c>
      <c r="BB135" s="41">
        <v>0</v>
      </c>
      <c r="BC135" s="9">
        <v>1</v>
      </c>
      <c r="BD135" s="11">
        <v>0</v>
      </c>
      <c r="BE135" s="8">
        <v>0</v>
      </c>
      <c r="BF135" s="8">
        <v>0</v>
      </c>
      <c r="BG135" s="8">
        <v>0</v>
      </c>
      <c r="BH135" s="8">
        <v>0</v>
      </c>
      <c r="BI135" s="11">
        <v>0</v>
      </c>
      <c r="BJ135" s="8">
        <v>0</v>
      </c>
      <c r="BK135" s="41">
        <v>0</v>
      </c>
      <c r="BL135" s="11">
        <v>0</v>
      </c>
      <c r="BM135" s="8">
        <v>0</v>
      </c>
      <c r="BN135" s="41">
        <v>0</v>
      </c>
      <c r="BO135" s="11">
        <v>1</v>
      </c>
      <c r="BP135" s="9">
        <v>60</v>
      </c>
      <c r="BQ135" s="8">
        <v>1</v>
      </c>
      <c r="BR135" s="11">
        <v>0</v>
      </c>
      <c r="BS135" s="8">
        <v>0</v>
      </c>
      <c r="BT135" s="8">
        <v>0</v>
      </c>
      <c r="BU135" s="41">
        <v>0</v>
      </c>
      <c r="BV135" s="11">
        <v>0</v>
      </c>
      <c r="BW135" s="208"/>
      <c r="BX135" s="54"/>
      <c r="BY135" s="54"/>
      <c r="BZ135" s="10"/>
      <c r="CA135" s="208"/>
      <c r="CB135" s="54"/>
      <c r="CC135" s="54"/>
      <c r="CD135" s="54"/>
      <c r="CE135" s="208"/>
      <c r="CF135" s="54"/>
      <c r="CG135" s="54"/>
      <c r="CH135" s="10"/>
      <c r="CI135" s="208"/>
      <c r="CJ135" s="54"/>
      <c r="CK135" s="54"/>
      <c r="CL135" s="208"/>
      <c r="CM135" s="54"/>
      <c r="CN135" s="54"/>
      <c r="CO135" s="54"/>
      <c r="CP135" s="10"/>
      <c r="CQ135" s="208"/>
      <c r="CR135" s="10"/>
      <c r="CS135" s="3"/>
      <c r="CT135" s="3"/>
    </row>
    <row r="136" spans="1:98">
      <c r="A136" s="42" t="s">
        <v>321</v>
      </c>
      <c r="B136" s="12" t="s">
        <v>426</v>
      </c>
      <c r="C136" s="12"/>
      <c r="D136" s="14" t="s">
        <v>425</v>
      </c>
      <c r="E136" s="12"/>
      <c r="F136" s="12">
        <v>12</v>
      </c>
      <c r="G136" s="14">
        <v>0</v>
      </c>
      <c r="H136" s="163">
        <v>0</v>
      </c>
      <c r="I136" s="163">
        <v>1</v>
      </c>
      <c r="J136" s="12">
        <v>1</v>
      </c>
      <c r="K136" s="14">
        <v>121</v>
      </c>
      <c r="L136" s="26">
        <v>227</v>
      </c>
      <c r="M136" s="14">
        <v>457</v>
      </c>
      <c r="N136" s="163">
        <v>546</v>
      </c>
      <c r="O136" s="14">
        <v>0</v>
      </c>
      <c r="P136" s="26">
        <v>0</v>
      </c>
      <c r="Q136" s="12">
        <v>661</v>
      </c>
      <c r="R136" s="209">
        <v>1.2106227106227105</v>
      </c>
      <c r="S136" s="14">
        <v>1</v>
      </c>
      <c r="T136" s="163">
        <v>1</v>
      </c>
      <c r="U136" s="163">
        <v>0</v>
      </c>
      <c r="V136" s="26">
        <v>0</v>
      </c>
      <c r="W136" s="14">
        <v>1100</v>
      </c>
      <c r="X136" s="14">
        <v>1</v>
      </c>
      <c r="Y136" s="163">
        <v>0</v>
      </c>
      <c r="Z136" s="163">
        <v>0</v>
      </c>
      <c r="AA136" s="26">
        <v>1</v>
      </c>
      <c r="AB136" s="12">
        <v>1001</v>
      </c>
      <c r="AC136" s="14">
        <v>0</v>
      </c>
      <c r="AD136" s="14">
        <v>0</v>
      </c>
      <c r="AE136" s="163">
        <v>1</v>
      </c>
      <c r="AF136" s="163">
        <v>0</v>
      </c>
      <c r="AG136" s="26">
        <v>1</v>
      </c>
      <c r="AH136" s="14">
        <v>101</v>
      </c>
      <c r="AI136" s="14">
        <v>0</v>
      </c>
      <c r="AJ136" s="163">
        <v>0</v>
      </c>
      <c r="AK136" s="163">
        <v>0</v>
      </c>
      <c r="AL136" s="26">
        <v>0</v>
      </c>
      <c r="AM136" s="12">
        <v>0</v>
      </c>
      <c r="AN136" s="14">
        <v>0</v>
      </c>
      <c r="AO136" s="163">
        <v>0</v>
      </c>
      <c r="AP136" s="163">
        <v>0</v>
      </c>
      <c r="AQ136" s="163">
        <v>0</v>
      </c>
      <c r="AR136" s="163">
        <v>0</v>
      </c>
      <c r="AS136" s="14">
        <v>0</v>
      </c>
      <c r="AT136" s="163">
        <v>0</v>
      </c>
      <c r="AU136" s="163">
        <v>1</v>
      </c>
      <c r="AV136" s="163">
        <v>0</v>
      </c>
      <c r="AW136" s="26">
        <v>0</v>
      </c>
      <c r="AX136" s="14">
        <v>1</v>
      </c>
      <c r="AY136" s="14">
        <v>0</v>
      </c>
      <c r="AZ136" s="163">
        <v>0</v>
      </c>
      <c r="BA136" s="163">
        <v>0</v>
      </c>
      <c r="BB136" s="26">
        <v>0</v>
      </c>
      <c r="BC136" s="12">
        <v>0</v>
      </c>
      <c r="BD136" s="14">
        <v>0</v>
      </c>
      <c r="BE136" s="163">
        <v>0</v>
      </c>
      <c r="BF136" s="163">
        <v>0</v>
      </c>
      <c r="BG136" s="163">
        <v>0</v>
      </c>
      <c r="BH136" s="163">
        <v>0</v>
      </c>
      <c r="BI136" s="14">
        <v>1</v>
      </c>
      <c r="BJ136" s="163">
        <v>0</v>
      </c>
      <c r="BK136" s="26">
        <v>0</v>
      </c>
      <c r="BL136" s="14">
        <v>0</v>
      </c>
      <c r="BM136" s="163">
        <v>0</v>
      </c>
      <c r="BN136" s="26">
        <v>0</v>
      </c>
      <c r="BO136" s="14">
        <v>1</v>
      </c>
      <c r="BP136" s="12">
        <v>75</v>
      </c>
      <c r="BQ136" s="163">
        <v>1</v>
      </c>
      <c r="BR136" s="14">
        <v>0</v>
      </c>
      <c r="BS136" s="163">
        <v>0</v>
      </c>
      <c r="BT136" s="163">
        <v>0</v>
      </c>
      <c r="BU136" s="26">
        <v>0</v>
      </c>
      <c r="BV136" s="14">
        <v>0</v>
      </c>
      <c r="BW136" s="209"/>
      <c r="BX136" s="3"/>
      <c r="BY136" s="3"/>
      <c r="BZ136" s="40"/>
      <c r="CA136" s="209"/>
      <c r="CB136" s="3"/>
      <c r="CC136" s="3"/>
      <c r="CD136" s="3"/>
      <c r="CE136" s="209"/>
      <c r="CF136" s="3"/>
      <c r="CG136" s="3"/>
      <c r="CH136" s="40"/>
      <c r="CI136" s="209"/>
      <c r="CJ136" s="3"/>
      <c r="CK136" s="3"/>
      <c r="CL136" s="209"/>
      <c r="CM136" s="3"/>
      <c r="CN136" s="3"/>
      <c r="CO136" s="3"/>
      <c r="CP136" s="40"/>
      <c r="CQ136" s="209"/>
      <c r="CR136" s="40"/>
      <c r="CS136" s="3"/>
      <c r="CT136" s="3"/>
    </row>
    <row r="137" spans="1:98" ht="17" thickBot="1">
      <c r="A137" s="55" t="s">
        <v>321</v>
      </c>
      <c r="B137" s="33" t="s">
        <v>426</v>
      </c>
      <c r="C137" s="33"/>
      <c r="D137" s="34" t="s">
        <v>199</v>
      </c>
      <c r="E137" s="33"/>
      <c r="F137" s="33">
        <v>22</v>
      </c>
      <c r="G137" s="34">
        <v>1</v>
      </c>
      <c r="H137" s="36">
        <v>0</v>
      </c>
      <c r="I137" s="36">
        <v>1</v>
      </c>
      <c r="J137" s="33">
        <v>101</v>
      </c>
      <c r="K137" s="34">
        <v>123</v>
      </c>
      <c r="L137" s="35">
        <v>450</v>
      </c>
      <c r="M137" s="34">
        <v>22</v>
      </c>
      <c r="N137" s="36">
        <v>135</v>
      </c>
      <c r="O137" s="34">
        <v>0</v>
      </c>
      <c r="P137" s="35">
        <v>0</v>
      </c>
      <c r="Q137" s="33">
        <v>843</v>
      </c>
      <c r="R137" s="210">
        <v>2.1670951156812341</v>
      </c>
      <c r="S137" s="34">
        <v>1</v>
      </c>
      <c r="T137" s="36">
        <v>1</v>
      </c>
      <c r="U137" s="36">
        <v>0</v>
      </c>
      <c r="V137" s="35">
        <v>0</v>
      </c>
      <c r="W137" s="34">
        <v>1100</v>
      </c>
      <c r="X137" s="34">
        <v>1</v>
      </c>
      <c r="Y137" s="36">
        <v>1</v>
      </c>
      <c r="Z137" s="36">
        <v>0</v>
      </c>
      <c r="AA137" s="35">
        <v>0</v>
      </c>
      <c r="AB137" s="33">
        <v>1100</v>
      </c>
      <c r="AC137" s="34">
        <v>0</v>
      </c>
      <c r="AD137" s="34">
        <v>1</v>
      </c>
      <c r="AE137" s="36">
        <v>0</v>
      </c>
      <c r="AF137" s="36">
        <v>1</v>
      </c>
      <c r="AG137" s="35">
        <v>1</v>
      </c>
      <c r="AH137" s="34">
        <v>1011</v>
      </c>
      <c r="AI137" s="34">
        <v>0</v>
      </c>
      <c r="AJ137" s="36">
        <v>0</v>
      </c>
      <c r="AK137" s="36">
        <v>0</v>
      </c>
      <c r="AL137" s="35">
        <v>0</v>
      </c>
      <c r="AM137" s="33">
        <v>0</v>
      </c>
      <c r="AN137" s="34">
        <v>0</v>
      </c>
      <c r="AO137" s="36">
        <v>0</v>
      </c>
      <c r="AP137" s="36">
        <v>0</v>
      </c>
      <c r="AQ137" s="36">
        <v>0</v>
      </c>
      <c r="AR137" s="36">
        <v>0</v>
      </c>
      <c r="AS137" s="34">
        <v>0</v>
      </c>
      <c r="AT137" s="36">
        <v>0</v>
      </c>
      <c r="AU137" s="36">
        <v>1</v>
      </c>
      <c r="AV137" s="36">
        <v>0</v>
      </c>
      <c r="AW137" s="35">
        <v>0</v>
      </c>
      <c r="AX137" s="34">
        <v>1</v>
      </c>
      <c r="AY137" s="34">
        <v>0</v>
      </c>
      <c r="AZ137" s="36">
        <v>0</v>
      </c>
      <c r="BA137" s="36">
        <v>0</v>
      </c>
      <c r="BB137" s="35">
        <v>1</v>
      </c>
      <c r="BC137" s="33">
        <v>1</v>
      </c>
      <c r="BD137" s="34">
        <v>0</v>
      </c>
      <c r="BE137" s="36">
        <v>0</v>
      </c>
      <c r="BF137" s="36">
        <v>0</v>
      </c>
      <c r="BG137" s="36">
        <v>0</v>
      </c>
      <c r="BH137" s="36">
        <v>0</v>
      </c>
      <c r="BI137" s="34">
        <v>1</v>
      </c>
      <c r="BJ137" s="36">
        <v>0</v>
      </c>
      <c r="BK137" s="35">
        <v>0</v>
      </c>
      <c r="BL137" s="34">
        <v>0</v>
      </c>
      <c r="BM137" s="36">
        <v>0</v>
      </c>
      <c r="BN137" s="35">
        <v>0</v>
      </c>
      <c r="BO137" s="34">
        <v>1</v>
      </c>
      <c r="BP137" s="33"/>
      <c r="BQ137" s="36">
        <v>1</v>
      </c>
      <c r="BR137" s="34">
        <v>0</v>
      </c>
      <c r="BS137" s="36">
        <v>0</v>
      </c>
      <c r="BT137" s="36">
        <v>0</v>
      </c>
      <c r="BU137" s="35">
        <v>0</v>
      </c>
      <c r="BV137" s="34">
        <v>0</v>
      </c>
      <c r="BW137" s="210"/>
      <c r="BX137" s="51"/>
      <c r="BY137" s="51"/>
      <c r="BZ137" s="48"/>
      <c r="CA137" s="210"/>
      <c r="CB137" s="51"/>
      <c r="CC137" s="51"/>
      <c r="CD137" s="51"/>
      <c r="CE137" s="210"/>
      <c r="CF137" s="51"/>
      <c r="CG137" s="51"/>
      <c r="CH137" s="48"/>
      <c r="CI137" s="210"/>
      <c r="CJ137" s="51"/>
      <c r="CK137" s="51"/>
      <c r="CL137" s="210"/>
      <c r="CM137" s="51"/>
      <c r="CN137" s="51"/>
      <c r="CO137" s="51"/>
      <c r="CP137" s="48"/>
      <c r="CQ137" s="210"/>
      <c r="CR137" s="48"/>
      <c r="CS137" s="3"/>
      <c r="CT137" s="3"/>
    </row>
    <row r="138" spans="1:98">
      <c r="A138" s="87" t="s">
        <v>321</v>
      </c>
      <c r="B138" s="9" t="s">
        <v>223</v>
      </c>
      <c r="C138" s="9"/>
      <c r="D138" s="11" t="s">
        <v>132</v>
      </c>
      <c r="E138" s="9" t="s">
        <v>0</v>
      </c>
      <c r="F138" s="9">
        <v>4</v>
      </c>
      <c r="G138" s="11">
        <v>1</v>
      </c>
      <c r="H138" s="8">
        <v>0</v>
      </c>
      <c r="I138" s="8">
        <v>1</v>
      </c>
      <c r="J138" s="9">
        <v>101</v>
      </c>
      <c r="K138" s="11">
        <v>205</v>
      </c>
      <c r="L138" s="41">
        <v>2544</v>
      </c>
      <c r="M138" s="11">
        <v>0</v>
      </c>
      <c r="N138" s="8">
        <v>1262</v>
      </c>
      <c r="O138" s="11">
        <v>0</v>
      </c>
      <c r="P138" s="41">
        <v>0</v>
      </c>
      <c r="Q138" s="9">
        <v>2731</v>
      </c>
      <c r="R138" s="208">
        <v>1.0735062893081762</v>
      </c>
      <c r="S138" s="11">
        <v>1</v>
      </c>
      <c r="T138" s="8">
        <v>1</v>
      </c>
      <c r="U138" s="8">
        <v>0</v>
      </c>
      <c r="V138" s="41">
        <v>0</v>
      </c>
      <c r="W138" s="11">
        <v>1100</v>
      </c>
      <c r="X138" s="11">
        <v>1</v>
      </c>
      <c r="Y138" s="8">
        <v>0</v>
      </c>
      <c r="Z138" s="8">
        <v>0</v>
      </c>
      <c r="AA138" s="41">
        <v>1</v>
      </c>
      <c r="AB138" s="9">
        <v>1001</v>
      </c>
      <c r="AC138" s="11">
        <v>1</v>
      </c>
      <c r="AD138" s="11">
        <v>0</v>
      </c>
      <c r="AE138" s="8">
        <v>0</v>
      </c>
      <c r="AF138" s="8">
        <v>1</v>
      </c>
      <c r="AG138" s="41">
        <v>0</v>
      </c>
      <c r="AH138" s="11">
        <v>10</v>
      </c>
      <c r="AI138" s="11">
        <v>0</v>
      </c>
      <c r="AJ138" s="8">
        <v>0</v>
      </c>
      <c r="AK138" s="8">
        <v>0</v>
      </c>
      <c r="AL138" s="41">
        <v>0</v>
      </c>
      <c r="AM138" s="9">
        <v>0</v>
      </c>
      <c r="AN138" s="11">
        <v>0</v>
      </c>
      <c r="AO138" s="8">
        <v>0</v>
      </c>
      <c r="AP138" s="8">
        <v>0</v>
      </c>
      <c r="AQ138" s="8">
        <v>0</v>
      </c>
      <c r="AR138" s="8">
        <v>0</v>
      </c>
      <c r="AS138" s="11">
        <v>0</v>
      </c>
      <c r="AT138" s="8">
        <v>1</v>
      </c>
      <c r="AU138" s="8">
        <v>0</v>
      </c>
      <c r="AV138" s="8">
        <v>1</v>
      </c>
      <c r="AW138" s="41">
        <v>0</v>
      </c>
      <c r="AX138" s="11">
        <v>2</v>
      </c>
      <c r="AY138" s="11">
        <v>0</v>
      </c>
      <c r="AZ138" s="8">
        <v>0</v>
      </c>
      <c r="BA138" s="8">
        <v>0</v>
      </c>
      <c r="BB138" s="41">
        <v>1</v>
      </c>
      <c r="BC138" s="9">
        <v>1</v>
      </c>
      <c r="BD138" s="11">
        <v>0</v>
      </c>
      <c r="BE138" s="8">
        <v>0</v>
      </c>
      <c r="BF138" s="8">
        <v>0</v>
      </c>
      <c r="BG138" s="8">
        <v>0</v>
      </c>
      <c r="BH138" s="8">
        <v>0</v>
      </c>
      <c r="BI138" s="11">
        <v>1</v>
      </c>
      <c r="BJ138" s="8">
        <v>1</v>
      </c>
      <c r="BK138" s="41">
        <v>0</v>
      </c>
      <c r="BL138" s="11">
        <v>0</v>
      </c>
      <c r="BM138" s="8">
        <v>1</v>
      </c>
      <c r="BN138" s="41">
        <v>0</v>
      </c>
      <c r="BO138" s="11">
        <v>1</v>
      </c>
      <c r="BP138" s="9">
        <v>97</v>
      </c>
      <c r="BQ138" s="8">
        <v>1</v>
      </c>
      <c r="BR138" s="11"/>
      <c r="BS138" s="8"/>
      <c r="BT138" s="8"/>
      <c r="BU138" s="41"/>
      <c r="BV138" s="11">
        <v>0</v>
      </c>
      <c r="BW138" s="208"/>
      <c r="BX138" s="54"/>
      <c r="BY138" s="54"/>
      <c r="BZ138" s="10"/>
      <c r="CA138" s="208"/>
      <c r="CB138" s="54"/>
      <c r="CC138" s="54"/>
      <c r="CD138" s="54"/>
      <c r="CE138" s="208"/>
      <c r="CF138" s="54"/>
      <c r="CG138" s="54"/>
      <c r="CH138" s="10"/>
      <c r="CI138" s="208"/>
      <c r="CJ138" s="54"/>
      <c r="CK138" s="54"/>
      <c r="CL138" s="208">
        <v>87.011399279916546</v>
      </c>
      <c r="CM138" s="54"/>
      <c r="CN138" s="54"/>
      <c r="CO138" s="54"/>
      <c r="CP138" s="10"/>
      <c r="CQ138" s="208">
        <v>88.550872989391351</v>
      </c>
      <c r="CR138" s="10"/>
      <c r="CS138" s="3"/>
      <c r="CT138" s="3"/>
    </row>
    <row r="139" spans="1:98">
      <c r="A139" s="42" t="s">
        <v>321</v>
      </c>
      <c r="B139" s="12" t="s">
        <v>223</v>
      </c>
      <c r="C139" s="12"/>
      <c r="D139" s="14" t="s">
        <v>167</v>
      </c>
      <c r="E139" s="12"/>
      <c r="F139" s="12">
        <v>8</v>
      </c>
      <c r="G139" s="14">
        <v>0</v>
      </c>
      <c r="H139" s="163">
        <v>0</v>
      </c>
      <c r="I139" s="163">
        <v>1</v>
      </c>
      <c r="J139" s="12">
        <v>1</v>
      </c>
      <c r="K139" s="14">
        <v>83</v>
      </c>
      <c r="L139" s="26">
        <v>242</v>
      </c>
      <c r="M139" s="14">
        <v>0</v>
      </c>
      <c r="N139" s="163">
        <v>345</v>
      </c>
      <c r="O139" s="14">
        <v>0</v>
      </c>
      <c r="P139" s="26">
        <v>0</v>
      </c>
      <c r="Q139" s="12">
        <v>464</v>
      </c>
      <c r="R139" s="209">
        <v>1.2242744063324538</v>
      </c>
      <c r="S139" s="14">
        <v>1</v>
      </c>
      <c r="T139" s="163">
        <v>1</v>
      </c>
      <c r="U139" s="163">
        <v>0</v>
      </c>
      <c r="V139" s="26">
        <v>1</v>
      </c>
      <c r="W139" s="14">
        <v>1101</v>
      </c>
      <c r="X139" s="14">
        <v>1</v>
      </c>
      <c r="Y139" s="163">
        <v>0</v>
      </c>
      <c r="Z139" s="163">
        <v>0</v>
      </c>
      <c r="AA139" s="26">
        <v>1</v>
      </c>
      <c r="AB139" s="12">
        <v>1001</v>
      </c>
      <c r="AC139" s="14">
        <v>1</v>
      </c>
      <c r="AD139" s="14">
        <v>0</v>
      </c>
      <c r="AE139" s="163">
        <v>1</v>
      </c>
      <c r="AF139" s="163">
        <v>0</v>
      </c>
      <c r="AG139" s="26">
        <v>0</v>
      </c>
      <c r="AH139" s="14">
        <v>100</v>
      </c>
      <c r="AI139" s="14">
        <v>0</v>
      </c>
      <c r="AJ139" s="163">
        <v>0</v>
      </c>
      <c r="AK139" s="163">
        <v>0</v>
      </c>
      <c r="AL139" s="26">
        <v>0</v>
      </c>
      <c r="AM139" s="12">
        <v>0</v>
      </c>
      <c r="AN139" s="14">
        <v>0</v>
      </c>
      <c r="AO139" s="163">
        <v>0</v>
      </c>
      <c r="AP139" s="163">
        <v>1</v>
      </c>
      <c r="AQ139" s="163">
        <v>0</v>
      </c>
      <c r="AR139" s="163">
        <v>0</v>
      </c>
      <c r="AS139" s="14">
        <v>0</v>
      </c>
      <c r="AT139" s="163">
        <v>1</v>
      </c>
      <c r="AU139" s="163">
        <v>0</v>
      </c>
      <c r="AV139" s="163">
        <v>0</v>
      </c>
      <c r="AW139" s="26">
        <v>1</v>
      </c>
      <c r="AX139" s="14">
        <v>2</v>
      </c>
      <c r="AY139" s="14">
        <v>1</v>
      </c>
      <c r="AZ139" s="163">
        <v>0</v>
      </c>
      <c r="BA139" s="163">
        <v>0</v>
      </c>
      <c r="BB139" s="26">
        <v>0</v>
      </c>
      <c r="BC139" s="12">
        <v>1</v>
      </c>
      <c r="BD139" s="14">
        <v>0</v>
      </c>
      <c r="BE139" s="163">
        <v>0</v>
      </c>
      <c r="BF139" s="163">
        <v>0</v>
      </c>
      <c r="BG139" s="163">
        <v>0</v>
      </c>
      <c r="BH139" s="163">
        <v>0</v>
      </c>
      <c r="BI139" s="14">
        <v>0</v>
      </c>
      <c r="BJ139" s="163">
        <v>1</v>
      </c>
      <c r="BK139" s="26">
        <v>0</v>
      </c>
      <c r="BL139" s="14">
        <v>0</v>
      </c>
      <c r="BM139" s="163">
        <v>1</v>
      </c>
      <c r="BN139" s="26">
        <v>0</v>
      </c>
      <c r="BO139" s="14">
        <v>0</v>
      </c>
      <c r="BP139" s="12"/>
      <c r="BQ139" s="163">
        <v>1</v>
      </c>
      <c r="BR139" s="14"/>
      <c r="BU139" s="26"/>
      <c r="BV139" s="14">
        <v>0</v>
      </c>
      <c r="BW139" s="209"/>
      <c r="BX139" s="3"/>
      <c r="BY139" s="3"/>
      <c r="BZ139" s="40"/>
      <c r="CA139" s="209"/>
      <c r="CB139" s="3"/>
      <c r="CC139" s="3"/>
      <c r="CD139" s="3"/>
      <c r="CE139" s="209"/>
      <c r="CF139" s="3"/>
      <c r="CG139" s="3"/>
      <c r="CH139" s="40"/>
      <c r="CI139" s="209"/>
      <c r="CJ139" s="3"/>
      <c r="CK139" s="3"/>
      <c r="CL139" s="209"/>
      <c r="CM139" s="3"/>
      <c r="CN139" s="3"/>
      <c r="CO139" s="3"/>
      <c r="CP139" s="40"/>
      <c r="CQ139" s="209"/>
      <c r="CR139" s="40"/>
      <c r="CS139" s="3"/>
      <c r="CT139" s="3"/>
    </row>
    <row r="140" spans="1:98" ht="17" thickBot="1">
      <c r="A140" s="55" t="s">
        <v>321</v>
      </c>
      <c r="B140" s="33" t="s">
        <v>223</v>
      </c>
      <c r="C140" s="33"/>
      <c r="D140" s="34" t="s">
        <v>168</v>
      </c>
      <c r="E140" s="33"/>
      <c r="F140" s="33">
        <v>11</v>
      </c>
      <c r="G140" s="34">
        <v>1</v>
      </c>
      <c r="H140" s="36">
        <v>1</v>
      </c>
      <c r="I140" s="36">
        <v>1</v>
      </c>
      <c r="J140" s="33">
        <v>111</v>
      </c>
      <c r="K140" s="34">
        <v>48</v>
      </c>
      <c r="L140" s="35">
        <v>762</v>
      </c>
      <c r="M140" s="34">
        <v>108</v>
      </c>
      <c r="N140" s="36">
        <v>133</v>
      </c>
      <c r="O140" s="34">
        <v>0</v>
      </c>
      <c r="P140" s="35">
        <v>0</v>
      </c>
      <c r="Q140" s="33">
        <v>1479</v>
      </c>
      <c r="R140" s="210">
        <v>6.9764150943396226</v>
      </c>
      <c r="S140" s="34">
        <v>1</v>
      </c>
      <c r="T140" s="36">
        <v>1</v>
      </c>
      <c r="U140" s="36">
        <v>0</v>
      </c>
      <c r="V140" s="35">
        <v>0</v>
      </c>
      <c r="W140" s="34">
        <v>1100</v>
      </c>
      <c r="X140" s="34">
        <v>0</v>
      </c>
      <c r="Y140" s="36">
        <v>1</v>
      </c>
      <c r="Z140" s="36">
        <v>1</v>
      </c>
      <c r="AA140" s="35">
        <v>0</v>
      </c>
      <c r="AB140" s="33">
        <v>110</v>
      </c>
      <c r="AC140" s="34">
        <v>0</v>
      </c>
      <c r="AD140" s="34">
        <v>0</v>
      </c>
      <c r="AE140" s="36">
        <v>0</v>
      </c>
      <c r="AF140" s="36">
        <v>1</v>
      </c>
      <c r="AG140" s="35">
        <v>0</v>
      </c>
      <c r="AH140" s="34">
        <v>10</v>
      </c>
      <c r="AI140" s="34">
        <v>0</v>
      </c>
      <c r="AJ140" s="36">
        <v>0</v>
      </c>
      <c r="AK140" s="36">
        <v>0</v>
      </c>
      <c r="AL140" s="35">
        <v>0</v>
      </c>
      <c r="AM140" s="33">
        <v>0</v>
      </c>
      <c r="AN140" s="34">
        <v>0</v>
      </c>
      <c r="AO140" s="36">
        <v>0</v>
      </c>
      <c r="AP140" s="36">
        <v>0</v>
      </c>
      <c r="AQ140" s="36">
        <v>0</v>
      </c>
      <c r="AR140" s="36">
        <v>0</v>
      </c>
      <c r="AS140" s="34">
        <v>1</v>
      </c>
      <c r="AT140" s="36">
        <v>0</v>
      </c>
      <c r="AU140" s="36">
        <v>0</v>
      </c>
      <c r="AV140" s="36">
        <v>0</v>
      </c>
      <c r="AW140" s="35">
        <v>0</v>
      </c>
      <c r="AX140" s="34">
        <v>1</v>
      </c>
      <c r="AY140" s="34">
        <v>0</v>
      </c>
      <c r="AZ140" s="36">
        <v>0</v>
      </c>
      <c r="BA140" s="36">
        <v>0</v>
      </c>
      <c r="BB140" s="35">
        <v>1</v>
      </c>
      <c r="BC140" s="33">
        <v>1</v>
      </c>
      <c r="BD140" s="34">
        <v>0</v>
      </c>
      <c r="BE140" s="36">
        <v>0</v>
      </c>
      <c r="BF140" s="36">
        <v>0</v>
      </c>
      <c r="BG140" s="36">
        <v>0</v>
      </c>
      <c r="BH140" s="36">
        <v>0</v>
      </c>
      <c r="BI140" s="34">
        <v>1</v>
      </c>
      <c r="BJ140" s="36">
        <v>0</v>
      </c>
      <c r="BK140" s="35">
        <v>0</v>
      </c>
      <c r="BL140" s="34">
        <v>0</v>
      </c>
      <c r="BM140" s="36">
        <v>0</v>
      </c>
      <c r="BN140" s="35">
        <v>0</v>
      </c>
      <c r="BO140" s="34">
        <v>1</v>
      </c>
      <c r="BP140" s="33">
        <v>100</v>
      </c>
      <c r="BQ140" s="36">
        <v>1</v>
      </c>
      <c r="BR140" s="34"/>
      <c r="BS140" s="36"/>
      <c r="BT140" s="36"/>
      <c r="BU140" s="35"/>
      <c r="BV140" s="34">
        <v>0</v>
      </c>
      <c r="BW140" s="210"/>
      <c r="BX140" s="51"/>
      <c r="BY140" s="51"/>
      <c r="BZ140" s="48"/>
      <c r="CA140" s="210"/>
      <c r="CB140" s="51"/>
      <c r="CC140" s="51"/>
      <c r="CD140" s="51"/>
      <c r="CE140" s="210"/>
      <c r="CF140" s="51"/>
      <c r="CG140" s="51"/>
      <c r="CH140" s="48"/>
      <c r="CI140" s="210"/>
      <c r="CJ140" s="51"/>
      <c r="CK140" s="51"/>
      <c r="CL140" s="210"/>
      <c r="CM140" s="51"/>
      <c r="CN140" s="51"/>
      <c r="CO140" s="51"/>
      <c r="CP140" s="48"/>
      <c r="CQ140" s="210"/>
      <c r="CR140" s="48"/>
      <c r="CS140" s="3"/>
      <c r="CT140" s="3"/>
    </row>
    <row r="141" spans="1:98" ht="17" thickBot="1">
      <c r="A141" s="88" t="s">
        <v>321</v>
      </c>
      <c r="B141" s="185" t="s">
        <v>231</v>
      </c>
      <c r="C141" s="27"/>
      <c r="D141" s="28" t="s">
        <v>132</v>
      </c>
      <c r="E141" s="27"/>
      <c r="F141" s="27">
        <v>18</v>
      </c>
      <c r="G141" s="28">
        <v>1</v>
      </c>
      <c r="H141" s="30">
        <v>0</v>
      </c>
      <c r="I141" s="30">
        <v>1</v>
      </c>
      <c r="J141" s="27">
        <v>101</v>
      </c>
      <c r="K141" s="28">
        <v>411</v>
      </c>
      <c r="L141" s="29">
        <v>1361</v>
      </c>
      <c r="M141" s="28">
        <v>88</v>
      </c>
      <c r="N141" s="30">
        <v>622</v>
      </c>
      <c r="O141" s="28">
        <v>0</v>
      </c>
      <c r="P141" s="29">
        <v>0</v>
      </c>
      <c r="Q141" s="27">
        <v>2474</v>
      </c>
      <c r="R141" s="211">
        <v>1.782420749279539</v>
      </c>
      <c r="S141" s="28">
        <v>1</v>
      </c>
      <c r="T141" s="30">
        <v>1</v>
      </c>
      <c r="U141" s="30">
        <v>0</v>
      </c>
      <c r="V141" s="29">
        <v>0</v>
      </c>
      <c r="W141" s="28">
        <v>1100</v>
      </c>
      <c r="X141" s="28">
        <v>1</v>
      </c>
      <c r="Y141" s="30">
        <v>1</v>
      </c>
      <c r="Z141" s="30">
        <v>0</v>
      </c>
      <c r="AA141" s="29">
        <v>0</v>
      </c>
      <c r="AB141" s="27">
        <v>1100</v>
      </c>
      <c r="AC141" s="28">
        <v>1</v>
      </c>
      <c r="AD141" s="28">
        <v>0</v>
      </c>
      <c r="AE141" s="30">
        <v>0</v>
      </c>
      <c r="AF141" s="30">
        <v>1</v>
      </c>
      <c r="AG141" s="29">
        <v>0</v>
      </c>
      <c r="AH141" s="28">
        <v>10</v>
      </c>
      <c r="AI141" s="28">
        <v>0</v>
      </c>
      <c r="AJ141" s="30">
        <v>0</v>
      </c>
      <c r="AK141" s="30">
        <v>0</v>
      </c>
      <c r="AL141" s="29">
        <v>0</v>
      </c>
      <c r="AM141" s="27">
        <v>0</v>
      </c>
      <c r="AN141" s="28">
        <v>0</v>
      </c>
      <c r="AO141" s="30">
        <v>0</v>
      </c>
      <c r="AP141" s="30">
        <v>0</v>
      </c>
      <c r="AQ141" s="30">
        <v>0</v>
      </c>
      <c r="AR141" s="30">
        <v>0</v>
      </c>
      <c r="AS141" s="28">
        <v>1</v>
      </c>
      <c r="AT141" s="30">
        <v>1</v>
      </c>
      <c r="AU141" s="30">
        <v>0</v>
      </c>
      <c r="AV141" s="30">
        <v>1</v>
      </c>
      <c r="AW141" s="29">
        <v>0</v>
      </c>
      <c r="AX141" s="28">
        <v>3</v>
      </c>
      <c r="AY141" s="28">
        <v>0</v>
      </c>
      <c r="AZ141" s="30">
        <v>0</v>
      </c>
      <c r="BA141" s="30">
        <v>0</v>
      </c>
      <c r="BB141" s="29">
        <v>1</v>
      </c>
      <c r="BC141" s="27">
        <v>1</v>
      </c>
      <c r="BD141" s="28">
        <v>0</v>
      </c>
      <c r="BE141" s="30">
        <v>0</v>
      </c>
      <c r="BF141" s="30">
        <v>0</v>
      </c>
      <c r="BG141" s="30">
        <v>0</v>
      </c>
      <c r="BH141" s="30">
        <v>0</v>
      </c>
      <c r="BI141" s="28">
        <v>1</v>
      </c>
      <c r="BJ141" s="30">
        <v>1</v>
      </c>
      <c r="BK141" s="29">
        <v>0</v>
      </c>
      <c r="BL141" s="28">
        <v>1</v>
      </c>
      <c r="BM141" s="30">
        <v>1</v>
      </c>
      <c r="BN141" s="29">
        <v>0</v>
      </c>
      <c r="BO141" s="28">
        <v>1</v>
      </c>
      <c r="BP141" s="27">
        <v>118</v>
      </c>
      <c r="BQ141" s="30">
        <v>1</v>
      </c>
      <c r="BR141" s="28"/>
      <c r="BS141" s="30"/>
      <c r="BT141" s="30"/>
      <c r="BU141" s="29"/>
      <c r="BV141" s="28">
        <v>0</v>
      </c>
      <c r="BW141" s="211"/>
      <c r="BX141" s="77"/>
      <c r="BY141" s="77"/>
      <c r="BZ141" s="45"/>
      <c r="CA141" s="211"/>
      <c r="CB141" s="77"/>
      <c r="CC141" s="77"/>
      <c r="CD141" s="77"/>
      <c r="CE141" s="211"/>
      <c r="CF141" s="77"/>
      <c r="CG141" s="77"/>
      <c r="CH141" s="45"/>
      <c r="CI141" s="211"/>
      <c r="CJ141" s="77"/>
      <c r="CK141" s="77"/>
      <c r="CL141" s="211">
        <v>88.014060530165068</v>
      </c>
      <c r="CM141" s="77">
        <v>87.977083960577744</v>
      </c>
      <c r="CN141" s="77"/>
      <c r="CO141" s="77"/>
      <c r="CP141" s="45"/>
      <c r="CQ141" s="211"/>
      <c r="CR141" s="45"/>
      <c r="CS141" s="3"/>
      <c r="CT141" s="3"/>
    </row>
    <row r="142" spans="1:98" ht="17" thickBot="1">
      <c r="A142" s="88" t="s">
        <v>321</v>
      </c>
      <c r="B142" s="185" t="s">
        <v>246</v>
      </c>
      <c r="C142" s="27"/>
      <c r="D142" s="28" t="s">
        <v>132</v>
      </c>
      <c r="E142" s="27"/>
      <c r="F142" s="27">
        <v>5</v>
      </c>
      <c r="G142" s="28">
        <v>0</v>
      </c>
      <c r="H142" s="30">
        <v>1</v>
      </c>
      <c r="I142" s="30">
        <v>1</v>
      </c>
      <c r="J142" s="27">
        <v>11</v>
      </c>
      <c r="K142" s="28">
        <v>1130</v>
      </c>
      <c r="L142" s="29">
        <v>1697</v>
      </c>
      <c r="M142" s="28">
        <v>480</v>
      </c>
      <c r="N142" s="30">
        <v>1001</v>
      </c>
      <c r="O142" s="28">
        <v>0</v>
      </c>
      <c r="P142" s="29">
        <v>0</v>
      </c>
      <c r="Q142" s="27">
        <v>2433</v>
      </c>
      <c r="R142" s="211">
        <v>1.0133277800916285</v>
      </c>
      <c r="S142" s="28">
        <v>1</v>
      </c>
      <c r="T142" s="30">
        <v>1</v>
      </c>
      <c r="U142" s="30">
        <v>0</v>
      </c>
      <c r="V142" s="29">
        <v>0</v>
      </c>
      <c r="W142" s="28">
        <v>1100</v>
      </c>
      <c r="X142" s="28">
        <v>0</v>
      </c>
      <c r="Y142" s="30">
        <v>0</v>
      </c>
      <c r="Z142" s="30">
        <v>0</v>
      </c>
      <c r="AA142" s="29">
        <v>1</v>
      </c>
      <c r="AB142" s="27">
        <v>1</v>
      </c>
      <c r="AC142" s="28">
        <v>1</v>
      </c>
      <c r="AD142" s="28">
        <v>0</v>
      </c>
      <c r="AE142" s="30">
        <v>1</v>
      </c>
      <c r="AF142" s="30">
        <v>1</v>
      </c>
      <c r="AG142" s="29">
        <v>0</v>
      </c>
      <c r="AH142" s="28">
        <v>110</v>
      </c>
      <c r="AI142" s="28">
        <v>0</v>
      </c>
      <c r="AJ142" s="30">
        <v>0</v>
      </c>
      <c r="AK142" s="30">
        <v>0</v>
      </c>
      <c r="AL142" s="29">
        <v>0</v>
      </c>
      <c r="AM142" s="27">
        <v>0</v>
      </c>
      <c r="AN142" s="28">
        <v>0</v>
      </c>
      <c r="AO142" s="30">
        <v>0</v>
      </c>
      <c r="AP142" s="30">
        <v>0</v>
      </c>
      <c r="AQ142" s="30">
        <v>0</v>
      </c>
      <c r="AR142" s="30">
        <v>0</v>
      </c>
      <c r="AS142" s="28">
        <v>0</v>
      </c>
      <c r="AT142" s="30">
        <v>1</v>
      </c>
      <c r="AU142" s="30">
        <v>0</v>
      </c>
      <c r="AV142" s="30">
        <v>1</v>
      </c>
      <c r="AW142" s="29">
        <v>0</v>
      </c>
      <c r="AX142" s="28">
        <v>2</v>
      </c>
      <c r="AY142" s="28">
        <v>0</v>
      </c>
      <c r="AZ142" s="30">
        <v>0</v>
      </c>
      <c r="BA142" s="30">
        <v>0</v>
      </c>
      <c r="BB142" s="29">
        <v>1</v>
      </c>
      <c r="BC142" s="27">
        <v>1</v>
      </c>
      <c r="BD142" s="28">
        <v>0</v>
      </c>
      <c r="BE142" s="30">
        <v>0</v>
      </c>
      <c r="BF142" s="30">
        <v>0</v>
      </c>
      <c r="BG142" s="30">
        <v>0</v>
      </c>
      <c r="BH142" s="30">
        <v>0</v>
      </c>
      <c r="BI142" s="28">
        <v>1</v>
      </c>
      <c r="BJ142" s="30">
        <v>1</v>
      </c>
      <c r="BK142" s="29">
        <v>0</v>
      </c>
      <c r="BL142" s="28">
        <v>0</v>
      </c>
      <c r="BM142" s="30">
        <v>0</v>
      </c>
      <c r="BN142" s="29">
        <v>0</v>
      </c>
      <c r="BO142" s="28">
        <v>0</v>
      </c>
      <c r="BP142" s="27">
        <v>95</v>
      </c>
      <c r="BQ142" s="30">
        <v>2</v>
      </c>
      <c r="BR142" s="28"/>
      <c r="BS142" s="30"/>
      <c r="BT142" s="30"/>
      <c r="BU142" s="29"/>
      <c r="BV142" s="28">
        <v>0</v>
      </c>
      <c r="BW142" s="211"/>
      <c r="BX142" s="77"/>
      <c r="BY142" s="77"/>
      <c r="BZ142" s="45"/>
      <c r="CA142" s="211"/>
      <c r="CB142" s="77"/>
      <c r="CC142" s="77"/>
      <c r="CD142" s="77"/>
      <c r="CE142" s="211"/>
      <c r="CF142" s="77"/>
      <c r="CG142" s="77"/>
      <c r="CH142" s="45"/>
      <c r="CI142" s="211"/>
      <c r="CJ142" s="77"/>
      <c r="CK142" s="77"/>
      <c r="CL142" s="211"/>
      <c r="CM142" s="77"/>
      <c r="CN142" s="77"/>
      <c r="CO142" s="77"/>
      <c r="CP142" s="45"/>
      <c r="CQ142" s="211"/>
      <c r="CR142" s="45"/>
      <c r="CS142" s="3"/>
      <c r="CT142" s="3"/>
    </row>
    <row r="143" spans="1:98">
      <c r="A143" s="87" t="s">
        <v>321</v>
      </c>
      <c r="B143" s="7" t="s">
        <v>602</v>
      </c>
      <c r="C143" s="9"/>
      <c r="D143" s="11" t="s">
        <v>132</v>
      </c>
      <c r="E143" s="9"/>
      <c r="F143" s="9">
        <v>10</v>
      </c>
      <c r="G143" s="11">
        <v>1</v>
      </c>
      <c r="H143" s="8">
        <v>0</v>
      </c>
      <c r="I143" s="8">
        <v>1</v>
      </c>
      <c r="J143" s="9">
        <v>101</v>
      </c>
      <c r="K143" s="11">
        <v>194</v>
      </c>
      <c r="L143" s="41">
        <v>795</v>
      </c>
      <c r="M143" s="11">
        <v>106</v>
      </c>
      <c r="N143" s="8">
        <v>175</v>
      </c>
      <c r="O143" s="11">
        <v>0</v>
      </c>
      <c r="P143" s="41">
        <v>0</v>
      </c>
      <c r="Q143" s="9">
        <v>795</v>
      </c>
      <c r="R143" s="208">
        <v>3.3263598326359833</v>
      </c>
      <c r="S143" s="11">
        <v>1</v>
      </c>
      <c r="T143" s="8">
        <v>1</v>
      </c>
      <c r="U143" s="8">
        <v>0</v>
      </c>
      <c r="V143" s="41">
        <v>0</v>
      </c>
      <c r="W143" s="11">
        <v>1100</v>
      </c>
      <c r="X143" s="11">
        <v>1</v>
      </c>
      <c r="Y143" s="8">
        <v>0</v>
      </c>
      <c r="Z143" s="8">
        <v>0</v>
      </c>
      <c r="AA143" s="41">
        <v>0</v>
      </c>
      <c r="AB143" s="9">
        <v>1000</v>
      </c>
      <c r="AC143" s="11">
        <v>0</v>
      </c>
      <c r="AD143" s="11">
        <v>0</v>
      </c>
      <c r="AE143" s="8">
        <v>0</v>
      </c>
      <c r="AF143" s="8">
        <v>1</v>
      </c>
      <c r="AG143" s="41">
        <v>0</v>
      </c>
      <c r="AH143" s="11">
        <v>10</v>
      </c>
      <c r="AI143" s="11">
        <v>0</v>
      </c>
      <c r="AJ143" s="8">
        <v>0</v>
      </c>
      <c r="AK143" s="8">
        <v>0</v>
      </c>
      <c r="AL143" s="41">
        <v>0</v>
      </c>
      <c r="AM143" s="9">
        <v>0</v>
      </c>
      <c r="AN143" s="11">
        <v>0</v>
      </c>
      <c r="AO143" s="8">
        <v>0</v>
      </c>
      <c r="AP143" s="8">
        <v>0</v>
      </c>
      <c r="AQ143" s="8">
        <v>0</v>
      </c>
      <c r="AR143" s="8">
        <v>0</v>
      </c>
      <c r="AS143" s="11">
        <v>1</v>
      </c>
      <c r="AT143" s="8">
        <v>0</v>
      </c>
      <c r="AU143" s="8">
        <v>0</v>
      </c>
      <c r="AV143" s="8">
        <v>0</v>
      </c>
      <c r="AW143" s="41">
        <v>0</v>
      </c>
      <c r="AX143" s="11">
        <v>1</v>
      </c>
      <c r="AY143" s="11">
        <v>0</v>
      </c>
      <c r="AZ143" s="8">
        <v>0</v>
      </c>
      <c r="BA143" s="8">
        <v>0</v>
      </c>
      <c r="BB143" s="41">
        <v>1</v>
      </c>
      <c r="BC143" s="9">
        <v>1</v>
      </c>
      <c r="BD143" s="11">
        <v>0</v>
      </c>
      <c r="BE143" s="8">
        <v>0</v>
      </c>
      <c r="BF143" s="8">
        <v>0</v>
      </c>
      <c r="BG143" s="8">
        <v>0</v>
      </c>
      <c r="BH143" s="8">
        <v>0</v>
      </c>
      <c r="BI143" s="11">
        <v>1</v>
      </c>
      <c r="BJ143" s="8">
        <v>0</v>
      </c>
      <c r="BK143" s="41">
        <v>0</v>
      </c>
      <c r="BL143" s="11">
        <v>0</v>
      </c>
      <c r="BM143" s="8">
        <v>0</v>
      </c>
      <c r="BN143" s="41">
        <v>0</v>
      </c>
      <c r="BO143" s="11">
        <v>0</v>
      </c>
      <c r="BP143" s="9">
        <v>90</v>
      </c>
      <c r="BQ143" s="8"/>
      <c r="BR143" s="11"/>
      <c r="BS143" s="8"/>
      <c r="BT143" s="8"/>
      <c r="BU143" s="41"/>
      <c r="BV143" s="11">
        <v>0</v>
      </c>
      <c r="BW143" s="208"/>
      <c r="BX143" s="54"/>
      <c r="BY143" s="54"/>
      <c r="BZ143" s="10"/>
      <c r="CA143" s="208"/>
      <c r="CB143" s="54"/>
      <c r="CC143" s="54"/>
      <c r="CD143" s="54"/>
      <c r="CE143" s="208"/>
      <c r="CF143" s="54"/>
      <c r="CG143" s="54"/>
      <c r="CH143" s="10"/>
      <c r="CI143" s="208"/>
      <c r="CJ143" s="54"/>
      <c r="CK143" s="54"/>
      <c r="CL143" s="208"/>
      <c r="CM143" s="54"/>
      <c r="CN143" s="54"/>
      <c r="CO143" s="54"/>
      <c r="CP143" s="10"/>
      <c r="CQ143" s="208"/>
      <c r="CR143" s="10"/>
      <c r="CS143" s="3"/>
      <c r="CT143" s="3"/>
    </row>
    <row r="144" spans="1:98" ht="17" thickBot="1">
      <c r="A144" s="55" t="s">
        <v>321</v>
      </c>
      <c r="B144" s="47" t="s">
        <v>602</v>
      </c>
      <c r="C144" s="33"/>
      <c r="D144" s="34" t="s">
        <v>427</v>
      </c>
      <c r="E144" s="33"/>
      <c r="F144" s="33">
        <v>5</v>
      </c>
      <c r="G144" s="34">
        <v>0</v>
      </c>
      <c r="H144" s="36">
        <v>0</v>
      </c>
      <c r="I144" s="36">
        <v>1</v>
      </c>
      <c r="J144" s="33">
        <v>1</v>
      </c>
      <c r="K144" s="34">
        <v>103</v>
      </c>
      <c r="L144" s="35">
        <v>583</v>
      </c>
      <c r="M144" s="34">
        <v>130</v>
      </c>
      <c r="N144" s="36">
        <v>355</v>
      </c>
      <c r="O144" s="34">
        <v>0</v>
      </c>
      <c r="P144" s="35">
        <v>0</v>
      </c>
      <c r="Q144" s="33">
        <v>583</v>
      </c>
      <c r="R144" s="210">
        <v>1.1125954198473282</v>
      </c>
      <c r="S144" s="34">
        <v>1</v>
      </c>
      <c r="T144" s="36">
        <v>1</v>
      </c>
      <c r="U144" s="36">
        <v>0</v>
      </c>
      <c r="V144" s="35">
        <v>0</v>
      </c>
      <c r="W144" s="34">
        <v>1100</v>
      </c>
      <c r="X144" s="34">
        <v>1</v>
      </c>
      <c r="Y144" s="36">
        <v>0</v>
      </c>
      <c r="Z144" s="36">
        <v>0</v>
      </c>
      <c r="AA144" s="35">
        <v>0</v>
      </c>
      <c r="AB144" s="33">
        <v>1000</v>
      </c>
      <c r="AC144" s="34">
        <v>0</v>
      </c>
      <c r="AD144" s="34">
        <v>0</v>
      </c>
      <c r="AE144" s="36">
        <v>0</v>
      </c>
      <c r="AF144" s="36">
        <v>1</v>
      </c>
      <c r="AG144" s="35">
        <v>0</v>
      </c>
      <c r="AH144" s="34">
        <v>10</v>
      </c>
      <c r="AI144" s="34">
        <v>0</v>
      </c>
      <c r="AJ144" s="36">
        <v>0</v>
      </c>
      <c r="AK144" s="36">
        <v>0</v>
      </c>
      <c r="AL144" s="35">
        <v>0</v>
      </c>
      <c r="AM144" s="33">
        <v>0</v>
      </c>
      <c r="AN144" s="34">
        <v>0</v>
      </c>
      <c r="AO144" s="36">
        <v>0</v>
      </c>
      <c r="AP144" s="36">
        <v>0</v>
      </c>
      <c r="AQ144" s="36">
        <v>0</v>
      </c>
      <c r="AR144" s="36">
        <v>0</v>
      </c>
      <c r="AS144" s="34">
        <v>1</v>
      </c>
      <c r="AT144" s="36">
        <v>0</v>
      </c>
      <c r="AU144" s="36">
        <v>0</v>
      </c>
      <c r="AV144" s="36">
        <v>0</v>
      </c>
      <c r="AW144" s="35">
        <v>0</v>
      </c>
      <c r="AX144" s="34">
        <v>1</v>
      </c>
      <c r="AY144" s="34">
        <v>0</v>
      </c>
      <c r="AZ144" s="36">
        <v>0</v>
      </c>
      <c r="BA144" s="36">
        <v>0</v>
      </c>
      <c r="BB144" s="35">
        <v>1</v>
      </c>
      <c r="BC144" s="33">
        <v>1</v>
      </c>
      <c r="BD144" s="34">
        <v>0</v>
      </c>
      <c r="BE144" s="36">
        <v>0</v>
      </c>
      <c r="BF144" s="36">
        <v>0</v>
      </c>
      <c r="BG144" s="36">
        <v>0</v>
      </c>
      <c r="BH144" s="36">
        <v>0</v>
      </c>
      <c r="BI144" s="34">
        <v>0</v>
      </c>
      <c r="BJ144" s="36">
        <v>0</v>
      </c>
      <c r="BK144" s="35">
        <v>0</v>
      </c>
      <c r="BL144" s="34">
        <v>0</v>
      </c>
      <c r="BM144" s="36">
        <v>0</v>
      </c>
      <c r="BN144" s="35">
        <v>0</v>
      </c>
      <c r="BO144" s="34">
        <v>0</v>
      </c>
      <c r="BP144" s="33">
        <v>105</v>
      </c>
      <c r="BQ144" s="36">
        <v>2</v>
      </c>
      <c r="BR144" s="34"/>
      <c r="BS144" s="36"/>
      <c r="BT144" s="36"/>
      <c r="BU144" s="35"/>
      <c r="BV144" s="34">
        <v>0</v>
      </c>
      <c r="BW144" s="210"/>
      <c r="BX144" s="51"/>
      <c r="BY144" s="51"/>
      <c r="BZ144" s="48"/>
      <c r="CA144" s="210"/>
      <c r="CB144" s="51"/>
      <c r="CC144" s="51"/>
      <c r="CD144" s="51"/>
      <c r="CE144" s="210"/>
      <c r="CF144" s="51"/>
      <c r="CG144" s="51"/>
      <c r="CH144" s="48"/>
      <c r="CI144" s="210"/>
      <c r="CJ144" s="51"/>
      <c r="CK144" s="51"/>
      <c r="CL144" s="210"/>
      <c r="CM144" s="51"/>
      <c r="CN144" s="51"/>
      <c r="CO144" s="51"/>
      <c r="CP144" s="48"/>
      <c r="CQ144" s="210"/>
      <c r="CR144" s="48"/>
      <c r="CS144" s="3"/>
      <c r="CT144" s="3"/>
    </row>
    <row r="145" spans="1:98">
      <c r="A145" s="87" t="s">
        <v>321</v>
      </c>
      <c r="B145" s="7" t="s">
        <v>257</v>
      </c>
      <c r="C145" s="9"/>
      <c r="D145" s="11" t="s">
        <v>428</v>
      </c>
      <c r="E145" s="9"/>
      <c r="F145" s="9">
        <v>8</v>
      </c>
      <c r="G145" s="11">
        <v>1</v>
      </c>
      <c r="H145" s="8">
        <v>0</v>
      </c>
      <c r="I145" s="8">
        <v>1</v>
      </c>
      <c r="J145" s="9">
        <v>101</v>
      </c>
      <c r="K145" s="11">
        <v>53</v>
      </c>
      <c r="L145" s="41">
        <v>214</v>
      </c>
      <c r="M145" s="11">
        <v>0</v>
      </c>
      <c r="N145" s="8">
        <v>253</v>
      </c>
      <c r="O145" s="11">
        <v>0</v>
      </c>
      <c r="P145" s="41">
        <v>0</v>
      </c>
      <c r="Q145" s="9">
        <v>441</v>
      </c>
      <c r="R145" s="208">
        <v>2.0704225352112675</v>
      </c>
      <c r="S145" s="11">
        <v>1</v>
      </c>
      <c r="T145" s="8">
        <v>1</v>
      </c>
      <c r="U145" s="8">
        <v>0</v>
      </c>
      <c r="V145" s="41">
        <v>0</v>
      </c>
      <c r="W145" s="11">
        <v>1100</v>
      </c>
      <c r="X145" s="11">
        <v>0</v>
      </c>
      <c r="Y145" s="8">
        <v>1</v>
      </c>
      <c r="Z145" s="8">
        <v>1</v>
      </c>
      <c r="AA145" s="41">
        <v>0</v>
      </c>
      <c r="AB145" s="9">
        <v>110</v>
      </c>
      <c r="AC145" s="11">
        <v>0</v>
      </c>
      <c r="AD145" s="11">
        <v>0</v>
      </c>
      <c r="AE145" s="8">
        <v>1</v>
      </c>
      <c r="AF145" s="8">
        <v>0</v>
      </c>
      <c r="AG145" s="41">
        <v>0</v>
      </c>
      <c r="AH145" s="11">
        <v>100</v>
      </c>
      <c r="AI145" s="11">
        <v>0</v>
      </c>
      <c r="AJ145" s="8">
        <v>0</v>
      </c>
      <c r="AK145" s="8">
        <v>0</v>
      </c>
      <c r="AL145" s="41">
        <v>0</v>
      </c>
      <c r="AM145" s="9">
        <v>0</v>
      </c>
      <c r="AN145" s="11">
        <v>0</v>
      </c>
      <c r="AO145" s="8">
        <v>0</v>
      </c>
      <c r="AP145" s="8">
        <v>0</v>
      </c>
      <c r="AQ145" s="8">
        <v>0</v>
      </c>
      <c r="AR145" s="8">
        <v>0</v>
      </c>
      <c r="AS145" s="11">
        <v>0</v>
      </c>
      <c r="AT145" s="8">
        <v>0</v>
      </c>
      <c r="AU145" s="8">
        <v>1</v>
      </c>
      <c r="AV145" s="8">
        <v>0</v>
      </c>
      <c r="AW145" s="41">
        <v>0</v>
      </c>
      <c r="AX145" s="11">
        <v>1</v>
      </c>
      <c r="AY145" s="11">
        <v>0</v>
      </c>
      <c r="AZ145" s="8">
        <v>0</v>
      </c>
      <c r="BA145" s="8">
        <v>1</v>
      </c>
      <c r="BB145" s="41">
        <v>0</v>
      </c>
      <c r="BC145" s="9">
        <v>1</v>
      </c>
      <c r="BD145" s="11">
        <v>0</v>
      </c>
      <c r="BE145" s="8">
        <v>0</v>
      </c>
      <c r="BF145" s="8">
        <v>0</v>
      </c>
      <c r="BG145" s="8">
        <v>0</v>
      </c>
      <c r="BH145" s="8">
        <v>0</v>
      </c>
      <c r="BI145" s="11">
        <v>1</v>
      </c>
      <c r="BJ145" s="8">
        <v>1</v>
      </c>
      <c r="BK145" s="41">
        <v>0</v>
      </c>
      <c r="BL145" s="11">
        <v>1</v>
      </c>
      <c r="BM145" s="8">
        <v>0</v>
      </c>
      <c r="BN145" s="41">
        <v>0</v>
      </c>
      <c r="BO145" s="11">
        <v>1</v>
      </c>
      <c r="BP145" s="9">
        <v>46</v>
      </c>
      <c r="BQ145" s="8">
        <v>1</v>
      </c>
      <c r="BR145" s="11"/>
      <c r="BS145" s="8"/>
      <c r="BT145" s="8"/>
      <c r="BU145" s="41"/>
      <c r="BV145" s="11">
        <v>0</v>
      </c>
      <c r="BW145" s="208"/>
      <c r="BX145" s="54"/>
      <c r="BY145" s="54"/>
      <c r="BZ145" s="10"/>
      <c r="CA145" s="208"/>
      <c r="CB145" s="54"/>
      <c r="CC145" s="54"/>
      <c r="CD145" s="54"/>
      <c r="CE145" s="208"/>
      <c r="CF145" s="54"/>
      <c r="CG145" s="54"/>
      <c r="CH145" s="10"/>
      <c r="CI145" s="208"/>
      <c r="CJ145" s="54"/>
      <c r="CK145" s="54"/>
      <c r="CL145" s="208"/>
      <c r="CM145" s="54"/>
      <c r="CN145" s="54"/>
      <c r="CO145" s="54"/>
      <c r="CP145" s="10"/>
      <c r="CQ145" s="208"/>
      <c r="CR145" s="10"/>
      <c r="CS145" s="3"/>
      <c r="CT145" s="3"/>
    </row>
    <row r="146" spans="1:98">
      <c r="A146" s="42" t="s">
        <v>321</v>
      </c>
      <c r="B146" s="173" t="s">
        <v>257</v>
      </c>
      <c r="C146" s="12"/>
      <c r="D146" s="14" t="s">
        <v>199</v>
      </c>
      <c r="E146" s="12"/>
      <c r="F146" s="12">
        <v>42</v>
      </c>
      <c r="G146" s="14">
        <v>1</v>
      </c>
      <c r="H146" s="163">
        <v>0</v>
      </c>
      <c r="I146" s="163">
        <v>1</v>
      </c>
      <c r="J146" s="12">
        <v>101</v>
      </c>
      <c r="K146" s="14">
        <v>42</v>
      </c>
      <c r="L146" s="26">
        <v>387</v>
      </c>
      <c r="M146" s="14">
        <v>31</v>
      </c>
      <c r="N146" s="163">
        <v>199</v>
      </c>
      <c r="O146" s="14">
        <v>0</v>
      </c>
      <c r="P146" s="26">
        <v>0</v>
      </c>
      <c r="Q146" s="12">
        <v>808</v>
      </c>
      <c r="R146" s="209">
        <v>1.4027777777777777</v>
      </c>
      <c r="S146" s="14">
        <v>1</v>
      </c>
      <c r="T146" s="163">
        <v>1</v>
      </c>
      <c r="U146" s="163">
        <v>0</v>
      </c>
      <c r="V146" s="26">
        <v>0</v>
      </c>
      <c r="W146" s="14">
        <v>1100</v>
      </c>
      <c r="X146" s="14">
        <v>0</v>
      </c>
      <c r="Y146" s="163">
        <v>1</v>
      </c>
      <c r="Z146" s="163">
        <v>1</v>
      </c>
      <c r="AA146" s="26">
        <v>0</v>
      </c>
      <c r="AB146" s="12">
        <v>110</v>
      </c>
      <c r="AC146" s="14">
        <v>0</v>
      </c>
      <c r="AD146" s="14">
        <v>0</v>
      </c>
      <c r="AE146" s="163">
        <v>1</v>
      </c>
      <c r="AF146" s="163">
        <v>1</v>
      </c>
      <c r="AG146" s="26">
        <v>0</v>
      </c>
      <c r="AH146" s="14">
        <v>110</v>
      </c>
      <c r="AI146" s="14">
        <v>0</v>
      </c>
      <c r="AJ146" s="163">
        <v>0</v>
      </c>
      <c r="AK146" s="163">
        <v>0</v>
      </c>
      <c r="AL146" s="26">
        <v>0</v>
      </c>
      <c r="AM146" s="12">
        <v>0</v>
      </c>
      <c r="AN146" s="14">
        <v>0</v>
      </c>
      <c r="AO146" s="163">
        <v>0</v>
      </c>
      <c r="AP146" s="163">
        <v>0</v>
      </c>
      <c r="AQ146" s="163">
        <v>0</v>
      </c>
      <c r="AR146" s="163">
        <v>0</v>
      </c>
      <c r="AS146" s="14">
        <v>0</v>
      </c>
      <c r="AT146" s="163">
        <v>0</v>
      </c>
      <c r="AU146" s="163">
        <v>1</v>
      </c>
      <c r="AV146" s="163">
        <v>0</v>
      </c>
      <c r="AW146" s="26">
        <v>0</v>
      </c>
      <c r="AX146" s="14">
        <v>1</v>
      </c>
      <c r="AY146" s="14">
        <v>0</v>
      </c>
      <c r="AZ146" s="163">
        <v>0</v>
      </c>
      <c r="BA146" s="163">
        <v>1</v>
      </c>
      <c r="BB146" s="26">
        <v>0</v>
      </c>
      <c r="BC146" s="12">
        <v>1</v>
      </c>
      <c r="BD146" s="14">
        <v>0</v>
      </c>
      <c r="BE146" s="163">
        <v>0</v>
      </c>
      <c r="BF146" s="163">
        <v>0</v>
      </c>
      <c r="BG146" s="163">
        <v>0</v>
      </c>
      <c r="BH146" s="163">
        <v>0</v>
      </c>
      <c r="BI146" s="14">
        <v>1</v>
      </c>
      <c r="BJ146" s="163">
        <v>1</v>
      </c>
      <c r="BK146" s="26">
        <v>0</v>
      </c>
      <c r="BL146" s="14">
        <v>1</v>
      </c>
      <c r="BM146" s="163">
        <v>0</v>
      </c>
      <c r="BN146" s="26">
        <v>0</v>
      </c>
      <c r="BO146" s="14">
        <v>1</v>
      </c>
      <c r="BP146" s="12">
        <v>64</v>
      </c>
      <c r="BQ146" s="163">
        <v>1</v>
      </c>
      <c r="BR146" s="14"/>
      <c r="BU146" s="26"/>
      <c r="BV146" s="14">
        <v>0</v>
      </c>
      <c r="BW146" s="209"/>
      <c r="BX146" s="3"/>
      <c r="BY146" s="3"/>
      <c r="BZ146" s="40"/>
      <c r="CA146" s="209"/>
      <c r="CB146" s="3"/>
      <c r="CC146" s="3"/>
      <c r="CD146" s="3"/>
      <c r="CE146" s="209"/>
      <c r="CF146" s="3"/>
      <c r="CG146" s="3"/>
      <c r="CH146" s="40"/>
      <c r="CI146" s="209"/>
      <c r="CJ146" s="3"/>
      <c r="CK146" s="3"/>
      <c r="CL146" s="209"/>
      <c r="CM146" s="3"/>
      <c r="CN146" s="3"/>
      <c r="CO146" s="3"/>
      <c r="CP146" s="40"/>
      <c r="CQ146" s="209"/>
      <c r="CR146" s="40"/>
      <c r="CS146" s="3"/>
      <c r="CT146" s="3"/>
    </row>
    <row r="147" spans="1:98">
      <c r="A147" s="42" t="s">
        <v>321</v>
      </c>
      <c r="B147" s="173" t="s">
        <v>257</v>
      </c>
      <c r="C147" s="12"/>
      <c r="D147" s="14" t="s">
        <v>174</v>
      </c>
      <c r="E147" s="12"/>
      <c r="F147" s="12">
        <v>15</v>
      </c>
      <c r="G147" s="14">
        <v>1</v>
      </c>
      <c r="H147" s="163">
        <v>0</v>
      </c>
      <c r="I147" s="163">
        <v>1</v>
      </c>
      <c r="J147" s="12">
        <v>101</v>
      </c>
      <c r="K147" s="14">
        <v>38</v>
      </c>
      <c r="L147" s="26">
        <v>271</v>
      </c>
      <c r="M147" s="14">
        <v>56</v>
      </c>
      <c r="N147" s="163">
        <v>101</v>
      </c>
      <c r="O147" s="14">
        <v>0</v>
      </c>
      <c r="P147" s="26">
        <v>0</v>
      </c>
      <c r="Q147" s="12">
        <v>455</v>
      </c>
      <c r="R147" s="209">
        <v>1.2068965517241379</v>
      </c>
      <c r="S147" s="14">
        <v>1</v>
      </c>
      <c r="T147" s="163">
        <v>1</v>
      </c>
      <c r="U147" s="163">
        <v>0</v>
      </c>
      <c r="V147" s="26">
        <v>0</v>
      </c>
      <c r="W147" s="14">
        <v>1100</v>
      </c>
      <c r="X147" s="14">
        <v>0</v>
      </c>
      <c r="Y147" s="163">
        <v>0</v>
      </c>
      <c r="Z147" s="163">
        <v>1</v>
      </c>
      <c r="AA147" s="26">
        <v>0</v>
      </c>
      <c r="AB147" s="12">
        <v>10</v>
      </c>
      <c r="AC147" s="14">
        <v>0</v>
      </c>
      <c r="AD147" s="14">
        <v>0</v>
      </c>
      <c r="AE147" s="163">
        <v>1</v>
      </c>
      <c r="AF147" s="163">
        <v>0</v>
      </c>
      <c r="AG147" s="26">
        <v>0</v>
      </c>
      <c r="AH147" s="14">
        <v>100</v>
      </c>
      <c r="AI147" s="14">
        <v>0</v>
      </c>
      <c r="AJ147" s="163">
        <v>0</v>
      </c>
      <c r="AK147" s="163">
        <v>0</v>
      </c>
      <c r="AL147" s="26">
        <v>0</v>
      </c>
      <c r="AM147" s="12">
        <v>0</v>
      </c>
      <c r="AN147" s="14">
        <v>0</v>
      </c>
      <c r="AO147" s="163">
        <v>0</v>
      </c>
      <c r="AP147" s="163">
        <v>0</v>
      </c>
      <c r="AQ147" s="163">
        <v>0</v>
      </c>
      <c r="AR147" s="163">
        <v>0</v>
      </c>
      <c r="AS147" s="14">
        <v>0</v>
      </c>
      <c r="AT147" s="163">
        <v>0</v>
      </c>
      <c r="AU147" s="163">
        <v>1</v>
      </c>
      <c r="AV147" s="163">
        <v>0</v>
      </c>
      <c r="AW147" s="26">
        <v>0</v>
      </c>
      <c r="AX147" s="14">
        <v>1</v>
      </c>
      <c r="AY147" s="14">
        <v>0</v>
      </c>
      <c r="AZ147" s="163">
        <v>0</v>
      </c>
      <c r="BA147" s="163">
        <v>0</v>
      </c>
      <c r="BB147" s="26">
        <v>1</v>
      </c>
      <c r="BC147" s="12">
        <v>1</v>
      </c>
      <c r="BD147" s="14">
        <v>0</v>
      </c>
      <c r="BE147" s="163">
        <v>0</v>
      </c>
      <c r="BF147" s="163">
        <v>0</v>
      </c>
      <c r="BG147" s="163">
        <v>0</v>
      </c>
      <c r="BH147" s="163">
        <v>0</v>
      </c>
      <c r="BI147" s="14">
        <v>1</v>
      </c>
      <c r="BJ147" s="163">
        <v>1</v>
      </c>
      <c r="BK147" s="26">
        <v>0</v>
      </c>
      <c r="BL147" s="14">
        <v>0</v>
      </c>
      <c r="BM147" s="163">
        <v>1</v>
      </c>
      <c r="BN147" s="26">
        <v>0</v>
      </c>
      <c r="BO147" s="14">
        <v>1</v>
      </c>
      <c r="BP147" s="12">
        <v>79</v>
      </c>
      <c r="BQ147" s="163">
        <v>1</v>
      </c>
      <c r="BR147" s="14"/>
      <c r="BU147" s="26"/>
      <c r="BV147" s="14">
        <v>0</v>
      </c>
      <c r="BW147" s="209"/>
      <c r="BX147" s="3"/>
      <c r="BY147" s="3"/>
      <c r="BZ147" s="40"/>
      <c r="CA147" s="209"/>
      <c r="CB147" s="3"/>
      <c r="CC147" s="3"/>
      <c r="CD147" s="3"/>
      <c r="CE147" s="209"/>
      <c r="CF147" s="3"/>
      <c r="CG147" s="3"/>
      <c r="CH147" s="40"/>
      <c r="CI147" s="209"/>
      <c r="CJ147" s="3"/>
      <c r="CK147" s="3"/>
      <c r="CL147" s="209"/>
      <c r="CM147" s="3"/>
      <c r="CN147" s="3"/>
      <c r="CO147" s="3"/>
      <c r="CP147" s="40"/>
      <c r="CQ147" s="209"/>
      <c r="CR147" s="40"/>
      <c r="CS147" s="3"/>
      <c r="CT147" s="3"/>
    </row>
    <row r="148" spans="1:98">
      <c r="A148" s="42" t="s">
        <v>321</v>
      </c>
      <c r="B148" s="173" t="s">
        <v>257</v>
      </c>
      <c r="C148" s="12"/>
      <c r="D148" s="14" t="s">
        <v>206</v>
      </c>
      <c r="E148" s="12"/>
      <c r="F148" s="12">
        <v>11</v>
      </c>
      <c r="G148" s="14">
        <v>0</v>
      </c>
      <c r="H148" s="163">
        <v>0</v>
      </c>
      <c r="I148" s="163">
        <v>1</v>
      </c>
      <c r="J148" s="12">
        <v>1</v>
      </c>
      <c r="K148" s="14">
        <v>155</v>
      </c>
      <c r="L148" s="26">
        <v>1251</v>
      </c>
      <c r="M148" s="14">
        <v>209</v>
      </c>
      <c r="N148" s="163">
        <v>1012</v>
      </c>
      <c r="O148" s="14">
        <v>0</v>
      </c>
      <c r="P148" s="26">
        <v>0</v>
      </c>
      <c r="Q148" s="12">
        <v>2442</v>
      </c>
      <c r="R148" s="209">
        <v>1.8075499629903775</v>
      </c>
      <c r="S148" s="14">
        <v>1</v>
      </c>
      <c r="T148" s="163">
        <v>1</v>
      </c>
      <c r="U148" s="163">
        <v>0</v>
      </c>
      <c r="V148" s="26"/>
      <c r="W148" s="14">
        <v>1100</v>
      </c>
      <c r="X148" s="14">
        <v>1</v>
      </c>
      <c r="Y148" s="163">
        <v>0</v>
      </c>
      <c r="Z148" s="163">
        <v>0</v>
      </c>
      <c r="AA148" s="26">
        <v>0</v>
      </c>
      <c r="AB148" s="12">
        <v>1000</v>
      </c>
      <c r="AC148" s="14">
        <v>1</v>
      </c>
      <c r="AD148" s="14">
        <v>0</v>
      </c>
      <c r="AE148" s="163">
        <v>0</v>
      </c>
      <c r="AF148" s="163">
        <v>1</v>
      </c>
      <c r="AG148" s="26">
        <v>0</v>
      </c>
      <c r="AH148" s="14">
        <v>10</v>
      </c>
      <c r="AI148" s="14">
        <v>0</v>
      </c>
      <c r="AJ148" s="163">
        <v>0</v>
      </c>
      <c r="AK148" s="163">
        <v>0</v>
      </c>
      <c r="AL148" s="26">
        <v>0</v>
      </c>
      <c r="AM148" s="12">
        <v>0</v>
      </c>
      <c r="AN148" s="14">
        <v>0</v>
      </c>
      <c r="AO148" s="163">
        <v>0</v>
      </c>
      <c r="AP148" s="163">
        <v>0</v>
      </c>
      <c r="AQ148" s="163">
        <v>0</v>
      </c>
      <c r="AR148" s="163">
        <v>0</v>
      </c>
      <c r="AS148" s="14">
        <v>1</v>
      </c>
      <c r="AT148" s="163">
        <v>1</v>
      </c>
      <c r="AU148" s="163">
        <v>0</v>
      </c>
      <c r="AV148" s="163">
        <v>1</v>
      </c>
      <c r="AW148" s="26">
        <v>0</v>
      </c>
      <c r="AX148" s="14">
        <v>3</v>
      </c>
      <c r="AY148" s="14">
        <v>0</v>
      </c>
      <c r="AZ148" s="163">
        <v>0</v>
      </c>
      <c r="BA148" s="163">
        <v>0</v>
      </c>
      <c r="BB148" s="26">
        <v>1</v>
      </c>
      <c r="BC148" s="12">
        <v>1</v>
      </c>
      <c r="BD148" s="14">
        <v>0</v>
      </c>
      <c r="BE148" s="163">
        <v>0</v>
      </c>
      <c r="BF148" s="163">
        <v>0</v>
      </c>
      <c r="BG148" s="163">
        <v>0</v>
      </c>
      <c r="BH148" s="163">
        <v>0</v>
      </c>
      <c r="BI148" s="14">
        <v>1</v>
      </c>
      <c r="BJ148" s="163">
        <v>1</v>
      </c>
      <c r="BK148" s="26">
        <v>0</v>
      </c>
      <c r="BL148" s="14">
        <v>0</v>
      </c>
      <c r="BM148" s="163">
        <v>1</v>
      </c>
      <c r="BN148" s="26">
        <v>0</v>
      </c>
      <c r="BO148" s="14">
        <v>1</v>
      </c>
      <c r="BP148" s="12">
        <v>99</v>
      </c>
      <c r="BQ148" s="163">
        <v>1</v>
      </c>
      <c r="BR148" s="14"/>
      <c r="BU148" s="26"/>
      <c r="BV148" s="14">
        <v>0</v>
      </c>
      <c r="BW148" s="209"/>
      <c r="BX148" s="3"/>
      <c r="BY148" s="3"/>
      <c r="BZ148" s="40"/>
      <c r="CA148" s="209"/>
      <c r="CB148" s="3"/>
      <c r="CC148" s="3"/>
      <c r="CD148" s="3"/>
      <c r="CE148" s="209"/>
      <c r="CF148" s="3"/>
      <c r="CG148" s="3"/>
      <c r="CH148" s="40"/>
      <c r="CI148" s="209"/>
      <c r="CJ148" s="3"/>
      <c r="CK148" s="3"/>
      <c r="CL148" s="209">
        <v>87.834948483670871</v>
      </c>
      <c r="CM148" s="3">
        <v>87.655073254665055</v>
      </c>
      <c r="CN148" s="3"/>
      <c r="CO148" s="3"/>
      <c r="CP148" s="40"/>
      <c r="CQ148" s="209">
        <v>88.501471156851366</v>
      </c>
      <c r="CR148" s="40">
        <v>88.323422100135076</v>
      </c>
      <c r="CS148" s="3"/>
      <c r="CT148" s="3"/>
    </row>
    <row r="149" spans="1:98" ht="17" thickBot="1">
      <c r="A149" s="55" t="s">
        <v>321</v>
      </c>
      <c r="B149" s="47" t="s">
        <v>257</v>
      </c>
      <c r="C149" s="33"/>
      <c r="D149" s="34" t="s">
        <v>395</v>
      </c>
      <c r="E149" s="33"/>
      <c r="F149" s="33">
        <v>10</v>
      </c>
      <c r="G149" s="34">
        <v>0</v>
      </c>
      <c r="H149" s="36">
        <v>0</v>
      </c>
      <c r="I149" s="36">
        <v>1</v>
      </c>
      <c r="J149" s="33">
        <v>1</v>
      </c>
      <c r="K149" s="34">
        <v>74</v>
      </c>
      <c r="L149" s="35">
        <v>568</v>
      </c>
      <c r="M149" s="34">
        <v>21</v>
      </c>
      <c r="N149" s="36">
        <v>124</v>
      </c>
      <c r="O149" s="34">
        <v>0</v>
      </c>
      <c r="P149" s="35">
        <v>0</v>
      </c>
      <c r="Q149" s="33">
        <v>824</v>
      </c>
      <c r="R149" s="210">
        <v>3.3225806451612905</v>
      </c>
      <c r="S149" s="34">
        <v>1</v>
      </c>
      <c r="T149" s="36">
        <v>1</v>
      </c>
      <c r="U149" s="36">
        <v>0</v>
      </c>
      <c r="V149" s="35">
        <v>0</v>
      </c>
      <c r="W149" s="34">
        <v>1100</v>
      </c>
      <c r="X149" s="34">
        <v>0</v>
      </c>
      <c r="Y149" s="36">
        <v>1</v>
      </c>
      <c r="Z149" s="36">
        <v>1</v>
      </c>
      <c r="AA149" s="35">
        <v>0</v>
      </c>
      <c r="AB149" s="33">
        <v>110</v>
      </c>
      <c r="AC149" s="34">
        <v>1</v>
      </c>
      <c r="AD149" s="34">
        <v>0</v>
      </c>
      <c r="AE149" s="36">
        <v>0</v>
      </c>
      <c r="AF149" s="36">
        <v>1</v>
      </c>
      <c r="AG149" s="35">
        <v>0</v>
      </c>
      <c r="AH149" s="34">
        <v>10</v>
      </c>
      <c r="AI149" s="34">
        <v>0</v>
      </c>
      <c r="AJ149" s="36">
        <v>0</v>
      </c>
      <c r="AK149" s="36">
        <v>0</v>
      </c>
      <c r="AL149" s="35">
        <v>0</v>
      </c>
      <c r="AM149" s="33">
        <v>0</v>
      </c>
      <c r="AN149" s="34">
        <v>0</v>
      </c>
      <c r="AO149" s="36">
        <v>0</v>
      </c>
      <c r="AP149" s="36">
        <v>0</v>
      </c>
      <c r="AQ149" s="36">
        <v>0</v>
      </c>
      <c r="AR149" s="36">
        <v>0</v>
      </c>
      <c r="AS149" s="34">
        <v>0</v>
      </c>
      <c r="AT149" s="36">
        <v>0</v>
      </c>
      <c r="AU149" s="36">
        <v>0</v>
      </c>
      <c r="AV149" s="36">
        <v>1</v>
      </c>
      <c r="AW149" s="35">
        <v>0</v>
      </c>
      <c r="AX149" s="34">
        <v>1</v>
      </c>
      <c r="AY149" s="34">
        <v>0</v>
      </c>
      <c r="AZ149" s="36">
        <v>0</v>
      </c>
      <c r="BA149" s="36">
        <v>0</v>
      </c>
      <c r="BB149" s="35">
        <v>1</v>
      </c>
      <c r="BC149" s="33">
        <v>1</v>
      </c>
      <c r="BD149" s="34">
        <v>0</v>
      </c>
      <c r="BE149" s="36">
        <v>0</v>
      </c>
      <c r="BF149" s="36">
        <v>0</v>
      </c>
      <c r="BG149" s="36">
        <v>0</v>
      </c>
      <c r="BH149" s="36">
        <v>0</v>
      </c>
      <c r="BI149" s="34">
        <v>1</v>
      </c>
      <c r="BJ149" s="36">
        <v>0</v>
      </c>
      <c r="BK149" s="35">
        <v>0</v>
      </c>
      <c r="BL149" s="34">
        <v>0</v>
      </c>
      <c r="BM149" s="36">
        <v>0</v>
      </c>
      <c r="BN149" s="35">
        <v>0</v>
      </c>
      <c r="BO149" s="34">
        <v>1</v>
      </c>
      <c r="BP149" s="33">
        <v>94</v>
      </c>
      <c r="BQ149" s="36">
        <v>2</v>
      </c>
      <c r="BR149" s="34"/>
      <c r="BS149" s="36"/>
      <c r="BT149" s="36"/>
      <c r="BU149" s="35"/>
      <c r="BV149" s="34">
        <v>0</v>
      </c>
      <c r="BW149" s="210"/>
      <c r="BX149" s="51"/>
      <c r="BY149" s="51"/>
      <c r="BZ149" s="48"/>
      <c r="CA149" s="210"/>
      <c r="CB149" s="51"/>
      <c r="CC149" s="51"/>
      <c r="CD149" s="51"/>
      <c r="CE149" s="210"/>
      <c r="CF149" s="51"/>
      <c r="CG149" s="51"/>
      <c r="CH149" s="48"/>
      <c r="CI149" s="210"/>
      <c r="CJ149" s="51"/>
      <c r="CK149" s="51"/>
      <c r="CL149" s="210"/>
      <c r="CM149" s="51"/>
      <c r="CN149" s="51"/>
      <c r="CO149" s="51"/>
      <c r="CP149" s="48"/>
      <c r="CQ149" s="210"/>
      <c r="CR149" s="48"/>
      <c r="CS149" s="3"/>
      <c r="CT149" s="3"/>
    </row>
    <row r="150" spans="1:98">
      <c r="A150" s="87" t="s">
        <v>325</v>
      </c>
      <c r="B150" s="7" t="s">
        <v>436</v>
      </c>
      <c r="C150" s="9"/>
      <c r="D150" s="11" t="s">
        <v>189</v>
      </c>
      <c r="E150" s="9"/>
      <c r="F150" s="9">
        <v>14</v>
      </c>
      <c r="G150" s="11">
        <v>1</v>
      </c>
      <c r="H150" s="8">
        <v>0</v>
      </c>
      <c r="I150" s="8">
        <v>1</v>
      </c>
      <c r="J150" s="9">
        <v>101</v>
      </c>
      <c r="K150" s="11">
        <v>24</v>
      </c>
      <c r="L150" s="41">
        <v>205</v>
      </c>
      <c r="M150" s="11">
        <v>64</v>
      </c>
      <c r="N150" s="8">
        <v>212</v>
      </c>
      <c r="O150" s="11">
        <v>0</v>
      </c>
      <c r="P150" s="41">
        <v>0</v>
      </c>
      <c r="Q150" s="9">
        <v>415</v>
      </c>
      <c r="R150" s="208">
        <v>1.583969465648855</v>
      </c>
      <c r="S150" s="11">
        <v>1</v>
      </c>
      <c r="T150" s="8">
        <v>1</v>
      </c>
      <c r="U150" s="8">
        <v>0</v>
      </c>
      <c r="V150" s="41">
        <v>0</v>
      </c>
      <c r="W150" s="11">
        <v>1100</v>
      </c>
      <c r="X150" s="11">
        <v>0</v>
      </c>
      <c r="Y150" s="8">
        <v>1</v>
      </c>
      <c r="Z150" s="8">
        <v>1</v>
      </c>
      <c r="AA150" s="41">
        <v>0</v>
      </c>
      <c r="AB150" s="9">
        <v>110</v>
      </c>
      <c r="AC150" s="11">
        <v>0</v>
      </c>
      <c r="AD150" s="11">
        <v>0</v>
      </c>
      <c r="AE150" s="8">
        <v>1</v>
      </c>
      <c r="AF150" s="8">
        <v>0</v>
      </c>
      <c r="AG150" s="41">
        <v>0</v>
      </c>
      <c r="AH150" s="11">
        <v>100</v>
      </c>
      <c r="AI150" s="11">
        <v>0</v>
      </c>
      <c r="AJ150" s="8">
        <v>0</v>
      </c>
      <c r="AK150" s="8">
        <v>0</v>
      </c>
      <c r="AL150" s="41">
        <v>0</v>
      </c>
      <c r="AM150" s="9">
        <v>0</v>
      </c>
      <c r="AN150" s="11">
        <v>0</v>
      </c>
      <c r="AO150" s="8">
        <v>0</v>
      </c>
      <c r="AP150" s="8">
        <v>0</v>
      </c>
      <c r="AQ150" s="8">
        <v>0</v>
      </c>
      <c r="AR150" s="8">
        <v>0</v>
      </c>
      <c r="AS150" s="11">
        <v>0</v>
      </c>
      <c r="AT150" s="8">
        <v>0</v>
      </c>
      <c r="AU150" s="8">
        <v>1</v>
      </c>
      <c r="AV150" s="8">
        <v>0</v>
      </c>
      <c r="AW150" s="41">
        <v>0</v>
      </c>
      <c r="AX150" s="11">
        <v>1</v>
      </c>
      <c r="AY150" s="11">
        <v>0</v>
      </c>
      <c r="AZ150" s="8">
        <v>0</v>
      </c>
      <c r="BA150" s="8">
        <v>0</v>
      </c>
      <c r="BB150" s="41">
        <v>1</v>
      </c>
      <c r="BC150" s="9">
        <v>1</v>
      </c>
      <c r="BD150" s="11">
        <v>0</v>
      </c>
      <c r="BE150" s="8">
        <v>0</v>
      </c>
      <c r="BF150" s="8">
        <v>0</v>
      </c>
      <c r="BG150" s="8">
        <v>0</v>
      </c>
      <c r="BH150" s="8">
        <v>0</v>
      </c>
      <c r="BI150" s="11">
        <v>1</v>
      </c>
      <c r="BJ150" s="8">
        <v>1</v>
      </c>
      <c r="BK150" s="41">
        <v>0</v>
      </c>
      <c r="BL150" s="11">
        <v>1</v>
      </c>
      <c r="BM150" s="8">
        <v>1</v>
      </c>
      <c r="BN150" s="41">
        <v>0</v>
      </c>
      <c r="BO150" s="11">
        <v>1</v>
      </c>
      <c r="BP150" s="9" t="s">
        <v>140</v>
      </c>
      <c r="BQ150" s="8">
        <v>1</v>
      </c>
      <c r="BR150" s="11">
        <v>0</v>
      </c>
      <c r="BS150" s="8">
        <v>0</v>
      </c>
      <c r="BT150" s="8">
        <v>0</v>
      </c>
      <c r="BU150" s="41">
        <v>0</v>
      </c>
      <c r="BV150" s="11">
        <v>0</v>
      </c>
      <c r="BW150" s="208"/>
      <c r="BX150" s="54"/>
      <c r="BY150" s="54"/>
      <c r="BZ150" s="10"/>
      <c r="CA150" s="208"/>
      <c r="CB150" s="54"/>
      <c r="CC150" s="54"/>
      <c r="CD150" s="54"/>
      <c r="CE150" s="208"/>
      <c r="CF150" s="54"/>
      <c r="CG150" s="54"/>
      <c r="CH150" s="10"/>
      <c r="CI150" s="208"/>
      <c r="CJ150" s="54"/>
      <c r="CK150" s="54"/>
      <c r="CL150" s="208"/>
      <c r="CM150" s="54"/>
      <c r="CN150" s="54"/>
      <c r="CO150" s="54"/>
      <c r="CP150" s="10"/>
      <c r="CQ150" s="208"/>
      <c r="CR150" s="10"/>
      <c r="CS150" s="3"/>
      <c r="CT150" s="3"/>
    </row>
    <row r="151" spans="1:98">
      <c r="A151" s="42" t="s">
        <v>325</v>
      </c>
      <c r="B151" s="173" t="s">
        <v>436</v>
      </c>
      <c r="C151" s="12"/>
      <c r="D151" s="14" t="s">
        <v>393</v>
      </c>
      <c r="E151" s="12"/>
      <c r="F151" s="12">
        <v>9</v>
      </c>
      <c r="G151" s="14">
        <v>1</v>
      </c>
      <c r="H151" s="163">
        <v>0</v>
      </c>
      <c r="I151" s="163">
        <v>1</v>
      </c>
      <c r="J151" s="12">
        <v>101</v>
      </c>
      <c r="K151" s="14">
        <v>40</v>
      </c>
      <c r="L151" s="26">
        <v>441</v>
      </c>
      <c r="M151" s="14">
        <v>26</v>
      </c>
      <c r="N151" s="163">
        <v>77</v>
      </c>
      <c r="O151" s="14">
        <v>0</v>
      </c>
      <c r="P151" s="26">
        <v>0</v>
      </c>
      <c r="Q151" s="12">
        <v>506</v>
      </c>
      <c r="R151" s="209">
        <v>1.5665634674922602</v>
      </c>
      <c r="S151" s="14">
        <v>1</v>
      </c>
      <c r="T151" s="163">
        <v>1</v>
      </c>
      <c r="U151" s="163">
        <v>0</v>
      </c>
      <c r="V151" s="26">
        <v>0</v>
      </c>
      <c r="W151" s="14">
        <v>1100</v>
      </c>
      <c r="X151" s="14">
        <v>1</v>
      </c>
      <c r="Y151" s="163">
        <v>1</v>
      </c>
      <c r="Z151" s="163">
        <v>1</v>
      </c>
      <c r="AA151" s="26">
        <v>0</v>
      </c>
      <c r="AB151" s="12">
        <v>1110</v>
      </c>
      <c r="AC151" s="14">
        <v>0</v>
      </c>
      <c r="AD151" s="14">
        <v>0</v>
      </c>
      <c r="AE151" s="163">
        <v>0</v>
      </c>
      <c r="AF151" s="163">
        <v>1</v>
      </c>
      <c r="AG151" s="26">
        <v>0</v>
      </c>
      <c r="AH151" s="14">
        <v>10</v>
      </c>
      <c r="AI151" s="14">
        <v>0</v>
      </c>
      <c r="AJ151" s="163">
        <v>0</v>
      </c>
      <c r="AK151" s="163">
        <v>0</v>
      </c>
      <c r="AL151" s="26">
        <v>0</v>
      </c>
      <c r="AM151" s="12">
        <v>0</v>
      </c>
      <c r="AN151" s="14">
        <v>0</v>
      </c>
      <c r="AO151" s="163">
        <v>0</v>
      </c>
      <c r="AP151" s="163">
        <v>0</v>
      </c>
      <c r="AQ151" s="163">
        <v>0</v>
      </c>
      <c r="AR151" s="163">
        <v>0</v>
      </c>
      <c r="AS151" s="14">
        <v>1</v>
      </c>
      <c r="AT151" s="163">
        <v>0</v>
      </c>
      <c r="AU151" s="163">
        <v>0</v>
      </c>
      <c r="AV151" s="163">
        <v>0</v>
      </c>
      <c r="AW151" s="26">
        <v>0</v>
      </c>
      <c r="AX151" s="14">
        <v>1</v>
      </c>
      <c r="AY151" s="14">
        <v>0</v>
      </c>
      <c r="AZ151" s="163">
        <v>0</v>
      </c>
      <c r="BA151" s="163">
        <v>0</v>
      </c>
      <c r="BB151" s="26">
        <v>1</v>
      </c>
      <c r="BC151" s="12">
        <v>1</v>
      </c>
      <c r="BD151" s="14">
        <v>0</v>
      </c>
      <c r="BE151" s="163">
        <v>0</v>
      </c>
      <c r="BF151" s="163">
        <v>0</v>
      </c>
      <c r="BG151" s="163">
        <v>0</v>
      </c>
      <c r="BH151" s="163">
        <v>0</v>
      </c>
      <c r="BI151" s="14">
        <v>0</v>
      </c>
      <c r="BJ151" s="163">
        <v>0</v>
      </c>
      <c r="BK151" s="26">
        <v>0</v>
      </c>
      <c r="BL151" s="14">
        <v>0</v>
      </c>
      <c r="BM151" s="163">
        <v>0</v>
      </c>
      <c r="BN151" s="26">
        <v>0</v>
      </c>
      <c r="BO151" s="14">
        <v>1</v>
      </c>
      <c r="BP151" s="12" t="s">
        <v>140</v>
      </c>
      <c r="BQ151" s="163">
        <v>1</v>
      </c>
      <c r="BR151" s="14">
        <v>0</v>
      </c>
      <c r="BS151" s="163">
        <v>0</v>
      </c>
      <c r="BT151" s="163">
        <v>0</v>
      </c>
      <c r="BU151" s="26">
        <v>0</v>
      </c>
      <c r="BV151" s="14">
        <v>0</v>
      </c>
      <c r="BW151" s="209"/>
      <c r="BX151" s="3"/>
      <c r="BY151" s="3"/>
      <c r="BZ151" s="40"/>
      <c r="CA151" s="209"/>
      <c r="CB151" s="3"/>
      <c r="CC151" s="3"/>
      <c r="CD151" s="3"/>
      <c r="CE151" s="209"/>
      <c r="CF151" s="3"/>
      <c r="CG151" s="3"/>
      <c r="CH151" s="40"/>
      <c r="CI151" s="209"/>
      <c r="CJ151" s="3"/>
      <c r="CK151" s="3"/>
      <c r="CL151" s="209"/>
      <c r="CM151" s="3"/>
      <c r="CN151" s="3"/>
      <c r="CO151" s="3"/>
      <c r="CP151" s="40"/>
      <c r="CQ151" s="209"/>
      <c r="CR151" s="40"/>
      <c r="CS151" s="3"/>
      <c r="CT151" s="3"/>
    </row>
    <row r="152" spans="1:98">
      <c r="A152" s="42" t="s">
        <v>325</v>
      </c>
      <c r="B152" s="173" t="s">
        <v>436</v>
      </c>
      <c r="C152" s="12"/>
      <c r="D152" s="14" t="s">
        <v>167</v>
      </c>
      <c r="E152" s="12"/>
      <c r="F152" s="12">
        <v>3</v>
      </c>
      <c r="G152" s="14">
        <v>1</v>
      </c>
      <c r="H152" s="163">
        <v>0</v>
      </c>
      <c r="I152" s="163">
        <v>1</v>
      </c>
      <c r="J152" s="12">
        <v>101</v>
      </c>
      <c r="K152" s="14">
        <v>141</v>
      </c>
      <c r="L152" s="26">
        <v>257</v>
      </c>
      <c r="M152" s="14">
        <v>0</v>
      </c>
      <c r="N152" s="163">
        <v>128</v>
      </c>
      <c r="O152" s="14">
        <v>0</v>
      </c>
      <c r="P152" s="26">
        <v>0</v>
      </c>
      <c r="Q152" s="12">
        <v>257</v>
      </c>
      <c r="R152" s="209">
        <v>1.13215859030837</v>
      </c>
      <c r="S152" s="14">
        <v>1</v>
      </c>
      <c r="T152" s="163">
        <v>1</v>
      </c>
      <c r="U152" s="163">
        <v>0</v>
      </c>
      <c r="V152" s="26">
        <v>0</v>
      </c>
      <c r="W152" s="14">
        <v>1100</v>
      </c>
      <c r="X152" s="14">
        <v>0</v>
      </c>
      <c r="Y152" s="163">
        <v>1</v>
      </c>
      <c r="Z152" s="163">
        <v>0</v>
      </c>
      <c r="AA152" s="26">
        <v>1</v>
      </c>
      <c r="AB152" s="12">
        <v>101</v>
      </c>
      <c r="AC152" s="14">
        <v>1</v>
      </c>
      <c r="AD152" s="14">
        <v>0</v>
      </c>
      <c r="AE152" s="163">
        <v>0</v>
      </c>
      <c r="AF152" s="163">
        <v>1</v>
      </c>
      <c r="AG152" s="26">
        <v>0</v>
      </c>
      <c r="AH152" s="14">
        <v>10</v>
      </c>
      <c r="AI152" s="14">
        <v>0</v>
      </c>
      <c r="AJ152" s="163">
        <v>0</v>
      </c>
      <c r="AK152" s="163">
        <v>0</v>
      </c>
      <c r="AL152" s="26">
        <v>0</v>
      </c>
      <c r="AM152" s="12">
        <v>0</v>
      </c>
      <c r="AN152" s="14">
        <v>0</v>
      </c>
      <c r="AO152" s="163">
        <v>0</v>
      </c>
      <c r="AP152" s="163">
        <v>0</v>
      </c>
      <c r="AQ152" s="163">
        <v>0</v>
      </c>
      <c r="AR152" s="163">
        <v>0</v>
      </c>
      <c r="AS152" s="14">
        <v>0</v>
      </c>
      <c r="AT152" s="163">
        <v>0</v>
      </c>
      <c r="AU152" s="163">
        <v>0</v>
      </c>
      <c r="AV152" s="163">
        <v>1</v>
      </c>
      <c r="AW152" s="26">
        <v>0</v>
      </c>
      <c r="AX152" s="14">
        <v>1</v>
      </c>
      <c r="AY152" s="14">
        <v>0</v>
      </c>
      <c r="AZ152" s="163">
        <v>0</v>
      </c>
      <c r="BA152" s="163">
        <v>0</v>
      </c>
      <c r="BB152" s="26">
        <v>1</v>
      </c>
      <c r="BC152" s="12">
        <v>1</v>
      </c>
      <c r="BD152" s="14">
        <v>0</v>
      </c>
      <c r="BE152" s="163">
        <v>0</v>
      </c>
      <c r="BF152" s="163">
        <v>0</v>
      </c>
      <c r="BG152" s="163">
        <v>0</v>
      </c>
      <c r="BH152" s="163">
        <v>0</v>
      </c>
      <c r="BI152" s="14">
        <v>0</v>
      </c>
      <c r="BJ152" s="163">
        <v>1</v>
      </c>
      <c r="BK152" s="26">
        <v>0</v>
      </c>
      <c r="BL152" s="14">
        <v>0</v>
      </c>
      <c r="BM152" s="163">
        <v>1</v>
      </c>
      <c r="BN152" s="26">
        <v>0</v>
      </c>
      <c r="BO152" s="14">
        <v>1</v>
      </c>
      <c r="BP152" s="12" t="s">
        <v>140</v>
      </c>
      <c r="BQ152" s="163">
        <v>2</v>
      </c>
      <c r="BR152" s="14">
        <v>0</v>
      </c>
      <c r="BS152" s="163">
        <v>0</v>
      </c>
      <c r="BT152" s="163">
        <v>0</v>
      </c>
      <c r="BU152" s="26">
        <v>0</v>
      </c>
      <c r="BV152" s="14">
        <v>0</v>
      </c>
      <c r="BW152" s="209"/>
      <c r="BX152" s="3"/>
      <c r="BY152" s="3"/>
      <c r="BZ152" s="40"/>
      <c r="CA152" s="209"/>
      <c r="CB152" s="3"/>
      <c r="CC152" s="3"/>
      <c r="CD152" s="3"/>
      <c r="CE152" s="209"/>
      <c r="CF152" s="3"/>
      <c r="CG152" s="3"/>
      <c r="CH152" s="40"/>
      <c r="CI152" s="209"/>
      <c r="CJ152" s="3"/>
      <c r="CK152" s="3"/>
      <c r="CL152" s="209"/>
      <c r="CM152" s="3"/>
      <c r="CN152" s="3"/>
      <c r="CO152" s="3"/>
      <c r="CP152" s="40"/>
      <c r="CQ152" s="209"/>
      <c r="CR152" s="40"/>
      <c r="CS152" s="3"/>
      <c r="CT152" s="3"/>
    </row>
    <row r="153" spans="1:98">
      <c r="A153" s="42" t="s">
        <v>325</v>
      </c>
      <c r="B153" s="173" t="s">
        <v>436</v>
      </c>
      <c r="C153" s="12"/>
      <c r="D153" s="14" t="s">
        <v>168</v>
      </c>
      <c r="E153" s="12"/>
      <c r="F153" s="12">
        <v>19</v>
      </c>
      <c r="G153" s="14">
        <v>1</v>
      </c>
      <c r="H153" s="163">
        <v>0</v>
      </c>
      <c r="I153" s="163">
        <v>1</v>
      </c>
      <c r="J153" s="12">
        <v>101</v>
      </c>
      <c r="K153" s="14">
        <v>30</v>
      </c>
      <c r="L153" s="26">
        <v>190</v>
      </c>
      <c r="M153" s="14">
        <v>22</v>
      </c>
      <c r="N153" s="163">
        <v>163</v>
      </c>
      <c r="O153" s="14">
        <v>0</v>
      </c>
      <c r="P153" s="26">
        <v>0</v>
      </c>
      <c r="Q153" s="12">
        <v>261</v>
      </c>
      <c r="R153" s="209">
        <v>1.3384615384615384</v>
      </c>
      <c r="S153" s="14">
        <v>1</v>
      </c>
      <c r="T153" s="163">
        <v>1</v>
      </c>
      <c r="U153" s="163">
        <v>0</v>
      </c>
      <c r="V153" s="26">
        <v>0</v>
      </c>
      <c r="W153" s="14">
        <v>1100</v>
      </c>
      <c r="X153" s="14">
        <v>0</v>
      </c>
      <c r="Y153" s="163">
        <v>1</v>
      </c>
      <c r="Z153" s="163">
        <v>1</v>
      </c>
      <c r="AA153" s="26">
        <v>0</v>
      </c>
      <c r="AB153" s="12">
        <v>110</v>
      </c>
      <c r="AC153" s="14">
        <v>0</v>
      </c>
      <c r="AD153" s="14">
        <v>1</v>
      </c>
      <c r="AE153" s="163">
        <v>1</v>
      </c>
      <c r="AF153" s="163">
        <v>0</v>
      </c>
      <c r="AG153" s="26">
        <v>0</v>
      </c>
      <c r="AH153" s="14">
        <v>1100</v>
      </c>
      <c r="AI153" s="14">
        <v>0</v>
      </c>
      <c r="AJ153" s="163">
        <v>0</v>
      </c>
      <c r="AK153" s="163">
        <v>0</v>
      </c>
      <c r="AL153" s="26">
        <v>0</v>
      </c>
      <c r="AM153" s="12">
        <v>0</v>
      </c>
      <c r="AN153" s="14">
        <v>0</v>
      </c>
      <c r="AO153" s="163">
        <v>0</v>
      </c>
      <c r="AP153" s="163">
        <v>0</v>
      </c>
      <c r="AQ153" s="163">
        <v>0</v>
      </c>
      <c r="AR153" s="163">
        <v>0</v>
      </c>
      <c r="AS153" s="14">
        <v>0</v>
      </c>
      <c r="AT153" s="163">
        <v>0</v>
      </c>
      <c r="AU153" s="163">
        <v>1</v>
      </c>
      <c r="AV153" s="163">
        <v>0</v>
      </c>
      <c r="AW153" s="26">
        <v>0</v>
      </c>
      <c r="AX153" s="14">
        <v>1</v>
      </c>
      <c r="AY153" s="14">
        <v>0</v>
      </c>
      <c r="AZ153" s="163">
        <v>0</v>
      </c>
      <c r="BA153" s="163">
        <v>1</v>
      </c>
      <c r="BB153" s="26">
        <v>0</v>
      </c>
      <c r="BC153" s="12">
        <v>1</v>
      </c>
      <c r="BD153" s="14">
        <v>0</v>
      </c>
      <c r="BE153" s="163">
        <v>0</v>
      </c>
      <c r="BF153" s="163">
        <v>0</v>
      </c>
      <c r="BG153" s="163">
        <v>0</v>
      </c>
      <c r="BH153" s="163">
        <v>0</v>
      </c>
      <c r="BI153" s="14">
        <v>1</v>
      </c>
      <c r="BJ153" s="163">
        <v>1</v>
      </c>
      <c r="BK153" s="26">
        <v>0</v>
      </c>
      <c r="BL153" s="14">
        <v>0</v>
      </c>
      <c r="BM153" s="163">
        <v>0</v>
      </c>
      <c r="BN153" s="26">
        <v>0</v>
      </c>
      <c r="BO153" s="14">
        <v>1</v>
      </c>
      <c r="BP153" s="12" t="s">
        <v>140</v>
      </c>
      <c r="BQ153" s="163">
        <v>1</v>
      </c>
      <c r="BR153" s="14">
        <v>0</v>
      </c>
      <c r="BS153" s="163">
        <v>0</v>
      </c>
      <c r="BT153" s="163">
        <v>0</v>
      </c>
      <c r="BU153" s="26">
        <v>0</v>
      </c>
      <c r="BV153" s="14">
        <v>0</v>
      </c>
      <c r="BW153" s="209"/>
      <c r="BX153" s="3"/>
      <c r="BY153" s="3"/>
      <c r="BZ153" s="40"/>
      <c r="CA153" s="209"/>
      <c r="CB153" s="3"/>
      <c r="CC153" s="3"/>
      <c r="CD153" s="3"/>
      <c r="CE153" s="209"/>
      <c r="CF153" s="3"/>
      <c r="CG153" s="3"/>
      <c r="CH153" s="40"/>
      <c r="CI153" s="209"/>
      <c r="CJ153" s="3"/>
      <c r="CK153" s="3"/>
      <c r="CL153" s="209"/>
      <c r="CM153" s="3"/>
      <c r="CN153" s="3"/>
      <c r="CO153" s="3"/>
      <c r="CP153" s="40"/>
      <c r="CQ153" s="209"/>
      <c r="CR153" s="40"/>
      <c r="CS153" s="3"/>
      <c r="CT153" s="3"/>
    </row>
    <row r="154" spans="1:98">
      <c r="A154" s="42" t="s">
        <v>325</v>
      </c>
      <c r="B154" s="173" t="s">
        <v>436</v>
      </c>
      <c r="C154" s="12"/>
      <c r="D154" s="14" t="s">
        <v>389</v>
      </c>
      <c r="E154" s="12"/>
      <c r="F154" s="12">
        <v>9</v>
      </c>
      <c r="G154" s="14">
        <v>0</v>
      </c>
      <c r="H154" s="163">
        <v>0</v>
      </c>
      <c r="I154" s="163">
        <v>1</v>
      </c>
      <c r="J154" s="12">
        <v>1</v>
      </c>
      <c r="K154" s="14">
        <v>121</v>
      </c>
      <c r="L154" s="26">
        <v>1010</v>
      </c>
      <c r="M154" s="14">
        <v>76</v>
      </c>
      <c r="N154" s="163">
        <v>386</v>
      </c>
      <c r="O154" s="14">
        <v>0</v>
      </c>
      <c r="P154" s="26">
        <v>0</v>
      </c>
      <c r="Q154" s="12">
        <v>1488</v>
      </c>
      <c r="R154" s="209">
        <v>3.8350515463917527</v>
      </c>
      <c r="S154" s="14">
        <v>1</v>
      </c>
      <c r="T154" s="163">
        <v>1</v>
      </c>
      <c r="U154" s="163">
        <v>0</v>
      </c>
      <c r="V154" s="26">
        <v>0</v>
      </c>
      <c r="W154" s="14">
        <v>1100</v>
      </c>
      <c r="X154" s="14">
        <v>0</v>
      </c>
      <c r="Y154" s="163">
        <v>1</v>
      </c>
      <c r="Z154" s="163">
        <v>0</v>
      </c>
      <c r="AA154" s="26">
        <v>0</v>
      </c>
      <c r="AB154" s="12">
        <v>100</v>
      </c>
      <c r="AC154" s="14">
        <v>1</v>
      </c>
      <c r="AD154" s="14">
        <v>1</v>
      </c>
      <c r="AE154" s="163">
        <v>1</v>
      </c>
      <c r="AF154" s="163">
        <v>1</v>
      </c>
      <c r="AG154" s="26">
        <v>0</v>
      </c>
      <c r="AH154" s="14">
        <v>1110</v>
      </c>
      <c r="AI154" s="14">
        <v>0</v>
      </c>
      <c r="AJ154" s="163">
        <v>0</v>
      </c>
      <c r="AK154" s="163">
        <v>0</v>
      </c>
      <c r="AL154" s="26">
        <v>0</v>
      </c>
      <c r="AM154" s="12">
        <v>0</v>
      </c>
      <c r="AN154" s="14">
        <v>0</v>
      </c>
      <c r="AO154" s="163">
        <v>0</v>
      </c>
      <c r="AP154" s="163">
        <v>0</v>
      </c>
      <c r="AQ154" s="163">
        <v>0</v>
      </c>
      <c r="AR154" s="163">
        <v>0</v>
      </c>
      <c r="AS154" s="14">
        <v>0</v>
      </c>
      <c r="AT154" s="163">
        <v>0</v>
      </c>
      <c r="AU154" s="163">
        <v>1</v>
      </c>
      <c r="AV154" s="163">
        <v>0</v>
      </c>
      <c r="AW154" s="26">
        <v>0</v>
      </c>
      <c r="AX154" s="14">
        <v>1</v>
      </c>
      <c r="AY154" s="14">
        <v>0</v>
      </c>
      <c r="AZ154" s="163">
        <v>0</v>
      </c>
      <c r="BA154" s="163">
        <v>1</v>
      </c>
      <c r="BB154" s="26">
        <v>0</v>
      </c>
      <c r="BC154" s="12">
        <v>1</v>
      </c>
      <c r="BD154" s="14">
        <v>0</v>
      </c>
      <c r="BE154" s="163">
        <v>0</v>
      </c>
      <c r="BF154" s="163">
        <v>0</v>
      </c>
      <c r="BG154" s="163">
        <v>0</v>
      </c>
      <c r="BH154" s="163">
        <v>0</v>
      </c>
      <c r="BI154" s="14">
        <v>1</v>
      </c>
      <c r="BJ154" s="163">
        <v>1</v>
      </c>
      <c r="BK154" s="26">
        <v>0</v>
      </c>
      <c r="BL154" s="14">
        <v>0</v>
      </c>
      <c r="BM154" s="163">
        <v>1</v>
      </c>
      <c r="BN154" s="26">
        <v>0</v>
      </c>
      <c r="BO154" s="14">
        <v>1</v>
      </c>
      <c r="BP154" s="12" t="s">
        <v>140</v>
      </c>
      <c r="BQ154" s="163">
        <v>1</v>
      </c>
      <c r="BR154" s="14">
        <v>0</v>
      </c>
      <c r="BS154" s="163">
        <v>0</v>
      </c>
      <c r="BT154" s="163">
        <v>0</v>
      </c>
      <c r="BU154" s="26">
        <v>0</v>
      </c>
      <c r="BV154" s="14">
        <v>0</v>
      </c>
      <c r="BW154" s="209"/>
      <c r="BX154" s="3"/>
      <c r="BY154" s="3"/>
      <c r="BZ154" s="40"/>
      <c r="CA154" s="209"/>
      <c r="CB154" s="3"/>
      <c r="CC154" s="3"/>
      <c r="CD154" s="3"/>
      <c r="CE154" s="209"/>
      <c r="CF154" s="3"/>
      <c r="CG154" s="3"/>
      <c r="CH154" s="40"/>
      <c r="CI154" s="209"/>
      <c r="CJ154" s="3"/>
      <c r="CK154" s="3"/>
      <c r="CL154" s="209"/>
      <c r="CM154" s="3"/>
      <c r="CN154" s="3"/>
      <c r="CO154" s="3"/>
      <c r="CP154" s="40"/>
      <c r="CQ154" s="209"/>
      <c r="CR154" s="40"/>
      <c r="CS154" s="3"/>
      <c r="CT154" s="3"/>
    </row>
    <row r="155" spans="1:98">
      <c r="A155" s="42" t="s">
        <v>325</v>
      </c>
      <c r="B155" s="173" t="s">
        <v>436</v>
      </c>
      <c r="C155" s="12"/>
      <c r="D155" s="14" t="s">
        <v>390</v>
      </c>
      <c r="E155" s="12"/>
      <c r="F155" s="12">
        <v>7</v>
      </c>
      <c r="G155" s="14">
        <v>0</v>
      </c>
      <c r="H155" s="163">
        <v>0</v>
      </c>
      <c r="I155" s="163">
        <v>1</v>
      </c>
      <c r="J155" s="12">
        <v>1</v>
      </c>
      <c r="K155" s="14">
        <v>17</v>
      </c>
      <c r="L155" s="26">
        <v>319</v>
      </c>
      <c r="M155" s="14">
        <v>32</v>
      </c>
      <c r="N155" s="163">
        <v>103</v>
      </c>
      <c r="O155" s="14">
        <v>0</v>
      </c>
      <c r="P155" s="26">
        <v>0</v>
      </c>
      <c r="Q155" s="12">
        <v>378</v>
      </c>
      <c r="R155" s="209">
        <v>1.75</v>
      </c>
      <c r="S155" s="14">
        <v>1</v>
      </c>
      <c r="T155" s="163">
        <v>1</v>
      </c>
      <c r="U155" s="163">
        <v>0</v>
      </c>
      <c r="V155" s="26">
        <v>0</v>
      </c>
      <c r="W155" s="14">
        <v>1100</v>
      </c>
      <c r="X155" s="14">
        <v>0</v>
      </c>
      <c r="Y155" s="163">
        <v>1</v>
      </c>
      <c r="Z155" s="163">
        <v>0</v>
      </c>
      <c r="AA155" s="26">
        <v>1</v>
      </c>
      <c r="AB155" s="12">
        <v>101</v>
      </c>
      <c r="AC155" s="14">
        <v>1</v>
      </c>
      <c r="AD155" s="14">
        <v>1</v>
      </c>
      <c r="AE155" s="163">
        <v>0</v>
      </c>
      <c r="AF155" s="163">
        <v>1</v>
      </c>
      <c r="AG155" s="26">
        <v>0</v>
      </c>
      <c r="AH155" s="14">
        <v>1010</v>
      </c>
      <c r="AI155" s="14">
        <v>0</v>
      </c>
      <c r="AJ155" s="163">
        <v>0</v>
      </c>
      <c r="AK155" s="163">
        <v>0</v>
      </c>
      <c r="AL155" s="26">
        <v>0</v>
      </c>
      <c r="AM155" s="12">
        <v>0</v>
      </c>
      <c r="AN155" s="14">
        <v>0</v>
      </c>
      <c r="AO155" s="163">
        <v>0</v>
      </c>
      <c r="AP155" s="163">
        <v>0</v>
      </c>
      <c r="AQ155" s="163">
        <v>0</v>
      </c>
      <c r="AR155" s="163">
        <v>0</v>
      </c>
      <c r="AS155" s="14">
        <v>1</v>
      </c>
      <c r="AT155" s="163">
        <v>0</v>
      </c>
      <c r="AU155" s="163">
        <v>0</v>
      </c>
      <c r="AV155" s="163">
        <v>1</v>
      </c>
      <c r="AW155" s="26">
        <v>0</v>
      </c>
      <c r="AX155" s="14">
        <v>2</v>
      </c>
      <c r="AY155" s="14">
        <v>0</v>
      </c>
      <c r="AZ155" s="163">
        <v>0</v>
      </c>
      <c r="BA155" s="163">
        <v>0</v>
      </c>
      <c r="BB155" s="26">
        <v>0</v>
      </c>
      <c r="BC155" s="12">
        <v>0</v>
      </c>
      <c r="BD155" s="14">
        <v>0</v>
      </c>
      <c r="BE155" s="163">
        <v>0</v>
      </c>
      <c r="BF155" s="163">
        <v>0</v>
      </c>
      <c r="BG155" s="163">
        <v>0</v>
      </c>
      <c r="BH155" s="163">
        <v>0</v>
      </c>
      <c r="BI155" s="14">
        <v>1</v>
      </c>
      <c r="BJ155" s="163">
        <v>0</v>
      </c>
      <c r="BK155" s="26">
        <v>0</v>
      </c>
      <c r="BL155" s="14">
        <v>0</v>
      </c>
      <c r="BM155" s="163">
        <v>0</v>
      </c>
      <c r="BN155" s="26">
        <v>0</v>
      </c>
      <c r="BO155" s="14">
        <v>1</v>
      </c>
      <c r="BP155" s="12" t="s">
        <v>140</v>
      </c>
      <c r="BQ155" s="163">
        <v>2</v>
      </c>
      <c r="BR155" s="14">
        <v>1</v>
      </c>
      <c r="BS155" s="163">
        <v>0</v>
      </c>
      <c r="BT155" s="163">
        <v>0</v>
      </c>
      <c r="BU155" s="26">
        <v>0</v>
      </c>
      <c r="BV155" s="14">
        <v>1000</v>
      </c>
      <c r="BW155" s="209"/>
      <c r="BX155" s="3"/>
      <c r="BY155" s="3"/>
      <c r="BZ155" s="40"/>
      <c r="CA155" s="209"/>
      <c r="CB155" s="3"/>
      <c r="CC155" s="3"/>
      <c r="CD155" s="3"/>
      <c r="CE155" s="209"/>
      <c r="CF155" s="3"/>
      <c r="CG155" s="3"/>
      <c r="CH155" s="40"/>
      <c r="CI155" s="209"/>
      <c r="CJ155" s="3"/>
      <c r="CK155" s="3"/>
      <c r="CL155" s="209"/>
      <c r="CM155" s="3"/>
      <c r="CN155" s="3"/>
      <c r="CO155" s="3"/>
      <c r="CP155" s="40"/>
      <c r="CQ155" s="209"/>
      <c r="CR155" s="40"/>
      <c r="CS155" s="3"/>
      <c r="CT155" s="3"/>
    </row>
    <row r="156" spans="1:98">
      <c r="A156" s="42" t="s">
        <v>325</v>
      </c>
      <c r="B156" s="173" t="s">
        <v>436</v>
      </c>
      <c r="C156" s="12"/>
      <c r="D156" s="14" t="s">
        <v>391</v>
      </c>
      <c r="E156" s="12"/>
      <c r="F156" s="12">
        <v>15</v>
      </c>
      <c r="G156" s="14">
        <v>0</v>
      </c>
      <c r="H156" s="163">
        <v>1</v>
      </c>
      <c r="I156" s="163">
        <v>1</v>
      </c>
      <c r="J156" s="12">
        <v>11</v>
      </c>
      <c r="K156" s="14">
        <v>78</v>
      </c>
      <c r="L156" s="26">
        <v>1367</v>
      </c>
      <c r="M156" s="14">
        <v>53</v>
      </c>
      <c r="N156" s="163">
        <v>396</v>
      </c>
      <c r="O156" s="14">
        <v>0</v>
      </c>
      <c r="P156" s="26">
        <v>0</v>
      </c>
      <c r="Q156" s="12">
        <v>1560</v>
      </c>
      <c r="R156" s="209">
        <v>2.4375</v>
      </c>
      <c r="S156" s="14">
        <v>1</v>
      </c>
      <c r="T156" s="163">
        <v>1</v>
      </c>
      <c r="U156" s="163">
        <v>0</v>
      </c>
      <c r="V156" s="26">
        <v>0</v>
      </c>
      <c r="W156" s="14">
        <v>1100</v>
      </c>
      <c r="X156" s="14">
        <v>1</v>
      </c>
      <c r="Y156" s="163">
        <v>1</v>
      </c>
      <c r="Z156" s="163">
        <v>1</v>
      </c>
      <c r="AA156" s="26">
        <v>0</v>
      </c>
      <c r="AB156" s="12">
        <v>1110</v>
      </c>
      <c r="AC156" s="14">
        <v>0</v>
      </c>
      <c r="AD156" s="14">
        <v>1</v>
      </c>
      <c r="AE156" s="163">
        <v>0</v>
      </c>
      <c r="AF156" s="163">
        <v>1</v>
      </c>
      <c r="AG156" s="26">
        <v>0</v>
      </c>
      <c r="AH156" s="14">
        <v>1010</v>
      </c>
      <c r="AI156" s="14">
        <v>0</v>
      </c>
      <c r="AJ156" s="163">
        <v>0</v>
      </c>
      <c r="AK156" s="163">
        <v>0</v>
      </c>
      <c r="AL156" s="26">
        <v>0</v>
      </c>
      <c r="AM156" s="12">
        <v>0</v>
      </c>
      <c r="AN156" s="14">
        <v>0</v>
      </c>
      <c r="AO156" s="163">
        <v>0</v>
      </c>
      <c r="AP156" s="163">
        <v>0</v>
      </c>
      <c r="AQ156" s="163">
        <v>0</v>
      </c>
      <c r="AR156" s="163">
        <v>0</v>
      </c>
      <c r="AS156" s="14">
        <v>1</v>
      </c>
      <c r="AT156" s="163">
        <v>0</v>
      </c>
      <c r="AU156" s="163">
        <v>0</v>
      </c>
      <c r="AV156" s="163">
        <v>0</v>
      </c>
      <c r="AW156" s="26">
        <v>0</v>
      </c>
      <c r="AX156" s="14">
        <v>1</v>
      </c>
      <c r="AY156" s="14">
        <v>0</v>
      </c>
      <c r="AZ156" s="163">
        <v>0</v>
      </c>
      <c r="BA156" s="163">
        <v>0</v>
      </c>
      <c r="BB156" s="26">
        <v>0</v>
      </c>
      <c r="BC156" s="12">
        <v>0</v>
      </c>
      <c r="BD156" s="14">
        <v>0</v>
      </c>
      <c r="BE156" s="163">
        <v>0</v>
      </c>
      <c r="BF156" s="163">
        <v>0</v>
      </c>
      <c r="BG156" s="163">
        <v>0</v>
      </c>
      <c r="BH156" s="163">
        <v>0</v>
      </c>
      <c r="BI156" s="14">
        <v>1</v>
      </c>
      <c r="BJ156" s="163">
        <v>1</v>
      </c>
      <c r="BK156" s="26">
        <v>0</v>
      </c>
      <c r="BL156" s="14">
        <v>0</v>
      </c>
      <c r="BM156" s="163">
        <v>1</v>
      </c>
      <c r="BN156" s="26">
        <v>0</v>
      </c>
      <c r="BO156" s="14">
        <v>1</v>
      </c>
      <c r="BP156" s="12" t="s">
        <v>140</v>
      </c>
      <c r="BQ156" s="163">
        <v>1</v>
      </c>
      <c r="BR156" s="14">
        <v>0</v>
      </c>
      <c r="BS156" s="163">
        <v>0</v>
      </c>
      <c r="BT156" s="163">
        <v>0</v>
      </c>
      <c r="BU156" s="26">
        <v>0</v>
      </c>
      <c r="BV156" s="14">
        <v>0</v>
      </c>
      <c r="BW156" s="209"/>
      <c r="BX156" s="3"/>
      <c r="BY156" s="3"/>
      <c r="BZ156" s="40"/>
      <c r="CA156" s="209"/>
      <c r="CB156" s="3"/>
      <c r="CC156" s="3"/>
      <c r="CD156" s="3"/>
      <c r="CE156" s="209"/>
      <c r="CF156" s="3"/>
      <c r="CG156" s="3"/>
      <c r="CH156" s="40"/>
      <c r="CI156" s="209"/>
      <c r="CJ156" s="3"/>
      <c r="CK156" s="3"/>
      <c r="CL156" s="209"/>
      <c r="CM156" s="3"/>
      <c r="CN156" s="3"/>
      <c r="CO156" s="3"/>
      <c r="CP156" s="40"/>
      <c r="CQ156" s="209"/>
      <c r="CR156" s="40"/>
      <c r="CS156" s="3"/>
      <c r="CT156" s="3"/>
    </row>
    <row r="157" spans="1:98">
      <c r="A157" s="42" t="s">
        <v>325</v>
      </c>
      <c r="B157" s="173" t="s">
        <v>436</v>
      </c>
      <c r="C157" s="12"/>
      <c r="D157" s="14" t="s">
        <v>200</v>
      </c>
      <c r="E157" s="12"/>
      <c r="F157" s="12">
        <v>6</v>
      </c>
      <c r="G157" s="14">
        <v>1</v>
      </c>
      <c r="H157" s="163">
        <v>0</v>
      </c>
      <c r="I157" s="163">
        <v>1</v>
      </c>
      <c r="J157" s="12">
        <v>101</v>
      </c>
      <c r="K157" s="14">
        <v>91</v>
      </c>
      <c r="L157" s="26">
        <v>505</v>
      </c>
      <c r="M157" s="14">
        <v>32</v>
      </c>
      <c r="N157" s="163">
        <v>93</v>
      </c>
      <c r="O157" s="14">
        <v>0</v>
      </c>
      <c r="P157" s="26">
        <v>0</v>
      </c>
      <c r="Q157" s="12">
        <v>505</v>
      </c>
      <c r="R157" s="209">
        <v>1.335978835978836</v>
      </c>
      <c r="S157" s="14">
        <v>1</v>
      </c>
      <c r="T157" s="163">
        <v>1</v>
      </c>
      <c r="U157" s="163">
        <v>0</v>
      </c>
      <c r="V157" s="26">
        <v>0</v>
      </c>
      <c r="W157" s="14">
        <v>1100</v>
      </c>
      <c r="X157" s="14">
        <v>0</v>
      </c>
      <c r="Y157" s="163">
        <v>1</v>
      </c>
      <c r="Z157" s="163">
        <v>1</v>
      </c>
      <c r="AA157" s="26">
        <v>0</v>
      </c>
      <c r="AB157" s="12">
        <v>110</v>
      </c>
      <c r="AC157" s="14">
        <v>1</v>
      </c>
      <c r="AD157" s="14">
        <v>0</v>
      </c>
      <c r="AE157" s="163">
        <v>0</v>
      </c>
      <c r="AF157" s="163">
        <v>1</v>
      </c>
      <c r="AG157" s="26">
        <v>0</v>
      </c>
      <c r="AH157" s="14">
        <v>10</v>
      </c>
      <c r="AI157" s="14">
        <v>0</v>
      </c>
      <c r="AJ157" s="163">
        <v>0</v>
      </c>
      <c r="AK157" s="163">
        <v>0</v>
      </c>
      <c r="AL157" s="26">
        <v>0</v>
      </c>
      <c r="AM157" s="12">
        <v>0</v>
      </c>
      <c r="AN157" s="14">
        <v>0</v>
      </c>
      <c r="AO157" s="163">
        <v>0</v>
      </c>
      <c r="AP157" s="163">
        <v>0</v>
      </c>
      <c r="AQ157" s="163">
        <v>0</v>
      </c>
      <c r="AR157" s="163">
        <v>0</v>
      </c>
      <c r="AS157" s="14">
        <v>1</v>
      </c>
      <c r="AT157" s="163">
        <v>0</v>
      </c>
      <c r="AU157" s="163">
        <v>0</v>
      </c>
      <c r="AV157" s="163">
        <v>0</v>
      </c>
      <c r="AW157" s="26">
        <v>0</v>
      </c>
      <c r="AX157" s="14">
        <v>1</v>
      </c>
      <c r="AY157" s="14">
        <v>0</v>
      </c>
      <c r="AZ157" s="163">
        <v>0</v>
      </c>
      <c r="BA157" s="163">
        <v>0</v>
      </c>
      <c r="BB157" s="26">
        <v>0</v>
      </c>
      <c r="BC157" s="12">
        <v>0</v>
      </c>
      <c r="BD157" s="14">
        <v>0</v>
      </c>
      <c r="BE157" s="163">
        <v>0</v>
      </c>
      <c r="BF157" s="163">
        <v>0</v>
      </c>
      <c r="BG157" s="163">
        <v>0</v>
      </c>
      <c r="BH157" s="163">
        <v>0</v>
      </c>
      <c r="BI157" s="14">
        <v>1</v>
      </c>
      <c r="BJ157" s="163">
        <v>1</v>
      </c>
      <c r="BK157" s="26">
        <v>0</v>
      </c>
      <c r="BL157" s="14">
        <v>0</v>
      </c>
      <c r="BM157" s="163">
        <v>1</v>
      </c>
      <c r="BN157" s="26">
        <v>0</v>
      </c>
      <c r="BO157" s="14">
        <v>1</v>
      </c>
      <c r="BP157" s="12" t="s">
        <v>140</v>
      </c>
      <c r="BQ157" s="163">
        <v>1</v>
      </c>
      <c r="BR157" s="14">
        <v>0</v>
      </c>
      <c r="BS157" s="163">
        <v>0</v>
      </c>
      <c r="BT157" s="163">
        <v>0</v>
      </c>
      <c r="BU157" s="26">
        <v>0</v>
      </c>
      <c r="BV157" s="14">
        <v>0</v>
      </c>
      <c r="BW157" s="209"/>
      <c r="BX157" s="3"/>
      <c r="BY157" s="3"/>
      <c r="BZ157" s="40"/>
      <c r="CA157" s="209"/>
      <c r="CB157" s="3"/>
      <c r="CC157" s="3"/>
      <c r="CD157" s="3"/>
      <c r="CE157" s="209"/>
      <c r="CF157" s="3"/>
      <c r="CG157" s="3"/>
      <c r="CH157" s="40"/>
      <c r="CI157" s="209"/>
      <c r="CJ157" s="3"/>
      <c r="CK157" s="3"/>
      <c r="CL157" s="209"/>
      <c r="CM157" s="3"/>
      <c r="CN157" s="3"/>
      <c r="CO157" s="3"/>
      <c r="CP157" s="40"/>
      <c r="CQ157" s="209"/>
      <c r="CR157" s="40"/>
      <c r="CS157" s="3"/>
      <c r="CT157" s="3"/>
    </row>
    <row r="158" spans="1:98" ht="17" thickBot="1">
      <c r="A158" s="42" t="s">
        <v>325</v>
      </c>
      <c r="B158" s="173" t="s">
        <v>436</v>
      </c>
      <c r="C158" s="12"/>
      <c r="D158" s="14" t="s">
        <v>392</v>
      </c>
      <c r="E158" s="12"/>
      <c r="F158" s="12">
        <v>13</v>
      </c>
      <c r="G158" s="14">
        <v>1</v>
      </c>
      <c r="H158" s="163">
        <v>0</v>
      </c>
      <c r="I158" s="163">
        <v>1</v>
      </c>
      <c r="J158" s="12">
        <v>101</v>
      </c>
      <c r="K158" s="14">
        <v>46</v>
      </c>
      <c r="L158" s="26">
        <v>1538</v>
      </c>
      <c r="M158" s="14">
        <v>254</v>
      </c>
      <c r="N158" s="163">
        <v>418</v>
      </c>
      <c r="O158" s="14">
        <v>0</v>
      </c>
      <c r="P158" s="26">
        <v>0</v>
      </c>
      <c r="Q158" s="12">
        <v>1506</v>
      </c>
      <c r="R158" s="209">
        <v>3.6464891041162226</v>
      </c>
      <c r="S158" s="14">
        <v>1</v>
      </c>
      <c r="T158" s="163">
        <v>1</v>
      </c>
      <c r="U158" s="163">
        <v>0</v>
      </c>
      <c r="V158" s="26">
        <v>0</v>
      </c>
      <c r="W158" s="14">
        <v>1100</v>
      </c>
      <c r="X158" s="14">
        <v>1</v>
      </c>
      <c r="Y158" s="163">
        <v>1</v>
      </c>
      <c r="Z158" s="163">
        <v>1</v>
      </c>
      <c r="AA158" s="26">
        <v>0</v>
      </c>
      <c r="AB158" s="12">
        <v>1110</v>
      </c>
      <c r="AC158" s="14">
        <v>0</v>
      </c>
      <c r="AD158" s="14">
        <v>0</v>
      </c>
      <c r="AE158" s="163">
        <v>1</v>
      </c>
      <c r="AF158" s="163">
        <v>0</v>
      </c>
      <c r="AG158" s="26">
        <v>0</v>
      </c>
      <c r="AH158" s="14">
        <v>100</v>
      </c>
      <c r="AI158" s="14">
        <v>0</v>
      </c>
      <c r="AJ158" s="163">
        <v>0</v>
      </c>
      <c r="AK158" s="163">
        <v>0</v>
      </c>
      <c r="AL158" s="26">
        <v>0</v>
      </c>
      <c r="AM158" s="12">
        <v>0</v>
      </c>
      <c r="AN158" s="14">
        <v>0</v>
      </c>
      <c r="AO158" s="163">
        <v>0</v>
      </c>
      <c r="AP158" s="163">
        <v>0</v>
      </c>
      <c r="AQ158" s="163">
        <v>0</v>
      </c>
      <c r="AR158" s="163">
        <v>0</v>
      </c>
      <c r="AS158" s="14">
        <v>0</v>
      </c>
      <c r="AT158" s="163">
        <v>0</v>
      </c>
      <c r="AU158" s="163">
        <v>0</v>
      </c>
      <c r="AV158" s="163">
        <v>1</v>
      </c>
      <c r="AW158" s="26">
        <v>0</v>
      </c>
      <c r="AX158" s="14">
        <v>1</v>
      </c>
      <c r="AY158" s="14">
        <v>0</v>
      </c>
      <c r="AZ158" s="163">
        <v>0</v>
      </c>
      <c r="BA158" s="163">
        <v>0</v>
      </c>
      <c r="BB158" s="26">
        <v>1</v>
      </c>
      <c r="BC158" s="12">
        <v>1</v>
      </c>
      <c r="BD158" s="14">
        <v>0</v>
      </c>
      <c r="BE158" s="163">
        <v>0</v>
      </c>
      <c r="BF158" s="163">
        <v>0</v>
      </c>
      <c r="BG158" s="163">
        <v>0</v>
      </c>
      <c r="BH158" s="163">
        <v>0</v>
      </c>
      <c r="BI158" s="14">
        <v>1</v>
      </c>
      <c r="BJ158" s="163">
        <v>1</v>
      </c>
      <c r="BK158" s="26">
        <v>0</v>
      </c>
      <c r="BL158" s="14">
        <v>0</v>
      </c>
      <c r="BM158" s="163">
        <v>1</v>
      </c>
      <c r="BN158" s="26">
        <v>0</v>
      </c>
      <c r="BO158" s="14">
        <v>1</v>
      </c>
      <c r="BP158" s="12" t="s">
        <v>140</v>
      </c>
      <c r="BQ158" s="163">
        <v>1</v>
      </c>
      <c r="BR158" s="14">
        <v>0</v>
      </c>
      <c r="BS158" s="163">
        <v>0</v>
      </c>
      <c r="BT158" s="163">
        <v>0</v>
      </c>
      <c r="BU158" s="26">
        <v>0</v>
      </c>
      <c r="BV158" s="14">
        <v>0</v>
      </c>
      <c r="BW158" s="209"/>
      <c r="BX158" s="3"/>
      <c r="BY158" s="3"/>
      <c r="BZ158" s="40"/>
      <c r="CA158" s="209"/>
      <c r="CB158" s="3"/>
      <c r="CC158" s="3"/>
      <c r="CD158" s="3"/>
      <c r="CE158" s="209"/>
      <c r="CF158" s="3"/>
      <c r="CG158" s="3"/>
      <c r="CH158" s="40"/>
      <c r="CI158" s="209"/>
      <c r="CJ158" s="3"/>
      <c r="CK158" s="3"/>
      <c r="CL158" s="209"/>
      <c r="CM158" s="3"/>
      <c r="CN158" s="3"/>
      <c r="CO158" s="3"/>
      <c r="CP158" s="40"/>
      <c r="CQ158" s="209"/>
      <c r="CR158" s="40"/>
      <c r="CS158" s="3"/>
      <c r="CT158" s="3"/>
    </row>
    <row r="159" spans="1:98">
      <c r="A159" s="87" t="s">
        <v>325</v>
      </c>
      <c r="B159" s="7" t="s">
        <v>292</v>
      </c>
      <c r="C159" s="9"/>
      <c r="D159" s="11" t="s">
        <v>189</v>
      </c>
      <c r="E159" s="9"/>
      <c r="F159" s="9">
        <v>5</v>
      </c>
      <c r="G159" s="11">
        <v>0</v>
      </c>
      <c r="H159" s="8">
        <v>0</v>
      </c>
      <c r="I159" s="8">
        <v>1</v>
      </c>
      <c r="J159" s="9">
        <v>1</v>
      </c>
      <c r="K159" s="11">
        <v>703</v>
      </c>
      <c r="L159" s="41">
        <v>921</v>
      </c>
      <c r="M159" s="11">
        <v>0</v>
      </c>
      <c r="N159" s="8">
        <v>0</v>
      </c>
      <c r="O159" s="11">
        <v>432</v>
      </c>
      <c r="P159" s="41">
        <v>499</v>
      </c>
      <c r="Q159" s="9">
        <v>1521</v>
      </c>
      <c r="R159" s="208">
        <v>1.5910041841004183</v>
      </c>
      <c r="S159" s="11">
        <v>1</v>
      </c>
      <c r="T159" s="8">
        <v>0</v>
      </c>
      <c r="U159" s="8">
        <v>1</v>
      </c>
      <c r="V159" s="41">
        <v>0</v>
      </c>
      <c r="W159" s="11">
        <v>1010</v>
      </c>
      <c r="X159" s="11">
        <v>1</v>
      </c>
      <c r="Y159" s="8">
        <v>0</v>
      </c>
      <c r="Z159" s="8">
        <v>0</v>
      </c>
      <c r="AA159" s="41">
        <v>0</v>
      </c>
      <c r="AB159" s="9">
        <v>1000</v>
      </c>
      <c r="AC159" s="11">
        <v>1</v>
      </c>
      <c r="AD159" s="11">
        <v>0</v>
      </c>
      <c r="AE159" s="8">
        <v>0</v>
      </c>
      <c r="AF159" s="8">
        <v>0</v>
      </c>
      <c r="AG159" s="41">
        <v>0</v>
      </c>
      <c r="AH159" s="11">
        <v>0</v>
      </c>
      <c r="AI159" s="11">
        <v>0</v>
      </c>
      <c r="AJ159" s="8">
        <v>0</v>
      </c>
      <c r="AK159" s="8">
        <v>0</v>
      </c>
      <c r="AL159" s="41">
        <v>1</v>
      </c>
      <c r="AM159" s="9">
        <v>1</v>
      </c>
      <c r="AN159" s="11">
        <v>0</v>
      </c>
      <c r="AO159" s="8">
        <v>0</v>
      </c>
      <c r="AP159" s="8">
        <v>0</v>
      </c>
      <c r="AQ159" s="8">
        <v>0</v>
      </c>
      <c r="AR159" s="8">
        <v>0</v>
      </c>
      <c r="AS159" s="11">
        <v>1</v>
      </c>
      <c r="AT159" s="8">
        <v>0</v>
      </c>
      <c r="AU159" s="8">
        <v>0</v>
      </c>
      <c r="AV159" s="8">
        <v>1</v>
      </c>
      <c r="AW159" s="41">
        <v>0</v>
      </c>
      <c r="AX159" s="11">
        <v>2</v>
      </c>
      <c r="AY159" s="11">
        <v>0</v>
      </c>
      <c r="AZ159" s="8">
        <v>0</v>
      </c>
      <c r="BA159" s="8">
        <v>0</v>
      </c>
      <c r="BB159" s="41">
        <v>0</v>
      </c>
      <c r="BC159" s="9">
        <v>0</v>
      </c>
      <c r="BD159" s="11">
        <v>1</v>
      </c>
      <c r="BE159" s="8">
        <v>1</v>
      </c>
      <c r="BF159" s="8">
        <v>0</v>
      </c>
      <c r="BG159" s="8">
        <v>0</v>
      </c>
      <c r="BH159" s="8">
        <v>0</v>
      </c>
      <c r="BI159" s="11">
        <v>1</v>
      </c>
      <c r="BJ159" s="8">
        <v>0</v>
      </c>
      <c r="BK159" s="41">
        <v>0</v>
      </c>
      <c r="BL159" s="11">
        <v>0</v>
      </c>
      <c r="BM159" s="8">
        <v>0</v>
      </c>
      <c r="BN159" s="41">
        <v>0</v>
      </c>
      <c r="BO159" s="11">
        <v>0</v>
      </c>
      <c r="BP159" s="9"/>
      <c r="BQ159" s="8">
        <v>2</v>
      </c>
      <c r="BR159" s="11">
        <v>0</v>
      </c>
      <c r="BS159" s="8">
        <v>0</v>
      </c>
      <c r="BT159" s="8">
        <v>0</v>
      </c>
      <c r="BU159" s="41">
        <v>0</v>
      </c>
      <c r="BV159" s="11">
        <v>0</v>
      </c>
      <c r="BW159" s="208"/>
      <c r="BX159" s="54"/>
      <c r="BY159" s="54"/>
      <c r="BZ159" s="10"/>
      <c r="CA159" s="208"/>
      <c r="CB159" s="54"/>
      <c r="CC159" s="54"/>
      <c r="CD159" s="54"/>
      <c r="CE159" s="208"/>
      <c r="CF159" s="54"/>
      <c r="CG159" s="54"/>
      <c r="CH159" s="10"/>
      <c r="CI159" s="208"/>
      <c r="CJ159" s="54"/>
      <c r="CK159" s="54"/>
      <c r="CL159" s="208"/>
      <c r="CM159" s="54"/>
      <c r="CN159" s="54"/>
      <c r="CO159" s="54"/>
      <c r="CP159" s="10"/>
      <c r="CQ159" s="208"/>
      <c r="CR159" s="10"/>
      <c r="CS159" s="3"/>
      <c r="CT159" s="3"/>
    </row>
    <row r="160" spans="1:98">
      <c r="A160" s="42" t="s">
        <v>325</v>
      </c>
      <c r="B160" s="173" t="s">
        <v>292</v>
      </c>
      <c r="C160" s="12"/>
      <c r="D160" s="14" t="s">
        <v>145</v>
      </c>
      <c r="E160" s="12"/>
      <c r="F160" s="12">
        <v>12</v>
      </c>
      <c r="G160" s="14">
        <v>0</v>
      </c>
      <c r="H160" s="163">
        <v>0</v>
      </c>
      <c r="I160" s="163">
        <v>1</v>
      </c>
      <c r="J160" s="12">
        <v>1</v>
      </c>
      <c r="K160" s="14">
        <v>277</v>
      </c>
      <c r="L160" s="26">
        <v>1952</v>
      </c>
      <c r="M160" s="14">
        <v>0</v>
      </c>
      <c r="N160" s="163">
        <v>714</v>
      </c>
      <c r="O160" s="14">
        <v>241</v>
      </c>
      <c r="P160" s="26">
        <v>890</v>
      </c>
      <c r="Q160" s="12">
        <v>2339</v>
      </c>
      <c r="R160" s="209">
        <v>1.2081611570247934</v>
      </c>
      <c r="S160" s="14">
        <v>1</v>
      </c>
      <c r="T160" s="163">
        <v>1</v>
      </c>
      <c r="U160" s="163">
        <v>1</v>
      </c>
      <c r="V160" s="26">
        <v>0</v>
      </c>
      <c r="W160" s="14">
        <v>1110</v>
      </c>
      <c r="X160" s="14">
        <v>1</v>
      </c>
      <c r="Y160" s="163">
        <v>0</v>
      </c>
      <c r="Z160" s="163">
        <v>0</v>
      </c>
      <c r="AA160" s="26">
        <v>1</v>
      </c>
      <c r="AB160" s="12">
        <v>1001</v>
      </c>
      <c r="AC160" s="14">
        <v>1</v>
      </c>
      <c r="AD160" s="14">
        <v>0</v>
      </c>
      <c r="AE160" s="163">
        <v>0</v>
      </c>
      <c r="AF160" s="163">
        <v>1</v>
      </c>
      <c r="AG160" s="26">
        <v>0</v>
      </c>
      <c r="AH160" s="14">
        <v>10</v>
      </c>
      <c r="AI160" s="14">
        <v>0</v>
      </c>
      <c r="AJ160" s="163">
        <v>0</v>
      </c>
      <c r="AK160" s="163">
        <v>1</v>
      </c>
      <c r="AL160" s="26">
        <v>0</v>
      </c>
      <c r="AM160" s="12">
        <v>10</v>
      </c>
      <c r="AN160" s="14">
        <v>0</v>
      </c>
      <c r="AO160" s="163">
        <v>0</v>
      </c>
      <c r="AP160" s="163">
        <v>0</v>
      </c>
      <c r="AQ160" s="163">
        <v>0</v>
      </c>
      <c r="AR160" s="163">
        <v>0</v>
      </c>
      <c r="AS160" s="14">
        <v>1</v>
      </c>
      <c r="AT160" s="163">
        <v>0</v>
      </c>
      <c r="AU160" s="163">
        <v>0</v>
      </c>
      <c r="AV160" s="163">
        <v>0</v>
      </c>
      <c r="AW160" s="26">
        <v>0</v>
      </c>
      <c r="AX160" s="14">
        <v>1</v>
      </c>
      <c r="AY160" s="14">
        <v>0</v>
      </c>
      <c r="AZ160" s="163">
        <v>0</v>
      </c>
      <c r="BA160" s="163">
        <v>0</v>
      </c>
      <c r="BB160" s="26">
        <v>1</v>
      </c>
      <c r="BC160" s="12">
        <v>1</v>
      </c>
      <c r="BD160" s="14">
        <v>1</v>
      </c>
      <c r="BE160" s="163">
        <v>1</v>
      </c>
      <c r="BF160" s="163">
        <v>0</v>
      </c>
      <c r="BG160" s="163">
        <v>0</v>
      </c>
      <c r="BH160" s="163">
        <v>0</v>
      </c>
      <c r="BI160" s="14">
        <v>1</v>
      </c>
      <c r="BJ160" s="163">
        <v>0</v>
      </c>
      <c r="BK160" s="26">
        <v>0</v>
      </c>
      <c r="BL160" s="14">
        <v>0</v>
      </c>
      <c r="BM160" s="163">
        <v>0</v>
      </c>
      <c r="BN160" s="26">
        <v>0</v>
      </c>
      <c r="BO160" s="14">
        <v>0</v>
      </c>
      <c r="BP160" s="12">
        <v>113</v>
      </c>
      <c r="BQ160" s="163">
        <v>2</v>
      </c>
      <c r="BR160" s="14">
        <v>0</v>
      </c>
      <c r="BS160" s="163">
        <v>0</v>
      </c>
      <c r="BT160" s="163">
        <v>0</v>
      </c>
      <c r="BU160" s="26">
        <v>0</v>
      </c>
      <c r="BV160" s="14">
        <v>0</v>
      </c>
      <c r="BW160" s="209"/>
      <c r="BX160" s="3"/>
      <c r="BY160" s="3"/>
      <c r="BZ160" s="40"/>
      <c r="CA160" s="209"/>
      <c r="CB160" s="3"/>
      <c r="CC160" s="3"/>
      <c r="CD160" s="3"/>
      <c r="CE160" s="209"/>
      <c r="CF160" s="3"/>
      <c r="CG160" s="3"/>
      <c r="CH160" s="40"/>
      <c r="CI160" s="209"/>
      <c r="CJ160" s="3"/>
      <c r="CK160" s="3"/>
      <c r="CL160" s="209"/>
      <c r="CM160" s="3"/>
      <c r="CN160" s="3"/>
      <c r="CO160" s="3"/>
      <c r="CP160" s="40"/>
      <c r="CQ160" s="209"/>
      <c r="CR160" s="40"/>
      <c r="CS160" s="3"/>
      <c r="CT160" s="3"/>
    </row>
    <row r="161" spans="1:98">
      <c r="A161" s="42" t="s">
        <v>325</v>
      </c>
      <c r="B161" s="173" t="s">
        <v>292</v>
      </c>
      <c r="C161" s="12"/>
      <c r="D161" s="14" t="s">
        <v>376</v>
      </c>
      <c r="E161" s="12"/>
      <c r="F161" s="12">
        <v>7</v>
      </c>
      <c r="G161" s="14">
        <v>0</v>
      </c>
      <c r="H161" s="163">
        <v>0</v>
      </c>
      <c r="I161" s="163">
        <v>1</v>
      </c>
      <c r="J161" s="12">
        <v>1</v>
      </c>
      <c r="K161" s="14">
        <v>456</v>
      </c>
      <c r="L161" s="26">
        <v>857</v>
      </c>
      <c r="M161" s="14">
        <v>0</v>
      </c>
      <c r="N161" s="163">
        <v>444</v>
      </c>
      <c r="O161" s="14">
        <v>191</v>
      </c>
      <c r="P161" s="26">
        <v>603</v>
      </c>
      <c r="Q161" s="12">
        <v>1601</v>
      </c>
      <c r="R161" s="209">
        <v>1.2953074433656957</v>
      </c>
      <c r="S161" s="14">
        <v>1</v>
      </c>
      <c r="T161" s="163">
        <v>1</v>
      </c>
      <c r="U161" s="163">
        <v>1</v>
      </c>
      <c r="V161" s="26">
        <v>0</v>
      </c>
      <c r="W161" s="14">
        <v>1110</v>
      </c>
      <c r="X161" s="14">
        <v>1</v>
      </c>
      <c r="Y161" s="163">
        <v>0</v>
      </c>
      <c r="Z161" s="163">
        <v>0</v>
      </c>
      <c r="AA161" s="26">
        <v>0</v>
      </c>
      <c r="AB161" s="12">
        <v>1000</v>
      </c>
      <c r="AC161" s="14">
        <v>1</v>
      </c>
      <c r="AD161" s="14">
        <v>0</v>
      </c>
      <c r="AE161" s="163">
        <v>0</v>
      </c>
      <c r="AF161" s="163">
        <v>1</v>
      </c>
      <c r="AG161" s="26">
        <v>0</v>
      </c>
      <c r="AH161" s="14">
        <v>10</v>
      </c>
      <c r="AI161" s="14">
        <v>0</v>
      </c>
      <c r="AJ161" s="163">
        <v>0</v>
      </c>
      <c r="AK161" s="163">
        <v>0</v>
      </c>
      <c r="AL161" s="26">
        <v>1</v>
      </c>
      <c r="AM161" s="12">
        <v>1</v>
      </c>
      <c r="AN161" s="14">
        <v>0</v>
      </c>
      <c r="AO161" s="163">
        <v>0</v>
      </c>
      <c r="AP161" s="163">
        <v>0</v>
      </c>
      <c r="AQ161" s="163">
        <v>0</v>
      </c>
      <c r="AR161" s="163">
        <v>0</v>
      </c>
      <c r="AS161" s="14">
        <v>1</v>
      </c>
      <c r="AT161" s="163">
        <v>0</v>
      </c>
      <c r="AU161" s="163">
        <v>0</v>
      </c>
      <c r="AV161" s="163">
        <v>1</v>
      </c>
      <c r="AW161" s="26">
        <v>0</v>
      </c>
      <c r="AX161" s="14">
        <v>2</v>
      </c>
      <c r="AY161" s="14">
        <v>0</v>
      </c>
      <c r="AZ161" s="163">
        <v>0</v>
      </c>
      <c r="BA161" s="163">
        <v>0</v>
      </c>
      <c r="BB161" s="26">
        <v>1</v>
      </c>
      <c r="BC161" s="12">
        <v>1</v>
      </c>
      <c r="BD161" s="14">
        <v>0</v>
      </c>
      <c r="BE161" s="163">
        <v>1</v>
      </c>
      <c r="BF161" s="163">
        <v>0</v>
      </c>
      <c r="BG161" s="163">
        <v>0</v>
      </c>
      <c r="BH161" s="163">
        <v>0</v>
      </c>
      <c r="BI161" s="14">
        <v>1</v>
      </c>
      <c r="BJ161" s="163">
        <v>1</v>
      </c>
      <c r="BK161" s="26">
        <v>0</v>
      </c>
      <c r="BL161" s="14">
        <v>0</v>
      </c>
      <c r="BM161" s="163">
        <v>0</v>
      </c>
      <c r="BN161" s="26">
        <v>0</v>
      </c>
      <c r="BO161" s="14">
        <v>0</v>
      </c>
      <c r="BP161" s="12">
        <v>110</v>
      </c>
      <c r="BQ161" s="163">
        <v>2</v>
      </c>
      <c r="BR161" s="14">
        <v>0</v>
      </c>
      <c r="BS161" s="163">
        <v>0</v>
      </c>
      <c r="BT161" s="163">
        <v>0</v>
      </c>
      <c r="BU161" s="26">
        <v>0</v>
      </c>
      <c r="BV161" s="14">
        <v>0</v>
      </c>
      <c r="BW161" s="209"/>
      <c r="BX161" s="3"/>
      <c r="BY161" s="3"/>
      <c r="BZ161" s="40"/>
      <c r="CA161" s="209"/>
      <c r="CB161" s="3"/>
      <c r="CC161" s="3"/>
      <c r="CD161" s="3"/>
      <c r="CE161" s="209"/>
      <c r="CF161" s="3"/>
      <c r="CG161" s="3"/>
      <c r="CH161" s="40"/>
      <c r="CI161" s="209"/>
      <c r="CJ161" s="3"/>
      <c r="CK161" s="3"/>
      <c r="CL161" s="209"/>
      <c r="CM161" s="3"/>
      <c r="CN161" s="3"/>
      <c r="CO161" s="3"/>
      <c r="CP161" s="40"/>
      <c r="CQ161" s="209"/>
      <c r="CR161" s="40"/>
      <c r="CS161" s="3"/>
      <c r="CT161" s="3"/>
    </row>
    <row r="162" spans="1:98">
      <c r="A162" s="42" t="s">
        <v>325</v>
      </c>
      <c r="B162" s="173" t="s">
        <v>292</v>
      </c>
      <c r="C162" s="12"/>
      <c r="D162" s="14" t="s">
        <v>201</v>
      </c>
      <c r="E162" s="12"/>
      <c r="F162" s="12">
        <v>22</v>
      </c>
      <c r="G162" s="14">
        <v>0</v>
      </c>
      <c r="H162" s="163">
        <v>1</v>
      </c>
      <c r="I162" s="163">
        <v>1</v>
      </c>
      <c r="J162" s="12">
        <v>11</v>
      </c>
      <c r="K162" s="14">
        <v>208</v>
      </c>
      <c r="L162" s="26">
        <v>3683</v>
      </c>
      <c r="M162" s="14">
        <v>245</v>
      </c>
      <c r="N162" s="163">
        <v>510</v>
      </c>
      <c r="O162" s="14">
        <v>140</v>
      </c>
      <c r="P162" s="26">
        <v>991</v>
      </c>
      <c r="Q162" s="12">
        <v>4931</v>
      </c>
      <c r="R162" s="209">
        <v>2.5313141683778233</v>
      </c>
      <c r="S162" s="14">
        <v>1</v>
      </c>
      <c r="T162" s="163">
        <v>1</v>
      </c>
      <c r="U162" s="163">
        <v>1</v>
      </c>
      <c r="V162" s="26">
        <v>0</v>
      </c>
      <c r="W162" s="14">
        <v>1110</v>
      </c>
      <c r="X162" s="14">
        <v>1</v>
      </c>
      <c r="Y162" s="163">
        <v>1</v>
      </c>
      <c r="Z162" s="163">
        <v>0</v>
      </c>
      <c r="AA162" s="26">
        <v>0</v>
      </c>
      <c r="AB162" s="12">
        <v>1100</v>
      </c>
      <c r="AC162" s="14">
        <v>1</v>
      </c>
      <c r="AD162" s="14">
        <v>0</v>
      </c>
      <c r="AE162" s="163">
        <v>1</v>
      </c>
      <c r="AF162" s="163">
        <v>1</v>
      </c>
      <c r="AG162" s="26">
        <v>0</v>
      </c>
      <c r="AH162" s="14">
        <v>110</v>
      </c>
      <c r="AI162" s="14">
        <v>0</v>
      </c>
      <c r="AJ162" s="163">
        <v>0</v>
      </c>
      <c r="AK162" s="163">
        <v>1</v>
      </c>
      <c r="AL162" s="26">
        <v>1</v>
      </c>
      <c r="AM162" s="12">
        <v>11</v>
      </c>
      <c r="AN162" s="14">
        <v>0</v>
      </c>
      <c r="AO162" s="163">
        <v>0</v>
      </c>
      <c r="AP162" s="163">
        <v>0</v>
      </c>
      <c r="AQ162" s="163">
        <v>0</v>
      </c>
      <c r="AR162" s="163">
        <v>0</v>
      </c>
      <c r="AS162" s="14">
        <v>1</v>
      </c>
      <c r="AT162" s="163">
        <v>0</v>
      </c>
      <c r="AU162" s="163">
        <v>0</v>
      </c>
      <c r="AV162" s="163">
        <v>1</v>
      </c>
      <c r="AW162" s="26">
        <v>0</v>
      </c>
      <c r="AX162" s="14">
        <v>2</v>
      </c>
      <c r="AY162" s="14">
        <v>0</v>
      </c>
      <c r="AZ162" s="163">
        <v>0</v>
      </c>
      <c r="BA162" s="163">
        <v>0</v>
      </c>
      <c r="BB162" s="26">
        <v>1</v>
      </c>
      <c r="BC162" s="12">
        <v>1</v>
      </c>
      <c r="BD162" s="14">
        <v>0</v>
      </c>
      <c r="BE162" s="163">
        <v>1</v>
      </c>
      <c r="BF162" s="163">
        <v>0</v>
      </c>
      <c r="BG162" s="163">
        <v>0</v>
      </c>
      <c r="BH162" s="163">
        <v>0</v>
      </c>
      <c r="BI162" s="14">
        <v>1</v>
      </c>
      <c r="BJ162" s="163">
        <v>1</v>
      </c>
      <c r="BK162" s="26">
        <v>0</v>
      </c>
      <c r="BL162" s="14">
        <v>0</v>
      </c>
      <c r="BM162" s="163">
        <v>0</v>
      </c>
      <c r="BN162" s="26">
        <v>0</v>
      </c>
      <c r="BO162" s="14">
        <v>0</v>
      </c>
      <c r="BP162" s="12">
        <v>128</v>
      </c>
      <c r="BQ162" s="163">
        <v>2</v>
      </c>
      <c r="BR162" s="14">
        <v>0</v>
      </c>
      <c r="BS162" s="163">
        <v>0</v>
      </c>
      <c r="BT162" s="163">
        <v>0</v>
      </c>
      <c r="BU162" s="26">
        <v>0</v>
      </c>
      <c r="BV162" s="14">
        <v>0</v>
      </c>
      <c r="BW162" s="209"/>
      <c r="BX162" s="3"/>
      <c r="BY162" s="3"/>
      <c r="BZ162" s="40"/>
      <c r="CA162" s="209"/>
      <c r="CB162" s="3"/>
      <c r="CC162" s="3"/>
      <c r="CD162" s="3"/>
      <c r="CE162" s="209"/>
      <c r="CF162" s="3"/>
      <c r="CG162" s="3"/>
      <c r="CH162" s="40"/>
      <c r="CI162" s="209"/>
      <c r="CJ162" s="3"/>
      <c r="CK162" s="3"/>
      <c r="CL162" s="209"/>
      <c r="CM162" s="3"/>
      <c r="CN162" s="3"/>
      <c r="CO162" s="3"/>
      <c r="CP162" s="40"/>
      <c r="CQ162" s="209"/>
      <c r="CR162" s="40"/>
      <c r="CS162" s="3"/>
      <c r="CT162" s="3"/>
    </row>
    <row r="163" spans="1:98">
      <c r="A163" s="42" t="s">
        <v>325</v>
      </c>
      <c r="B163" s="173" t="s">
        <v>292</v>
      </c>
      <c r="C163" s="12"/>
      <c r="D163" s="14" t="s">
        <v>211</v>
      </c>
      <c r="E163" s="12"/>
      <c r="F163" s="12">
        <v>2</v>
      </c>
      <c r="G163" s="14">
        <v>0</v>
      </c>
      <c r="H163" s="163">
        <v>0</v>
      </c>
      <c r="I163" s="163">
        <v>1</v>
      </c>
      <c r="J163" s="12">
        <v>1</v>
      </c>
      <c r="K163" s="14">
        <v>0</v>
      </c>
      <c r="L163" s="26">
        <v>706</v>
      </c>
      <c r="M163" s="14">
        <v>0</v>
      </c>
      <c r="N163" s="163">
        <v>1429</v>
      </c>
      <c r="O163" s="14">
        <v>0</v>
      </c>
      <c r="P163" s="26">
        <v>0</v>
      </c>
      <c r="Q163" s="12">
        <v>2007</v>
      </c>
      <c r="R163" s="209">
        <v>2.9086956521739129</v>
      </c>
      <c r="S163" s="14">
        <v>1</v>
      </c>
      <c r="T163" s="163">
        <v>1</v>
      </c>
      <c r="U163" s="163">
        <v>0</v>
      </c>
      <c r="V163" s="26">
        <v>0</v>
      </c>
      <c r="W163" s="14">
        <v>1100</v>
      </c>
      <c r="X163" s="14">
        <v>1</v>
      </c>
      <c r="Y163" s="163">
        <v>0</v>
      </c>
      <c r="Z163" s="163">
        <v>0</v>
      </c>
      <c r="AA163" s="26">
        <v>0</v>
      </c>
      <c r="AB163" s="12">
        <v>1000</v>
      </c>
      <c r="AC163" s="14">
        <v>0</v>
      </c>
      <c r="AD163" s="14">
        <v>0</v>
      </c>
      <c r="AE163" s="163">
        <v>1</v>
      </c>
      <c r="AF163" s="163">
        <v>0</v>
      </c>
      <c r="AG163" s="26">
        <v>0</v>
      </c>
      <c r="AH163" s="14">
        <v>100</v>
      </c>
      <c r="AI163" s="14">
        <v>0</v>
      </c>
      <c r="AJ163" s="163">
        <v>0</v>
      </c>
      <c r="AK163" s="163">
        <v>0</v>
      </c>
      <c r="AL163" s="26">
        <v>0</v>
      </c>
      <c r="AM163" s="12">
        <v>0</v>
      </c>
      <c r="AN163" s="14">
        <v>0</v>
      </c>
      <c r="AO163" s="163">
        <v>0</v>
      </c>
      <c r="AP163" s="163">
        <v>0</v>
      </c>
      <c r="AQ163" s="163">
        <v>0</v>
      </c>
      <c r="AR163" s="163">
        <v>0</v>
      </c>
      <c r="AS163" s="14">
        <v>1</v>
      </c>
      <c r="AT163" s="163">
        <v>0</v>
      </c>
      <c r="AU163" s="163">
        <v>0</v>
      </c>
      <c r="AV163" s="163">
        <v>0</v>
      </c>
      <c r="AW163" s="26">
        <v>0</v>
      </c>
      <c r="AX163" s="14">
        <v>1</v>
      </c>
      <c r="AY163" s="14">
        <v>0</v>
      </c>
      <c r="AZ163" s="163">
        <v>0</v>
      </c>
      <c r="BA163" s="163">
        <v>0</v>
      </c>
      <c r="BB163" s="26">
        <v>1</v>
      </c>
      <c r="BC163" s="12">
        <v>1</v>
      </c>
      <c r="BD163" s="14">
        <v>0</v>
      </c>
      <c r="BE163" s="163">
        <v>0</v>
      </c>
      <c r="BF163" s="163">
        <v>0</v>
      </c>
      <c r="BG163" s="163">
        <v>0</v>
      </c>
      <c r="BH163" s="163">
        <v>0</v>
      </c>
      <c r="BI163" s="14">
        <v>1</v>
      </c>
      <c r="BJ163" s="163">
        <v>1</v>
      </c>
      <c r="BK163" s="26">
        <v>0</v>
      </c>
      <c r="BL163" s="14">
        <v>0</v>
      </c>
      <c r="BM163" s="163">
        <v>0</v>
      </c>
      <c r="BN163" s="26">
        <v>0</v>
      </c>
      <c r="BO163" s="14">
        <v>0</v>
      </c>
      <c r="BP163" s="12">
        <v>120</v>
      </c>
      <c r="BQ163" s="163">
        <v>2</v>
      </c>
      <c r="BR163" s="14">
        <v>0</v>
      </c>
      <c r="BS163" s="163">
        <v>0</v>
      </c>
      <c r="BT163" s="163">
        <v>0</v>
      </c>
      <c r="BU163" s="26">
        <v>0</v>
      </c>
      <c r="BV163" s="14">
        <v>0</v>
      </c>
      <c r="BW163" s="209">
        <v>55.85</v>
      </c>
      <c r="BX163" s="3"/>
      <c r="BY163" s="3"/>
      <c r="BZ163" s="40"/>
      <c r="CA163" s="209"/>
      <c r="CB163" s="3"/>
      <c r="CC163" s="3"/>
      <c r="CD163" s="3"/>
      <c r="CE163" s="209">
        <v>54.21</v>
      </c>
      <c r="CF163" s="3"/>
      <c r="CG163" s="3"/>
      <c r="CH163" s="40"/>
      <c r="CI163" s="209"/>
      <c r="CJ163" s="3"/>
      <c r="CK163" s="3"/>
      <c r="CL163" s="209">
        <v>72.540000000000006</v>
      </c>
      <c r="CM163" s="3"/>
      <c r="CN163" s="3"/>
      <c r="CO163" s="3"/>
      <c r="CP163" s="40"/>
      <c r="CQ163" s="209">
        <v>75.14</v>
      </c>
      <c r="CR163" s="40"/>
      <c r="CS163" s="3"/>
      <c r="CT163" s="3"/>
    </row>
    <row r="164" spans="1:98">
      <c r="A164" s="42" t="s">
        <v>325</v>
      </c>
      <c r="B164" s="173" t="s">
        <v>292</v>
      </c>
      <c r="C164" s="12"/>
      <c r="D164" s="14" t="s">
        <v>386</v>
      </c>
      <c r="E164" s="12"/>
      <c r="F164" s="12">
        <v>17</v>
      </c>
      <c r="G164" s="14">
        <v>0</v>
      </c>
      <c r="H164" s="163">
        <v>0</v>
      </c>
      <c r="I164" s="163">
        <v>1</v>
      </c>
      <c r="J164" s="12">
        <v>1</v>
      </c>
      <c r="K164" s="14">
        <v>458</v>
      </c>
      <c r="L164" s="26">
        <v>1176</v>
      </c>
      <c r="M164" s="14">
        <v>193</v>
      </c>
      <c r="N164" s="163">
        <v>487</v>
      </c>
      <c r="O164" s="14">
        <v>658</v>
      </c>
      <c r="P164" s="26">
        <v>1033</v>
      </c>
      <c r="Q164" s="12">
        <v>3059</v>
      </c>
      <c r="R164" s="209">
        <v>2.1184210526315788</v>
      </c>
      <c r="S164" s="14">
        <v>1</v>
      </c>
      <c r="T164" s="163">
        <v>1</v>
      </c>
      <c r="U164" s="163">
        <v>1</v>
      </c>
      <c r="V164" s="26">
        <v>0</v>
      </c>
      <c r="W164" s="14">
        <v>1110</v>
      </c>
      <c r="X164" s="14">
        <v>1</v>
      </c>
      <c r="Y164" s="163">
        <v>1</v>
      </c>
      <c r="Z164" s="163">
        <v>0</v>
      </c>
      <c r="AA164" s="26">
        <v>0</v>
      </c>
      <c r="AB164" s="12">
        <v>1100</v>
      </c>
      <c r="AC164" s="14">
        <v>0</v>
      </c>
      <c r="AD164" s="14">
        <v>0</v>
      </c>
      <c r="AE164" s="163">
        <v>1</v>
      </c>
      <c r="AF164" s="163">
        <v>1</v>
      </c>
      <c r="AG164" s="26">
        <v>0</v>
      </c>
      <c r="AH164" s="14">
        <v>110</v>
      </c>
      <c r="AI164" s="14">
        <v>0</v>
      </c>
      <c r="AJ164" s="163">
        <v>0</v>
      </c>
      <c r="AK164" s="163">
        <v>0</v>
      </c>
      <c r="AL164" s="26">
        <v>1</v>
      </c>
      <c r="AM164" s="12">
        <v>1</v>
      </c>
      <c r="AN164" s="14">
        <v>0</v>
      </c>
      <c r="AO164" s="163">
        <v>0</v>
      </c>
      <c r="AP164" s="163">
        <v>0</v>
      </c>
      <c r="AQ164" s="163">
        <v>0</v>
      </c>
      <c r="AR164" s="163">
        <v>0</v>
      </c>
      <c r="AS164" s="14">
        <v>0</v>
      </c>
      <c r="AT164" s="163">
        <v>0</v>
      </c>
      <c r="AU164" s="163">
        <v>0</v>
      </c>
      <c r="AV164" s="163">
        <v>0</v>
      </c>
      <c r="AW164" s="26">
        <v>0</v>
      </c>
      <c r="AX164" s="14">
        <v>0</v>
      </c>
      <c r="AY164" s="14">
        <v>0</v>
      </c>
      <c r="AZ164" s="163">
        <v>0</v>
      </c>
      <c r="BA164" s="163">
        <v>0</v>
      </c>
      <c r="BB164" s="26">
        <v>1</v>
      </c>
      <c r="BC164" s="12">
        <v>1</v>
      </c>
      <c r="BD164" s="14">
        <v>1</v>
      </c>
      <c r="BE164" s="163">
        <v>1</v>
      </c>
      <c r="BF164" s="163">
        <v>0</v>
      </c>
      <c r="BG164" s="163">
        <v>0</v>
      </c>
      <c r="BH164" s="163">
        <v>0</v>
      </c>
      <c r="BI164" s="14">
        <v>1</v>
      </c>
      <c r="BJ164" s="163">
        <v>1</v>
      </c>
      <c r="BK164" s="26">
        <v>0</v>
      </c>
      <c r="BL164" s="14">
        <v>0</v>
      </c>
      <c r="BM164" s="163">
        <v>0</v>
      </c>
      <c r="BN164" s="26">
        <v>0</v>
      </c>
      <c r="BO164" s="14">
        <v>0</v>
      </c>
      <c r="BP164" s="12">
        <v>128</v>
      </c>
      <c r="BQ164" s="163">
        <v>1</v>
      </c>
      <c r="BR164" s="14">
        <v>0</v>
      </c>
      <c r="BS164" s="163">
        <v>0</v>
      </c>
      <c r="BT164" s="163">
        <v>0</v>
      </c>
      <c r="BU164" s="26">
        <v>0</v>
      </c>
      <c r="BV164" s="14">
        <v>0</v>
      </c>
      <c r="BW164" s="209"/>
      <c r="BX164" s="3"/>
      <c r="BY164" s="3"/>
      <c r="BZ164" s="40"/>
      <c r="CA164" s="209"/>
      <c r="CB164" s="3"/>
      <c r="CC164" s="3"/>
      <c r="CD164" s="3"/>
      <c r="CE164" s="209"/>
      <c r="CF164" s="3"/>
      <c r="CG164" s="3"/>
      <c r="CH164" s="40"/>
      <c r="CI164" s="209"/>
      <c r="CJ164" s="3"/>
      <c r="CK164" s="3"/>
      <c r="CL164" s="209"/>
      <c r="CM164" s="3"/>
      <c r="CN164" s="3"/>
      <c r="CO164" s="3"/>
      <c r="CP164" s="40"/>
      <c r="CQ164" s="209"/>
      <c r="CR164" s="40"/>
      <c r="CS164" s="3"/>
      <c r="CT164" s="3"/>
    </row>
    <row r="165" spans="1:98">
      <c r="A165" s="42" t="s">
        <v>325</v>
      </c>
      <c r="B165" s="173" t="s">
        <v>292</v>
      </c>
      <c r="C165" s="12"/>
      <c r="D165" s="14" t="s">
        <v>394</v>
      </c>
      <c r="E165" s="12"/>
      <c r="F165" s="12">
        <v>7</v>
      </c>
      <c r="G165" s="14">
        <v>0</v>
      </c>
      <c r="H165" s="163">
        <v>0</v>
      </c>
      <c r="I165" s="163">
        <v>1</v>
      </c>
      <c r="J165" s="12">
        <v>1</v>
      </c>
      <c r="K165" s="14">
        <v>359</v>
      </c>
      <c r="L165" s="26">
        <v>1661</v>
      </c>
      <c r="M165" s="14">
        <v>49</v>
      </c>
      <c r="N165" s="163">
        <v>399</v>
      </c>
      <c r="O165" s="14">
        <v>0</v>
      </c>
      <c r="P165" s="26">
        <v>224</v>
      </c>
      <c r="Q165" s="12">
        <v>1661</v>
      </c>
      <c r="R165" s="209">
        <v>2.3762517882689558</v>
      </c>
      <c r="S165" s="14">
        <v>1</v>
      </c>
      <c r="T165" s="163">
        <v>1</v>
      </c>
      <c r="U165" s="163">
        <v>1</v>
      </c>
      <c r="V165" s="26">
        <v>0</v>
      </c>
      <c r="W165" s="14">
        <v>1110</v>
      </c>
      <c r="X165" s="14">
        <v>1</v>
      </c>
      <c r="Y165" s="163">
        <v>0</v>
      </c>
      <c r="Z165" s="163">
        <v>0</v>
      </c>
      <c r="AA165" s="26">
        <v>0</v>
      </c>
      <c r="AB165" s="12">
        <v>1000</v>
      </c>
      <c r="AC165" s="14">
        <v>0</v>
      </c>
      <c r="AD165" s="14">
        <v>0</v>
      </c>
      <c r="AE165" s="163">
        <v>0</v>
      </c>
      <c r="AF165" s="163">
        <v>1</v>
      </c>
      <c r="AG165" s="26">
        <v>0</v>
      </c>
      <c r="AH165" s="14">
        <v>10</v>
      </c>
      <c r="AI165" s="14">
        <v>0</v>
      </c>
      <c r="AJ165" s="163">
        <v>0</v>
      </c>
      <c r="AK165" s="163">
        <v>1</v>
      </c>
      <c r="AL165" s="26">
        <v>0</v>
      </c>
      <c r="AM165" s="12">
        <v>10</v>
      </c>
      <c r="AN165" s="14">
        <v>0</v>
      </c>
      <c r="AO165" s="163">
        <v>0</v>
      </c>
      <c r="AP165" s="163">
        <v>0</v>
      </c>
      <c r="AQ165" s="163">
        <v>0</v>
      </c>
      <c r="AR165" s="163">
        <v>0</v>
      </c>
      <c r="AS165" s="14">
        <v>1</v>
      </c>
      <c r="AT165" s="163">
        <v>0</v>
      </c>
      <c r="AU165" s="163">
        <v>0</v>
      </c>
      <c r="AV165" s="163">
        <v>0</v>
      </c>
      <c r="AW165" s="26">
        <v>0</v>
      </c>
      <c r="AX165" s="14">
        <v>1</v>
      </c>
      <c r="AY165" s="14">
        <v>0</v>
      </c>
      <c r="AZ165" s="163">
        <v>0</v>
      </c>
      <c r="BA165" s="163">
        <v>0</v>
      </c>
      <c r="BB165" s="26">
        <v>1</v>
      </c>
      <c r="BC165" s="12">
        <v>1</v>
      </c>
      <c r="BD165" s="14">
        <v>1</v>
      </c>
      <c r="BE165" s="163">
        <v>1</v>
      </c>
      <c r="BF165" s="163">
        <v>0</v>
      </c>
      <c r="BG165" s="163">
        <v>0</v>
      </c>
      <c r="BH165" s="163">
        <v>0</v>
      </c>
      <c r="BI165" s="14">
        <v>1</v>
      </c>
      <c r="BJ165" s="163">
        <v>0</v>
      </c>
      <c r="BK165" s="26">
        <v>0</v>
      </c>
      <c r="BL165" s="14">
        <v>0</v>
      </c>
      <c r="BM165" s="163">
        <v>0</v>
      </c>
      <c r="BN165" s="26">
        <v>0</v>
      </c>
      <c r="BO165" s="14">
        <v>0</v>
      </c>
      <c r="BP165" s="12">
        <v>113</v>
      </c>
      <c r="BQ165" s="163">
        <v>2</v>
      </c>
      <c r="BR165" s="14">
        <v>0</v>
      </c>
      <c r="BS165" s="163">
        <v>0</v>
      </c>
      <c r="BT165" s="163">
        <v>0</v>
      </c>
      <c r="BU165" s="26">
        <v>0</v>
      </c>
      <c r="BV165" s="14">
        <v>0</v>
      </c>
      <c r="BW165" s="209"/>
      <c r="BX165" s="3"/>
      <c r="BY165" s="3"/>
      <c r="BZ165" s="40"/>
      <c r="CA165" s="209"/>
      <c r="CB165" s="3"/>
      <c r="CC165" s="3"/>
      <c r="CD165" s="3"/>
      <c r="CE165" s="209"/>
      <c r="CF165" s="3"/>
      <c r="CG165" s="3"/>
      <c r="CH165" s="40"/>
      <c r="CI165" s="209"/>
      <c r="CJ165" s="3"/>
      <c r="CK165" s="3"/>
      <c r="CL165" s="209"/>
      <c r="CM165" s="3"/>
      <c r="CN165" s="3"/>
      <c r="CO165" s="3"/>
      <c r="CP165" s="40"/>
      <c r="CQ165" s="209"/>
      <c r="CR165" s="40"/>
      <c r="CS165" s="3"/>
      <c r="CT165" s="3"/>
    </row>
    <row r="166" spans="1:98">
      <c r="A166" s="42" t="s">
        <v>325</v>
      </c>
      <c r="B166" s="173" t="s">
        <v>292</v>
      </c>
      <c r="C166" s="12"/>
      <c r="D166" s="14" t="s">
        <v>402</v>
      </c>
      <c r="E166" s="12"/>
      <c r="F166" s="12">
        <v>35</v>
      </c>
      <c r="G166" s="14">
        <v>0</v>
      </c>
      <c r="H166" s="163">
        <v>0</v>
      </c>
      <c r="I166" s="163">
        <v>1</v>
      </c>
      <c r="J166" s="12">
        <v>1</v>
      </c>
      <c r="K166" s="14">
        <v>217</v>
      </c>
      <c r="L166" s="26">
        <v>1409</v>
      </c>
      <c r="M166" s="14">
        <v>93</v>
      </c>
      <c r="N166" s="163">
        <v>695</v>
      </c>
      <c r="O166" s="14">
        <v>161</v>
      </c>
      <c r="P166" s="26">
        <v>597</v>
      </c>
      <c r="Q166" s="12">
        <v>3382</v>
      </c>
      <c r="R166" s="209">
        <v>0.90500401391490504</v>
      </c>
      <c r="S166" s="14">
        <v>1</v>
      </c>
      <c r="T166" s="163">
        <v>1</v>
      </c>
      <c r="U166" s="163">
        <v>1</v>
      </c>
      <c r="V166" s="26">
        <v>0</v>
      </c>
      <c r="W166" s="14">
        <v>1110</v>
      </c>
      <c r="X166" s="14">
        <v>1</v>
      </c>
      <c r="Y166" s="163">
        <v>1</v>
      </c>
      <c r="Z166" s="163">
        <v>0</v>
      </c>
      <c r="AA166" s="26">
        <v>0</v>
      </c>
      <c r="AB166" s="12">
        <v>1100</v>
      </c>
      <c r="AC166" s="14">
        <v>0</v>
      </c>
      <c r="AD166" s="14">
        <v>0</v>
      </c>
      <c r="AE166" s="163">
        <v>1</v>
      </c>
      <c r="AF166" s="163">
        <v>1</v>
      </c>
      <c r="AG166" s="26">
        <v>0</v>
      </c>
      <c r="AH166" s="14">
        <v>110</v>
      </c>
      <c r="AI166" s="14">
        <v>0</v>
      </c>
      <c r="AJ166" s="163">
        <v>0</v>
      </c>
      <c r="AK166" s="163">
        <v>1</v>
      </c>
      <c r="AL166" s="26">
        <v>1</v>
      </c>
      <c r="AM166" s="12">
        <v>11</v>
      </c>
      <c r="AN166" s="14">
        <v>0</v>
      </c>
      <c r="AO166" s="163">
        <v>0</v>
      </c>
      <c r="AP166" s="163">
        <v>0</v>
      </c>
      <c r="AQ166" s="163">
        <v>0</v>
      </c>
      <c r="AR166" s="163">
        <v>0</v>
      </c>
      <c r="AS166" s="14">
        <v>0</v>
      </c>
      <c r="AT166" s="163">
        <v>0</v>
      </c>
      <c r="AU166" s="163">
        <v>0</v>
      </c>
      <c r="AV166" s="163">
        <v>1</v>
      </c>
      <c r="AW166" s="26">
        <v>0</v>
      </c>
      <c r="AX166" s="14">
        <v>1</v>
      </c>
      <c r="AY166" s="14">
        <v>0</v>
      </c>
      <c r="AZ166" s="163">
        <v>0</v>
      </c>
      <c r="BA166" s="163">
        <v>0</v>
      </c>
      <c r="BB166" s="26">
        <v>1</v>
      </c>
      <c r="BC166" s="12">
        <v>1</v>
      </c>
      <c r="BD166" s="14">
        <v>0</v>
      </c>
      <c r="BE166" s="163">
        <v>1</v>
      </c>
      <c r="BF166" s="163">
        <v>0</v>
      </c>
      <c r="BG166" s="163">
        <v>0</v>
      </c>
      <c r="BH166" s="163">
        <v>0</v>
      </c>
      <c r="BI166" s="14">
        <v>1</v>
      </c>
      <c r="BJ166" s="163">
        <v>1</v>
      </c>
      <c r="BK166" s="26">
        <v>1</v>
      </c>
      <c r="BL166" s="14">
        <v>0</v>
      </c>
      <c r="BM166" s="163">
        <v>0</v>
      </c>
      <c r="BN166" s="26">
        <v>1</v>
      </c>
      <c r="BO166" s="14">
        <v>1</v>
      </c>
      <c r="BP166" s="12">
        <v>114</v>
      </c>
      <c r="BQ166" s="163">
        <v>1</v>
      </c>
      <c r="BR166" s="14">
        <v>0</v>
      </c>
      <c r="BS166" s="163">
        <v>0</v>
      </c>
      <c r="BT166" s="163">
        <v>0</v>
      </c>
      <c r="BU166" s="26">
        <v>0</v>
      </c>
      <c r="BV166" s="14">
        <v>0</v>
      </c>
      <c r="BW166" s="217">
        <v>55.19</v>
      </c>
      <c r="BX166" s="144">
        <v>54.49</v>
      </c>
      <c r="BY166" s="218">
        <v>55.45</v>
      </c>
      <c r="BZ166" s="40"/>
      <c r="CA166" s="209"/>
      <c r="CB166" s="3"/>
      <c r="CC166" s="3"/>
      <c r="CD166" s="3"/>
      <c r="CE166" s="217">
        <v>56.93</v>
      </c>
      <c r="CF166" s="3"/>
      <c r="CG166" s="3"/>
      <c r="CH166" s="40"/>
      <c r="CI166" s="209"/>
      <c r="CJ166" s="3"/>
      <c r="CK166" s="3"/>
      <c r="CL166" s="209">
        <v>73.37</v>
      </c>
      <c r="CM166" s="3">
        <v>72.55</v>
      </c>
      <c r="CN166" s="3"/>
      <c r="CO166" s="3"/>
      <c r="CP166" s="40"/>
      <c r="CQ166" s="209"/>
      <c r="CR166" s="40"/>
      <c r="CS166" s="3"/>
      <c r="CT166" s="3"/>
    </row>
    <row r="167" spans="1:98">
      <c r="A167" s="42" t="s">
        <v>325</v>
      </c>
      <c r="B167" s="173" t="s">
        <v>292</v>
      </c>
      <c r="C167" s="12"/>
      <c r="D167" s="14" t="s">
        <v>377</v>
      </c>
      <c r="E167" s="12"/>
      <c r="F167" s="12">
        <v>5</v>
      </c>
      <c r="G167" s="14">
        <v>0</v>
      </c>
      <c r="H167" s="163">
        <v>0</v>
      </c>
      <c r="I167" s="163">
        <v>1</v>
      </c>
      <c r="J167" s="12">
        <v>1</v>
      </c>
      <c r="K167" s="14">
        <v>0</v>
      </c>
      <c r="L167" s="26">
        <v>597</v>
      </c>
      <c r="M167" s="14">
        <v>151</v>
      </c>
      <c r="N167" s="163">
        <v>455</v>
      </c>
      <c r="O167" s="14">
        <v>0</v>
      </c>
      <c r="P167" s="26">
        <v>637</v>
      </c>
      <c r="Q167" s="12">
        <v>1295</v>
      </c>
      <c r="R167" s="209">
        <v>2.0393700787401574</v>
      </c>
      <c r="S167" s="14">
        <v>1</v>
      </c>
      <c r="T167" s="163">
        <v>1</v>
      </c>
      <c r="U167" s="163">
        <v>1</v>
      </c>
      <c r="V167" s="26">
        <v>0</v>
      </c>
      <c r="W167" s="14">
        <v>1110</v>
      </c>
      <c r="X167" s="14">
        <v>1</v>
      </c>
      <c r="Y167" s="163">
        <v>0</v>
      </c>
      <c r="Z167" s="163">
        <v>0</v>
      </c>
      <c r="AA167" s="26">
        <v>0</v>
      </c>
      <c r="AB167" s="12">
        <v>1000</v>
      </c>
      <c r="AC167" s="14">
        <v>0</v>
      </c>
      <c r="AD167" s="14">
        <v>0</v>
      </c>
      <c r="AE167" s="163">
        <v>1</v>
      </c>
      <c r="AF167" s="163">
        <v>1</v>
      </c>
      <c r="AG167" s="26">
        <v>0</v>
      </c>
      <c r="AH167" s="14">
        <v>110</v>
      </c>
      <c r="AI167" s="14">
        <v>0</v>
      </c>
      <c r="AJ167" s="163">
        <v>0</v>
      </c>
      <c r="AK167" s="163">
        <v>1</v>
      </c>
      <c r="AL167" s="26">
        <v>0</v>
      </c>
      <c r="AM167" s="12">
        <v>10</v>
      </c>
      <c r="AN167" s="14">
        <v>0</v>
      </c>
      <c r="AO167" s="163">
        <v>0</v>
      </c>
      <c r="AP167" s="163">
        <v>0</v>
      </c>
      <c r="AQ167" s="163">
        <v>0</v>
      </c>
      <c r="AR167" s="163">
        <v>0</v>
      </c>
      <c r="AS167" s="14">
        <v>1</v>
      </c>
      <c r="AT167" s="163">
        <v>0</v>
      </c>
      <c r="AU167" s="163">
        <v>0</v>
      </c>
      <c r="AV167" s="163">
        <v>0</v>
      </c>
      <c r="AW167" s="26">
        <v>0</v>
      </c>
      <c r="AX167" s="14">
        <v>1</v>
      </c>
      <c r="AY167" s="14">
        <v>0</v>
      </c>
      <c r="AZ167" s="163">
        <v>0</v>
      </c>
      <c r="BA167" s="163">
        <v>0</v>
      </c>
      <c r="BB167" s="26">
        <v>1</v>
      </c>
      <c r="BC167" s="12">
        <v>1</v>
      </c>
      <c r="BD167" s="14">
        <v>1</v>
      </c>
      <c r="BE167" s="163">
        <v>0</v>
      </c>
      <c r="BF167" s="163">
        <v>0</v>
      </c>
      <c r="BG167" s="163">
        <v>0</v>
      </c>
      <c r="BH167" s="163">
        <v>0</v>
      </c>
      <c r="BI167" s="14">
        <v>0</v>
      </c>
      <c r="BJ167" s="163">
        <v>0</v>
      </c>
      <c r="BK167" s="26">
        <v>0</v>
      </c>
      <c r="BL167" s="14">
        <v>0</v>
      </c>
      <c r="BM167" s="163">
        <v>0</v>
      </c>
      <c r="BN167" s="26">
        <v>0</v>
      </c>
      <c r="BO167" s="14">
        <v>0</v>
      </c>
      <c r="BP167" s="12">
        <v>106</v>
      </c>
      <c r="BQ167" s="163">
        <v>2</v>
      </c>
      <c r="BR167" s="14">
        <v>0</v>
      </c>
      <c r="BS167" s="163">
        <v>0</v>
      </c>
      <c r="BT167" s="163">
        <v>0</v>
      </c>
      <c r="BU167" s="26">
        <v>0</v>
      </c>
      <c r="BV167" s="14">
        <v>0</v>
      </c>
      <c r="BW167" s="209"/>
      <c r="BX167" s="3"/>
      <c r="BY167" s="3"/>
      <c r="BZ167" s="40"/>
      <c r="CA167" s="209"/>
      <c r="CB167" s="3"/>
      <c r="CC167" s="3"/>
      <c r="CD167" s="3"/>
      <c r="CE167" s="209"/>
      <c r="CF167" s="3"/>
      <c r="CG167" s="3"/>
      <c r="CH167" s="40"/>
      <c r="CI167" s="209"/>
      <c r="CJ167" s="3"/>
      <c r="CK167" s="3"/>
      <c r="CL167" s="209"/>
      <c r="CM167" s="3"/>
      <c r="CN167" s="3"/>
      <c r="CO167" s="3"/>
      <c r="CP167" s="40"/>
      <c r="CQ167" s="209"/>
      <c r="CR167" s="40"/>
      <c r="CS167" s="3"/>
      <c r="CT167" s="3"/>
    </row>
    <row r="168" spans="1:98">
      <c r="A168" s="42" t="s">
        <v>325</v>
      </c>
      <c r="B168" s="173" t="s">
        <v>292</v>
      </c>
      <c r="C168" s="12"/>
      <c r="D168" s="14" t="s">
        <v>167</v>
      </c>
      <c r="E168" s="12"/>
      <c r="F168" s="12">
        <v>25</v>
      </c>
      <c r="G168" s="14">
        <v>1</v>
      </c>
      <c r="H168" s="163">
        <v>0</v>
      </c>
      <c r="I168" s="163">
        <v>1</v>
      </c>
      <c r="J168" s="12">
        <v>101</v>
      </c>
      <c r="K168" s="14">
        <v>311</v>
      </c>
      <c r="L168" s="26">
        <v>1904</v>
      </c>
      <c r="M168" s="14">
        <v>112</v>
      </c>
      <c r="N168" s="163">
        <v>1126</v>
      </c>
      <c r="O168" s="14">
        <v>505</v>
      </c>
      <c r="P168" s="26">
        <v>829</v>
      </c>
      <c r="Q168" s="12">
        <v>4523</v>
      </c>
      <c r="R168" s="209">
        <v>1.2662374020156775</v>
      </c>
      <c r="S168" s="14">
        <v>1</v>
      </c>
      <c r="T168" s="163">
        <v>1</v>
      </c>
      <c r="U168" s="163">
        <v>1</v>
      </c>
      <c r="V168" s="26">
        <v>0</v>
      </c>
      <c r="W168" s="14">
        <v>1110</v>
      </c>
      <c r="X168" s="14">
        <v>0</v>
      </c>
      <c r="Y168" s="163">
        <v>1</v>
      </c>
      <c r="Z168" s="163">
        <v>0</v>
      </c>
      <c r="AA168" s="26">
        <v>0</v>
      </c>
      <c r="AB168" s="12">
        <v>100</v>
      </c>
      <c r="AC168" s="14">
        <v>1</v>
      </c>
      <c r="AD168" s="14">
        <v>0</v>
      </c>
      <c r="AE168" s="163">
        <v>1</v>
      </c>
      <c r="AF168" s="163">
        <v>1</v>
      </c>
      <c r="AG168" s="26">
        <v>0</v>
      </c>
      <c r="AH168" s="14">
        <v>110</v>
      </c>
      <c r="AI168" s="14">
        <v>0</v>
      </c>
      <c r="AJ168" s="163">
        <v>0</v>
      </c>
      <c r="AK168" s="163">
        <v>1</v>
      </c>
      <c r="AL168" s="26">
        <v>0</v>
      </c>
      <c r="AM168" s="12">
        <v>10</v>
      </c>
      <c r="AN168" s="14">
        <v>0</v>
      </c>
      <c r="AO168" s="163">
        <v>0</v>
      </c>
      <c r="AP168" s="163">
        <v>0</v>
      </c>
      <c r="AQ168" s="163">
        <v>0</v>
      </c>
      <c r="AR168" s="163">
        <v>0</v>
      </c>
      <c r="AS168" s="14">
        <v>1</v>
      </c>
      <c r="AT168" s="163">
        <v>0</v>
      </c>
      <c r="AU168" s="163">
        <v>0</v>
      </c>
      <c r="AV168" s="163">
        <v>1</v>
      </c>
      <c r="AW168" s="26">
        <v>0</v>
      </c>
      <c r="AX168" s="14">
        <v>2</v>
      </c>
      <c r="AY168" s="14">
        <v>0</v>
      </c>
      <c r="AZ168" s="163">
        <v>0</v>
      </c>
      <c r="BA168" s="163">
        <v>0</v>
      </c>
      <c r="BB168" s="26">
        <v>1</v>
      </c>
      <c r="BC168" s="12">
        <v>1</v>
      </c>
      <c r="BD168" s="14">
        <v>1</v>
      </c>
      <c r="BE168" s="163">
        <v>0</v>
      </c>
      <c r="BF168" s="163">
        <v>0</v>
      </c>
      <c r="BG168" s="163">
        <v>0</v>
      </c>
      <c r="BH168" s="163">
        <v>0</v>
      </c>
      <c r="BI168" s="14">
        <v>1</v>
      </c>
      <c r="BJ168" s="163">
        <v>1</v>
      </c>
      <c r="BK168" s="26">
        <v>0</v>
      </c>
      <c r="BL168" s="14">
        <v>0</v>
      </c>
      <c r="BM168" s="163">
        <v>0</v>
      </c>
      <c r="BN168" s="26">
        <v>0</v>
      </c>
      <c r="BO168" s="14">
        <v>1</v>
      </c>
      <c r="BP168" s="12">
        <v>132</v>
      </c>
      <c r="BQ168" s="163">
        <v>1</v>
      </c>
      <c r="BR168" s="14">
        <v>0</v>
      </c>
      <c r="BS168" s="163">
        <v>0</v>
      </c>
      <c r="BT168" s="163">
        <v>0</v>
      </c>
      <c r="BU168" s="26">
        <v>0</v>
      </c>
      <c r="BV168" s="14">
        <v>0</v>
      </c>
      <c r="BW168" s="217">
        <v>51.97</v>
      </c>
      <c r="BX168" s="219">
        <v>51.3</v>
      </c>
      <c r="BY168" s="3">
        <v>56.79</v>
      </c>
      <c r="BZ168" s="40"/>
      <c r="CA168" s="209">
        <v>54</v>
      </c>
      <c r="CB168" s="3"/>
      <c r="CC168" s="3"/>
      <c r="CD168" s="3"/>
      <c r="CE168" s="217">
        <v>58.79</v>
      </c>
      <c r="CF168" s="219">
        <v>55.61</v>
      </c>
      <c r="CG168" s="3">
        <v>56.6</v>
      </c>
      <c r="CH168" s="40"/>
      <c r="CI168" s="209"/>
      <c r="CJ168" s="3"/>
      <c r="CK168" s="3"/>
      <c r="CL168" s="217">
        <v>72.53</v>
      </c>
      <c r="CM168" s="3">
        <v>72.31</v>
      </c>
      <c r="CN168" s="3"/>
      <c r="CO168" s="3"/>
      <c r="CP168" s="40"/>
      <c r="CQ168" s="217">
        <v>73.69</v>
      </c>
      <c r="CR168" s="40"/>
      <c r="CS168" s="3"/>
      <c r="CT168" s="3"/>
    </row>
    <row r="169" spans="1:98">
      <c r="A169" s="42" t="s">
        <v>325</v>
      </c>
      <c r="B169" s="173" t="s">
        <v>292</v>
      </c>
      <c r="C169" s="12"/>
      <c r="D169" s="14" t="s">
        <v>204</v>
      </c>
      <c r="E169" s="12"/>
      <c r="F169" s="12">
        <v>9</v>
      </c>
      <c r="G169" s="14">
        <v>0</v>
      </c>
      <c r="H169" s="163">
        <v>0</v>
      </c>
      <c r="I169" s="163">
        <v>1</v>
      </c>
      <c r="J169" s="12">
        <v>1</v>
      </c>
      <c r="K169" s="14">
        <v>276</v>
      </c>
      <c r="L169" s="26">
        <v>2036</v>
      </c>
      <c r="M169" s="14">
        <v>275</v>
      </c>
      <c r="N169" s="163">
        <v>436</v>
      </c>
      <c r="O169" s="14">
        <v>442</v>
      </c>
      <c r="P169" s="26">
        <v>924</v>
      </c>
      <c r="Q169" s="12">
        <v>2808</v>
      </c>
      <c r="R169" s="209">
        <v>2.0526315789473686</v>
      </c>
      <c r="S169" s="14">
        <v>1</v>
      </c>
      <c r="T169" s="163">
        <v>1</v>
      </c>
      <c r="U169" s="163">
        <v>1</v>
      </c>
      <c r="V169" s="26">
        <v>0</v>
      </c>
      <c r="W169" s="14">
        <v>1110</v>
      </c>
      <c r="X169" s="14">
        <v>0</v>
      </c>
      <c r="Y169" s="163">
        <v>1</v>
      </c>
      <c r="Z169" s="163">
        <v>0</v>
      </c>
      <c r="AA169" s="26">
        <v>0</v>
      </c>
      <c r="AB169" s="12">
        <v>100</v>
      </c>
      <c r="AC169" s="14">
        <v>1</v>
      </c>
      <c r="AD169" s="14">
        <v>0</v>
      </c>
      <c r="AE169" s="163">
        <v>0</v>
      </c>
      <c r="AF169" s="163">
        <v>1</v>
      </c>
      <c r="AG169" s="26">
        <v>1</v>
      </c>
      <c r="AH169" s="14">
        <v>11</v>
      </c>
      <c r="AI169" s="14">
        <v>0</v>
      </c>
      <c r="AJ169" s="163">
        <v>0</v>
      </c>
      <c r="AK169" s="163">
        <v>1</v>
      </c>
      <c r="AL169" s="26">
        <v>0</v>
      </c>
      <c r="AM169" s="12">
        <v>10</v>
      </c>
      <c r="AN169" s="14">
        <v>0</v>
      </c>
      <c r="AO169" s="163">
        <v>0</v>
      </c>
      <c r="AP169" s="163">
        <v>0</v>
      </c>
      <c r="AQ169" s="163">
        <v>0</v>
      </c>
      <c r="AR169" s="163">
        <v>0</v>
      </c>
      <c r="AS169" s="14">
        <v>1</v>
      </c>
      <c r="AT169" s="163">
        <v>0</v>
      </c>
      <c r="AU169" s="163">
        <v>0</v>
      </c>
      <c r="AV169" s="163">
        <v>0</v>
      </c>
      <c r="AW169" s="26">
        <v>0</v>
      </c>
      <c r="AX169" s="14">
        <v>1</v>
      </c>
      <c r="AY169" s="14">
        <v>0</v>
      </c>
      <c r="AZ169" s="163">
        <v>0</v>
      </c>
      <c r="BA169" s="163">
        <v>0</v>
      </c>
      <c r="BB169" s="26">
        <v>1</v>
      </c>
      <c r="BC169" s="12">
        <v>1</v>
      </c>
      <c r="BD169" s="14">
        <v>1</v>
      </c>
      <c r="BE169" s="163">
        <v>1</v>
      </c>
      <c r="BF169" s="163">
        <v>0</v>
      </c>
      <c r="BG169" s="163">
        <v>0</v>
      </c>
      <c r="BH169" s="163">
        <v>0</v>
      </c>
      <c r="BI169" s="14">
        <v>1</v>
      </c>
      <c r="BJ169" s="163">
        <v>1</v>
      </c>
      <c r="BK169" s="26">
        <v>0</v>
      </c>
      <c r="BL169" s="14">
        <v>0</v>
      </c>
      <c r="BM169" s="163">
        <v>0</v>
      </c>
      <c r="BN169" s="26">
        <v>0</v>
      </c>
      <c r="BO169" s="14">
        <v>0</v>
      </c>
      <c r="BP169" s="12">
        <v>122</v>
      </c>
      <c r="BQ169" s="163">
        <v>2</v>
      </c>
      <c r="BR169" s="14">
        <v>1</v>
      </c>
      <c r="BS169" s="163">
        <v>0</v>
      </c>
      <c r="BT169" s="163">
        <v>1</v>
      </c>
      <c r="BU169" s="26">
        <v>0</v>
      </c>
      <c r="BV169" s="14">
        <v>1010</v>
      </c>
      <c r="BW169" s="209"/>
      <c r="BX169" s="3"/>
      <c r="BY169" s="3"/>
      <c r="BZ169" s="40"/>
      <c r="CA169" s="209"/>
      <c r="CB169" s="3"/>
      <c r="CC169" s="3"/>
      <c r="CD169" s="3"/>
      <c r="CE169" s="209"/>
      <c r="CF169" s="3"/>
      <c r="CG169" s="3"/>
      <c r="CH169" s="40"/>
      <c r="CI169" s="209"/>
      <c r="CJ169" s="3"/>
      <c r="CK169" s="3"/>
      <c r="CL169" s="209"/>
      <c r="CM169" s="3"/>
      <c r="CN169" s="3"/>
      <c r="CO169" s="3"/>
      <c r="CP169" s="40"/>
      <c r="CQ169" s="209"/>
      <c r="CR169" s="40"/>
      <c r="CS169" s="3"/>
      <c r="CT169" s="3"/>
    </row>
    <row r="170" spans="1:98">
      <c r="A170" s="42" t="s">
        <v>325</v>
      </c>
      <c r="B170" s="173" t="s">
        <v>292</v>
      </c>
      <c r="C170" s="12"/>
      <c r="D170" s="14" t="s">
        <v>403</v>
      </c>
      <c r="E170" s="12"/>
      <c r="F170" s="12">
        <v>9</v>
      </c>
      <c r="G170" s="14">
        <v>0</v>
      </c>
      <c r="H170" s="163">
        <v>0</v>
      </c>
      <c r="I170" s="163">
        <v>1</v>
      </c>
      <c r="J170" s="12">
        <v>1</v>
      </c>
      <c r="K170" s="14">
        <v>414</v>
      </c>
      <c r="L170" s="26">
        <v>1166</v>
      </c>
      <c r="M170" s="14">
        <v>192</v>
      </c>
      <c r="N170" s="163">
        <v>577</v>
      </c>
      <c r="O170" s="14">
        <v>257</v>
      </c>
      <c r="P170" s="26">
        <v>675</v>
      </c>
      <c r="Q170" s="12">
        <v>2164</v>
      </c>
      <c r="R170" s="209">
        <v>1.0255924170616113</v>
      </c>
      <c r="S170" s="14">
        <v>1</v>
      </c>
      <c r="T170" s="163">
        <v>1</v>
      </c>
      <c r="U170" s="163">
        <v>1</v>
      </c>
      <c r="V170" s="26">
        <v>0</v>
      </c>
      <c r="W170" s="14">
        <v>1110</v>
      </c>
      <c r="X170" s="14">
        <v>0</v>
      </c>
      <c r="Y170" s="163">
        <v>0</v>
      </c>
      <c r="Z170" s="163">
        <v>0</v>
      </c>
      <c r="AA170" s="26">
        <v>1</v>
      </c>
      <c r="AB170" s="12">
        <v>1</v>
      </c>
      <c r="AC170" s="14">
        <v>1</v>
      </c>
      <c r="AD170" s="14">
        <v>0</v>
      </c>
      <c r="AE170" s="163">
        <v>1</v>
      </c>
      <c r="AF170" s="163">
        <v>1</v>
      </c>
      <c r="AG170" s="26">
        <v>0</v>
      </c>
      <c r="AH170" s="14">
        <v>110</v>
      </c>
      <c r="AI170" s="14">
        <v>0</v>
      </c>
      <c r="AJ170" s="163">
        <v>0</v>
      </c>
      <c r="AK170" s="163">
        <v>1</v>
      </c>
      <c r="AL170" s="26">
        <v>0</v>
      </c>
      <c r="AM170" s="12">
        <v>10</v>
      </c>
      <c r="AN170" s="14">
        <v>0</v>
      </c>
      <c r="AO170" s="163">
        <v>0</v>
      </c>
      <c r="AP170" s="163">
        <v>0</v>
      </c>
      <c r="AQ170" s="163">
        <v>0</v>
      </c>
      <c r="AR170" s="163">
        <v>0</v>
      </c>
      <c r="AS170" s="14">
        <v>1</v>
      </c>
      <c r="AT170" s="163">
        <v>0</v>
      </c>
      <c r="AU170" s="163">
        <v>0</v>
      </c>
      <c r="AV170" s="163">
        <v>0</v>
      </c>
      <c r="AW170" s="26">
        <v>0</v>
      </c>
      <c r="AX170" s="14">
        <v>1</v>
      </c>
      <c r="AY170" s="14">
        <v>0</v>
      </c>
      <c r="AZ170" s="163">
        <v>0</v>
      </c>
      <c r="BA170" s="163">
        <v>0</v>
      </c>
      <c r="BB170" s="26">
        <v>1</v>
      </c>
      <c r="BC170" s="12">
        <v>1</v>
      </c>
      <c r="BD170" s="14">
        <v>1</v>
      </c>
      <c r="BE170" s="163">
        <v>1</v>
      </c>
      <c r="BF170" s="163">
        <v>0</v>
      </c>
      <c r="BG170" s="163">
        <v>0</v>
      </c>
      <c r="BH170" s="163">
        <v>0</v>
      </c>
      <c r="BI170" s="14">
        <v>1</v>
      </c>
      <c r="BJ170" s="163">
        <v>1</v>
      </c>
      <c r="BK170" s="26">
        <v>0</v>
      </c>
      <c r="BL170" s="14">
        <v>0</v>
      </c>
      <c r="BM170" s="163">
        <v>0</v>
      </c>
      <c r="BN170" s="26">
        <v>0</v>
      </c>
      <c r="BO170" s="14">
        <v>0</v>
      </c>
      <c r="BP170" s="12">
        <v>120</v>
      </c>
      <c r="BQ170" s="163">
        <v>2</v>
      </c>
      <c r="BR170" s="14">
        <v>0</v>
      </c>
      <c r="BS170" s="163">
        <v>0</v>
      </c>
      <c r="BT170" s="163">
        <v>0</v>
      </c>
      <c r="BU170" s="26">
        <v>0</v>
      </c>
      <c r="BV170" s="14">
        <v>0</v>
      </c>
      <c r="BW170" s="209"/>
      <c r="BX170" s="3"/>
      <c r="BY170" s="3"/>
      <c r="BZ170" s="40"/>
      <c r="CA170" s="209"/>
      <c r="CB170" s="3"/>
      <c r="CC170" s="3"/>
      <c r="CD170" s="3"/>
      <c r="CE170" s="209"/>
      <c r="CF170" s="3"/>
      <c r="CG170" s="3"/>
      <c r="CH170" s="40"/>
      <c r="CI170" s="209"/>
      <c r="CJ170" s="3"/>
      <c r="CK170" s="3"/>
      <c r="CL170" s="209"/>
      <c r="CM170" s="3"/>
      <c r="CN170" s="3"/>
      <c r="CO170" s="3"/>
      <c r="CP170" s="40"/>
      <c r="CQ170" s="209"/>
      <c r="CR170" s="40"/>
      <c r="CS170" s="3"/>
      <c r="CT170" s="3"/>
    </row>
    <row r="171" spans="1:98">
      <c r="A171" s="42" t="s">
        <v>325</v>
      </c>
      <c r="B171" s="173" t="s">
        <v>292</v>
      </c>
      <c r="C171" s="12"/>
      <c r="D171" s="14" t="s">
        <v>404</v>
      </c>
      <c r="E171" s="12"/>
      <c r="F171" s="12">
        <v>12</v>
      </c>
      <c r="G171" s="14">
        <v>1</v>
      </c>
      <c r="H171" s="163">
        <v>0</v>
      </c>
      <c r="I171" s="163">
        <v>1</v>
      </c>
      <c r="J171" s="12">
        <v>101</v>
      </c>
      <c r="K171" s="14">
        <v>184</v>
      </c>
      <c r="L171" s="26">
        <v>1048</v>
      </c>
      <c r="M171" s="14">
        <v>122</v>
      </c>
      <c r="N171" s="163">
        <v>582</v>
      </c>
      <c r="O171" s="14">
        <v>403</v>
      </c>
      <c r="P171" s="26">
        <v>1102</v>
      </c>
      <c r="Q171" s="12">
        <v>2452</v>
      </c>
      <c r="R171" s="209">
        <v>1.2037309769268532</v>
      </c>
      <c r="S171" s="14">
        <v>1</v>
      </c>
      <c r="T171" s="163">
        <v>1</v>
      </c>
      <c r="U171" s="163">
        <v>1</v>
      </c>
      <c r="V171" s="26">
        <v>0</v>
      </c>
      <c r="W171" s="14">
        <v>1110</v>
      </c>
      <c r="X171" s="14">
        <v>1</v>
      </c>
      <c r="Y171" s="163">
        <v>0</v>
      </c>
      <c r="Z171" s="163">
        <v>0</v>
      </c>
      <c r="AA171" s="26">
        <v>1</v>
      </c>
      <c r="AB171" s="12">
        <v>1001</v>
      </c>
      <c r="AC171" s="14">
        <v>1</v>
      </c>
      <c r="AD171" s="14">
        <v>0</v>
      </c>
      <c r="AE171" s="163">
        <v>1</v>
      </c>
      <c r="AF171" s="163">
        <v>0</v>
      </c>
      <c r="AG171" s="26">
        <v>0</v>
      </c>
      <c r="AH171" s="14">
        <v>100</v>
      </c>
      <c r="AI171" s="14">
        <v>0</v>
      </c>
      <c r="AJ171" s="163">
        <v>0</v>
      </c>
      <c r="AK171" s="163">
        <v>1</v>
      </c>
      <c r="AL171" s="26">
        <v>0</v>
      </c>
      <c r="AM171" s="12">
        <v>10</v>
      </c>
      <c r="AN171" s="14">
        <v>0</v>
      </c>
      <c r="AO171" s="163">
        <v>0</v>
      </c>
      <c r="AP171" s="163">
        <v>0</v>
      </c>
      <c r="AQ171" s="163">
        <v>0</v>
      </c>
      <c r="AR171" s="163">
        <v>0</v>
      </c>
      <c r="AS171" s="14">
        <v>1</v>
      </c>
      <c r="AT171" s="163">
        <v>0</v>
      </c>
      <c r="AU171" s="163">
        <v>0</v>
      </c>
      <c r="AV171" s="163">
        <v>1</v>
      </c>
      <c r="AW171" s="26">
        <v>0</v>
      </c>
      <c r="AX171" s="14">
        <v>2</v>
      </c>
      <c r="AY171" s="14">
        <v>0</v>
      </c>
      <c r="AZ171" s="163">
        <v>0</v>
      </c>
      <c r="BA171" s="163">
        <v>0</v>
      </c>
      <c r="BB171" s="26">
        <v>1</v>
      </c>
      <c r="BC171" s="12">
        <v>1</v>
      </c>
      <c r="BD171" s="14">
        <v>1</v>
      </c>
      <c r="BE171" s="163">
        <v>0</v>
      </c>
      <c r="BF171" s="163">
        <v>0</v>
      </c>
      <c r="BG171" s="163">
        <v>1</v>
      </c>
      <c r="BH171" s="163">
        <v>0</v>
      </c>
      <c r="BI171" s="14">
        <v>1</v>
      </c>
      <c r="BJ171" s="163">
        <v>0</v>
      </c>
      <c r="BK171" s="26">
        <v>0</v>
      </c>
      <c r="BL171" s="14">
        <v>0</v>
      </c>
      <c r="BM171" s="163">
        <v>0</v>
      </c>
      <c r="BN171" s="26">
        <v>0</v>
      </c>
      <c r="BO171" s="14">
        <v>0</v>
      </c>
      <c r="BP171" s="12">
        <v>119</v>
      </c>
      <c r="BQ171" s="163">
        <v>2</v>
      </c>
      <c r="BR171" s="14">
        <v>0</v>
      </c>
      <c r="BS171" s="163">
        <v>0</v>
      </c>
      <c r="BT171" s="163">
        <v>0</v>
      </c>
      <c r="BU171" s="26">
        <v>0</v>
      </c>
      <c r="BV171" s="14">
        <v>0</v>
      </c>
      <c r="BW171" s="217">
        <v>48.59</v>
      </c>
      <c r="BX171" s="3">
        <v>54.17</v>
      </c>
      <c r="BY171" s="220">
        <v>52.94</v>
      </c>
      <c r="BZ171" s="40"/>
      <c r="CA171" s="217">
        <v>56.41</v>
      </c>
      <c r="CB171" s="3">
        <v>49.93</v>
      </c>
      <c r="CC171" s="220">
        <v>53.82</v>
      </c>
      <c r="CD171" s="3"/>
      <c r="CE171" s="221">
        <v>55.15</v>
      </c>
      <c r="CF171" s="3"/>
      <c r="CG171" s="3"/>
      <c r="CH171" s="40"/>
      <c r="CI171" s="209"/>
      <c r="CJ171" s="3"/>
      <c r="CK171" s="3"/>
      <c r="CL171" s="209">
        <v>72.540000000000006</v>
      </c>
      <c r="CM171" s="3"/>
      <c r="CN171" s="3"/>
      <c r="CO171" s="3"/>
      <c r="CP171" s="40"/>
      <c r="CQ171" s="209"/>
      <c r="CR171" s="40"/>
      <c r="CS171" s="3"/>
      <c r="CT171" s="3"/>
    </row>
    <row r="172" spans="1:98">
      <c r="A172" s="42" t="s">
        <v>325</v>
      </c>
      <c r="B172" s="173" t="s">
        <v>292</v>
      </c>
      <c r="C172" s="12"/>
      <c r="D172" s="14" t="s">
        <v>195</v>
      </c>
      <c r="E172" s="12"/>
      <c r="F172" s="12">
        <v>15</v>
      </c>
      <c r="G172" s="14">
        <v>0</v>
      </c>
      <c r="H172" s="163">
        <v>0</v>
      </c>
      <c r="I172" s="163">
        <v>1</v>
      </c>
      <c r="J172" s="12">
        <v>1</v>
      </c>
      <c r="K172" s="14">
        <v>137</v>
      </c>
      <c r="L172" s="26">
        <v>2131</v>
      </c>
      <c r="M172" s="14">
        <v>179</v>
      </c>
      <c r="N172" s="163">
        <v>633</v>
      </c>
      <c r="O172" s="14">
        <v>0</v>
      </c>
      <c r="P172" s="26">
        <v>665</v>
      </c>
      <c r="Q172" s="12">
        <v>2542</v>
      </c>
      <c r="R172" s="209">
        <v>1.3294979079497908</v>
      </c>
      <c r="S172" s="14">
        <v>1</v>
      </c>
      <c r="T172" s="163">
        <v>1</v>
      </c>
      <c r="U172" s="163">
        <v>1</v>
      </c>
      <c r="V172" s="26">
        <v>0</v>
      </c>
      <c r="W172" s="14">
        <v>1110</v>
      </c>
      <c r="X172" s="14">
        <v>1</v>
      </c>
      <c r="Y172" s="163">
        <v>0</v>
      </c>
      <c r="Z172" s="163">
        <v>0</v>
      </c>
      <c r="AA172" s="26">
        <v>0</v>
      </c>
      <c r="AB172" s="12">
        <v>1000</v>
      </c>
      <c r="AC172" s="14">
        <v>0</v>
      </c>
      <c r="AD172" s="14">
        <v>0</v>
      </c>
      <c r="AE172" s="163">
        <v>1</v>
      </c>
      <c r="AF172" s="163">
        <v>1</v>
      </c>
      <c r="AG172" s="26">
        <v>0</v>
      </c>
      <c r="AH172" s="14">
        <v>110</v>
      </c>
      <c r="AI172" s="14">
        <v>0</v>
      </c>
      <c r="AJ172" s="163">
        <v>0</v>
      </c>
      <c r="AK172" s="163">
        <v>1</v>
      </c>
      <c r="AL172" s="26">
        <v>0</v>
      </c>
      <c r="AM172" s="12">
        <v>10</v>
      </c>
      <c r="AN172" s="14">
        <v>0</v>
      </c>
      <c r="AO172" s="163">
        <v>0</v>
      </c>
      <c r="AP172" s="163">
        <v>0</v>
      </c>
      <c r="AQ172" s="163">
        <v>0</v>
      </c>
      <c r="AR172" s="163">
        <v>0</v>
      </c>
      <c r="AS172" s="14">
        <v>1</v>
      </c>
      <c r="AT172" s="163">
        <v>0</v>
      </c>
      <c r="AU172" s="163">
        <v>0</v>
      </c>
      <c r="AV172" s="163">
        <v>1</v>
      </c>
      <c r="AW172" s="26">
        <v>0</v>
      </c>
      <c r="AX172" s="14">
        <v>2</v>
      </c>
      <c r="AY172" s="14">
        <v>0</v>
      </c>
      <c r="AZ172" s="163">
        <v>0</v>
      </c>
      <c r="BA172" s="163">
        <v>0</v>
      </c>
      <c r="BB172" s="26">
        <v>1</v>
      </c>
      <c r="BC172" s="12">
        <v>1</v>
      </c>
      <c r="BD172" s="14">
        <v>1</v>
      </c>
      <c r="BE172" s="163">
        <v>1</v>
      </c>
      <c r="BF172" s="163">
        <v>0</v>
      </c>
      <c r="BG172" s="163">
        <v>0</v>
      </c>
      <c r="BH172" s="163">
        <v>0</v>
      </c>
      <c r="BI172" s="14">
        <v>1</v>
      </c>
      <c r="BJ172" s="163">
        <v>1</v>
      </c>
      <c r="BK172" s="26">
        <v>0</v>
      </c>
      <c r="BL172" s="14">
        <v>0</v>
      </c>
      <c r="BM172" s="163">
        <v>0</v>
      </c>
      <c r="BN172" s="26">
        <v>0</v>
      </c>
      <c r="BO172" s="14">
        <v>0</v>
      </c>
      <c r="BP172" s="12">
        <v>130</v>
      </c>
      <c r="BQ172" s="163">
        <v>2</v>
      </c>
      <c r="BR172" s="14">
        <v>1</v>
      </c>
      <c r="BS172" s="163">
        <v>0</v>
      </c>
      <c r="BT172" s="163">
        <v>0</v>
      </c>
      <c r="BU172" s="26">
        <v>0</v>
      </c>
      <c r="BV172" s="14">
        <v>1000</v>
      </c>
      <c r="BW172" s="209"/>
      <c r="BX172" s="3"/>
      <c r="BY172" s="3"/>
      <c r="BZ172" s="40"/>
      <c r="CA172" s="209"/>
      <c r="CB172" s="3"/>
      <c r="CC172" s="3"/>
      <c r="CD172" s="3"/>
      <c r="CE172" s="209"/>
      <c r="CF172" s="3"/>
      <c r="CG172" s="3"/>
      <c r="CH172" s="40"/>
      <c r="CI172" s="209"/>
      <c r="CJ172" s="3"/>
      <c r="CK172" s="3"/>
      <c r="CL172" s="209"/>
      <c r="CM172" s="3"/>
      <c r="CN172" s="3"/>
      <c r="CO172" s="3"/>
      <c r="CP172" s="40"/>
      <c r="CQ172" s="209"/>
      <c r="CR172" s="40"/>
      <c r="CS172" s="3"/>
      <c r="CT172" s="3"/>
    </row>
    <row r="173" spans="1:98">
      <c r="A173" s="42" t="s">
        <v>325</v>
      </c>
      <c r="B173" s="173" t="s">
        <v>292</v>
      </c>
      <c r="C173" s="12"/>
      <c r="D173" s="14" t="s">
        <v>405</v>
      </c>
      <c r="E173" s="12"/>
      <c r="F173" s="12">
        <v>11</v>
      </c>
      <c r="G173" s="14">
        <v>1</v>
      </c>
      <c r="H173" s="163">
        <v>0</v>
      </c>
      <c r="I173" s="163">
        <v>1</v>
      </c>
      <c r="J173" s="12">
        <v>101</v>
      </c>
      <c r="K173" s="14">
        <v>238</v>
      </c>
      <c r="L173" s="26">
        <v>1181</v>
      </c>
      <c r="M173" s="14">
        <v>0</v>
      </c>
      <c r="N173" s="163">
        <v>208</v>
      </c>
      <c r="O173" s="14">
        <v>135</v>
      </c>
      <c r="P173" s="26">
        <v>1287</v>
      </c>
      <c r="Q173" s="12">
        <v>2841</v>
      </c>
      <c r="R173" s="209">
        <v>1.3244755244755244</v>
      </c>
      <c r="S173" s="14">
        <v>1</v>
      </c>
      <c r="T173" s="163">
        <v>1</v>
      </c>
      <c r="U173" s="163">
        <v>1</v>
      </c>
      <c r="V173" s="26">
        <v>0</v>
      </c>
      <c r="W173" s="14">
        <v>1110</v>
      </c>
      <c r="X173" s="14">
        <v>1</v>
      </c>
      <c r="Y173" s="163">
        <v>0</v>
      </c>
      <c r="Z173" s="163">
        <v>0</v>
      </c>
      <c r="AA173" s="26">
        <v>0</v>
      </c>
      <c r="AB173" s="12">
        <v>1000</v>
      </c>
      <c r="AC173" s="14">
        <v>1</v>
      </c>
      <c r="AD173" s="14">
        <v>0</v>
      </c>
      <c r="AE173" s="163">
        <v>0</v>
      </c>
      <c r="AF173" s="163">
        <v>1</v>
      </c>
      <c r="AG173" s="26">
        <v>0</v>
      </c>
      <c r="AH173" s="14">
        <v>10</v>
      </c>
      <c r="AI173" s="14">
        <v>0</v>
      </c>
      <c r="AJ173" s="163">
        <v>1</v>
      </c>
      <c r="AK173" s="163">
        <v>1</v>
      </c>
      <c r="AL173" s="26">
        <v>0</v>
      </c>
      <c r="AM173" s="12">
        <v>110</v>
      </c>
      <c r="AN173" s="14">
        <v>0</v>
      </c>
      <c r="AO173" s="163">
        <v>0</v>
      </c>
      <c r="AP173" s="163">
        <v>0</v>
      </c>
      <c r="AQ173" s="163">
        <v>0</v>
      </c>
      <c r="AR173" s="163">
        <v>0</v>
      </c>
      <c r="AS173" s="14">
        <v>1</v>
      </c>
      <c r="AT173" s="163">
        <v>0</v>
      </c>
      <c r="AU173" s="163">
        <v>0</v>
      </c>
      <c r="AV173" s="163">
        <v>0</v>
      </c>
      <c r="AW173" s="26">
        <v>0</v>
      </c>
      <c r="AX173" s="14">
        <v>1</v>
      </c>
      <c r="AY173" s="14">
        <v>0</v>
      </c>
      <c r="AZ173" s="163">
        <v>0</v>
      </c>
      <c r="BA173" s="163">
        <v>0</v>
      </c>
      <c r="BB173" s="26">
        <v>1</v>
      </c>
      <c r="BC173" s="12">
        <v>1</v>
      </c>
      <c r="BD173" s="14">
        <v>0</v>
      </c>
      <c r="BE173" s="163">
        <v>0</v>
      </c>
      <c r="BF173" s="163">
        <v>0</v>
      </c>
      <c r="BG173" s="163">
        <v>1</v>
      </c>
      <c r="BH173" s="163">
        <v>0</v>
      </c>
      <c r="BI173" s="14">
        <v>1</v>
      </c>
      <c r="BJ173" s="163">
        <v>0</v>
      </c>
      <c r="BK173" s="26">
        <v>1</v>
      </c>
      <c r="BL173" s="14">
        <v>0</v>
      </c>
      <c r="BM173" s="163">
        <v>0</v>
      </c>
      <c r="BN173" s="26">
        <v>0</v>
      </c>
      <c r="BO173" s="14">
        <v>0</v>
      </c>
      <c r="BP173" s="12">
        <v>122</v>
      </c>
      <c r="BQ173" s="163">
        <v>1</v>
      </c>
      <c r="BR173" s="14">
        <v>0</v>
      </c>
      <c r="BS173" s="163">
        <v>0</v>
      </c>
      <c r="BT173" s="163">
        <v>0</v>
      </c>
      <c r="BU173" s="26">
        <v>0</v>
      </c>
      <c r="BV173" s="14">
        <v>0</v>
      </c>
      <c r="BW173" s="209"/>
      <c r="BX173" s="3"/>
      <c r="BY173" s="3"/>
      <c r="BZ173" s="40"/>
      <c r="CA173" s="209"/>
      <c r="CB173" s="3"/>
      <c r="CC173" s="3"/>
      <c r="CD173" s="3"/>
      <c r="CE173" s="209"/>
      <c r="CF173" s="3"/>
      <c r="CG173" s="3"/>
      <c r="CH173" s="40"/>
      <c r="CI173" s="209"/>
      <c r="CJ173" s="3"/>
      <c r="CK173" s="3"/>
      <c r="CL173" s="209"/>
      <c r="CM173" s="3"/>
      <c r="CN173" s="3"/>
      <c r="CO173" s="3"/>
      <c r="CP173" s="40"/>
      <c r="CQ173" s="209"/>
      <c r="CR173" s="40"/>
      <c r="CS173" s="3"/>
      <c r="CT173" s="3"/>
    </row>
    <row r="174" spans="1:98">
      <c r="A174" s="42" t="s">
        <v>325</v>
      </c>
      <c r="B174" s="173" t="s">
        <v>292</v>
      </c>
      <c r="C174" s="12"/>
      <c r="D174" s="14" t="s">
        <v>406</v>
      </c>
      <c r="E174" s="12"/>
      <c r="F174" s="12">
        <v>3</v>
      </c>
      <c r="G174" s="14">
        <v>0</v>
      </c>
      <c r="H174" s="163">
        <v>0</v>
      </c>
      <c r="I174" s="163">
        <v>1</v>
      </c>
      <c r="J174" s="12">
        <v>1</v>
      </c>
      <c r="K174" s="14">
        <v>0</v>
      </c>
      <c r="L174" s="26">
        <v>0</v>
      </c>
      <c r="M174" s="14">
        <v>275</v>
      </c>
      <c r="N174" s="163">
        <v>500</v>
      </c>
      <c r="O174" s="14">
        <v>0</v>
      </c>
      <c r="P174" s="26">
        <v>578</v>
      </c>
      <c r="Q174" s="12">
        <v>685</v>
      </c>
      <c r="R174" s="209">
        <v>1.0148148148148148</v>
      </c>
      <c r="S174" s="14">
        <v>0</v>
      </c>
      <c r="T174" s="163">
        <v>1</v>
      </c>
      <c r="U174" s="163">
        <v>1</v>
      </c>
      <c r="V174" s="26">
        <v>0</v>
      </c>
      <c r="W174" s="14">
        <v>110</v>
      </c>
      <c r="X174" s="14">
        <v>0</v>
      </c>
      <c r="Y174" s="163">
        <v>0</v>
      </c>
      <c r="Z174" s="163">
        <v>0</v>
      </c>
      <c r="AA174" s="26">
        <v>0</v>
      </c>
      <c r="AB174" s="12">
        <v>0</v>
      </c>
      <c r="AC174" s="14">
        <v>0</v>
      </c>
      <c r="AD174" s="14">
        <v>0</v>
      </c>
      <c r="AE174" s="163">
        <v>1</v>
      </c>
      <c r="AF174" s="163">
        <v>1</v>
      </c>
      <c r="AG174" s="26">
        <v>0</v>
      </c>
      <c r="AH174" s="14">
        <v>110</v>
      </c>
      <c r="AI174" s="14">
        <v>0</v>
      </c>
      <c r="AJ174" s="163">
        <v>0</v>
      </c>
      <c r="AK174" s="163">
        <v>1</v>
      </c>
      <c r="AL174" s="26">
        <v>0</v>
      </c>
      <c r="AM174" s="12">
        <v>10</v>
      </c>
      <c r="AN174" s="14">
        <v>0</v>
      </c>
      <c r="AO174" s="163">
        <v>0</v>
      </c>
      <c r="AP174" s="163">
        <v>0</v>
      </c>
      <c r="AQ174" s="163">
        <v>0</v>
      </c>
      <c r="AR174" s="163">
        <v>0</v>
      </c>
      <c r="AS174" s="14">
        <v>0</v>
      </c>
      <c r="AT174" s="163">
        <v>0</v>
      </c>
      <c r="AU174" s="163">
        <v>0</v>
      </c>
      <c r="AV174" s="163">
        <v>0</v>
      </c>
      <c r="AW174" s="26">
        <v>0</v>
      </c>
      <c r="AX174" s="14">
        <v>0</v>
      </c>
      <c r="AY174" s="14">
        <v>0</v>
      </c>
      <c r="AZ174" s="163">
        <v>0</v>
      </c>
      <c r="BA174" s="163">
        <v>0</v>
      </c>
      <c r="BB174" s="26">
        <v>1</v>
      </c>
      <c r="BC174" s="12">
        <v>1</v>
      </c>
      <c r="BD174" s="14">
        <v>0</v>
      </c>
      <c r="BE174" s="163">
        <v>1</v>
      </c>
      <c r="BF174" s="163">
        <v>0</v>
      </c>
      <c r="BG174" s="163">
        <v>0</v>
      </c>
      <c r="BH174" s="163">
        <v>0</v>
      </c>
      <c r="BI174" s="14">
        <v>0</v>
      </c>
      <c r="BJ174" s="163">
        <v>1</v>
      </c>
      <c r="BK174" s="26">
        <v>0</v>
      </c>
      <c r="BL174" s="14">
        <v>0</v>
      </c>
      <c r="BM174" s="163">
        <v>0</v>
      </c>
      <c r="BN174" s="26">
        <v>0</v>
      </c>
      <c r="BO174" s="14">
        <v>0</v>
      </c>
      <c r="BP174" s="12">
        <v>116</v>
      </c>
      <c r="BQ174" s="163">
        <v>2</v>
      </c>
      <c r="BR174" s="14">
        <v>0</v>
      </c>
      <c r="BS174" s="163">
        <v>0</v>
      </c>
      <c r="BT174" s="163">
        <v>0</v>
      </c>
      <c r="BU174" s="26">
        <v>0</v>
      </c>
      <c r="BV174" s="14">
        <v>0</v>
      </c>
      <c r="BW174" s="209"/>
      <c r="BX174" s="3"/>
      <c r="BY174" s="3"/>
      <c r="BZ174" s="40"/>
      <c r="CA174" s="209"/>
      <c r="CB174" s="3"/>
      <c r="CC174" s="3"/>
      <c r="CD174" s="3"/>
      <c r="CE174" s="209"/>
      <c r="CF174" s="3"/>
      <c r="CG174" s="3"/>
      <c r="CH174" s="40"/>
      <c r="CI174" s="209"/>
      <c r="CJ174" s="3"/>
      <c r="CK174" s="3"/>
      <c r="CL174" s="209"/>
      <c r="CM174" s="3"/>
      <c r="CN174" s="3"/>
      <c r="CO174" s="3"/>
      <c r="CP174" s="40"/>
      <c r="CQ174" s="209"/>
      <c r="CR174" s="40"/>
      <c r="CS174" s="3"/>
      <c r="CT174" s="3"/>
    </row>
    <row r="175" spans="1:98">
      <c r="A175" s="42" t="s">
        <v>325</v>
      </c>
      <c r="B175" s="173" t="s">
        <v>292</v>
      </c>
      <c r="C175" s="12"/>
      <c r="D175" s="14" t="s">
        <v>168</v>
      </c>
      <c r="E175" s="12"/>
      <c r="F175" s="12">
        <v>8</v>
      </c>
      <c r="G175" s="14">
        <v>0</v>
      </c>
      <c r="H175" s="163">
        <v>0</v>
      </c>
      <c r="I175" s="163">
        <v>1</v>
      </c>
      <c r="J175" s="12">
        <v>1</v>
      </c>
      <c r="K175" s="14">
        <v>0</v>
      </c>
      <c r="L175" s="26">
        <v>1292</v>
      </c>
      <c r="M175" s="14">
        <v>231</v>
      </c>
      <c r="N175" s="163">
        <v>560</v>
      </c>
      <c r="O175" s="14">
        <v>0</v>
      </c>
      <c r="P175" s="26">
        <v>345</v>
      </c>
      <c r="Q175" s="12">
        <v>1743</v>
      </c>
      <c r="R175" s="209">
        <v>1.8621794871794872</v>
      </c>
      <c r="S175" s="14">
        <v>1</v>
      </c>
      <c r="T175" s="163">
        <v>1</v>
      </c>
      <c r="U175" s="163">
        <v>1</v>
      </c>
      <c r="V175" s="26">
        <v>0</v>
      </c>
      <c r="W175" s="14">
        <v>1110</v>
      </c>
      <c r="X175" s="14">
        <v>1</v>
      </c>
      <c r="Y175" s="163">
        <v>0</v>
      </c>
      <c r="Z175" s="163">
        <v>0</v>
      </c>
      <c r="AA175" s="26">
        <v>9</v>
      </c>
      <c r="AB175" s="12">
        <v>1009</v>
      </c>
      <c r="AC175" s="14">
        <v>0</v>
      </c>
      <c r="AD175" s="14">
        <v>0</v>
      </c>
      <c r="AE175" s="163">
        <v>1</v>
      </c>
      <c r="AF175" s="163">
        <v>1</v>
      </c>
      <c r="AG175" s="26">
        <v>0</v>
      </c>
      <c r="AH175" s="14">
        <v>110</v>
      </c>
      <c r="AI175" s="14">
        <v>0</v>
      </c>
      <c r="AJ175" s="163">
        <v>0</v>
      </c>
      <c r="AK175" s="163">
        <v>1</v>
      </c>
      <c r="AL175" s="26">
        <v>0</v>
      </c>
      <c r="AM175" s="12">
        <v>10</v>
      </c>
      <c r="AN175" s="14">
        <v>0</v>
      </c>
      <c r="AO175" s="163">
        <v>0</v>
      </c>
      <c r="AP175" s="163">
        <v>0</v>
      </c>
      <c r="AQ175" s="163">
        <v>0</v>
      </c>
      <c r="AR175" s="163">
        <v>0</v>
      </c>
      <c r="AS175" s="14">
        <v>1</v>
      </c>
      <c r="AT175" s="163">
        <v>0</v>
      </c>
      <c r="AU175" s="163">
        <v>0</v>
      </c>
      <c r="AV175" s="163">
        <v>0</v>
      </c>
      <c r="AW175" s="26">
        <v>0</v>
      </c>
      <c r="AX175" s="14">
        <v>1</v>
      </c>
      <c r="AY175" s="14">
        <v>1</v>
      </c>
      <c r="AZ175" s="163">
        <v>0</v>
      </c>
      <c r="BA175" s="163">
        <v>0</v>
      </c>
      <c r="BB175" s="26">
        <v>1</v>
      </c>
      <c r="BC175" s="12">
        <v>2</v>
      </c>
      <c r="BD175" s="14">
        <v>1</v>
      </c>
      <c r="BE175" s="163">
        <v>1</v>
      </c>
      <c r="BF175" s="163">
        <v>0</v>
      </c>
      <c r="BG175" s="163">
        <v>0</v>
      </c>
      <c r="BH175" s="163">
        <v>0</v>
      </c>
      <c r="BI175" s="14">
        <v>1</v>
      </c>
      <c r="BJ175" s="163">
        <v>1</v>
      </c>
      <c r="BK175" s="26">
        <v>0</v>
      </c>
      <c r="BL175" s="14">
        <v>0</v>
      </c>
      <c r="BM175" s="163">
        <v>0</v>
      </c>
      <c r="BN175" s="26">
        <v>0</v>
      </c>
      <c r="BO175" s="14">
        <v>0</v>
      </c>
      <c r="BP175" s="12">
        <v>122</v>
      </c>
      <c r="BQ175" s="163">
        <v>2</v>
      </c>
      <c r="BR175" s="14">
        <v>0</v>
      </c>
      <c r="BS175" s="163">
        <v>0</v>
      </c>
      <c r="BT175" s="163">
        <v>0</v>
      </c>
      <c r="BU175" s="26">
        <v>0</v>
      </c>
      <c r="BV175" s="14">
        <v>0</v>
      </c>
      <c r="BW175" s="209"/>
      <c r="BX175" s="3"/>
      <c r="BY175" s="3"/>
      <c r="BZ175" s="40"/>
      <c r="CA175" s="209"/>
      <c r="CB175" s="3"/>
      <c r="CC175" s="3"/>
      <c r="CD175" s="3"/>
      <c r="CE175" s="209"/>
      <c r="CF175" s="3"/>
      <c r="CG175" s="3"/>
      <c r="CH175" s="40"/>
      <c r="CI175" s="209"/>
      <c r="CJ175" s="3"/>
      <c r="CK175" s="3"/>
      <c r="CL175" s="209"/>
      <c r="CM175" s="3"/>
      <c r="CN175" s="3"/>
      <c r="CO175" s="3"/>
      <c r="CP175" s="40"/>
      <c r="CQ175" s="209"/>
      <c r="CR175" s="40"/>
      <c r="CS175" s="3"/>
      <c r="CT175" s="3"/>
    </row>
    <row r="176" spans="1:98">
      <c r="A176" s="42" t="s">
        <v>325</v>
      </c>
      <c r="B176" s="173" t="s">
        <v>292</v>
      </c>
      <c r="C176" s="12"/>
      <c r="D176" s="14" t="s">
        <v>407</v>
      </c>
      <c r="E176" s="12"/>
      <c r="F176" s="12">
        <v>24</v>
      </c>
      <c r="G176" s="14">
        <v>0</v>
      </c>
      <c r="H176" s="163">
        <v>0</v>
      </c>
      <c r="I176" s="163">
        <v>1</v>
      </c>
      <c r="J176" s="12">
        <v>1</v>
      </c>
      <c r="K176" s="14">
        <v>195</v>
      </c>
      <c r="L176" s="26">
        <v>2441</v>
      </c>
      <c r="M176" s="14">
        <v>37</v>
      </c>
      <c r="N176" s="163">
        <v>684</v>
      </c>
      <c r="O176" s="14">
        <v>143</v>
      </c>
      <c r="P176" s="26">
        <v>900</v>
      </c>
      <c r="Q176" s="12">
        <v>3431</v>
      </c>
      <c r="R176" s="209">
        <v>1.265117994100295</v>
      </c>
      <c r="S176" s="14">
        <v>1</v>
      </c>
      <c r="T176" s="163">
        <v>1</v>
      </c>
      <c r="U176" s="163">
        <v>1</v>
      </c>
      <c r="V176" s="26">
        <v>0</v>
      </c>
      <c r="W176" s="14">
        <v>1110</v>
      </c>
      <c r="X176" s="14">
        <v>1</v>
      </c>
      <c r="Y176" s="163">
        <v>1</v>
      </c>
      <c r="Z176" s="163">
        <v>0</v>
      </c>
      <c r="AA176" s="26">
        <v>0</v>
      </c>
      <c r="AB176" s="12">
        <v>1100</v>
      </c>
      <c r="AC176" s="14">
        <v>1</v>
      </c>
      <c r="AD176" s="14">
        <v>0</v>
      </c>
      <c r="AE176" s="163">
        <v>1</v>
      </c>
      <c r="AF176" s="163">
        <v>1</v>
      </c>
      <c r="AG176" s="26">
        <v>0</v>
      </c>
      <c r="AH176" s="14">
        <v>110</v>
      </c>
      <c r="AI176" s="14">
        <v>0</v>
      </c>
      <c r="AJ176" s="163">
        <v>0</v>
      </c>
      <c r="AK176" s="163">
        <v>1</v>
      </c>
      <c r="AL176" s="26">
        <v>1</v>
      </c>
      <c r="AM176" s="12">
        <v>11</v>
      </c>
      <c r="AN176" s="14">
        <v>0</v>
      </c>
      <c r="AO176" s="163">
        <v>0</v>
      </c>
      <c r="AP176" s="163">
        <v>0</v>
      </c>
      <c r="AQ176" s="163">
        <v>0</v>
      </c>
      <c r="AR176" s="163">
        <v>0</v>
      </c>
      <c r="AS176" s="14">
        <v>1</v>
      </c>
      <c r="AT176" s="163">
        <v>0</v>
      </c>
      <c r="AU176" s="163">
        <v>0</v>
      </c>
      <c r="AV176" s="163">
        <v>0</v>
      </c>
      <c r="AW176" s="26">
        <v>0</v>
      </c>
      <c r="AX176" s="14">
        <v>1</v>
      </c>
      <c r="AY176" s="14">
        <v>0</v>
      </c>
      <c r="AZ176" s="163">
        <v>0</v>
      </c>
      <c r="BA176" s="163">
        <v>0</v>
      </c>
      <c r="BB176" s="26">
        <v>1</v>
      </c>
      <c r="BC176" s="12">
        <v>1</v>
      </c>
      <c r="BD176" s="14">
        <v>1</v>
      </c>
      <c r="BE176" s="163">
        <v>1</v>
      </c>
      <c r="BF176" s="163">
        <v>0</v>
      </c>
      <c r="BG176" s="163">
        <v>0</v>
      </c>
      <c r="BH176" s="163">
        <v>0</v>
      </c>
      <c r="BI176" s="14">
        <v>1</v>
      </c>
      <c r="BJ176" s="163">
        <v>1</v>
      </c>
      <c r="BK176" s="26">
        <v>0</v>
      </c>
      <c r="BL176" s="14">
        <v>0</v>
      </c>
      <c r="BM176" s="163">
        <v>0</v>
      </c>
      <c r="BN176" s="26">
        <v>0</v>
      </c>
      <c r="BO176" s="14">
        <v>1</v>
      </c>
      <c r="BP176" s="12">
        <v>136</v>
      </c>
      <c r="BQ176" s="163">
        <v>1</v>
      </c>
      <c r="BR176" s="14">
        <v>1</v>
      </c>
      <c r="BS176" s="163">
        <v>0</v>
      </c>
      <c r="BT176" s="163">
        <v>0</v>
      </c>
      <c r="BU176" s="26">
        <v>0</v>
      </c>
      <c r="BV176" s="14">
        <v>1000</v>
      </c>
      <c r="BW176" s="217">
        <v>50.97</v>
      </c>
      <c r="BX176" s="3">
        <v>55.18</v>
      </c>
      <c r="BY176" s="3"/>
      <c r="BZ176" s="40"/>
      <c r="CA176" s="209"/>
      <c r="CB176" s="3"/>
      <c r="CC176" s="3"/>
      <c r="CD176" s="3"/>
      <c r="CE176" s="217">
        <v>51.6</v>
      </c>
      <c r="CF176" s="3">
        <v>56.7</v>
      </c>
      <c r="CG176" s="3"/>
      <c r="CH176" s="40"/>
      <c r="CI176" s="209"/>
      <c r="CJ176" s="3"/>
      <c r="CK176" s="3"/>
      <c r="CL176" s="209">
        <v>72.61</v>
      </c>
      <c r="CM176" s="3">
        <v>72.59</v>
      </c>
      <c r="CN176" s="3">
        <v>72.290000000000006</v>
      </c>
      <c r="CO176" s="3">
        <v>72.87</v>
      </c>
      <c r="CP176" s="40"/>
      <c r="CQ176" s="209"/>
      <c r="CR176" s="40"/>
      <c r="CS176" s="3"/>
      <c r="CT176" s="3"/>
    </row>
    <row r="177" spans="1:98">
      <c r="A177" s="42" t="s">
        <v>325</v>
      </c>
      <c r="B177" s="173" t="s">
        <v>292</v>
      </c>
      <c r="C177" s="12"/>
      <c r="D177" s="14" t="s">
        <v>144</v>
      </c>
      <c r="E177" s="12"/>
      <c r="F177" s="12">
        <v>25</v>
      </c>
      <c r="G177" s="14">
        <v>0</v>
      </c>
      <c r="H177" s="163">
        <v>0</v>
      </c>
      <c r="I177" s="163">
        <v>1</v>
      </c>
      <c r="J177" s="12">
        <v>1</v>
      </c>
      <c r="K177" s="14">
        <v>282</v>
      </c>
      <c r="L177" s="26">
        <v>2399</v>
      </c>
      <c r="M177" s="14">
        <v>188</v>
      </c>
      <c r="N177" s="163">
        <v>557</v>
      </c>
      <c r="O177" s="14">
        <v>599</v>
      </c>
      <c r="P177" s="26">
        <v>1048</v>
      </c>
      <c r="Q177" s="12">
        <v>4135</v>
      </c>
      <c r="R177" s="209">
        <v>1.15923745444351</v>
      </c>
      <c r="S177" s="14">
        <v>1</v>
      </c>
      <c r="T177" s="163">
        <v>1</v>
      </c>
      <c r="U177" s="163">
        <v>1</v>
      </c>
      <c r="V177" s="26">
        <v>0</v>
      </c>
      <c r="W177" s="14">
        <v>1110</v>
      </c>
      <c r="X177" s="14">
        <v>1</v>
      </c>
      <c r="Y177" s="163">
        <v>1</v>
      </c>
      <c r="Z177" s="163">
        <v>0</v>
      </c>
      <c r="AA177" s="26">
        <v>1</v>
      </c>
      <c r="AB177" s="12">
        <v>1101</v>
      </c>
      <c r="AC177" s="14">
        <v>0</v>
      </c>
      <c r="AD177" s="14">
        <v>0</v>
      </c>
      <c r="AE177" s="163">
        <v>1</v>
      </c>
      <c r="AF177" s="163">
        <v>1</v>
      </c>
      <c r="AG177" s="26">
        <v>0</v>
      </c>
      <c r="AH177" s="14">
        <v>110</v>
      </c>
      <c r="AI177" s="14">
        <v>0</v>
      </c>
      <c r="AJ177" s="163">
        <v>0</v>
      </c>
      <c r="AK177" s="163">
        <v>1</v>
      </c>
      <c r="AL177" s="26">
        <v>1</v>
      </c>
      <c r="AM177" s="12">
        <v>11</v>
      </c>
      <c r="AN177" s="14">
        <v>0</v>
      </c>
      <c r="AO177" s="163">
        <v>0</v>
      </c>
      <c r="AP177" s="163">
        <v>0</v>
      </c>
      <c r="AQ177" s="163">
        <v>0</v>
      </c>
      <c r="AR177" s="163">
        <v>0</v>
      </c>
      <c r="AS177" s="14">
        <v>1</v>
      </c>
      <c r="AT177" s="163">
        <v>0</v>
      </c>
      <c r="AU177" s="163">
        <v>0</v>
      </c>
      <c r="AV177" s="163">
        <v>0</v>
      </c>
      <c r="AW177" s="26">
        <v>0</v>
      </c>
      <c r="AX177" s="14">
        <v>1</v>
      </c>
      <c r="AY177" s="14">
        <v>0</v>
      </c>
      <c r="AZ177" s="163">
        <v>0</v>
      </c>
      <c r="BA177" s="163">
        <v>0</v>
      </c>
      <c r="BB177" s="26">
        <v>1</v>
      </c>
      <c r="BC177" s="12">
        <v>1</v>
      </c>
      <c r="BD177" s="14">
        <v>1</v>
      </c>
      <c r="BE177" s="163">
        <v>1</v>
      </c>
      <c r="BF177" s="163">
        <v>0</v>
      </c>
      <c r="BG177" s="163">
        <v>0</v>
      </c>
      <c r="BH177" s="163">
        <v>0</v>
      </c>
      <c r="BI177" s="14">
        <v>1</v>
      </c>
      <c r="BJ177" s="163">
        <v>0</v>
      </c>
      <c r="BK177" s="26">
        <v>0</v>
      </c>
      <c r="BL177" s="14">
        <v>0</v>
      </c>
      <c r="BM177" s="163">
        <v>0</v>
      </c>
      <c r="BN177" s="26">
        <v>0</v>
      </c>
      <c r="BO177" s="14">
        <v>0</v>
      </c>
      <c r="BP177" s="12">
        <v>134</v>
      </c>
      <c r="BQ177" s="163">
        <v>1</v>
      </c>
      <c r="BR177" s="14">
        <v>1</v>
      </c>
      <c r="BS177" s="163">
        <v>0</v>
      </c>
      <c r="BT177" s="163">
        <v>0</v>
      </c>
      <c r="BU177" s="26">
        <v>0</v>
      </c>
      <c r="BV177" s="14">
        <v>1000</v>
      </c>
      <c r="BW177" s="217">
        <v>54.26</v>
      </c>
      <c r="BX177" s="3">
        <v>53.1</v>
      </c>
      <c r="BY177" s="3"/>
      <c r="BZ177" s="40"/>
      <c r="CA177" s="209"/>
      <c r="CB177" s="3"/>
      <c r="CC177" s="3"/>
      <c r="CD177" s="3"/>
      <c r="CE177" s="217">
        <v>58.38</v>
      </c>
      <c r="CF177" s="3"/>
      <c r="CG177" s="3"/>
      <c r="CH177" s="40"/>
      <c r="CI177" s="209"/>
      <c r="CJ177" s="3"/>
      <c r="CK177" s="3"/>
      <c r="CL177" s="209">
        <v>72.44</v>
      </c>
      <c r="CM177" s="3"/>
      <c r="CN177" s="3"/>
      <c r="CO177" s="3"/>
      <c r="CP177" s="40"/>
      <c r="CQ177" s="209"/>
      <c r="CR177" s="40"/>
      <c r="CS177" s="3"/>
      <c r="CT177" s="3"/>
    </row>
    <row r="178" spans="1:98">
      <c r="A178" s="42" t="s">
        <v>325</v>
      </c>
      <c r="B178" s="173" t="s">
        <v>292</v>
      </c>
      <c r="C178" s="12"/>
      <c r="D178" s="14" t="s">
        <v>391</v>
      </c>
      <c r="E178" s="12"/>
      <c r="F178" s="12">
        <v>15</v>
      </c>
      <c r="G178" s="14">
        <v>1</v>
      </c>
      <c r="H178" s="163">
        <v>0</v>
      </c>
      <c r="I178" s="163">
        <v>1</v>
      </c>
      <c r="J178" s="12">
        <v>101</v>
      </c>
      <c r="K178" s="14">
        <v>1048</v>
      </c>
      <c r="L178" s="26">
        <v>1167</v>
      </c>
      <c r="M178" s="14">
        <v>101</v>
      </c>
      <c r="N178" s="163">
        <v>447</v>
      </c>
      <c r="O178" s="14">
        <v>266</v>
      </c>
      <c r="P178" s="26">
        <v>910</v>
      </c>
      <c r="Q178" s="12">
        <v>2076</v>
      </c>
      <c r="R178" s="209">
        <v>1.1095670764297167</v>
      </c>
      <c r="S178" s="14">
        <v>1</v>
      </c>
      <c r="T178" s="163">
        <v>1</v>
      </c>
      <c r="U178" s="163">
        <v>1</v>
      </c>
      <c r="V178" s="26">
        <v>0</v>
      </c>
      <c r="W178" s="14">
        <v>1110</v>
      </c>
      <c r="X178" s="14">
        <v>1</v>
      </c>
      <c r="Y178" s="163">
        <v>0</v>
      </c>
      <c r="Z178" s="163">
        <v>0</v>
      </c>
      <c r="AA178" s="26">
        <v>0</v>
      </c>
      <c r="AB178" s="12">
        <v>1000</v>
      </c>
      <c r="AC178" s="14">
        <v>1</v>
      </c>
      <c r="AD178" s="14">
        <v>0</v>
      </c>
      <c r="AE178" s="163">
        <v>1</v>
      </c>
      <c r="AF178" s="163">
        <v>1</v>
      </c>
      <c r="AG178" s="26">
        <v>0</v>
      </c>
      <c r="AH178" s="14">
        <v>110</v>
      </c>
      <c r="AI178" s="14">
        <v>0</v>
      </c>
      <c r="AJ178" s="163">
        <v>0</v>
      </c>
      <c r="AK178" s="163">
        <v>1</v>
      </c>
      <c r="AL178" s="26">
        <v>1</v>
      </c>
      <c r="AM178" s="12">
        <v>11</v>
      </c>
      <c r="AN178" s="14">
        <v>0</v>
      </c>
      <c r="AO178" s="163">
        <v>0</v>
      </c>
      <c r="AP178" s="163">
        <v>0</v>
      </c>
      <c r="AQ178" s="163">
        <v>0</v>
      </c>
      <c r="AR178" s="163">
        <v>0</v>
      </c>
      <c r="AS178" s="14">
        <v>1</v>
      </c>
      <c r="AT178" s="163">
        <v>0</v>
      </c>
      <c r="AU178" s="163">
        <v>0</v>
      </c>
      <c r="AV178" s="163">
        <v>0</v>
      </c>
      <c r="AW178" s="26">
        <v>0</v>
      </c>
      <c r="AX178" s="14">
        <v>1</v>
      </c>
      <c r="AY178" s="14">
        <v>0</v>
      </c>
      <c r="AZ178" s="163">
        <v>0</v>
      </c>
      <c r="BA178" s="163">
        <v>0</v>
      </c>
      <c r="BB178" s="26">
        <v>1</v>
      </c>
      <c r="BC178" s="12">
        <v>1</v>
      </c>
      <c r="BD178" s="14">
        <v>1</v>
      </c>
      <c r="BE178" s="163">
        <v>1</v>
      </c>
      <c r="BF178" s="163">
        <v>0</v>
      </c>
      <c r="BG178" s="163">
        <v>0</v>
      </c>
      <c r="BH178" s="163">
        <v>0</v>
      </c>
      <c r="BI178" s="14">
        <v>1</v>
      </c>
      <c r="BJ178" s="163">
        <v>1</v>
      </c>
      <c r="BK178" s="26">
        <v>0</v>
      </c>
      <c r="BL178" s="14">
        <v>0</v>
      </c>
      <c r="BM178" s="163">
        <v>0</v>
      </c>
      <c r="BN178" s="26">
        <v>0</v>
      </c>
      <c r="BO178" s="14">
        <v>0</v>
      </c>
      <c r="BP178" s="12">
        <v>125</v>
      </c>
      <c r="BQ178" s="163">
        <v>2</v>
      </c>
      <c r="BR178" s="14">
        <v>1</v>
      </c>
      <c r="BS178" s="163">
        <v>0</v>
      </c>
      <c r="BT178" s="163">
        <v>0</v>
      </c>
      <c r="BU178" s="26">
        <v>0</v>
      </c>
      <c r="BV178" s="14">
        <v>1000</v>
      </c>
      <c r="BW178" s="209"/>
      <c r="BX178" s="3"/>
      <c r="BY178" s="3"/>
      <c r="BZ178" s="40"/>
      <c r="CA178" s="209"/>
      <c r="CB178" s="3"/>
      <c r="CC178" s="3"/>
      <c r="CD178" s="3"/>
      <c r="CE178" s="209"/>
      <c r="CF178" s="3"/>
      <c r="CG178" s="3"/>
      <c r="CH178" s="40"/>
      <c r="CI178" s="209"/>
      <c r="CJ178" s="3"/>
      <c r="CK178" s="3"/>
      <c r="CL178" s="209"/>
      <c r="CM178" s="3"/>
      <c r="CN178" s="3"/>
      <c r="CO178" s="3"/>
      <c r="CP178" s="40"/>
      <c r="CQ178" s="209"/>
      <c r="CR178" s="40"/>
      <c r="CS178" s="3"/>
      <c r="CT178" s="3"/>
    </row>
    <row r="179" spans="1:98">
      <c r="A179" s="42" t="s">
        <v>325</v>
      </c>
      <c r="B179" s="173" t="s">
        <v>292</v>
      </c>
      <c r="C179" s="12"/>
      <c r="D179" s="14" t="s">
        <v>395</v>
      </c>
      <c r="E179" s="12"/>
      <c r="F179" s="12">
        <v>22</v>
      </c>
      <c r="G179" s="14">
        <v>0</v>
      </c>
      <c r="H179" s="163">
        <v>0</v>
      </c>
      <c r="I179" s="163">
        <v>1</v>
      </c>
      <c r="J179" s="12">
        <v>1</v>
      </c>
      <c r="K179" s="14">
        <v>376</v>
      </c>
      <c r="L179" s="26">
        <v>1334</v>
      </c>
      <c r="M179" s="14">
        <v>212</v>
      </c>
      <c r="N179" s="163">
        <v>729</v>
      </c>
      <c r="O179" s="14">
        <v>267</v>
      </c>
      <c r="P179" s="26">
        <v>1124</v>
      </c>
      <c r="Q179" s="12">
        <v>3677</v>
      </c>
      <c r="R179" s="209">
        <v>1.4191431879583172</v>
      </c>
      <c r="S179" s="14">
        <v>1</v>
      </c>
      <c r="T179" s="163">
        <v>1</v>
      </c>
      <c r="U179" s="163">
        <v>1</v>
      </c>
      <c r="V179" s="26">
        <v>0</v>
      </c>
      <c r="W179" s="14">
        <v>1110</v>
      </c>
      <c r="X179" s="14">
        <v>1</v>
      </c>
      <c r="Y179" s="163">
        <v>1</v>
      </c>
      <c r="Z179" s="163">
        <v>0</v>
      </c>
      <c r="AA179" s="26">
        <v>0</v>
      </c>
      <c r="AB179" s="12">
        <v>1100</v>
      </c>
      <c r="AC179" s="14">
        <v>1</v>
      </c>
      <c r="AD179" s="14">
        <v>0</v>
      </c>
      <c r="AE179" s="163">
        <v>1</v>
      </c>
      <c r="AF179" s="163">
        <v>1</v>
      </c>
      <c r="AG179" s="26">
        <v>0</v>
      </c>
      <c r="AH179" s="14">
        <v>110</v>
      </c>
      <c r="AI179" s="14">
        <v>0</v>
      </c>
      <c r="AJ179" s="163">
        <v>0</v>
      </c>
      <c r="AK179" s="163">
        <v>1</v>
      </c>
      <c r="AL179" s="26">
        <v>1</v>
      </c>
      <c r="AM179" s="12">
        <v>11</v>
      </c>
      <c r="AN179" s="14">
        <v>0</v>
      </c>
      <c r="AO179" s="163">
        <v>0</v>
      </c>
      <c r="AP179" s="163">
        <v>0</v>
      </c>
      <c r="AQ179" s="163">
        <v>0</v>
      </c>
      <c r="AR179" s="163">
        <v>0</v>
      </c>
      <c r="AS179" s="14">
        <v>1</v>
      </c>
      <c r="AT179" s="163">
        <v>0</v>
      </c>
      <c r="AU179" s="163">
        <v>0</v>
      </c>
      <c r="AV179" s="163">
        <v>0</v>
      </c>
      <c r="AW179" s="26">
        <v>0</v>
      </c>
      <c r="AX179" s="14">
        <v>1</v>
      </c>
      <c r="AY179" s="14">
        <v>1</v>
      </c>
      <c r="AZ179" s="163">
        <v>0</v>
      </c>
      <c r="BA179" s="163">
        <v>0</v>
      </c>
      <c r="BB179" s="26">
        <v>1</v>
      </c>
      <c r="BC179" s="12">
        <v>2</v>
      </c>
      <c r="BD179" s="14">
        <v>1</v>
      </c>
      <c r="BE179" s="163">
        <v>0</v>
      </c>
      <c r="BF179" s="163">
        <v>0</v>
      </c>
      <c r="BG179" s="163">
        <v>0</v>
      </c>
      <c r="BH179" s="163">
        <v>0</v>
      </c>
      <c r="BI179" s="14">
        <v>1</v>
      </c>
      <c r="BJ179" s="163">
        <v>1</v>
      </c>
      <c r="BK179" s="26">
        <v>0</v>
      </c>
      <c r="BL179" s="14">
        <v>0</v>
      </c>
      <c r="BM179" s="163">
        <v>0</v>
      </c>
      <c r="BN179" s="26">
        <v>0</v>
      </c>
      <c r="BO179" s="14">
        <v>0</v>
      </c>
      <c r="BP179" s="12">
        <v>133</v>
      </c>
      <c r="BQ179" s="163">
        <v>1</v>
      </c>
      <c r="BR179" s="14">
        <v>0</v>
      </c>
      <c r="BS179" s="163">
        <v>0</v>
      </c>
      <c r="BT179" s="163">
        <v>0</v>
      </c>
      <c r="BU179" s="26">
        <v>0</v>
      </c>
      <c r="BV179" s="14">
        <v>0</v>
      </c>
      <c r="BW179" s="217">
        <v>53.94</v>
      </c>
      <c r="BX179" s="3">
        <v>56.01</v>
      </c>
      <c r="BY179" s="3"/>
      <c r="BZ179" s="40"/>
      <c r="CA179" s="209"/>
      <c r="CB179" s="3"/>
      <c r="CC179" s="3"/>
      <c r="CD179" s="3"/>
      <c r="CE179" s="217">
        <v>54.61</v>
      </c>
      <c r="CF179" s="3">
        <v>56.11</v>
      </c>
      <c r="CG179" s="3"/>
      <c r="CH179" s="40"/>
      <c r="CI179" s="209"/>
      <c r="CJ179" s="3"/>
      <c r="CK179" s="3"/>
      <c r="CL179" s="217">
        <v>73.3</v>
      </c>
      <c r="CM179" s="3">
        <v>72.650000000000006</v>
      </c>
      <c r="CN179" s="3"/>
      <c r="CO179" s="3"/>
      <c r="CP179" s="40"/>
      <c r="CQ179" s="217">
        <v>73.3</v>
      </c>
      <c r="CR179" s="40">
        <v>73.430000000000007</v>
      </c>
      <c r="CS179" s="3"/>
      <c r="CT179" s="3"/>
    </row>
    <row r="180" spans="1:98" ht="17" thickBot="1">
      <c r="A180" s="55" t="s">
        <v>325</v>
      </c>
      <c r="B180" s="47" t="s">
        <v>292</v>
      </c>
      <c r="C180" s="33"/>
      <c r="D180" s="34" t="s">
        <v>392</v>
      </c>
      <c r="E180" s="33"/>
      <c r="F180" s="33">
        <v>9</v>
      </c>
      <c r="G180" s="34">
        <v>0</v>
      </c>
      <c r="H180" s="36">
        <v>0</v>
      </c>
      <c r="I180" s="36">
        <v>1</v>
      </c>
      <c r="J180" s="33">
        <v>1</v>
      </c>
      <c r="K180" s="34">
        <v>132</v>
      </c>
      <c r="L180" s="35">
        <v>674</v>
      </c>
      <c r="M180" s="34">
        <v>0</v>
      </c>
      <c r="N180" s="36">
        <v>0</v>
      </c>
      <c r="O180" s="34">
        <v>518</v>
      </c>
      <c r="P180" s="35">
        <v>801</v>
      </c>
      <c r="Q180" s="33">
        <v>1801</v>
      </c>
      <c r="R180" s="210">
        <v>2.169879518072289</v>
      </c>
      <c r="S180" s="34">
        <v>1</v>
      </c>
      <c r="T180" s="36">
        <v>0</v>
      </c>
      <c r="U180" s="36">
        <v>1</v>
      </c>
      <c r="V180" s="35">
        <v>0</v>
      </c>
      <c r="W180" s="34">
        <v>1010</v>
      </c>
      <c r="X180" s="34">
        <v>1</v>
      </c>
      <c r="Y180" s="36">
        <v>0</v>
      </c>
      <c r="Z180" s="36">
        <v>0</v>
      </c>
      <c r="AA180" s="35">
        <v>0</v>
      </c>
      <c r="AB180" s="33">
        <v>1000</v>
      </c>
      <c r="AC180" s="34"/>
      <c r="AD180" s="34">
        <v>0</v>
      </c>
      <c r="AE180" s="36">
        <v>0</v>
      </c>
      <c r="AF180" s="36">
        <v>0</v>
      </c>
      <c r="AG180" s="35">
        <v>0</v>
      </c>
      <c r="AH180" s="34">
        <v>0</v>
      </c>
      <c r="AI180" s="34">
        <v>0</v>
      </c>
      <c r="AJ180" s="36">
        <v>0</v>
      </c>
      <c r="AK180" s="36">
        <v>1</v>
      </c>
      <c r="AL180" s="35">
        <v>1</v>
      </c>
      <c r="AM180" s="33">
        <v>11</v>
      </c>
      <c r="AN180" s="34">
        <v>0</v>
      </c>
      <c r="AO180" s="36">
        <v>0</v>
      </c>
      <c r="AP180" s="36">
        <v>0</v>
      </c>
      <c r="AQ180" s="36">
        <v>0</v>
      </c>
      <c r="AR180" s="36">
        <v>0</v>
      </c>
      <c r="AS180" s="34">
        <v>0</v>
      </c>
      <c r="AT180" s="36">
        <v>0</v>
      </c>
      <c r="AU180" s="36">
        <v>0</v>
      </c>
      <c r="AV180" s="36">
        <v>1</v>
      </c>
      <c r="AW180" s="35">
        <v>0</v>
      </c>
      <c r="AX180" s="34">
        <v>1</v>
      </c>
      <c r="AY180" s="34">
        <v>0</v>
      </c>
      <c r="AZ180" s="36">
        <v>0</v>
      </c>
      <c r="BA180" s="36">
        <v>0</v>
      </c>
      <c r="BB180" s="35">
        <v>0</v>
      </c>
      <c r="BC180" s="33">
        <v>0</v>
      </c>
      <c r="BD180" s="34">
        <v>0</v>
      </c>
      <c r="BE180" s="36">
        <v>1</v>
      </c>
      <c r="BF180" s="36">
        <v>0</v>
      </c>
      <c r="BG180" s="36">
        <v>0</v>
      </c>
      <c r="BH180" s="36">
        <v>0</v>
      </c>
      <c r="BI180" s="34">
        <v>1</v>
      </c>
      <c r="BJ180" s="36">
        <v>0</v>
      </c>
      <c r="BK180" s="35">
        <v>0</v>
      </c>
      <c r="BL180" s="34">
        <v>0</v>
      </c>
      <c r="BM180" s="36">
        <v>0</v>
      </c>
      <c r="BN180" s="35">
        <v>0</v>
      </c>
      <c r="BO180" s="34">
        <v>0</v>
      </c>
      <c r="BP180" s="33">
        <v>113</v>
      </c>
      <c r="BQ180" s="36">
        <v>2</v>
      </c>
      <c r="BR180" s="34">
        <v>0</v>
      </c>
      <c r="BS180" s="36">
        <v>1</v>
      </c>
      <c r="BT180" s="36">
        <v>0</v>
      </c>
      <c r="BU180" s="35">
        <v>0</v>
      </c>
      <c r="BV180" s="34">
        <v>100</v>
      </c>
      <c r="BW180" s="210"/>
      <c r="BX180" s="51"/>
      <c r="BY180" s="51"/>
      <c r="BZ180" s="48"/>
      <c r="CA180" s="210"/>
      <c r="CB180" s="51"/>
      <c r="CC180" s="51"/>
      <c r="CD180" s="51"/>
      <c r="CE180" s="210"/>
      <c r="CF180" s="51"/>
      <c r="CG180" s="51"/>
      <c r="CH180" s="48"/>
      <c r="CI180" s="210"/>
      <c r="CJ180" s="51"/>
      <c r="CK180" s="51"/>
      <c r="CL180" s="210"/>
      <c r="CM180" s="51"/>
      <c r="CN180" s="51"/>
      <c r="CO180" s="51"/>
      <c r="CP180" s="48"/>
      <c r="CQ180" s="210"/>
      <c r="CR180" s="48"/>
      <c r="CS180" s="3"/>
      <c r="CT180" s="3"/>
    </row>
    <row r="181" spans="1:98">
      <c r="A181" s="87" t="s">
        <v>325</v>
      </c>
      <c r="B181" s="7" t="s">
        <v>294</v>
      </c>
      <c r="C181" s="9"/>
      <c r="D181" s="11" t="s">
        <v>409</v>
      </c>
      <c r="E181" s="9"/>
      <c r="F181" s="9">
        <v>7</v>
      </c>
      <c r="G181" s="11">
        <v>0</v>
      </c>
      <c r="H181" s="8">
        <v>0</v>
      </c>
      <c r="I181" s="8">
        <v>1</v>
      </c>
      <c r="J181" s="9">
        <v>1</v>
      </c>
      <c r="K181" s="11">
        <v>384</v>
      </c>
      <c r="L181" s="41">
        <v>499</v>
      </c>
      <c r="M181" s="11">
        <v>466</v>
      </c>
      <c r="N181" s="8">
        <v>838</v>
      </c>
      <c r="O181" s="11">
        <v>0</v>
      </c>
      <c r="P181" s="41">
        <v>0</v>
      </c>
      <c r="Q181" s="9">
        <v>1677</v>
      </c>
      <c r="R181" s="208">
        <v>1.3491552695092519</v>
      </c>
      <c r="S181" s="11">
        <v>1</v>
      </c>
      <c r="T181" s="8">
        <v>1</v>
      </c>
      <c r="U181" s="8">
        <v>0</v>
      </c>
      <c r="V181" s="41">
        <v>1</v>
      </c>
      <c r="W181" s="11">
        <v>1101</v>
      </c>
      <c r="X181" s="11">
        <v>1</v>
      </c>
      <c r="Y181" s="8">
        <v>0</v>
      </c>
      <c r="Z181" s="8">
        <v>0</v>
      </c>
      <c r="AA181" s="41">
        <v>0</v>
      </c>
      <c r="AB181" s="9">
        <v>1000</v>
      </c>
      <c r="AC181" s="11">
        <v>1</v>
      </c>
      <c r="AD181" s="11">
        <v>0</v>
      </c>
      <c r="AE181" s="8">
        <v>0</v>
      </c>
      <c r="AF181" s="8">
        <v>1</v>
      </c>
      <c r="AG181" s="41">
        <v>0</v>
      </c>
      <c r="AH181" s="11">
        <v>10</v>
      </c>
      <c r="AI181" s="11">
        <v>0</v>
      </c>
      <c r="AJ181" s="8">
        <v>0</v>
      </c>
      <c r="AK181" s="8">
        <v>0</v>
      </c>
      <c r="AL181" s="41">
        <v>0</v>
      </c>
      <c r="AM181" s="9">
        <v>0</v>
      </c>
      <c r="AN181" s="11">
        <v>0</v>
      </c>
      <c r="AO181" s="8">
        <v>0</v>
      </c>
      <c r="AP181" s="8">
        <v>0</v>
      </c>
      <c r="AQ181" s="8">
        <v>0</v>
      </c>
      <c r="AR181" s="8">
        <v>5</v>
      </c>
      <c r="AS181" s="11">
        <v>0</v>
      </c>
      <c r="AT181" s="8">
        <v>0</v>
      </c>
      <c r="AU181" s="8">
        <v>1</v>
      </c>
      <c r="AV181" s="8">
        <v>1</v>
      </c>
      <c r="AW181" s="41">
        <v>0</v>
      </c>
      <c r="AX181" s="11">
        <v>2</v>
      </c>
      <c r="AY181" s="11">
        <v>0</v>
      </c>
      <c r="AZ181" s="8">
        <v>0</v>
      </c>
      <c r="BA181" s="8">
        <v>1</v>
      </c>
      <c r="BB181" s="41">
        <v>0</v>
      </c>
      <c r="BC181" s="9">
        <v>1</v>
      </c>
      <c r="BD181" s="11">
        <v>0</v>
      </c>
      <c r="BE181" s="8">
        <v>0</v>
      </c>
      <c r="BF181" s="8">
        <v>0</v>
      </c>
      <c r="BG181" s="8">
        <v>0</v>
      </c>
      <c r="BH181" s="8">
        <v>0</v>
      </c>
      <c r="BI181" s="11">
        <v>1</v>
      </c>
      <c r="BJ181" s="8">
        <v>1</v>
      </c>
      <c r="BK181" s="41">
        <v>0</v>
      </c>
      <c r="BL181" s="11">
        <v>0</v>
      </c>
      <c r="BM181" s="8">
        <v>0</v>
      </c>
      <c r="BN181" s="41">
        <v>0</v>
      </c>
      <c r="BO181" s="11">
        <v>0</v>
      </c>
      <c r="BP181" s="9">
        <v>135</v>
      </c>
      <c r="BQ181" s="8">
        <v>2</v>
      </c>
      <c r="BR181" s="11">
        <v>0</v>
      </c>
      <c r="BS181" s="8">
        <v>0</v>
      </c>
      <c r="BT181" s="8">
        <v>0</v>
      </c>
      <c r="BU181" s="41">
        <v>0</v>
      </c>
      <c r="BV181" s="11">
        <v>0</v>
      </c>
      <c r="BW181" s="208"/>
      <c r="BX181" s="54"/>
      <c r="BY181" s="54"/>
      <c r="BZ181" s="10"/>
      <c r="CA181" s="208"/>
      <c r="CB181" s="54"/>
      <c r="CC181" s="54"/>
      <c r="CD181" s="54"/>
      <c r="CE181" s="208"/>
      <c r="CF181" s="54"/>
      <c r="CG181" s="54"/>
      <c r="CH181" s="10"/>
      <c r="CI181" s="208"/>
      <c r="CJ181" s="54"/>
      <c r="CK181" s="54"/>
      <c r="CL181" s="208"/>
      <c r="CM181" s="54"/>
      <c r="CN181" s="54"/>
      <c r="CO181" s="54"/>
      <c r="CP181" s="10"/>
      <c r="CQ181" s="208"/>
      <c r="CR181" s="10"/>
      <c r="CS181" s="3"/>
      <c r="CT181" s="3"/>
    </row>
    <row r="182" spans="1:98" ht="17" thickBot="1">
      <c r="A182" s="55" t="s">
        <v>325</v>
      </c>
      <c r="B182" s="47" t="s">
        <v>294</v>
      </c>
      <c r="C182" s="33"/>
      <c r="D182" s="34" t="s">
        <v>410</v>
      </c>
      <c r="E182" s="33"/>
      <c r="F182" s="33">
        <v>9</v>
      </c>
      <c r="G182" s="34">
        <v>0</v>
      </c>
      <c r="H182" s="36">
        <v>1</v>
      </c>
      <c r="I182" s="36">
        <v>1</v>
      </c>
      <c r="J182" s="33">
        <v>11</v>
      </c>
      <c r="K182" s="34">
        <v>787</v>
      </c>
      <c r="L182" s="35">
        <v>5113</v>
      </c>
      <c r="M182" s="34">
        <v>498</v>
      </c>
      <c r="N182" s="36">
        <v>2377</v>
      </c>
      <c r="O182" s="34">
        <v>0</v>
      </c>
      <c r="P182" s="35">
        <v>0</v>
      </c>
      <c r="Q182" s="33">
        <v>5809</v>
      </c>
      <c r="R182" s="210">
        <v>1.496008241050734</v>
      </c>
      <c r="S182" s="34">
        <v>1</v>
      </c>
      <c r="T182" s="36">
        <v>1</v>
      </c>
      <c r="U182" s="36">
        <v>0</v>
      </c>
      <c r="V182" s="35">
        <v>1</v>
      </c>
      <c r="W182" s="34">
        <v>1101</v>
      </c>
      <c r="X182" s="34">
        <v>0</v>
      </c>
      <c r="Y182" s="36">
        <v>0</v>
      </c>
      <c r="Z182" s="36">
        <v>0</v>
      </c>
      <c r="AA182" s="35">
        <v>1</v>
      </c>
      <c r="AB182" s="33">
        <v>1</v>
      </c>
      <c r="AC182" s="34">
        <v>1</v>
      </c>
      <c r="AD182" s="34">
        <v>0</v>
      </c>
      <c r="AE182" s="36">
        <v>0</v>
      </c>
      <c r="AF182" s="36">
        <v>1</v>
      </c>
      <c r="AG182" s="35">
        <v>0</v>
      </c>
      <c r="AH182" s="34">
        <v>10</v>
      </c>
      <c r="AI182" s="34">
        <v>0</v>
      </c>
      <c r="AJ182" s="36">
        <v>0</v>
      </c>
      <c r="AK182" s="36">
        <v>0</v>
      </c>
      <c r="AL182" s="35">
        <v>0</v>
      </c>
      <c r="AM182" s="33">
        <v>0</v>
      </c>
      <c r="AN182" s="34">
        <v>0</v>
      </c>
      <c r="AO182" s="36">
        <v>0</v>
      </c>
      <c r="AP182" s="36">
        <v>0</v>
      </c>
      <c r="AQ182" s="36">
        <v>0</v>
      </c>
      <c r="AR182" s="36">
        <v>0</v>
      </c>
      <c r="AS182" s="34">
        <v>1</v>
      </c>
      <c r="AT182" s="36">
        <v>1</v>
      </c>
      <c r="AU182" s="36">
        <v>0</v>
      </c>
      <c r="AV182" s="36">
        <v>1</v>
      </c>
      <c r="AW182" s="35">
        <v>0</v>
      </c>
      <c r="AX182" s="34">
        <v>3</v>
      </c>
      <c r="AY182" s="34">
        <v>0</v>
      </c>
      <c r="AZ182" s="36">
        <v>0</v>
      </c>
      <c r="BA182" s="36">
        <v>0</v>
      </c>
      <c r="BB182" s="35">
        <v>0</v>
      </c>
      <c r="BC182" s="33">
        <v>0</v>
      </c>
      <c r="BD182" s="34">
        <v>0</v>
      </c>
      <c r="BE182" s="36">
        <v>0</v>
      </c>
      <c r="BF182" s="36">
        <v>0</v>
      </c>
      <c r="BG182" s="36">
        <v>0</v>
      </c>
      <c r="BH182" s="36">
        <v>0</v>
      </c>
      <c r="BI182" s="34">
        <v>1</v>
      </c>
      <c r="BJ182" s="36">
        <v>1</v>
      </c>
      <c r="BK182" s="35">
        <v>0</v>
      </c>
      <c r="BL182" s="34">
        <v>0</v>
      </c>
      <c r="BM182" s="36">
        <v>0</v>
      </c>
      <c r="BN182" s="35">
        <v>0</v>
      </c>
      <c r="BO182" s="34">
        <v>0</v>
      </c>
      <c r="BP182" s="33">
        <v>128</v>
      </c>
      <c r="BQ182" s="36">
        <v>1</v>
      </c>
      <c r="BR182" s="34">
        <v>0</v>
      </c>
      <c r="BS182" s="36">
        <v>0</v>
      </c>
      <c r="BT182" s="36">
        <v>0</v>
      </c>
      <c r="BU182" s="35">
        <v>1</v>
      </c>
      <c r="BV182" s="34">
        <v>1</v>
      </c>
      <c r="BW182" s="210"/>
      <c r="BX182" s="51"/>
      <c r="BY182" s="51"/>
      <c r="BZ182" s="48"/>
      <c r="CA182" s="210"/>
      <c r="CB182" s="51"/>
      <c r="CC182" s="51"/>
      <c r="CD182" s="51"/>
      <c r="CE182" s="210"/>
      <c r="CF182" s="51"/>
      <c r="CG182" s="51"/>
      <c r="CH182" s="48"/>
      <c r="CI182" s="210"/>
      <c r="CJ182" s="51"/>
      <c r="CK182" s="51"/>
      <c r="CL182" s="210"/>
      <c r="CM182" s="51"/>
      <c r="CN182" s="51"/>
      <c r="CO182" s="51"/>
      <c r="CP182" s="48"/>
      <c r="CQ182" s="210"/>
      <c r="CR182" s="48"/>
      <c r="CS182" s="3"/>
      <c r="CT182" s="3"/>
    </row>
    <row r="183" spans="1:98" ht="17" thickBot="1">
      <c r="A183" s="88" t="s">
        <v>325</v>
      </c>
      <c r="B183" s="185" t="s">
        <v>146</v>
      </c>
      <c r="C183" s="27"/>
      <c r="D183" s="28" t="s">
        <v>408</v>
      </c>
      <c r="E183" s="27"/>
      <c r="F183" s="27">
        <v>5</v>
      </c>
      <c r="G183" s="28">
        <v>0</v>
      </c>
      <c r="H183" s="30">
        <v>0</v>
      </c>
      <c r="I183" s="30">
        <v>1</v>
      </c>
      <c r="J183" s="27">
        <v>1</v>
      </c>
      <c r="K183" s="28">
        <v>162</v>
      </c>
      <c r="L183" s="29">
        <v>760</v>
      </c>
      <c r="M183" s="28">
        <v>40</v>
      </c>
      <c r="N183" s="30">
        <v>125</v>
      </c>
      <c r="O183" s="28">
        <v>0</v>
      </c>
      <c r="P183" s="29">
        <v>0</v>
      </c>
      <c r="Q183" s="27">
        <v>760</v>
      </c>
      <c r="R183" s="211">
        <v>1.043956043956044</v>
      </c>
      <c r="S183" s="28">
        <v>1</v>
      </c>
      <c r="T183" s="30">
        <v>1</v>
      </c>
      <c r="U183" s="30">
        <v>0</v>
      </c>
      <c r="V183" s="29">
        <v>0</v>
      </c>
      <c r="W183" s="28">
        <v>1100</v>
      </c>
      <c r="X183" s="28">
        <v>0</v>
      </c>
      <c r="Y183" s="30">
        <v>1</v>
      </c>
      <c r="Z183" s="30">
        <v>0</v>
      </c>
      <c r="AA183" s="29">
        <v>0</v>
      </c>
      <c r="AB183" s="27">
        <v>100</v>
      </c>
      <c r="AC183" s="28">
        <v>0</v>
      </c>
      <c r="AD183" s="28">
        <v>0</v>
      </c>
      <c r="AE183" s="30">
        <v>0</v>
      </c>
      <c r="AF183" s="30">
        <v>1</v>
      </c>
      <c r="AG183" s="29">
        <v>0</v>
      </c>
      <c r="AH183" s="28">
        <v>10</v>
      </c>
      <c r="AI183" s="28">
        <v>0</v>
      </c>
      <c r="AJ183" s="30">
        <v>0</v>
      </c>
      <c r="AK183" s="30">
        <v>0</v>
      </c>
      <c r="AL183" s="29">
        <v>0</v>
      </c>
      <c r="AM183" s="27">
        <v>0</v>
      </c>
      <c r="AN183" s="28">
        <v>0</v>
      </c>
      <c r="AO183" s="30">
        <v>0</v>
      </c>
      <c r="AP183" s="30">
        <v>0</v>
      </c>
      <c r="AQ183" s="30">
        <v>0</v>
      </c>
      <c r="AR183" s="30">
        <v>0</v>
      </c>
      <c r="AS183" s="28">
        <v>0</v>
      </c>
      <c r="AT183" s="30">
        <v>0</v>
      </c>
      <c r="AU183" s="30">
        <v>1</v>
      </c>
      <c r="AV183" s="30">
        <v>0</v>
      </c>
      <c r="AW183" s="29">
        <v>0</v>
      </c>
      <c r="AX183" s="28">
        <v>1</v>
      </c>
      <c r="AY183" s="28">
        <v>0</v>
      </c>
      <c r="AZ183" s="30">
        <v>0</v>
      </c>
      <c r="BA183" s="30">
        <v>0</v>
      </c>
      <c r="BB183" s="29">
        <v>1</v>
      </c>
      <c r="BC183" s="27">
        <v>1</v>
      </c>
      <c r="BD183" s="28">
        <v>0</v>
      </c>
      <c r="BE183" s="30">
        <v>0</v>
      </c>
      <c r="BF183" s="30">
        <v>0</v>
      </c>
      <c r="BG183" s="30">
        <v>0</v>
      </c>
      <c r="BH183" s="30">
        <v>0</v>
      </c>
      <c r="BI183" s="28">
        <v>0</v>
      </c>
      <c r="BJ183" s="30">
        <v>0</v>
      </c>
      <c r="BK183" s="29">
        <v>0</v>
      </c>
      <c r="BL183" s="28">
        <v>0</v>
      </c>
      <c r="BM183" s="30">
        <v>0</v>
      </c>
      <c r="BN183" s="29">
        <v>0</v>
      </c>
      <c r="BO183" s="28">
        <v>0</v>
      </c>
      <c r="BP183" s="27">
        <v>109</v>
      </c>
      <c r="BQ183" s="30">
        <v>2</v>
      </c>
      <c r="BR183" s="28">
        <v>0</v>
      </c>
      <c r="BS183" s="30">
        <v>0</v>
      </c>
      <c r="BT183" s="30">
        <v>0</v>
      </c>
      <c r="BU183" s="29">
        <v>0</v>
      </c>
      <c r="BV183" s="28">
        <v>0</v>
      </c>
      <c r="BW183" s="211"/>
      <c r="BX183" s="77"/>
      <c r="BY183" s="77"/>
      <c r="BZ183" s="45"/>
      <c r="CA183" s="211"/>
      <c r="CB183" s="77"/>
      <c r="CC183" s="77"/>
      <c r="CD183" s="77"/>
      <c r="CE183" s="211"/>
      <c r="CF183" s="77"/>
      <c r="CG183" s="77"/>
      <c r="CH183" s="45"/>
      <c r="CI183" s="211"/>
      <c r="CJ183" s="77"/>
      <c r="CK183" s="77"/>
      <c r="CL183" s="211"/>
      <c r="CM183" s="77"/>
      <c r="CN183" s="77"/>
      <c r="CO183" s="77"/>
      <c r="CP183" s="45"/>
      <c r="CQ183" s="211"/>
      <c r="CR183" s="45"/>
      <c r="CS183" s="3"/>
      <c r="CT183" s="3"/>
    </row>
    <row r="184" spans="1:98">
      <c r="A184" s="87" t="s">
        <v>433</v>
      </c>
      <c r="B184" s="7" t="s">
        <v>295</v>
      </c>
      <c r="C184" s="9"/>
      <c r="D184" s="11" t="s">
        <v>132</v>
      </c>
      <c r="E184" s="9"/>
      <c r="F184" s="9">
        <v>7</v>
      </c>
      <c r="G184" s="11">
        <v>0</v>
      </c>
      <c r="H184" s="8">
        <v>1</v>
      </c>
      <c r="I184" s="8">
        <v>1</v>
      </c>
      <c r="J184" s="9">
        <v>11</v>
      </c>
      <c r="K184" s="11">
        <v>233</v>
      </c>
      <c r="L184" s="41">
        <v>762</v>
      </c>
      <c r="M184" s="11">
        <v>147</v>
      </c>
      <c r="N184" s="8">
        <v>649</v>
      </c>
      <c r="O184" s="11">
        <v>0</v>
      </c>
      <c r="P184" s="41">
        <v>0</v>
      </c>
      <c r="Q184" s="9">
        <v>1024</v>
      </c>
      <c r="R184" s="208">
        <v>15.058823529411764</v>
      </c>
      <c r="S184" s="11">
        <v>1</v>
      </c>
      <c r="T184" s="8">
        <v>1</v>
      </c>
      <c r="U184" s="8">
        <v>0</v>
      </c>
      <c r="V184" s="41">
        <v>0</v>
      </c>
      <c r="W184" s="11">
        <v>1100</v>
      </c>
      <c r="X184" s="11">
        <v>1</v>
      </c>
      <c r="Y184" s="8">
        <v>0</v>
      </c>
      <c r="Z184" s="8">
        <v>0</v>
      </c>
      <c r="AA184" s="41">
        <v>0</v>
      </c>
      <c r="AB184" s="9">
        <v>1000</v>
      </c>
      <c r="AC184" s="11">
        <v>0</v>
      </c>
      <c r="AD184" s="11">
        <v>0</v>
      </c>
      <c r="AE184" s="8">
        <v>0</v>
      </c>
      <c r="AF184" s="8">
        <v>1</v>
      </c>
      <c r="AG184" s="41">
        <v>0</v>
      </c>
      <c r="AH184" s="11">
        <v>10</v>
      </c>
      <c r="AI184" s="11">
        <v>0</v>
      </c>
      <c r="AJ184" s="8">
        <v>0</v>
      </c>
      <c r="AK184" s="8">
        <v>0</v>
      </c>
      <c r="AL184" s="41">
        <v>0</v>
      </c>
      <c r="AM184" s="9">
        <v>0</v>
      </c>
      <c r="AN184" s="11">
        <v>0</v>
      </c>
      <c r="AO184" s="8">
        <v>0</v>
      </c>
      <c r="AP184" s="8">
        <v>0</v>
      </c>
      <c r="AQ184" s="8">
        <v>0</v>
      </c>
      <c r="AR184" s="8">
        <v>0</v>
      </c>
      <c r="AS184" s="11">
        <v>1</v>
      </c>
      <c r="AT184" s="8">
        <v>0</v>
      </c>
      <c r="AU184" s="8">
        <v>0</v>
      </c>
      <c r="AV184" s="8">
        <v>0</v>
      </c>
      <c r="AW184" s="41">
        <v>0</v>
      </c>
      <c r="AX184" s="11">
        <v>1</v>
      </c>
      <c r="AY184" s="11">
        <v>0</v>
      </c>
      <c r="AZ184" s="8">
        <v>0</v>
      </c>
      <c r="BA184" s="8">
        <v>0</v>
      </c>
      <c r="BB184" s="41">
        <v>1</v>
      </c>
      <c r="BC184" s="9">
        <v>1</v>
      </c>
      <c r="BD184" s="11">
        <v>0</v>
      </c>
      <c r="BE184" s="8">
        <v>0</v>
      </c>
      <c r="BF184" s="8">
        <v>0</v>
      </c>
      <c r="BG184" s="8">
        <v>0</v>
      </c>
      <c r="BH184" s="8">
        <v>0</v>
      </c>
      <c r="BI184" s="11">
        <v>0</v>
      </c>
      <c r="BJ184" s="8">
        <v>0</v>
      </c>
      <c r="BK184" s="41">
        <v>0</v>
      </c>
      <c r="BL184" s="11">
        <v>0</v>
      </c>
      <c r="BM184" s="8">
        <v>0</v>
      </c>
      <c r="BN184" s="41">
        <v>0</v>
      </c>
      <c r="BO184" s="11">
        <v>0</v>
      </c>
      <c r="BP184" s="9">
        <v>121</v>
      </c>
      <c r="BQ184" s="8">
        <v>2</v>
      </c>
      <c r="BR184" s="11">
        <v>0</v>
      </c>
      <c r="BS184" s="8">
        <v>0</v>
      </c>
      <c r="BT184" s="8">
        <v>0</v>
      </c>
      <c r="BU184" s="41">
        <v>0</v>
      </c>
      <c r="BV184" s="11">
        <v>0</v>
      </c>
      <c r="BW184" s="208"/>
      <c r="BX184" s="54"/>
      <c r="BY184" s="54"/>
      <c r="BZ184" s="10"/>
      <c r="CA184" s="208"/>
      <c r="CB184" s="54"/>
      <c r="CC184" s="54"/>
      <c r="CD184" s="54"/>
      <c r="CE184" s="208"/>
      <c r="CF184" s="54"/>
      <c r="CG184" s="54"/>
      <c r="CH184" s="10"/>
      <c r="CI184" s="208"/>
      <c r="CJ184" s="54"/>
      <c r="CK184" s="54"/>
      <c r="CL184" s="208"/>
      <c r="CM184" s="54"/>
      <c r="CN184" s="54"/>
      <c r="CO184" s="54"/>
      <c r="CP184" s="10"/>
      <c r="CQ184" s="208"/>
      <c r="CR184" s="10"/>
      <c r="CS184" s="3"/>
      <c r="CT184" s="3"/>
    </row>
    <row r="185" spans="1:98">
      <c r="A185" s="42" t="s">
        <v>433</v>
      </c>
      <c r="B185" s="173" t="s">
        <v>295</v>
      </c>
      <c r="C185" s="12"/>
      <c r="D185" s="14" t="s">
        <v>376</v>
      </c>
      <c r="E185" s="12"/>
      <c r="F185" s="12">
        <v>35</v>
      </c>
      <c r="G185" s="14">
        <v>1</v>
      </c>
      <c r="H185" s="163">
        <v>1</v>
      </c>
      <c r="I185" s="163">
        <v>1</v>
      </c>
      <c r="J185" s="12">
        <v>111</v>
      </c>
      <c r="K185" s="14">
        <v>42</v>
      </c>
      <c r="L185" s="26">
        <v>939</v>
      </c>
      <c r="M185" s="14">
        <v>150</v>
      </c>
      <c r="N185" s="163">
        <v>725</v>
      </c>
      <c r="O185" s="14">
        <v>0</v>
      </c>
      <c r="P185" s="26">
        <v>0</v>
      </c>
      <c r="Q185" s="12">
        <v>3530</v>
      </c>
      <c r="R185" s="209">
        <v>1.3310708898944192</v>
      </c>
      <c r="S185" s="14">
        <v>1</v>
      </c>
      <c r="T185" s="163">
        <v>1</v>
      </c>
      <c r="U185" s="163">
        <v>0</v>
      </c>
      <c r="V185" s="26">
        <v>0</v>
      </c>
      <c r="W185" s="14">
        <v>1100</v>
      </c>
      <c r="X185" s="14">
        <v>1</v>
      </c>
      <c r="Y185" s="163">
        <v>0</v>
      </c>
      <c r="Z185" s="163">
        <v>0</v>
      </c>
      <c r="AA185" s="26">
        <v>0</v>
      </c>
      <c r="AB185" s="12">
        <v>1000</v>
      </c>
      <c r="AC185" s="14">
        <v>1</v>
      </c>
      <c r="AD185" s="14">
        <v>0</v>
      </c>
      <c r="AE185" s="163">
        <v>0</v>
      </c>
      <c r="AF185" s="163">
        <v>1</v>
      </c>
      <c r="AG185" s="26">
        <v>0</v>
      </c>
      <c r="AH185" s="14">
        <v>10</v>
      </c>
      <c r="AI185" s="14">
        <v>0</v>
      </c>
      <c r="AJ185" s="163">
        <v>0</v>
      </c>
      <c r="AK185" s="163">
        <v>0</v>
      </c>
      <c r="AL185" s="26">
        <v>0</v>
      </c>
      <c r="AM185" s="12">
        <v>0</v>
      </c>
      <c r="AN185" s="14">
        <v>0</v>
      </c>
      <c r="AO185" s="163">
        <v>0</v>
      </c>
      <c r="AP185" s="163">
        <v>0</v>
      </c>
      <c r="AQ185" s="163">
        <v>0</v>
      </c>
      <c r="AR185" s="163">
        <v>0</v>
      </c>
      <c r="AS185" s="14">
        <v>1</v>
      </c>
      <c r="AT185" s="163">
        <v>1</v>
      </c>
      <c r="AU185" s="163">
        <v>0</v>
      </c>
      <c r="AV185" s="163">
        <v>1</v>
      </c>
      <c r="AW185" s="26">
        <v>0</v>
      </c>
      <c r="AX185" s="14">
        <v>3</v>
      </c>
      <c r="AY185" s="14">
        <v>0</v>
      </c>
      <c r="AZ185" s="163">
        <v>0</v>
      </c>
      <c r="BA185" s="163">
        <v>1</v>
      </c>
      <c r="BB185" s="26">
        <v>1</v>
      </c>
      <c r="BC185" s="12">
        <v>2</v>
      </c>
      <c r="BD185" s="14">
        <v>0</v>
      </c>
      <c r="BE185" s="163">
        <v>0</v>
      </c>
      <c r="BF185" s="163">
        <v>0</v>
      </c>
      <c r="BG185" s="163">
        <v>0</v>
      </c>
      <c r="BH185" s="163">
        <v>0</v>
      </c>
      <c r="BI185" s="14">
        <v>1</v>
      </c>
      <c r="BJ185" s="163">
        <v>1</v>
      </c>
      <c r="BK185" s="26">
        <v>0</v>
      </c>
      <c r="BL185" s="14">
        <v>0</v>
      </c>
      <c r="BM185" s="163">
        <v>1</v>
      </c>
      <c r="BN185" s="26">
        <v>0</v>
      </c>
      <c r="BO185" s="14">
        <v>1</v>
      </c>
      <c r="BP185" s="12">
        <v>134</v>
      </c>
      <c r="BQ185" s="163">
        <v>1</v>
      </c>
      <c r="BR185" s="14">
        <v>0</v>
      </c>
      <c r="BS185" s="163">
        <v>0</v>
      </c>
      <c r="BT185" s="163">
        <v>0</v>
      </c>
      <c r="BU185" s="26">
        <v>1</v>
      </c>
      <c r="BV185" s="14">
        <v>1</v>
      </c>
      <c r="BW185" s="209"/>
      <c r="BX185" s="3"/>
      <c r="BY185" s="3"/>
      <c r="BZ185" s="40"/>
      <c r="CA185" s="209"/>
      <c r="CB185" s="3"/>
      <c r="CC185" s="3"/>
      <c r="CD185" s="3"/>
      <c r="CE185" s="209"/>
      <c r="CF185" s="3"/>
      <c r="CG185" s="3"/>
      <c r="CH185" s="40"/>
      <c r="CI185" s="209"/>
      <c r="CJ185" s="3"/>
      <c r="CK185" s="3"/>
      <c r="CL185" s="209"/>
      <c r="CM185" s="3"/>
      <c r="CN185" s="3"/>
      <c r="CO185" s="3"/>
      <c r="CP185" s="40"/>
      <c r="CQ185" s="209"/>
      <c r="CR185" s="40"/>
      <c r="CS185" s="3"/>
      <c r="CT185" s="3"/>
    </row>
    <row r="186" spans="1:98">
      <c r="A186" s="42" t="s">
        <v>433</v>
      </c>
      <c r="B186" s="173" t="s">
        <v>295</v>
      </c>
      <c r="C186" s="12"/>
      <c r="D186" s="14" t="s">
        <v>393</v>
      </c>
      <c r="E186" s="12"/>
      <c r="F186" s="12">
        <v>42</v>
      </c>
      <c r="G186" s="14">
        <v>1</v>
      </c>
      <c r="H186" s="163">
        <v>0</v>
      </c>
      <c r="I186" s="163">
        <v>1</v>
      </c>
      <c r="J186" s="12">
        <v>101</v>
      </c>
      <c r="K186" s="14">
        <v>89</v>
      </c>
      <c r="L186" s="26">
        <v>1571</v>
      </c>
      <c r="M186" s="14">
        <v>215</v>
      </c>
      <c r="N186" s="163">
        <v>1513</v>
      </c>
      <c r="O186" s="14">
        <v>0</v>
      </c>
      <c r="P186" s="26">
        <v>0</v>
      </c>
      <c r="Q186" s="12">
        <v>3678</v>
      </c>
      <c r="R186" s="209">
        <v>1.0833578792341678</v>
      </c>
      <c r="S186" s="14">
        <v>1</v>
      </c>
      <c r="T186" s="163">
        <v>1</v>
      </c>
      <c r="U186" s="163">
        <v>0</v>
      </c>
      <c r="V186" s="26">
        <v>0</v>
      </c>
      <c r="W186" s="14">
        <v>1100</v>
      </c>
      <c r="X186" s="14">
        <v>1</v>
      </c>
      <c r="Y186" s="163">
        <v>0</v>
      </c>
      <c r="Z186" s="163">
        <v>0</v>
      </c>
      <c r="AA186" s="26">
        <v>1</v>
      </c>
      <c r="AB186" s="12">
        <v>1001</v>
      </c>
      <c r="AC186" s="14">
        <v>0</v>
      </c>
      <c r="AD186" s="14">
        <v>0</v>
      </c>
      <c r="AE186" s="163">
        <v>0</v>
      </c>
      <c r="AF186" s="163">
        <v>1</v>
      </c>
      <c r="AG186" s="26">
        <v>0</v>
      </c>
      <c r="AH186" s="14">
        <v>10</v>
      </c>
      <c r="AI186" s="14">
        <v>0</v>
      </c>
      <c r="AJ186" s="163">
        <v>0</v>
      </c>
      <c r="AK186" s="163">
        <v>0</v>
      </c>
      <c r="AL186" s="26">
        <v>0</v>
      </c>
      <c r="AM186" s="12">
        <v>0</v>
      </c>
      <c r="AN186" s="14">
        <v>0</v>
      </c>
      <c r="AO186" s="163">
        <v>0</v>
      </c>
      <c r="AP186" s="163">
        <v>0</v>
      </c>
      <c r="AQ186" s="163">
        <v>0</v>
      </c>
      <c r="AR186" s="163">
        <v>0</v>
      </c>
      <c r="AS186" s="14">
        <v>1</v>
      </c>
      <c r="AT186" s="163">
        <v>0</v>
      </c>
      <c r="AU186" s="163">
        <v>1</v>
      </c>
      <c r="AV186" s="163">
        <v>1</v>
      </c>
      <c r="AW186" s="26">
        <v>0</v>
      </c>
      <c r="AX186" s="14">
        <v>3</v>
      </c>
      <c r="AY186" s="14">
        <v>1</v>
      </c>
      <c r="AZ186" s="163">
        <v>0</v>
      </c>
      <c r="BA186" s="163">
        <v>0</v>
      </c>
      <c r="BB186" s="26">
        <v>1</v>
      </c>
      <c r="BC186" s="12">
        <v>2</v>
      </c>
      <c r="BD186" s="14">
        <v>0</v>
      </c>
      <c r="BE186" s="163">
        <v>0</v>
      </c>
      <c r="BF186" s="163">
        <v>0</v>
      </c>
      <c r="BG186" s="163">
        <v>0</v>
      </c>
      <c r="BH186" s="163">
        <v>0</v>
      </c>
      <c r="BI186" s="14">
        <v>1</v>
      </c>
      <c r="BJ186" s="163">
        <v>1</v>
      </c>
      <c r="BK186" s="26">
        <v>0</v>
      </c>
      <c r="BL186" s="14">
        <v>0</v>
      </c>
      <c r="BM186" s="163">
        <v>1</v>
      </c>
      <c r="BN186" s="26">
        <v>0</v>
      </c>
      <c r="BO186" s="14">
        <v>1</v>
      </c>
      <c r="BP186" s="12">
        <v>118</v>
      </c>
      <c r="BQ186" s="163">
        <v>1</v>
      </c>
      <c r="BR186" s="14">
        <v>0</v>
      </c>
      <c r="BS186" s="163">
        <v>0</v>
      </c>
      <c r="BT186" s="163">
        <v>0</v>
      </c>
      <c r="BU186" s="26">
        <v>0</v>
      </c>
      <c r="BV186" s="14">
        <v>0</v>
      </c>
      <c r="BW186" s="209">
        <v>70.95</v>
      </c>
      <c r="BX186" s="3">
        <v>69.709999999999994</v>
      </c>
      <c r="BY186" s="3">
        <v>68.010000000000005</v>
      </c>
      <c r="BZ186" s="40"/>
      <c r="CA186" s="209"/>
      <c r="CB186" s="3"/>
      <c r="CC186" s="3"/>
      <c r="CD186" s="3"/>
      <c r="CE186" s="209">
        <v>69.83</v>
      </c>
      <c r="CF186" s="3">
        <v>69.55</v>
      </c>
      <c r="CG186" s="3">
        <v>68.14</v>
      </c>
      <c r="CH186" s="40">
        <v>66.77</v>
      </c>
      <c r="CI186" s="209"/>
      <c r="CJ186" s="3"/>
      <c r="CK186" s="3"/>
      <c r="CL186" s="209">
        <v>85</v>
      </c>
      <c r="CM186" s="3">
        <v>85</v>
      </c>
      <c r="CN186" s="3"/>
      <c r="CO186" s="3"/>
      <c r="CP186" s="40"/>
      <c r="CQ186" s="209">
        <v>86</v>
      </c>
      <c r="CR186" s="40"/>
      <c r="CS186" s="3"/>
      <c r="CT186" s="3"/>
    </row>
    <row r="187" spans="1:98">
      <c r="A187" s="42" t="s">
        <v>433</v>
      </c>
      <c r="B187" s="173" t="s">
        <v>295</v>
      </c>
      <c r="C187" s="12"/>
      <c r="D187" s="14" t="s">
        <v>384</v>
      </c>
      <c r="E187" s="12" t="s">
        <v>0</v>
      </c>
      <c r="F187" s="12">
        <v>24</v>
      </c>
      <c r="G187" s="14">
        <v>0</v>
      </c>
      <c r="H187" s="163">
        <v>0</v>
      </c>
      <c r="I187" s="163">
        <v>1</v>
      </c>
      <c r="J187" s="12">
        <v>1</v>
      </c>
      <c r="K187" s="14">
        <v>174</v>
      </c>
      <c r="L187" s="26">
        <v>1571</v>
      </c>
      <c r="M187" s="14">
        <v>169</v>
      </c>
      <c r="N187" s="163">
        <v>500</v>
      </c>
      <c r="O187" s="14">
        <v>0</v>
      </c>
      <c r="P187" s="26">
        <v>0</v>
      </c>
      <c r="Q187" s="12">
        <v>2001</v>
      </c>
      <c r="R187" s="209">
        <v>1.1110494169905607</v>
      </c>
      <c r="S187" s="14">
        <v>1</v>
      </c>
      <c r="T187" s="163">
        <v>1</v>
      </c>
      <c r="U187" s="163">
        <v>0</v>
      </c>
      <c r="V187" s="26">
        <v>0</v>
      </c>
      <c r="W187" s="14">
        <v>1100</v>
      </c>
      <c r="X187" s="14">
        <v>1</v>
      </c>
      <c r="Y187" s="163">
        <v>0</v>
      </c>
      <c r="Z187" s="163">
        <v>0</v>
      </c>
      <c r="AA187" s="26">
        <v>0</v>
      </c>
      <c r="AB187" s="12">
        <v>1000</v>
      </c>
      <c r="AC187" s="14">
        <v>0</v>
      </c>
      <c r="AD187" s="14">
        <v>0</v>
      </c>
      <c r="AE187" s="163">
        <v>0</v>
      </c>
      <c r="AF187" s="163">
        <v>1</v>
      </c>
      <c r="AG187" s="26">
        <v>0</v>
      </c>
      <c r="AH187" s="14">
        <v>10</v>
      </c>
      <c r="AI187" s="14">
        <v>0</v>
      </c>
      <c r="AJ187" s="163">
        <v>0</v>
      </c>
      <c r="AK187" s="163">
        <v>0</v>
      </c>
      <c r="AL187" s="26">
        <v>0</v>
      </c>
      <c r="AM187" s="12">
        <v>0</v>
      </c>
      <c r="AN187" s="14">
        <v>0</v>
      </c>
      <c r="AO187" s="163">
        <v>0</v>
      </c>
      <c r="AP187" s="163">
        <v>0</v>
      </c>
      <c r="AQ187" s="163">
        <v>0</v>
      </c>
      <c r="AR187" s="163">
        <v>0</v>
      </c>
      <c r="AS187" s="14">
        <v>1</v>
      </c>
      <c r="AT187" s="163">
        <v>1</v>
      </c>
      <c r="AU187" s="163">
        <v>0</v>
      </c>
      <c r="AV187" s="163">
        <v>0</v>
      </c>
      <c r="AW187" s="26">
        <v>0</v>
      </c>
      <c r="AX187" s="14">
        <v>2</v>
      </c>
      <c r="AY187" s="14">
        <v>0</v>
      </c>
      <c r="AZ187" s="163">
        <v>0</v>
      </c>
      <c r="BA187" s="163">
        <v>0</v>
      </c>
      <c r="BB187" s="26">
        <v>1</v>
      </c>
      <c r="BC187" s="12">
        <v>1</v>
      </c>
      <c r="BD187" s="14">
        <v>0</v>
      </c>
      <c r="BE187" s="163">
        <v>0</v>
      </c>
      <c r="BF187" s="163">
        <v>0</v>
      </c>
      <c r="BG187" s="163">
        <v>0</v>
      </c>
      <c r="BH187" s="163">
        <v>0</v>
      </c>
      <c r="BI187" s="14">
        <v>0</v>
      </c>
      <c r="BJ187" s="163">
        <v>1</v>
      </c>
      <c r="BK187" s="26">
        <v>0</v>
      </c>
      <c r="BL187" s="14">
        <v>0</v>
      </c>
      <c r="BM187" s="163">
        <v>1</v>
      </c>
      <c r="BN187" s="26">
        <v>0</v>
      </c>
      <c r="BO187" s="14">
        <v>1</v>
      </c>
      <c r="BP187" s="12">
        <v>154</v>
      </c>
      <c r="BQ187" s="163">
        <v>1</v>
      </c>
      <c r="BR187" s="14">
        <v>0</v>
      </c>
      <c r="BS187" s="163">
        <v>0</v>
      </c>
      <c r="BT187" s="163">
        <v>0</v>
      </c>
      <c r="BU187" s="26">
        <v>1</v>
      </c>
      <c r="BV187" s="14">
        <v>1</v>
      </c>
      <c r="BW187" s="209"/>
      <c r="BX187" s="3"/>
      <c r="BY187" s="3"/>
      <c r="BZ187" s="40"/>
      <c r="CA187" s="209"/>
      <c r="CB187" s="3"/>
      <c r="CC187" s="3"/>
      <c r="CD187" s="3"/>
      <c r="CE187" s="209"/>
      <c r="CF187" s="3"/>
      <c r="CG187" s="3"/>
      <c r="CH187" s="40"/>
      <c r="CI187" s="209"/>
      <c r="CJ187" s="3"/>
      <c r="CK187" s="3"/>
      <c r="CL187" s="209">
        <v>86</v>
      </c>
      <c r="CM187" s="3"/>
      <c r="CN187" s="3"/>
      <c r="CO187" s="3"/>
      <c r="CP187" s="40"/>
      <c r="CQ187" s="209">
        <v>86</v>
      </c>
      <c r="CR187" s="40"/>
      <c r="CS187" s="3"/>
      <c r="CT187" s="3"/>
    </row>
    <row r="188" spans="1:98">
      <c r="A188" s="42" t="s">
        <v>433</v>
      </c>
      <c r="B188" s="173" t="s">
        <v>295</v>
      </c>
      <c r="C188" s="12"/>
      <c r="D188" s="14" t="s">
        <v>201</v>
      </c>
      <c r="E188" s="12" t="s">
        <v>1</v>
      </c>
      <c r="F188" s="12">
        <v>39</v>
      </c>
      <c r="G188" s="14">
        <v>0</v>
      </c>
      <c r="H188" s="163">
        <v>0</v>
      </c>
      <c r="I188" s="163">
        <v>1</v>
      </c>
      <c r="J188" s="12">
        <v>1</v>
      </c>
      <c r="K188" s="14">
        <v>96</v>
      </c>
      <c r="L188" s="26">
        <v>1522</v>
      </c>
      <c r="M188" s="14">
        <v>104</v>
      </c>
      <c r="N188" s="163">
        <v>623</v>
      </c>
      <c r="O188" s="14">
        <v>0</v>
      </c>
      <c r="P188" s="26">
        <v>0</v>
      </c>
      <c r="Q188" s="12">
        <v>3524</v>
      </c>
      <c r="R188" s="209">
        <v>1.4543953776310359</v>
      </c>
      <c r="S188" s="14">
        <v>1</v>
      </c>
      <c r="T188" s="163">
        <v>1</v>
      </c>
      <c r="U188" s="163">
        <v>0</v>
      </c>
      <c r="V188" s="26">
        <v>0</v>
      </c>
      <c r="W188" s="14">
        <v>1100</v>
      </c>
      <c r="X188" s="14">
        <v>1</v>
      </c>
      <c r="Y188" s="163">
        <v>0</v>
      </c>
      <c r="Z188" s="163">
        <v>0</v>
      </c>
      <c r="AA188" s="26">
        <v>0</v>
      </c>
      <c r="AB188" s="12">
        <v>1000</v>
      </c>
      <c r="AC188" s="14">
        <v>0</v>
      </c>
      <c r="AD188" s="14">
        <v>0</v>
      </c>
      <c r="AE188" s="163">
        <v>0</v>
      </c>
      <c r="AF188" s="163">
        <v>1</v>
      </c>
      <c r="AG188" s="26">
        <v>1</v>
      </c>
      <c r="AH188" s="14">
        <v>11</v>
      </c>
      <c r="AI188" s="14">
        <v>0</v>
      </c>
      <c r="AJ188" s="163">
        <v>0</v>
      </c>
      <c r="AK188" s="163">
        <v>0</v>
      </c>
      <c r="AL188" s="26">
        <v>0</v>
      </c>
      <c r="AM188" s="12">
        <v>0</v>
      </c>
      <c r="AN188" s="14">
        <v>0</v>
      </c>
      <c r="AO188" s="163">
        <v>0</v>
      </c>
      <c r="AP188" s="163">
        <v>0</v>
      </c>
      <c r="AQ188" s="163">
        <v>0</v>
      </c>
      <c r="AR188" s="163">
        <v>0</v>
      </c>
      <c r="AS188" s="14">
        <v>1</v>
      </c>
      <c r="AT188" s="163">
        <v>0</v>
      </c>
      <c r="AU188" s="163">
        <v>0</v>
      </c>
      <c r="AV188" s="163">
        <v>0</v>
      </c>
      <c r="AW188" s="26">
        <v>0</v>
      </c>
      <c r="AX188" s="14">
        <v>1</v>
      </c>
      <c r="AY188" s="14"/>
      <c r="BB188" s="26"/>
      <c r="BC188" s="12">
        <v>0</v>
      </c>
      <c r="BD188" s="14">
        <v>0</v>
      </c>
      <c r="BE188" s="163">
        <v>0</v>
      </c>
      <c r="BF188" s="163">
        <v>0</v>
      </c>
      <c r="BG188" s="163">
        <v>0</v>
      </c>
      <c r="BH188" s="163">
        <v>0</v>
      </c>
      <c r="BI188" s="14">
        <v>1</v>
      </c>
      <c r="BJ188" s="163">
        <v>1</v>
      </c>
      <c r="BK188" s="26">
        <v>0</v>
      </c>
      <c r="BL188" s="14">
        <v>0</v>
      </c>
      <c r="BM188" s="163">
        <v>1</v>
      </c>
      <c r="BN188" s="26">
        <v>0</v>
      </c>
      <c r="BO188" s="14">
        <v>1</v>
      </c>
      <c r="BP188" s="12">
        <v>154</v>
      </c>
      <c r="BQ188" s="163">
        <v>1</v>
      </c>
      <c r="BR188" s="14">
        <v>1</v>
      </c>
      <c r="BS188" s="163">
        <v>0</v>
      </c>
      <c r="BT188" s="163">
        <v>0</v>
      </c>
      <c r="BU188" s="26">
        <v>1</v>
      </c>
      <c r="BV188" s="14">
        <v>1001</v>
      </c>
      <c r="BW188" s="209">
        <v>70.3</v>
      </c>
      <c r="BX188" s="3">
        <v>74.61</v>
      </c>
      <c r="BY188" s="3">
        <v>71.38</v>
      </c>
      <c r="BZ188" s="40">
        <v>72.89</v>
      </c>
      <c r="CA188" s="209"/>
      <c r="CB188" s="3"/>
      <c r="CC188" s="3"/>
      <c r="CD188" s="3"/>
      <c r="CE188" s="209">
        <v>70.47</v>
      </c>
      <c r="CF188" s="3">
        <v>70.709999999999994</v>
      </c>
      <c r="CG188" s="3">
        <v>70.260000000000005</v>
      </c>
      <c r="CH188" s="40"/>
      <c r="CI188" s="209"/>
      <c r="CJ188" s="3"/>
      <c r="CK188" s="3"/>
      <c r="CL188" s="209">
        <v>86</v>
      </c>
      <c r="CM188" s="3"/>
      <c r="CN188" s="3"/>
      <c r="CO188" s="3"/>
      <c r="CP188" s="40"/>
      <c r="CQ188" s="209">
        <v>86</v>
      </c>
      <c r="CR188" s="40"/>
      <c r="CS188" s="3"/>
      <c r="CT188" s="3"/>
    </row>
    <row r="189" spans="1:98">
      <c r="A189" s="42" t="s">
        <v>433</v>
      </c>
      <c r="B189" s="173" t="s">
        <v>295</v>
      </c>
      <c r="C189" s="12"/>
      <c r="D189" s="14" t="s">
        <v>210</v>
      </c>
      <c r="E189" s="12"/>
      <c r="F189" s="12">
        <v>14</v>
      </c>
      <c r="G189" s="14">
        <v>0</v>
      </c>
      <c r="H189" s="163">
        <v>0</v>
      </c>
      <c r="I189" s="163">
        <v>1</v>
      </c>
      <c r="J189" s="12">
        <v>1</v>
      </c>
      <c r="K189" s="14">
        <v>77</v>
      </c>
      <c r="L189" s="26">
        <v>699</v>
      </c>
      <c r="M189" s="14">
        <v>105</v>
      </c>
      <c r="N189" s="163">
        <v>636</v>
      </c>
      <c r="O189" s="14">
        <v>0</v>
      </c>
      <c r="P189" s="26">
        <v>0</v>
      </c>
      <c r="Q189" s="12">
        <v>1514</v>
      </c>
      <c r="R189" s="209">
        <v>1.6840934371523915</v>
      </c>
      <c r="S189" s="14">
        <v>1</v>
      </c>
      <c r="T189" s="163">
        <v>1</v>
      </c>
      <c r="U189" s="163">
        <v>0</v>
      </c>
      <c r="V189" s="26">
        <v>0</v>
      </c>
      <c r="W189" s="14">
        <v>1100</v>
      </c>
      <c r="X189" s="14">
        <v>1</v>
      </c>
      <c r="Y189" s="163">
        <v>0</v>
      </c>
      <c r="Z189" s="163">
        <v>0</v>
      </c>
      <c r="AA189" s="26">
        <v>1</v>
      </c>
      <c r="AB189" s="12">
        <v>1001</v>
      </c>
      <c r="AC189" s="14">
        <v>1</v>
      </c>
      <c r="AD189" s="14">
        <v>0</v>
      </c>
      <c r="AE189" s="163">
        <v>0</v>
      </c>
      <c r="AF189" s="163">
        <v>1</v>
      </c>
      <c r="AG189" s="26">
        <v>0</v>
      </c>
      <c r="AH189" s="14">
        <v>10</v>
      </c>
      <c r="AI189" s="14">
        <v>0</v>
      </c>
      <c r="AJ189" s="163">
        <v>0</v>
      </c>
      <c r="AK189" s="163">
        <v>0</v>
      </c>
      <c r="AL189" s="26">
        <v>0</v>
      </c>
      <c r="AM189" s="12">
        <v>0</v>
      </c>
      <c r="AN189" s="14">
        <v>0</v>
      </c>
      <c r="AO189" s="163">
        <v>0</v>
      </c>
      <c r="AP189" s="163">
        <v>0</v>
      </c>
      <c r="AQ189" s="163">
        <v>0</v>
      </c>
      <c r="AR189" s="163">
        <v>0</v>
      </c>
      <c r="AS189" s="14">
        <v>1</v>
      </c>
      <c r="AT189" s="163">
        <v>1</v>
      </c>
      <c r="AU189" s="163">
        <v>0</v>
      </c>
      <c r="AV189" s="163">
        <v>0</v>
      </c>
      <c r="AW189" s="26">
        <v>0</v>
      </c>
      <c r="AX189" s="14">
        <v>2</v>
      </c>
      <c r="AY189" s="14">
        <v>0</v>
      </c>
      <c r="AZ189" s="163">
        <v>0</v>
      </c>
      <c r="BA189" s="163">
        <v>0</v>
      </c>
      <c r="BB189" s="26">
        <v>1</v>
      </c>
      <c r="BC189" s="12">
        <v>1</v>
      </c>
      <c r="BD189" s="14">
        <v>0</v>
      </c>
      <c r="BE189" s="163">
        <v>0</v>
      </c>
      <c r="BF189" s="163">
        <v>0</v>
      </c>
      <c r="BG189" s="163">
        <v>0</v>
      </c>
      <c r="BH189" s="163">
        <v>0</v>
      </c>
      <c r="BI189" s="14">
        <v>1</v>
      </c>
      <c r="BJ189" s="163">
        <v>1</v>
      </c>
      <c r="BK189" s="26">
        <v>0</v>
      </c>
      <c r="BL189" s="14">
        <v>0</v>
      </c>
      <c r="BM189" s="163">
        <v>0</v>
      </c>
      <c r="BN189" s="26">
        <v>0</v>
      </c>
      <c r="BO189" s="14">
        <v>0</v>
      </c>
      <c r="BP189" s="12">
        <v>120</v>
      </c>
      <c r="BQ189" s="163">
        <v>2</v>
      </c>
      <c r="BR189" s="14">
        <v>0</v>
      </c>
      <c r="BS189" s="163">
        <v>0</v>
      </c>
      <c r="BT189" s="163">
        <v>0</v>
      </c>
      <c r="BU189" s="26">
        <v>0</v>
      </c>
      <c r="BV189" s="14">
        <v>0</v>
      </c>
      <c r="BW189" s="209"/>
      <c r="BX189" s="3"/>
      <c r="BY189" s="3"/>
      <c r="BZ189" s="40"/>
      <c r="CA189" s="209"/>
      <c r="CB189" s="3"/>
      <c r="CC189" s="3"/>
      <c r="CD189" s="3"/>
      <c r="CE189" s="209"/>
      <c r="CF189" s="3"/>
      <c r="CG189" s="3"/>
      <c r="CH189" s="40"/>
      <c r="CI189" s="209"/>
      <c r="CJ189" s="3"/>
      <c r="CK189" s="3"/>
      <c r="CL189" s="209"/>
      <c r="CM189" s="3"/>
      <c r="CN189" s="3"/>
      <c r="CO189" s="3"/>
      <c r="CP189" s="40"/>
      <c r="CQ189" s="209"/>
      <c r="CR189" s="40"/>
      <c r="CS189" s="3"/>
      <c r="CT189" s="3"/>
    </row>
    <row r="190" spans="1:98">
      <c r="A190" s="42" t="s">
        <v>433</v>
      </c>
      <c r="B190" s="173" t="s">
        <v>295</v>
      </c>
      <c r="C190" s="12"/>
      <c r="D190" s="14" t="s">
        <v>385</v>
      </c>
      <c r="E190" s="12"/>
      <c r="F190" s="12">
        <v>7</v>
      </c>
      <c r="G190" s="14">
        <v>0</v>
      </c>
      <c r="H190" s="163">
        <v>0</v>
      </c>
      <c r="I190" s="163">
        <v>1</v>
      </c>
      <c r="J190" s="12">
        <v>1</v>
      </c>
      <c r="K190" s="14">
        <v>262</v>
      </c>
      <c r="L190" s="26">
        <v>1585</v>
      </c>
      <c r="M190" s="14">
        <v>494</v>
      </c>
      <c r="N190" s="163">
        <v>623</v>
      </c>
      <c r="O190" s="14">
        <v>0</v>
      </c>
      <c r="P190" s="26">
        <v>0</v>
      </c>
      <c r="Q190" s="12">
        <v>2533</v>
      </c>
      <c r="R190" s="209">
        <v>1.8502556610664718</v>
      </c>
      <c r="S190" s="14">
        <v>1</v>
      </c>
      <c r="T190" s="163">
        <v>1</v>
      </c>
      <c r="U190" s="163">
        <v>0</v>
      </c>
      <c r="V190" s="26">
        <v>0</v>
      </c>
      <c r="W190" s="14">
        <v>1100</v>
      </c>
      <c r="X190" s="14">
        <v>1</v>
      </c>
      <c r="Y190" s="163">
        <v>0</v>
      </c>
      <c r="Z190" s="163">
        <v>0</v>
      </c>
      <c r="AA190" s="26">
        <v>0</v>
      </c>
      <c r="AB190" s="12">
        <v>1000</v>
      </c>
      <c r="AC190" s="14">
        <v>0</v>
      </c>
      <c r="AD190" s="14">
        <v>0</v>
      </c>
      <c r="AE190" s="163">
        <v>0</v>
      </c>
      <c r="AF190" s="163">
        <v>1</v>
      </c>
      <c r="AG190" s="26">
        <v>0</v>
      </c>
      <c r="AH190" s="14">
        <v>10</v>
      </c>
      <c r="AI190" s="14">
        <v>0</v>
      </c>
      <c r="AJ190" s="163">
        <v>0</v>
      </c>
      <c r="AK190" s="163">
        <v>0</v>
      </c>
      <c r="AL190" s="26">
        <v>0</v>
      </c>
      <c r="AM190" s="12">
        <v>0</v>
      </c>
      <c r="AN190" s="14">
        <v>0</v>
      </c>
      <c r="AO190" s="163">
        <v>0</v>
      </c>
      <c r="AP190" s="163">
        <v>0</v>
      </c>
      <c r="AQ190" s="163">
        <v>0</v>
      </c>
      <c r="AR190" s="163">
        <v>0</v>
      </c>
      <c r="AS190" s="14">
        <v>1</v>
      </c>
      <c r="AT190" s="163">
        <v>0</v>
      </c>
      <c r="AU190" s="163">
        <v>0</v>
      </c>
      <c r="AV190" s="163">
        <v>1</v>
      </c>
      <c r="AW190" s="26">
        <v>0</v>
      </c>
      <c r="AX190" s="14">
        <v>2</v>
      </c>
      <c r="AY190" s="14">
        <v>0</v>
      </c>
      <c r="AZ190" s="163">
        <v>0</v>
      </c>
      <c r="BA190" s="163">
        <v>0</v>
      </c>
      <c r="BB190" s="26">
        <v>0</v>
      </c>
      <c r="BC190" s="12">
        <v>0</v>
      </c>
      <c r="BD190" s="14">
        <v>0</v>
      </c>
      <c r="BE190" s="163">
        <v>0</v>
      </c>
      <c r="BF190" s="163">
        <v>0</v>
      </c>
      <c r="BG190" s="163">
        <v>0</v>
      </c>
      <c r="BH190" s="163">
        <v>0</v>
      </c>
      <c r="BI190" s="14">
        <v>1</v>
      </c>
      <c r="BJ190" s="163">
        <v>1</v>
      </c>
      <c r="BK190" s="26">
        <v>0</v>
      </c>
      <c r="BL190" s="14">
        <v>0</v>
      </c>
      <c r="BM190" s="163">
        <v>0</v>
      </c>
      <c r="BN190" s="26">
        <v>0</v>
      </c>
      <c r="BO190" s="14">
        <v>1</v>
      </c>
      <c r="BP190" s="12">
        <v>131</v>
      </c>
      <c r="BQ190" s="163">
        <v>2</v>
      </c>
      <c r="BR190" s="14">
        <v>0</v>
      </c>
      <c r="BS190" s="163">
        <v>0</v>
      </c>
      <c r="BT190" s="163">
        <v>0</v>
      </c>
      <c r="BU190" s="26">
        <v>0</v>
      </c>
      <c r="BV190" s="14">
        <v>0</v>
      </c>
      <c r="BW190" s="209"/>
      <c r="BX190" s="3"/>
      <c r="BY190" s="3"/>
      <c r="BZ190" s="40"/>
      <c r="CA190" s="209"/>
      <c r="CB190" s="3"/>
      <c r="CC190" s="3"/>
      <c r="CD190" s="3"/>
      <c r="CE190" s="209"/>
      <c r="CF190" s="3"/>
      <c r="CG190" s="3"/>
      <c r="CH190" s="40"/>
      <c r="CI190" s="209"/>
      <c r="CJ190" s="3"/>
      <c r="CK190" s="3"/>
      <c r="CL190" s="209"/>
      <c r="CM190" s="3"/>
      <c r="CN190" s="3"/>
      <c r="CO190" s="3"/>
      <c r="CP190" s="40"/>
      <c r="CQ190" s="209"/>
      <c r="CR190" s="40"/>
      <c r="CS190" s="3"/>
      <c r="CT190" s="3"/>
    </row>
    <row r="191" spans="1:98">
      <c r="A191" s="42" t="s">
        <v>433</v>
      </c>
      <c r="B191" s="173" t="s">
        <v>295</v>
      </c>
      <c r="C191" s="12"/>
      <c r="D191" s="14" t="s">
        <v>394</v>
      </c>
      <c r="E191" s="12" t="s">
        <v>0</v>
      </c>
      <c r="F191" s="12">
        <v>23</v>
      </c>
      <c r="G191" s="14">
        <v>1</v>
      </c>
      <c r="H191" s="163">
        <v>0</v>
      </c>
      <c r="I191" s="163">
        <v>1</v>
      </c>
      <c r="J191" s="12">
        <v>101</v>
      </c>
      <c r="K191" s="14">
        <v>66</v>
      </c>
      <c r="L191" s="26">
        <v>1043</v>
      </c>
      <c r="M191" s="14">
        <v>275</v>
      </c>
      <c r="N191" s="163">
        <v>601</v>
      </c>
      <c r="O191" s="14">
        <v>0</v>
      </c>
      <c r="P191" s="26">
        <v>0</v>
      </c>
      <c r="Q191" s="12">
        <v>2774</v>
      </c>
      <c r="R191" s="209">
        <v>1.67209162145871</v>
      </c>
      <c r="S191" s="14">
        <v>1</v>
      </c>
      <c r="T191" s="163">
        <v>1</v>
      </c>
      <c r="U191" s="163">
        <v>0</v>
      </c>
      <c r="V191" s="26">
        <v>0</v>
      </c>
      <c r="W191" s="14">
        <v>1100</v>
      </c>
      <c r="X191" s="14">
        <v>1</v>
      </c>
      <c r="Y191" s="163">
        <v>0</v>
      </c>
      <c r="Z191" s="163">
        <v>0</v>
      </c>
      <c r="AA191" s="26">
        <v>0</v>
      </c>
      <c r="AB191" s="12">
        <v>1000</v>
      </c>
      <c r="AC191" s="14">
        <v>1</v>
      </c>
      <c r="AD191" s="14">
        <v>0</v>
      </c>
      <c r="AE191" s="163">
        <v>0</v>
      </c>
      <c r="AF191" s="163">
        <v>1</v>
      </c>
      <c r="AG191" s="26">
        <v>1</v>
      </c>
      <c r="AH191" s="14">
        <v>11</v>
      </c>
      <c r="AI191" s="14">
        <v>0</v>
      </c>
      <c r="AJ191" s="163">
        <v>0</v>
      </c>
      <c r="AK191" s="163">
        <v>0</v>
      </c>
      <c r="AL191" s="26">
        <v>0</v>
      </c>
      <c r="AM191" s="12">
        <v>0</v>
      </c>
      <c r="AN191" s="14">
        <v>0</v>
      </c>
      <c r="AO191" s="163">
        <v>0</v>
      </c>
      <c r="AP191" s="163">
        <v>0</v>
      </c>
      <c r="AQ191" s="163">
        <v>0</v>
      </c>
      <c r="AR191" s="163">
        <v>0</v>
      </c>
      <c r="AS191" s="14">
        <v>1</v>
      </c>
      <c r="AT191" s="163">
        <v>0</v>
      </c>
      <c r="AU191" s="163">
        <v>0</v>
      </c>
      <c r="AV191" s="163">
        <v>0</v>
      </c>
      <c r="AW191" s="26">
        <v>0</v>
      </c>
      <c r="AX191" s="14">
        <v>1</v>
      </c>
      <c r="AY191" s="14">
        <v>0</v>
      </c>
      <c r="AZ191" s="163">
        <v>0</v>
      </c>
      <c r="BA191" s="163">
        <v>0</v>
      </c>
      <c r="BB191" s="26">
        <v>1</v>
      </c>
      <c r="BC191" s="12">
        <v>1</v>
      </c>
      <c r="BD191" s="14">
        <v>0</v>
      </c>
      <c r="BE191" s="163">
        <v>0</v>
      </c>
      <c r="BF191" s="163">
        <v>0</v>
      </c>
      <c r="BG191" s="163">
        <v>0</v>
      </c>
      <c r="BH191" s="163">
        <v>0</v>
      </c>
      <c r="BI191" s="14">
        <v>0</v>
      </c>
      <c r="BJ191" s="163">
        <v>0</v>
      </c>
      <c r="BK191" s="26">
        <v>0</v>
      </c>
      <c r="BL191" s="14">
        <v>0</v>
      </c>
      <c r="BM191" s="163">
        <v>0</v>
      </c>
      <c r="BN191" s="26">
        <v>0</v>
      </c>
      <c r="BO191" s="14">
        <v>1</v>
      </c>
      <c r="BP191" s="12">
        <v>130</v>
      </c>
      <c r="BQ191" s="163">
        <v>1</v>
      </c>
      <c r="BR191" s="14">
        <v>0</v>
      </c>
      <c r="BS191" s="163">
        <v>0</v>
      </c>
      <c r="BT191" s="163">
        <v>0</v>
      </c>
      <c r="BU191" s="26">
        <v>1</v>
      </c>
      <c r="BV191" s="14">
        <v>1</v>
      </c>
      <c r="BW191" s="209"/>
      <c r="BX191" s="3"/>
      <c r="BY191" s="3"/>
      <c r="BZ191" s="40"/>
      <c r="CA191" s="209"/>
      <c r="CB191" s="3"/>
      <c r="CC191" s="3"/>
      <c r="CD191" s="3"/>
      <c r="CE191" s="209"/>
      <c r="CF191" s="3"/>
      <c r="CG191" s="3"/>
      <c r="CH191" s="40"/>
      <c r="CI191" s="209"/>
      <c r="CJ191" s="3"/>
      <c r="CK191" s="3"/>
      <c r="CL191" s="209"/>
      <c r="CM191" s="3"/>
      <c r="CN191" s="3"/>
      <c r="CO191" s="3"/>
      <c r="CP191" s="40"/>
      <c r="CQ191" s="209"/>
      <c r="CR191" s="40"/>
      <c r="CS191" s="3"/>
      <c r="CT191" s="3"/>
    </row>
    <row r="192" spans="1:98">
      <c r="A192" s="42" t="s">
        <v>433</v>
      </c>
      <c r="B192" s="173" t="s">
        <v>295</v>
      </c>
      <c r="C192" s="12"/>
      <c r="D192" s="14" t="s">
        <v>394</v>
      </c>
      <c r="E192" s="12" t="s">
        <v>1</v>
      </c>
      <c r="F192" s="12">
        <v>38</v>
      </c>
      <c r="G192" s="14">
        <v>1</v>
      </c>
      <c r="H192" s="163">
        <v>1</v>
      </c>
      <c r="I192" s="163">
        <v>1</v>
      </c>
      <c r="J192" s="12">
        <v>111</v>
      </c>
      <c r="K192" s="14">
        <v>131</v>
      </c>
      <c r="L192" s="26">
        <v>1839</v>
      </c>
      <c r="M192" s="14">
        <v>392</v>
      </c>
      <c r="N192" s="163">
        <v>1027</v>
      </c>
      <c r="O192" s="14">
        <v>0</v>
      </c>
      <c r="P192" s="26">
        <v>0</v>
      </c>
      <c r="Q192" s="12">
        <v>5374</v>
      </c>
      <c r="R192" s="209">
        <v>2.5824123017779912</v>
      </c>
      <c r="S192" s="14">
        <v>1</v>
      </c>
      <c r="T192" s="163">
        <v>1</v>
      </c>
      <c r="U192" s="163">
        <v>0</v>
      </c>
      <c r="V192" s="26">
        <v>0</v>
      </c>
      <c r="W192" s="14">
        <v>1100</v>
      </c>
      <c r="X192" s="14">
        <v>1</v>
      </c>
      <c r="Y192" s="163">
        <v>0</v>
      </c>
      <c r="Z192" s="163">
        <v>0</v>
      </c>
      <c r="AA192" s="26">
        <v>0</v>
      </c>
      <c r="AB192" s="12">
        <v>1000</v>
      </c>
      <c r="AC192" s="14">
        <v>0</v>
      </c>
      <c r="AD192" s="14">
        <v>1</v>
      </c>
      <c r="AE192" s="163">
        <v>0</v>
      </c>
      <c r="AF192" s="163">
        <v>1</v>
      </c>
      <c r="AG192" s="26">
        <v>0</v>
      </c>
      <c r="AH192" s="14">
        <v>1010</v>
      </c>
      <c r="AI192" s="14">
        <v>0</v>
      </c>
      <c r="AJ192" s="163">
        <v>0</v>
      </c>
      <c r="AK192" s="163">
        <v>0</v>
      </c>
      <c r="AL192" s="26">
        <v>0</v>
      </c>
      <c r="AM192" s="12">
        <v>0</v>
      </c>
      <c r="AN192" s="14">
        <v>0</v>
      </c>
      <c r="AO192" s="163">
        <v>0</v>
      </c>
      <c r="AP192" s="163">
        <v>0</v>
      </c>
      <c r="AQ192" s="163">
        <v>0</v>
      </c>
      <c r="AR192" s="163">
        <v>0</v>
      </c>
      <c r="AS192" s="14">
        <v>1</v>
      </c>
      <c r="AT192" s="163">
        <v>0</v>
      </c>
      <c r="AU192" s="163">
        <v>0</v>
      </c>
      <c r="AV192" s="163">
        <v>1</v>
      </c>
      <c r="AW192" s="26">
        <v>0</v>
      </c>
      <c r="AX192" s="14">
        <v>2</v>
      </c>
      <c r="AY192" s="14">
        <v>0</v>
      </c>
      <c r="AZ192" s="163">
        <v>0</v>
      </c>
      <c r="BA192" s="163">
        <v>1</v>
      </c>
      <c r="BB192" s="26">
        <v>1</v>
      </c>
      <c r="BC192" s="12">
        <v>2</v>
      </c>
      <c r="BD192" s="14">
        <v>0</v>
      </c>
      <c r="BE192" s="163">
        <v>0</v>
      </c>
      <c r="BF192" s="163">
        <v>0</v>
      </c>
      <c r="BG192" s="163">
        <v>0</v>
      </c>
      <c r="BH192" s="163">
        <v>0</v>
      </c>
      <c r="BI192" s="14">
        <v>1</v>
      </c>
      <c r="BJ192" s="163">
        <v>0</v>
      </c>
      <c r="BK192" s="26">
        <v>0</v>
      </c>
      <c r="BL192" s="14">
        <v>0</v>
      </c>
      <c r="BM192" s="163">
        <v>0</v>
      </c>
      <c r="BN192" s="26">
        <v>0</v>
      </c>
      <c r="BO192" s="14">
        <v>1</v>
      </c>
      <c r="BP192" s="12">
        <v>130</v>
      </c>
      <c r="BQ192" s="163">
        <v>1</v>
      </c>
      <c r="BR192" s="14">
        <v>0</v>
      </c>
      <c r="BS192" s="163">
        <v>0</v>
      </c>
      <c r="BT192" s="163">
        <v>0</v>
      </c>
      <c r="BU192" s="26">
        <v>0</v>
      </c>
      <c r="BV192" s="14">
        <v>0</v>
      </c>
      <c r="BW192" s="209"/>
      <c r="BX192" s="3"/>
      <c r="BY192" s="3"/>
      <c r="BZ192" s="40"/>
      <c r="CA192" s="209"/>
      <c r="CB192" s="3"/>
      <c r="CC192" s="3"/>
      <c r="CD192" s="3"/>
      <c r="CE192" s="209"/>
      <c r="CF192" s="3"/>
      <c r="CG192" s="3"/>
      <c r="CH192" s="40"/>
      <c r="CI192" s="209"/>
      <c r="CJ192" s="3"/>
      <c r="CK192" s="3"/>
      <c r="CL192" s="209"/>
      <c r="CM192" s="3"/>
      <c r="CN192" s="3"/>
      <c r="CO192" s="3"/>
      <c r="CP192" s="40"/>
      <c r="CQ192" s="209"/>
      <c r="CR192" s="40"/>
      <c r="CS192" s="3"/>
      <c r="CT192" s="3"/>
    </row>
    <row r="193" spans="1:98">
      <c r="A193" s="42" t="s">
        <v>433</v>
      </c>
      <c r="B193" s="173" t="s">
        <v>295</v>
      </c>
      <c r="C193" s="12"/>
      <c r="D193" s="14" t="s">
        <v>167</v>
      </c>
      <c r="E193" s="12"/>
      <c r="F193" s="12">
        <v>14</v>
      </c>
      <c r="G193" s="14">
        <v>0</v>
      </c>
      <c r="H193" s="163">
        <v>0</v>
      </c>
      <c r="I193" s="163">
        <v>1</v>
      </c>
      <c r="J193" s="12">
        <v>1</v>
      </c>
      <c r="K193" s="14">
        <v>100</v>
      </c>
      <c r="L193" s="26">
        <v>1501</v>
      </c>
      <c r="M193" s="14">
        <v>198</v>
      </c>
      <c r="N193" s="163">
        <v>411</v>
      </c>
      <c r="O193" s="14">
        <v>0</v>
      </c>
      <c r="P193" s="26">
        <v>0</v>
      </c>
      <c r="Q193" s="12">
        <v>1983</v>
      </c>
      <c r="R193" s="209">
        <v>2.6617449664429529</v>
      </c>
      <c r="S193" s="14">
        <v>1</v>
      </c>
      <c r="T193" s="163">
        <v>1</v>
      </c>
      <c r="U193" s="163">
        <v>0</v>
      </c>
      <c r="V193" s="26">
        <v>0</v>
      </c>
      <c r="W193" s="14">
        <v>1100</v>
      </c>
      <c r="X193" s="14">
        <v>1</v>
      </c>
      <c r="Y193" s="163">
        <v>0</v>
      </c>
      <c r="Z193" s="163">
        <v>0</v>
      </c>
      <c r="AA193" s="26">
        <v>0</v>
      </c>
      <c r="AB193" s="12">
        <v>1000</v>
      </c>
      <c r="AC193" s="14">
        <v>0</v>
      </c>
      <c r="AD193" s="14">
        <v>0</v>
      </c>
      <c r="AE193" s="163">
        <v>0</v>
      </c>
      <c r="AF193" s="163">
        <v>1</v>
      </c>
      <c r="AG193" s="26">
        <v>0</v>
      </c>
      <c r="AH193" s="14">
        <v>10</v>
      </c>
      <c r="AI193" s="14">
        <v>0</v>
      </c>
      <c r="AJ193" s="163">
        <v>0</v>
      </c>
      <c r="AK193" s="163">
        <v>0</v>
      </c>
      <c r="AL193" s="26">
        <v>0</v>
      </c>
      <c r="AM193" s="12">
        <v>0</v>
      </c>
      <c r="AN193" s="14">
        <v>0</v>
      </c>
      <c r="AO193" s="163">
        <v>0</v>
      </c>
      <c r="AP193" s="163">
        <v>0</v>
      </c>
      <c r="AQ193" s="163">
        <v>0</v>
      </c>
      <c r="AR193" s="163">
        <v>0</v>
      </c>
      <c r="AS193" s="14">
        <v>1</v>
      </c>
      <c r="AT193" s="163">
        <v>0</v>
      </c>
      <c r="AU193" s="163">
        <v>0</v>
      </c>
      <c r="AV193" s="163">
        <v>0</v>
      </c>
      <c r="AW193" s="26">
        <v>0</v>
      </c>
      <c r="AX193" s="14">
        <v>1</v>
      </c>
      <c r="AY193" s="14">
        <v>0</v>
      </c>
      <c r="AZ193" s="163">
        <v>0</v>
      </c>
      <c r="BA193" s="163">
        <v>0</v>
      </c>
      <c r="BB193" s="26">
        <v>1</v>
      </c>
      <c r="BC193" s="12">
        <v>1</v>
      </c>
      <c r="BD193" s="14">
        <v>0</v>
      </c>
      <c r="BE193" s="163">
        <v>0</v>
      </c>
      <c r="BF193" s="163">
        <v>0</v>
      </c>
      <c r="BG193" s="163">
        <v>0</v>
      </c>
      <c r="BH193" s="163">
        <v>0</v>
      </c>
      <c r="BI193" s="14">
        <v>1</v>
      </c>
      <c r="BJ193" s="163">
        <v>0</v>
      </c>
      <c r="BK193" s="26">
        <v>0</v>
      </c>
      <c r="BL193" s="14">
        <v>0</v>
      </c>
      <c r="BM193" s="163">
        <v>0</v>
      </c>
      <c r="BN193" s="26">
        <v>0</v>
      </c>
      <c r="BO193" s="14">
        <v>1</v>
      </c>
      <c r="BP193" s="12">
        <v>140</v>
      </c>
      <c r="BQ193" s="163">
        <v>1</v>
      </c>
      <c r="BR193" s="14">
        <v>0</v>
      </c>
      <c r="BS193" s="163">
        <v>0</v>
      </c>
      <c r="BT193" s="163">
        <v>0</v>
      </c>
      <c r="BU193" s="26">
        <v>0</v>
      </c>
      <c r="BV193" s="14">
        <v>0</v>
      </c>
      <c r="BW193" s="209"/>
      <c r="BX193" s="3"/>
      <c r="BY193" s="3"/>
      <c r="BZ193" s="40"/>
      <c r="CA193" s="209"/>
      <c r="CB193" s="3"/>
      <c r="CC193" s="3"/>
      <c r="CD193" s="3"/>
      <c r="CE193" s="209"/>
      <c r="CF193" s="3"/>
      <c r="CG193" s="3"/>
      <c r="CH193" s="40"/>
      <c r="CI193" s="209"/>
      <c r="CJ193" s="3"/>
      <c r="CK193" s="3"/>
      <c r="CL193" s="209"/>
      <c r="CM193" s="3"/>
      <c r="CN193" s="3"/>
      <c r="CO193" s="3"/>
      <c r="CP193" s="40"/>
      <c r="CQ193" s="209"/>
      <c r="CR193" s="40"/>
      <c r="CS193" s="3"/>
      <c r="CT193" s="3"/>
    </row>
    <row r="194" spans="1:98">
      <c r="A194" s="42" t="s">
        <v>433</v>
      </c>
      <c r="B194" s="173" t="s">
        <v>295</v>
      </c>
      <c r="C194" s="12"/>
      <c r="D194" s="14" t="s">
        <v>203</v>
      </c>
      <c r="E194" s="12"/>
      <c r="F194" s="12">
        <v>16</v>
      </c>
      <c r="G194" s="14">
        <v>0</v>
      </c>
      <c r="H194" s="163">
        <v>0</v>
      </c>
      <c r="I194" s="163">
        <v>1</v>
      </c>
      <c r="J194" s="12">
        <v>1</v>
      </c>
      <c r="K194" s="14">
        <v>183</v>
      </c>
      <c r="L194" s="26">
        <v>711</v>
      </c>
      <c r="M194" s="14">
        <v>210</v>
      </c>
      <c r="N194" s="163">
        <v>603</v>
      </c>
      <c r="O194" s="14">
        <v>0</v>
      </c>
      <c r="P194" s="26">
        <v>0</v>
      </c>
      <c r="Q194" s="12">
        <v>2199</v>
      </c>
      <c r="R194" s="209">
        <v>2.3954248366013071</v>
      </c>
      <c r="S194" s="14">
        <v>1</v>
      </c>
      <c r="T194" s="163">
        <v>1</v>
      </c>
      <c r="U194" s="163">
        <v>0</v>
      </c>
      <c r="V194" s="26">
        <v>0</v>
      </c>
      <c r="W194" s="14">
        <v>1100</v>
      </c>
      <c r="X194" s="14">
        <v>1</v>
      </c>
      <c r="Y194" s="163">
        <v>0</v>
      </c>
      <c r="Z194" s="163">
        <v>0</v>
      </c>
      <c r="AA194" s="26">
        <v>1</v>
      </c>
      <c r="AB194" s="12">
        <v>1001</v>
      </c>
      <c r="AC194" s="14">
        <v>1</v>
      </c>
      <c r="AD194" s="14">
        <v>0</v>
      </c>
      <c r="AE194" s="163">
        <v>0</v>
      </c>
      <c r="AF194" s="163">
        <v>1</v>
      </c>
      <c r="AG194" s="26">
        <v>0</v>
      </c>
      <c r="AH194" s="14">
        <v>10</v>
      </c>
      <c r="AI194" s="14">
        <v>0</v>
      </c>
      <c r="AJ194" s="163">
        <v>0</v>
      </c>
      <c r="AK194" s="163">
        <v>0</v>
      </c>
      <c r="AL194" s="26">
        <v>0</v>
      </c>
      <c r="AM194" s="12">
        <v>0</v>
      </c>
      <c r="AN194" s="14">
        <v>0</v>
      </c>
      <c r="AO194" s="163">
        <v>0</v>
      </c>
      <c r="AP194" s="163">
        <v>0</v>
      </c>
      <c r="AQ194" s="163">
        <v>0</v>
      </c>
      <c r="AR194" s="163">
        <v>0</v>
      </c>
      <c r="AS194" s="14">
        <v>1</v>
      </c>
      <c r="AT194" s="163">
        <v>1</v>
      </c>
      <c r="AU194" s="163">
        <v>0</v>
      </c>
      <c r="AV194" s="163">
        <v>0</v>
      </c>
      <c r="AW194" s="26">
        <v>0</v>
      </c>
      <c r="AX194" s="14">
        <v>2</v>
      </c>
      <c r="AY194" s="14">
        <v>0</v>
      </c>
      <c r="AZ194" s="163">
        <v>0</v>
      </c>
      <c r="BA194" s="163">
        <v>1</v>
      </c>
      <c r="BB194" s="26">
        <v>1</v>
      </c>
      <c r="BC194" s="12">
        <v>2</v>
      </c>
      <c r="BD194" s="14">
        <v>0</v>
      </c>
      <c r="BE194" s="163">
        <v>0</v>
      </c>
      <c r="BF194" s="163">
        <v>0</v>
      </c>
      <c r="BG194" s="163">
        <v>0</v>
      </c>
      <c r="BH194" s="163">
        <v>0</v>
      </c>
      <c r="BI194" s="14">
        <v>1</v>
      </c>
      <c r="BJ194" s="163">
        <v>0</v>
      </c>
      <c r="BK194" s="26">
        <v>0</v>
      </c>
      <c r="BL194" s="14">
        <v>0</v>
      </c>
      <c r="BM194" s="163">
        <v>0</v>
      </c>
      <c r="BN194" s="26">
        <v>0</v>
      </c>
      <c r="BO194" s="14">
        <v>0</v>
      </c>
      <c r="BP194" s="12">
        <v>128</v>
      </c>
      <c r="BQ194" s="163">
        <v>1</v>
      </c>
      <c r="BR194" s="14">
        <v>0</v>
      </c>
      <c r="BS194" s="163">
        <v>0</v>
      </c>
      <c r="BT194" s="163">
        <v>0</v>
      </c>
      <c r="BU194" s="26">
        <v>0</v>
      </c>
      <c r="BV194" s="14">
        <v>0</v>
      </c>
      <c r="BW194" s="209"/>
      <c r="BX194" s="3"/>
      <c r="BY194" s="3"/>
      <c r="BZ194" s="40"/>
      <c r="CA194" s="209"/>
      <c r="CB194" s="3"/>
      <c r="CC194" s="3"/>
      <c r="CD194" s="3"/>
      <c r="CE194" s="209"/>
      <c r="CF194" s="3"/>
      <c r="CG194" s="3"/>
      <c r="CH194" s="40"/>
      <c r="CI194" s="209"/>
      <c r="CJ194" s="3"/>
      <c r="CK194" s="3"/>
      <c r="CL194" s="209"/>
      <c r="CM194" s="3"/>
      <c r="CN194" s="3"/>
      <c r="CO194" s="3"/>
      <c r="CP194" s="40"/>
      <c r="CQ194" s="209"/>
      <c r="CR194" s="40"/>
      <c r="CS194" s="3"/>
      <c r="CT194" s="3"/>
    </row>
    <row r="195" spans="1:98">
      <c r="A195" s="42" t="s">
        <v>433</v>
      </c>
      <c r="B195" s="173" t="s">
        <v>295</v>
      </c>
      <c r="C195" s="12"/>
      <c r="D195" s="14" t="s">
        <v>129</v>
      </c>
      <c r="E195" s="12"/>
      <c r="F195" s="12">
        <v>14</v>
      </c>
      <c r="G195" s="14">
        <v>0</v>
      </c>
      <c r="H195" s="163">
        <v>0</v>
      </c>
      <c r="I195" s="163">
        <v>1</v>
      </c>
      <c r="J195" s="12">
        <v>1</v>
      </c>
      <c r="K195" s="14">
        <v>169</v>
      </c>
      <c r="L195" s="26">
        <v>1171</v>
      </c>
      <c r="M195" s="14">
        <v>228</v>
      </c>
      <c r="N195" s="163">
        <v>1520</v>
      </c>
      <c r="O195" s="14">
        <v>0</v>
      </c>
      <c r="P195" s="26">
        <v>0</v>
      </c>
      <c r="Q195" s="12">
        <v>2865</v>
      </c>
      <c r="R195" s="209">
        <v>1.184863523573201</v>
      </c>
      <c r="S195" s="14">
        <v>1</v>
      </c>
      <c r="T195" s="163">
        <v>1</v>
      </c>
      <c r="U195" s="163">
        <v>0</v>
      </c>
      <c r="V195" s="26">
        <v>0</v>
      </c>
      <c r="W195" s="14">
        <v>1100</v>
      </c>
      <c r="X195" s="14">
        <v>1</v>
      </c>
      <c r="Y195" s="163">
        <v>0</v>
      </c>
      <c r="Z195" s="163">
        <v>0</v>
      </c>
      <c r="AA195" s="26">
        <v>1</v>
      </c>
      <c r="AB195" s="12">
        <v>1001</v>
      </c>
      <c r="AC195" s="14">
        <v>0</v>
      </c>
      <c r="AD195" s="14">
        <v>0</v>
      </c>
      <c r="AE195" s="163">
        <v>1</v>
      </c>
      <c r="AF195" s="163">
        <v>1</v>
      </c>
      <c r="AG195" s="26">
        <v>0</v>
      </c>
      <c r="AH195" s="14">
        <v>110</v>
      </c>
      <c r="AI195" s="14">
        <v>0</v>
      </c>
      <c r="AJ195" s="163">
        <v>0</v>
      </c>
      <c r="AK195" s="163">
        <v>0</v>
      </c>
      <c r="AL195" s="26">
        <v>0</v>
      </c>
      <c r="AM195" s="12">
        <v>0</v>
      </c>
      <c r="AN195" s="14">
        <v>0</v>
      </c>
      <c r="AO195" s="163">
        <v>0</v>
      </c>
      <c r="AP195" s="163">
        <v>0</v>
      </c>
      <c r="AQ195" s="163">
        <v>0</v>
      </c>
      <c r="AR195" s="163">
        <v>0</v>
      </c>
      <c r="AS195" s="14">
        <v>1</v>
      </c>
      <c r="AT195" s="163">
        <v>0</v>
      </c>
      <c r="AU195" s="163">
        <v>1</v>
      </c>
      <c r="AV195" s="163">
        <v>0</v>
      </c>
      <c r="AW195" s="26">
        <v>0</v>
      </c>
      <c r="AX195" s="14">
        <v>2</v>
      </c>
      <c r="AY195" s="14">
        <v>1</v>
      </c>
      <c r="AZ195" s="163">
        <v>0</v>
      </c>
      <c r="BA195" s="163">
        <v>1</v>
      </c>
      <c r="BB195" s="26">
        <v>1</v>
      </c>
      <c r="BC195" s="12">
        <v>3</v>
      </c>
      <c r="BD195" s="14">
        <v>0</v>
      </c>
      <c r="BE195" s="163">
        <v>0</v>
      </c>
      <c r="BF195" s="163">
        <v>0</v>
      </c>
      <c r="BG195" s="163">
        <v>0</v>
      </c>
      <c r="BH195" s="163">
        <v>0</v>
      </c>
      <c r="BI195" s="14">
        <v>1</v>
      </c>
      <c r="BJ195" s="163">
        <v>1</v>
      </c>
      <c r="BK195" s="26">
        <v>0</v>
      </c>
      <c r="BL195" s="14">
        <v>0</v>
      </c>
      <c r="BM195" s="163">
        <v>0</v>
      </c>
      <c r="BN195" s="26">
        <v>0</v>
      </c>
      <c r="BO195" s="14">
        <v>0</v>
      </c>
      <c r="BP195" s="12">
        <v>141</v>
      </c>
      <c r="BQ195" s="163">
        <v>1</v>
      </c>
      <c r="BR195" s="14">
        <v>0</v>
      </c>
      <c r="BS195" s="163">
        <v>0</v>
      </c>
      <c r="BT195" s="163">
        <v>0</v>
      </c>
      <c r="BU195" s="26">
        <v>1</v>
      </c>
      <c r="BV195" s="14">
        <v>1</v>
      </c>
      <c r="BW195" s="209">
        <v>78.55</v>
      </c>
      <c r="BX195" s="3"/>
      <c r="BY195" s="3"/>
      <c r="BZ195" s="40"/>
      <c r="CA195" s="209"/>
      <c r="CB195" s="3"/>
      <c r="CC195" s="3"/>
      <c r="CD195" s="3"/>
      <c r="CE195" s="209">
        <v>66.8</v>
      </c>
      <c r="CF195" s="3"/>
      <c r="CG195" s="3"/>
      <c r="CH195" s="40"/>
      <c r="CI195" s="209"/>
      <c r="CJ195" s="3"/>
      <c r="CK195" s="3"/>
      <c r="CL195" s="209"/>
      <c r="CM195" s="3"/>
      <c r="CN195" s="3"/>
      <c r="CO195" s="3"/>
      <c r="CP195" s="40"/>
      <c r="CQ195" s="209"/>
      <c r="CR195" s="40"/>
      <c r="CS195" s="3"/>
      <c r="CT195" s="3"/>
    </row>
    <row r="196" spans="1:98">
      <c r="A196" s="42" t="s">
        <v>433</v>
      </c>
      <c r="B196" s="173" t="s">
        <v>295</v>
      </c>
      <c r="C196" s="12"/>
      <c r="D196" s="14" t="s">
        <v>378</v>
      </c>
      <c r="E196" s="12"/>
      <c r="F196" s="12">
        <v>19</v>
      </c>
      <c r="G196" s="14">
        <v>0</v>
      </c>
      <c r="H196" s="163">
        <v>1</v>
      </c>
      <c r="I196" s="163">
        <v>1</v>
      </c>
      <c r="J196" s="12">
        <v>11</v>
      </c>
      <c r="K196" s="14">
        <v>104</v>
      </c>
      <c r="L196" s="26">
        <v>795</v>
      </c>
      <c r="M196" s="14">
        <v>387</v>
      </c>
      <c r="N196" s="163">
        <v>528</v>
      </c>
      <c r="O196" s="14">
        <v>0</v>
      </c>
      <c r="P196" s="26">
        <v>0</v>
      </c>
      <c r="Q196" s="12">
        <v>1989</v>
      </c>
      <c r="R196" s="209">
        <v>1.3539823008849559</v>
      </c>
      <c r="S196" s="14">
        <v>1</v>
      </c>
      <c r="T196" s="163">
        <v>1</v>
      </c>
      <c r="U196" s="163">
        <v>0</v>
      </c>
      <c r="V196" s="26">
        <v>0</v>
      </c>
      <c r="W196" s="14">
        <v>1100</v>
      </c>
      <c r="X196" s="14">
        <v>1</v>
      </c>
      <c r="Y196" s="163">
        <v>0</v>
      </c>
      <c r="Z196" s="163">
        <v>0</v>
      </c>
      <c r="AA196" s="26">
        <v>0</v>
      </c>
      <c r="AB196" s="12">
        <v>1000</v>
      </c>
      <c r="AC196" s="14">
        <v>1</v>
      </c>
      <c r="AD196" s="14">
        <v>0</v>
      </c>
      <c r="AE196" s="163">
        <v>0</v>
      </c>
      <c r="AF196" s="163">
        <v>1</v>
      </c>
      <c r="AG196" s="26">
        <v>0</v>
      </c>
      <c r="AH196" s="14">
        <v>10</v>
      </c>
      <c r="AI196" s="14">
        <v>0</v>
      </c>
      <c r="AJ196" s="163">
        <v>0</v>
      </c>
      <c r="AK196" s="163">
        <v>0</v>
      </c>
      <c r="AL196" s="26">
        <v>0</v>
      </c>
      <c r="AM196" s="12">
        <v>0</v>
      </c>
      <c r="AN196" s="14">
        <v>0</v>
      </c>
      <c r="AO196" s="163">
        <v>0</v>
      </c>
      <c r="AP196" s="163">
        <v>0</v>
      </c>
      <c r="AQ196" s="163">
        <v>0</v>
      </c>
      <c r="AR196" s="163">
        <v>0</v>
      </c>
      <c r="AS196" s="14">
        <v>1</v>
      </c>
      <c r="AT196" s="163">
        <v>0</v>
      </c>
      <c r="AU196" s="163">
        <v>0</v>
      </c>
      <c r="AV196" s="163">
        <v>1</v>
      </c>
      <c r="AW196" s="26">
        <v>0</v>
      </c>
      <c r="AX196" s="14">
        <v>2</v>
      </c>
      <c r="AY196" s="14">
        <v>0</v>
      </c>
      <c r="AZ196" s="163">
        <v>0</v>
      </c>
      <c r="BA196" s="163">
        <v>0</v>
      </c>
      <c r="BB196" s="26">
        <v>1</v>
      </c>
      <c r="BC196" s="12">
        <v>1</v>
      </c>
      <c r="BD196" s="14">
        <v>0</v>
      </c>
      <c r="BE196" s="163">
        <v>0</v>
      </c>
      <c r="BF196" s="163">
        <v>0</v>
      </c>
      <c r="BG196" s="163">
        <v>0</v>
      </c>
      <c r="BH196" s="163">
        <v>0</v>
      </c>
      <c r="BI196" s="14">
        <v>0</v>
      </c>
      <c r="BJ196" s="163">
        <v>0</v>
      </c>
      <c r="BK196" s="26">
        <v>0</v>
      </c>
      <c r="BL196" s="14">
        <v>0</v>
      </c>
      <c r="BM196" s="163">
        <v>0</v>
      </c>
      <c r="BN196" s="26">
        <v>0</v>
      </c>
      <c r="BO196" s="14">
        <v>0</v>
      </c>
      <c r="BP196" s="12">
        <v>128</v>
      </c>
      <c r="BQ196" s="163">
        <v>1</v>
      </c>
      <c r="BR196" s="14">
        <v>1</v>
      </c>
      <c r="BS196" s="163">
        <v>0</v>
      </c>
      <c r="BT196" s="163">
        <v>0</v>
      </c>
      <c r="BU196" s="26">
        <v>1</v>
      </c>
      <c r="BV196" s="14">
        <v>1001</v>
      </c>
      <c r="BW196" s="209"/>
      <c r="BX196" s="3"/>
      <c r="BY196" s="3"/>
      <c r="BZ196" s="40"/>
      <c r="CA196" s="209"/>
      <c r="CB196" s="3"/>
      <c r="CC196" s="3"/>
      <c r="CD196" s="3"/>
      <c r="CE196" s="209"/>
      <c r="CF196" s="3"/>
      <c r="CG196" s="3"/>
      <c r="CH196" s="40"/>
      <c r="CI196" s="209"/>
      <c r="CJ196" s="3"/>
      <c r="CK196" s="3"/>
      <c r="CL196" s="209"/>
      <c r="CM196" s="3"/>
      <c r="CN196" s="3"/>
      <c r="CO196" s="3"/>
      <c r="CP196" s="40"/>
      <c r="CQ196" s="209"/>
      <c r="CR196" s="40"/>
      <c r="CS196" s="3"/>
      <c r="CT196" s="3"/>
    </row>
    <row r="197" spans="1:98">
      <c r="A197" s="42" t="s">
        <v>433</v>
      </c>
      <c r="B197" s="173" t="s">
        <v>295</v>
      </c>
      <c r="C197" s="12"/>
      <c r="D197" s="14" t="s">
        <v>195</v>
      </c>
      <c r="E197" s="12"/>
      <c r="F197" s="12">
        <v>38</v>
      </c>
      <c r="G197" s="14">
        <v>1</v>
      </c>
      <c r="H197" s="163">
        <v>1</v>
      </c>
      <c r="I197" s="163">
        <v>1</v>
      </c>
      <c r="J197" s="12">
        <v>111</v>
      </c>
      <c r="K197" s="14">
        <v>90</v>
      </c>
      <c r="L197" s="26">
        <v>979</v>
      </c>
      <c r="M197" s="14">
        <v>257</v>
      </c>
      <c r="N197" s="163">
        <v>609</v>
      </c>
      <c r="O197" s="14">
        <v>0</v>
      </c>
      <c r="P197" s="26">
        <v>0</v>
      </c>
      <c r="Q197" s="12">
        <v>3023</v>
      </c>
      <c r="R197" s="209">
        <v>1.9341010876519513</v>
      </c>
      <c r="S197" s="14">
        <v>1</v>
      </c>
      <c r="T197" s="163">
        <v>1</v>
      </c>
      <c r="U197" s="163">
        <v>0</v>
      </c>
      <c r="V197" s="26">
        <v>0</v>
      </c>
      <c r="W197" s="14">
        <v>1100</v>
      </c>
      <c r="X197" s="14">
        <v>1</v>
      </c>
      <c r="Y197" s="163">
        <v>0</v>
      </c>
      <c r="Z197" s="163">
        <v>0</v>
      </c>
      <c r="AA197" s="26">
        <v>1</v>
      </c>
      <c r="AB197" s="12">
        <v>1001</v>
      </c>
      <c r="AC197" s="14">
        <v>1</v>
      </c>
      <c r="AD197" s="14">
        <v>0</v>
      </c>
      <c r="AE197" s="163">
        <v>0</v>
      </c>
      <c r="AF197" s="163">
        <v>1</v>
      </c>
      <c r="AG197" s="26">
        <v>1</v>
      </c>
      <c r="AH197" s="14">
        <v>11</v>
      </c>
      <c r="AI197" s="14">
        <v>0</v>
      </c>
      <c r="AJ197" s="163">
        <v>0</v>
      </c>
      <c r="AK197" s="163">
        <v>0</v>
      </c>
      <c r="AL197" s="26">
        <v>0</v>
      </c>
      <c r="AM197" s="12">
        <v>0</v>
      </c>
      <c r="AN197" s="14">
        <v>0</v>
      </c>
      <c r="AO197" s="163">
        <v>0</v>
      </c>
      <c r="AP197" s="163">
        <v>0</v>
      </c>
      <c r="AQ197" s="163">
        <v>0</v>
      </c>
      <c r="AR197" s="163">
        <v>0</v>
      </c>
      <c r="AS197" s="14">
        <v>1</v>
      </c>
      <c r="AT197" s="163">
        <v>0</v>
      </c>
      <c r="AU197" s="163">
        <v>0</v>
      </c>
      <c r="AV197" s="163">
        <v>1</v>
      </c>
      <c r="AW197" s="26">
        <v>0</v>
      </c>
      <c r="AX197" s="14">
        <v>2</v>
      </c>
      <c r="AY197" s="14">
        <v>0</v>
      </c>
      <c r="AZ197" s="163">
        <v>0</v>
      </c>
      <c r="BA197" s="163">
        <v>0</v>
      </c>
      <c r="BB197" s="26">
        <v>0</v>
      </c>
      <c r="BC197" s="12">
        <v>0</v>
      </c>
      <c r="BD197" s="14">
        <v>0</v>
      </c>
      <c r="BE197" s="163">
        <v>0</v>
      </c>
      <c r="BF197" s="163">
        <v>0</v>
      </c>
      <c r="BG197" s="163">
        <v>0</v>
      </c>
      <c r="BH197" s="163">
        <v>0</v>
      </c>
      <c r="BI197" s="14">
        <v>0</v>
      </c>
      <c r="BJ197" s="163">
        <v>0</v>
      </c>
      <c r="BK197" s="26">
        <v>0</v>
      </c>
      <c r="BL197" s="14">
        <v>0</v>
      </c>
      <c r="BM197" s="163">
        <v>0</v>
      </c>
      <c r="BN197" s="26">
        <v>0</v>
      </c>
      <c r="BO197" s="14">
        <v>0</v>
      </c>
      <c r="BP197" s="12"/>
      <c r="BQ197" s="163">
        <v>1</v>
      </c>
      <c r="BR197" s="14">
        <v>0</v>
      </c>
      <c r="BS197" s="163">
        <v>1</v>
      </c>
      <c r="BT197" s="163">
        <v>0</v>
      </c>
      <c r="BU197" s="26">
        <v>0</v>
      </c>
      <c r="BV197" s="14">
        <v>100</v>
      </c>
      <c r="BW197" s="209">
        <v>70.489999999999995</v>
      </c>
      <c r="BX197" s="3">
        <v>70.94</v>
      </c>
      <c r="BY197" s="3">
        <v>70.62</v>
      </c>
      <c r="BZ197" s="40"/>
      <c r="CA197" s="209"/>
      <c r="CB197" s="3"/>
      <c r="CC197" s="3"/>
      <c r="CD197" s="3"/>
      <c r="CE197" s="209">
        <v>69.95</v>
      </c>
      <c r="CF197" s="3">
        <v>74.39</v>
      </c>
      <c r="CG197" s="3">
        <v>71.88</v>
      </c>
      <c r="CH197" s="40"/>
      <c r="CI197" s="209"/>
      <c r="CJ197" s="3"/>
      <c r="CK197" s="3"/>
      <c r="CL197" s="209">
        <v>86</v>
      </c>
      <c r="CM197" s="3"/>
      <c r="CN197" s="3"/>
      <c r="CO197" s="3"/>
      <c r="CP197" s="40"/>
      <c r="CQ197" s="209"/>
      <c r="CR197" s="40"/>
      <c r="CS197" s="3"/>
      <c r="CT197" s="3"/>
    </row>
    <row r="198" spans="1:98">
      <c r="A198" s="42" t="s">
        <v>433</v>
      </c>
      <c r="B198" s="173" t="s">
        <v>295</v>
      </c>
      <c r="C198" s="12"/>
      <c r="D198" s="14" t="s">
        <v>176</v>
      </c>
      <c r="E198" s="12"/>
      <c r="F198" s="12">
        <v>20</v>
      </c>
      <c r="G198" s="14">
        <v>1</v>
      </c>
      <c r="H198" s="163">
        <v>0</v>
      </c>
      <c r="I198" s="163">
        <v>1</v>
      </c>
      <c r="J198" s="12">
        <v>101</v>
      </c>
      <c r="K198" s="14">
        <v>57</v>
      </c>
      <c r="L198" s="26">
        <v>529</v>
      </c>
      <c r="M198" s="14">
        <v>111</v>
      </c>
      <c r="N198" s="163">
        <v>231</v>
      </c>
      <c r="O198" s="14">
        <v>0</v>
      </c>
      <c r="P198" s="26">
        <v>0</v>
      </c>
      <c r="Q198" s="12">
        <v>1323</v>
      </c>
      <c r="R198" s="209">
        <v>1.0145705521472392</v>
      </c>
      <c r="S198" s="14">
        <v>1</v>
      </c>
      <c r="T198" s="163">
        <v>1</v>
      </c>
      <c r="U198" s="163">
        <v>0</v>
      </c>
      <c r="V198" s="26">
        <v>0</v>
      </c>
      <c r="W198" s="14">
        <v>1100</v>
      </c>
      <c r="X198" s="14">
        <v>1</v>
      </c>
      <c r="Y198" s="163">
        <v>0</v>
      </c>
      <c r="Z198" s="163">
        <v>0</v>
      </c>
      <c r="AA198" s="26">
        <v>0</v>
      </c>
      <c r="AB198" s="12">
        <v>1000</v>
      </c>
      <c r="AC198" s="14">
        <v>1</v>
      </c>
      <c r="AD198" s="14">
        <v>1</v>
      </c>
      <c r="AE198" s="163">
        <v>0</v>
      </c>
      <c r="AF198" s="163">
        <v>1</v>
      </c>
      <c r="AG198" s="26">
        <v>0</v>
      </c>
      <c r="AH198" s="14">
        <v>1010</v>
      </c>
      <c r="AI198" s="14">
        <v>0</v>
      </c>
      <c r="AJ198" s="163">
        <v>0</v>
      </c>
      <c r="AK198" s="163">
        <v>0</v>
      </c>
      <c r="AL198" s="26">
        <v>0</v>
      </c>
      <c r="AM198" s="12">
        <v>0</v>
      </c>
      <c r="AN198" s="14">
        <v>0</v>
      </c>
      <c r="AO198" s="163">
        <v>0</v>
      </c>
      <c r="AP198" s="163">
        <v>0</v>
      </c>
      <c r="AQ198" s="163">
        <v>0</v>
      </c>
      <c r="AR198" s="163">
        <v>0</v>
      </c>
      <c r="AS198" s="14">
        <v>1</v>
      </c>
      <c r="AT198" s="163">
        <v>0</v>
      </c>
      <c r="AU198" s="163">
        <v>1</v>
      </c>
      <c r="AV198" s="163">
        <v>1</v>
      </c>
      <c r="AW198" s="26">
        <v>0</v>
      </c>
      <c r="AX198" s="14">
        <v>3</v>
      </c>
      <c r="AY198" s="14">
        <v>0</v>
      </c>
      <c r="AZ198" s="163">
        <v>0</v>
      </c>
      <c r="BA198" s="163">
        <v>0</v>
      </c>
      <c r="BB198" s="26">
        <v>1</v>
      </c>
      <c r="BC198" s="12">
        <v>1</v>
      </c>
      <c r="BD198" s="14">
        <v>0</v>
      </c>
      <c r="BE198" s="163">
        <v>0</v>
      </c>
      <c r="BF198" s="163">
        <v>0</v>
      </c>
      <c r="BG198" s="163">
        <v>0</v>
      </c>
      <c r="BH198" s="163">
        <v>0</v>
      </c>
      <c r="BI198" s="14">
        <v>1</v>
      </c>
      <c r="BJ198" s="163">
        <v>0</v>
      </c>
      <c r="BK198" s="26">
        <v>0</v>
      </c>
      <c r="BL198" s="14">
        <v>0</v>
      </c>
      <c r="BM198" s="163">
        <v>0</v>
      </c>
      <c r="BN198" s="26">
        <v>0</v>
      </c>
      <c r="BO198" s="14">
        <v>0</v>
      </c>
      <c r="BP198" s="12">
        <v>124</v>
      </c>
      <c r="BQ198" s="163">
        <v>2</v>
      </c>
      <c r="BR198" s="14">
        <v>1</v>
      </c>
      <c r="BS198" s="163">
        <v>0</v>
      </c>
      <c r="BT198" s="163">
        <v>0</v>
      </c>
      <c r="BU198" s="26">
        <v>1</v>
      </c>
      <c r="BV198" s="14">
        <v>1001</v>
      </c>
      <c r="BW198" s="209"/>
      <c r="BX198" s="3"/>
      <c r="BY198" s="3"/>
      <c r="BZ198" s="40"/>
      <c r="CA198" s="209"/>
      <c r="CB198" s="3"/>
      <c r="CC198" s="3"/>
      <c r="CD198" s="3"/>
      <c r="CE198" s="209"/>
      <c r="CF198" s="3"/>
      <c r="CG198" s="3"/>
      <c r="CH198" s="40"/>
      <c r="CI198" s="209"/>
      <c r="CJ198" s="3"/>
      <c r="CK198" s="3"/>
      <c r="CL198" s="209"/>
      <c r="CM198" s="3"/>
      <c r="CN198" s="3"/>
      <c r="CO198" s="3"/>
      <c r="CP198" s="40"/>
      <c r="CQ198" s="209"/>
      <c r="CR198" s="40"/>
      <c r="CS198" s="3"/>
      <c r="CT198" s="3"/>
    </row>
    <row r="199" spans="1:98">
      <c r="A199" s="42" t="s">
        <v>433</v>
      </c>
      <c r="B199" s="173" t="s">
        <v>295</v>
      </c>
      <c r="C199" s="12"/>
      <c r="D199" s="14" t="s">
        <v>177</v>
      </c>
      <c r="E199" s="12"/>
      <c r="F199" s="12">
        <v>29</v>
      </c>
      <c r="G199" s="14">
        <v>0</v>
      </c>
      <c r="H199" s="163">
        <v>1</v>
      </c>
      <c r="I199" s="163">
        <v>1</v>
      </c>
      <c r="J199" s="12">
        <v>11</v>
      </c>
      <c r="K199" s="14">
        <v>149</v>
      </c>
      <c r="L199" s="26">
        <v>1502</v>
      </c>
      <c r="M199" s="14">
        <v>262</v>
      </c>
      <c r="N199" s="163">
        <v>978</v>
      </c>
      <c r="O199" s="14">
        <v>0</v>
      </c>
      <c r="P199" s="26">
        <v>0</v>
      </c>
      <c r="Q199" s="12">
        <v>3067</v>
      </c>
      <c r="R199" s="209">
        <v>1.3123662815575525</v>
      </c>
      <c r="S199" s="14">
        <v>1</v>
      </c>
      <c r="T199" s="163">
        <v>1</v>
      </c>
      <c r="U199" s="163">
        <v>0</v>
      </c>
      <c r="V199" s="26">
        <v>0</v>
      </c>
      <c r="W199" s="14">
        <v>1100</v>
      </c>
      <c r="X199" s="14">
        <v>1</v>
      </c>
      <c r="Y199" s="163">
        <v>0</v>
      </c>
      <c r="Z199" s="163">
        <v>0</v>
      </c>
      <c r="AA199" s="26">
        <v>0</v>
      </c>
      <c r="AB199" s="12">
        <v>1000</v>
      </c>
      <c r="AC199" s="14">
        <v>0</v>
      </c>
      <c r="AD199" s="14">
        <v>1</v>
      </c>
      <c r="AE199" s="163">
        <v>0</v>
      </c>
      <c r="AF199" s="163">
        <v>1</v>
      </c>
      <c r="AG199" s="26">
        <v>1</v>
      </c>
      <c r="AH199" s="14">
        <v>1011</v>
      </c>
      <c r="AI199" s="14">
        <v>0</v>
      </c>
      <c r="AJ199" s="163">
        <v>0</v>
      </c>
      <c r="AK199" s="163">
        <v>0</v>
      </c>
      <c r="AL199" s="26">
        <v>0</v>
      </c>
      <c r="AM199" s="12">
        <v>0</v>
      </c>
      <c r="AN199" s="14">
        <v>0</v>
      </c>
      <c r="AO199" s="163">
        <v>0</v>
      </c>
      <c r="AP199" s="163">
        <v>0</v>
      </c>
      <c r="AQ199" s="163">
        <v>0</v>
      </c>
      <c r="AR199" s="163">
        <v>0</v>
      </c>
      <c r="AS199" s="14">
        <v>1</v>
      </c>
      <c r="AT199" s="163">
        <v>0</v>
      </c>
      <c r="AU199" s="163">
        <v>1</v>
      </c>
      <c r="AV199" s="163">
        <v>1</v>
      </c>
      <c r="AW199" s="26">
        <v>0</v>
      </c>
      <c r="AX199" s="14">
        <v>3</v>
      </c>
      <c r="AY199" s="14">
        <v>0</v>
      </c>
      <c r="AZ199" s="163">
        <v>0</v>
      </c>
      <c r="BA199" s="163">
        <v>0</v>
      </c>
      <c r="BB199" s="26">
        <v>1</v>
      </c>
      <c r="BC199" s="12">
        <v>1</v>
      </c>
      <c r="BD199" s="14">
        <v>0</v>
      </c>
      <c r="BE199" s="163">
        <v>0</v>
      </c>
      <c r="BF199" s="163">
        <v>0</v>
      </c>
      <c r="BG199" s="163">
        <v>0</v>
      </c>
      <c r="BH199" s="163">
        <v>0</v>
      </c>
      <c r="BI199" s="14">
        <v>1</v>
      </c>
      <c r="BJ199" s="163">
        <v>1</v>
      </c>
      <c r="BK199" s="26">
        <v>0</v>
      </c>
      <c r="BL199" s="14">
        <v>0</v>
      </c>
      <c r="BM199" s="163">
        <v>0</v>
      </c>
      <c r="BN199" s="26">
        <v>0</v>
      </c>
      <c r="BO199" s="14">
        <v>1</v>
      </c>
      <c r="BP199" s="12">
        <v>140</v>
      </c>
      <c r="BQ199" s="163">
        <v>1</v>
      </c>
      <c r="BR199" s="14">
        <v>0</v>
      </c>
      <c r="BS199" s="163">
        <v>0</v>
      </c>
      <c r="BT199" s="163">
        <v>0</v>
      </c>
      <c r="BU199" s="26">
        <v>1</v>
      </c>
      <c r="BV199" s="14">
        <v>1</v>
      </c>
      <c r="BW199" s="209"/>
      <c r="BX199" s="3"/>
      <c r="BY199" s="3"/>
      <c r="BZ199" s="40"/>
      <c r="CA199" s="209"/>
      <c r="CB199" s="3"/>
      <c r="CC199" s="3"/>
      <c r="CD199" s="3"/>
      <c r="CE199" s="209"/>
      <c r="CF199" s="3"/>
      <c r="CG199" s="3"/>
      <c r="CH199" s="40"/>
      <c r="CI199" s="209"/>
      <c r="CJ199" s="3"/>
      <c r="CK199" s="3"/>
      <c r="CL199" s="209"/>
      <c r="CM199" s="3"/>
      <c r="CN199" s="3"/>
      <c r="CO199" s="3"/>
      <c r="CP199" s="40"/>
      <c r="CQ199" s="209"/>
      <c r="CR199" s="40"/>
      <c r="CS199" s="3"/>
      <c r="CT199" s="3"/>
    </row>
    <row r="200" spans="1:98">
      <c r="A200" s="42" t="s">
        <v>433</v>
      </c>
      <c r="B200" s="173" t="s">
        <v>295</v>
      </c>
      <c r="C200" s="12"/>
      <c r="D200" s="14" t="s">
        <v>405</v>
      </c>
      <c r="E200" s="12"/>
      <c r="F200" s="12">
        <v>38</v>
      </c>
      <c r="G200" s="14">
        <v>1</v>
      </c>
      <c r="H200" s="163">
        <v>0</v>
      </c>
      <c r="I200" s="163">
        <v>1</v>
      </c>
      <c r="J200" s="12">
        <v>101</v>
      </c>
      <c r="K200" s="14">
        <v>91</v>
      </c>
      <c r="L200" s="26">
        <v>1676</v>
      </c>
      <c r="M200" s="14">
        <v>344</v>
      </c>
      <c r="N200" s="163">
        <v>1438</v>
      </c>
      <c r="O200" s="14">
        <v>0</v>
      </c>
      <c r="P200" s="26">
        <v>0</v>
      </c>
      <c r="Q200" s="12">
        <v>3647</v>
      </c>
      <c r="R200" s="209">
        <v>1.2217755443886098</v>
      </c>
      <c r="S200" s="14">
        <v>1</v>
      </c>
      <c r="T200" s="163">
        <v>1</v>
      </c>
      <c r="U200" s="163">
        <v>0</v>
      </c>
      <c r="V200" s="26">
        <v>0</v>
      </c>
      <c r="W200" s="14">
        <v>1100</v>
      </c>
      <c r="X200" s="14">
        <v>1</v>
      </c>
      <c r="Y200" s="163">
        <v>0</v>
      </c>
      <c r="Z200" s="163">
        <v>1</v>
      </c>
      <c r="AA200" s="26">
        <v>0</v>
      </c>
      <c r="AB200" s="12">
        <v>1010</v>
      </c>
      <c r="AC200" s="14">
        <v>0</v>
      </c>
      <c r="AD200" s="14">
        <v>1</v>
      </c>
      <c r="AE200" s="163">
        <v>0</v>
      </c>
      <c r="AF200" s="163">
        <v>1</v>
      </c>
      <c r="AG200" s="26">
        <v>0</v>
      </c>
      <c r="AH200" s="14">
        <v>1010</v>
      </c>
      <c r="AI200" s="14">
        <v>0</v>
      </c>
      <c r="AJ200" s="163">
        <v>0</v>
      </c>
      <c r="AK200" s="163">
        <v>0</v>
      </c>
      <c r="AL200" s="26">
        <v>0</v>
      </c>
      <c r="AM200" s="12">
        <v>0</v>
      </c>
      <c r="AN200" s="14">
        <v>0</v>
      </c>
      <c r="AO200" s="163">
        <v>0</v>
      </c>
      <c r="AP200" s="163">
        <v>0</v>
      </c>
      <c r="AQ200" s="163">
        <v>0</v>
      </c>
      <c r="AR200" s="163">
        <v>0</v>
      </c>
      <c r="AS200" s="14">
        <v>1</v>
      </c>
      <c r="AT200" s="163">
        <v>0</v>
      </c>
      <c r="AU200" s="163">
        <v>0</v>
      </c>
      <c r="AV200" s="163">
        <v>0</v>
      </c>
      <c r="AW200" s="26">
        <v>0</v>
      </c>
      <c r="AX200" s="14">
        <v>1</v>
      </c>
      <c r="AY200" s="14">
        <v>0</v>
      </c>
      <c r="AZ200" s="163">
        <v>0</v>
      </c>
      <c r="BA200" s="163">
        <v>0</v>
      </c>
      <c r="BB200" s="26">
        <v>1</v>
      </c>
      <c r="BC200" s="12">
        <v>1</v>
      </c>
      <c r="BD200" s="14">
        <v>0</v>
      </c>
      <c r="BE200" s="163">
        <v>0</v>
      </c>
      <c r="BF200" s="163">
        <v>0</v>
      </c>
      <c r="BG200" s="163">
        <v>0</v>
      </c>
      <c r="BH200" s="163">
        <v>0</v>
      </c>
      <c r="BI200" s="14">
        <v>1</v>
      </c>
      <c r="BJ200" s="163">
        <v>0</v>
      </c>
      <c r="BK200" s="26">
        <v>0</v>
      </c>
      <c r="BL200" s="14">
        <v>0</v>
      </c>
      <c r="BM200" s="163">
        <v>0</v>
      </c>
      <c r="BN200" s="26">
        <v>0</v>
      </c>
      <c r="BO200" s="14">
        <v>0</v>
      </c>
      <c r="BP200" s="12">
        <v>129</v>
      </c>
      <c r="BQ200" s="163">
        <v>1</v>
      </c>
      <c r="BR200" s="14">
        <v>0</v>
      </c>
      <c r="BS200" s="163">
        <v>0</v>
      </c>
      <c r="BT200" s="163">
        <v>0</v>
      </c>
      <c r="BU200" s="26">
        <v>1</v>
      </c>
      <c r="BV200" s="14">
        <v>1</v>
      </c>
      <c r="BW200" s="209"/>
      <c r="BX200" s="3"/>
      <c r="BY200" s="3"/>
      <c r="BZ200" s="40"/>
      <c r="CA200" s="209"/>
      <c r="CB200" s="3"/>
      <c r="CC200" s="3"/>
      <c r="CD200" s="3"/>
      <c r="CE200" s="209"/>
      <c r="CF200" s="3"/>
      <c r="CG200" s="3"/>
      <c r="CH200" s="40"/>
      <c r="CI200" s="209"/>
      <c r="CJ200" s="3"/>
      <c r="CK200" s="3"/>
      <c r="CL200" s="209"/>
      <c r="CM200" s="3"/>
      <c r="CN200" s="3"/>
      <c r="CO200" s="3"/>
      <c r="CP200" s="40"/>
      <c r="CQ200" s="209"/>
      <c r="CR200" s="40"/>
      <c r="CS200" s="3"/>
      <c r="CT200" s="3"/>
    </row>
    <row r="201" spans="1:98">
      <c r="A201" s="42" t="s">
        <v>433</v>
      </c>
      <c r="B201" s="173" t="s">
        <v>295</v>
      </c>
      <c r="C201" s="12"/>
      <c r="D201" s="14" t="s">
        <v>411</v>
      </c>
      <c r="E201" s="12"/>
      <c r="F201" s="12">
        <v>121</v>
      </c>
      <c r="G201" s="14">
        <v>1</v>
      </c>
      <c r="H201" s="163">
        <v>1</v>
      </c>
      <c r="I201" s="163">
        <v>1</v>
      </c>
      <c r="J201" s="12">
        <v>111</v>
      </c>
      <c r="K201" s="14">
        <v>150</v>
      </c>
      <c r="L201" s="26">
        <v>2093</v>
      </c>
      <c r="M201" s="14">
        <v>136</v>
      </c>
      <c r="N201" s="163">
        <v>836</v>
      </c>
      <c r="O201" s="14">
        <v>0</v>
      </c>
      <c r="P201" s="26">
        <v>0</v>
      </c>
      <c r="Q201" s="12">
        <v>7861</v>
      </c>
      <c r="R201" s="209">
        <v>1.6661721068249258</v>
      </c>
      <c r="S201" s="14">
        <v>1</v>
      </c>
      <c r="T201" s="163">
        <v>1</v>
      </c>
      <c r="U201" s="163">
        <v>0</v>
      </c>
      <c r="V201" s="26">
        <v>0</v>
      </c>
      <c r="W201" s="14">
        <v>1100</v>
      </c>
      <c r="X201" s="14">
        <v>1</v>
      </c>
      <c r="Y201" s="163">
        <v>0</v>
      </c>
      <c r="Z201" s="163">
        <v>0</v>
      </c>
      <c r="AA201" s="26">
        <v>1</v>
      </c>
      <c r="AB201" s="12">
        <v>1001</v>
      </c>
      <c r="AC201" s="14">
        <v>1</v>
      </c>
      <c r="AD201" s="14">
        <v>0</v>
      </c>
      <c r="AE201" s="163">
        <v>0</v>
      </c>
      <c r="AF201" s="163">
        <v>1</v>
      </c>
      <c r="AG201" s="26">
        <v>1</v>
      </c>
      <c r="AH201" s="14">
        <v>11</v>
      </c>
      <c r="AI201" s="14">
        <v>0</v>
      </c>
      <c r="AJ201" s="163">
        <v>0</v>
      </c>
      <c r="AK201" s="163">
        <v>0</v>
      </c>
      <c r="AL201" s="26">
        <v>0</v>
      </c>
      <c r="AM201" s="12">
        <v>0</v>
      </c>
      <c r="AN201" s="14">
        <v>0</v>
      </c>
      <c r="AO201" s="163">
        <v>0</v>
      </c>
      <c r="AP201" s="163">
        <v>0</v>
      </c>
      <c r="AQ201" s="163">
        <v>0</v>
      </c>
      <c r="AR201" s="163">
        <v>0</v>
      </c>
      <c r="AS201" s="14">
        <v>1</v>
      </c>
      <c r="AT201" s="163">
        <v>0</v>
      </c>
      <c r="AU201" s="163">
        <v>0</v>
      </c>
      <c r="AV201" s="163">
        <v>0</v>
      </c>
      <c r="AW201" s="26">
        <v>0</v>
      </c>
      <c r="AX201" s="14">
        <v>1</v>
      </c>
      <c r="AY201" s="14">
        <v>1</v>
      </c>
      <c r="AZ201" s="163">
        <v>0</v>
      </c>
      <c r="BA201" s="163">
        <v>0</v>
      </c>
      <c r="BB201" s="26">
        <v>1</v>
      </c>
      <c r="BC201" s="12">
        <v>2</v>
      </c>
      <c r="BD201" s="14">
        <v>0</v>
      </c>
      <c r="BE201" s="163">
        <v>0</v>
      </c>
      <c r="BF201" s="163">
        <v>0</v>
      </c>
      <c r="BG201" s="163">
        <v>0</v>
      </c>
      <c r="BH201" s="163">
        <v>0</v>
      </c>
      <c r="BI201" s="14">
        <v>1</v>
      </c>
      <c r="BJ201" s="163">
        <v>0</v>
      </c>
      <c r="BK201" s="26">
        <v>0</v>
      </c>
      <c r="BL201" s="14">
        <v>0</v>
      </c>
      <c r="BM201" s="163">
        <v>0</v>
      </c>
      <c r="BN201" s="26">
        <v>0</v>
      </c>
      <c r="BO201" s="14">
        <v>0</v>
      </c>
      <c r="BP201" s="12">
        <v>162</v>
      </c>
      <c r="BQ201" s="163">
        <v>1</v>
      </c>
      <c r="BR201" s="14">
        <v>1</v>
      </c>
      <c r="BS201" s="163">
        <v>0</v>
      </c>
      <c r="BT201" s="163">
        <v>0</v>
      </c>
      <c r="BU201" s="26">
        <v>1</v>
      </c>
      <c r="BV201" s="14">
        <v>1001</v>
      </c>
      <c r="BW201" s="209">
        <v>75.3</v>
      </c>
      <c r="BX201" s="3">
        <v>71.87</v>
      </c>
      <c r="BY201" s="3">
        <v>70.44</v>
      </c>
      <c r="BZ201" s="40">
        <v>70.31</v>
      </c>
      <c r="CA201" s="209"/>
      <c r="CB201" s="3"/>
      <c r="CC201" s="3"/>
      <c r="CD201" s="3"/>
      <c r="CE201" s="209">
        <v>68.7</v>
      </c>
      <c r="CF201" s="3">
        <v>69.17</v>
      </c>
      <c r="CG201" s="3">
        <v>72.09</v>
      </c>
      <c r="CH201" s="40"/>
      <c r="CI201" s="209">
        <v>43.41</v>
      </c>
      <c r="CJ201" s="3"/>
      <c r="CK201" s="3"/>
      <c r="CL201" s="209">
        <v>86</v>
      </c>
      <c r="CM201" s="3">
        <v>86</v>
      </c>
      <c r="CN201" s="3">
        <v>86</v>
      </c>
      <c r="CO201" s="3">
        <v>86</v>
      </c>
      <c r="CP201" s="40"/>
      <c r="CQ201" s="209">
        <v>86</v>
      </c>
      <c r="CR201" s="40">
        <v>86</v>
      </c>
      <c r="CS201" s="3"/>
      <c r="CT201" s="3"/>
    </row>
    <row r="202" spans="1:98">
      <c r="A202" s="42" t="s">
        <v>433</v>
      </c>
      <c r="B202" s="173" t="s">
        <v>295</v>
      </c>
      <c r="C202" s="12"/>
      <c r="D202" s="14" t="s">
        <v>199</v>
      </c>
      <c r="E202" s="12" t="s">
        <v>1</v>
      </c>
      <c r="F202" s="12">
        <v>10</v>
      </c>
      <c r="G202" s="14">
        <v>1</v>
      </c>
      <c r="H202" s="163">
        <v>0</v>
      </c>
      <c r="I202" s="163">
        <v>1</v>
      </c>
      <c r="J202" s="12">
        <v>101</v>
      </c>
      <c r="K202" s="14">
        <v>446</v>
      </c>
      <c r="L202" s="26">
        <v>982</v>
      </c>
      <c r="M202" s="14">
        <v>0</v>
      </c>
      <c r="N202" s="163">
        <v>0</v>
      </c>
      <c r="O202" s="14">
        <v>0</v>
      </c>
      <c r="P202" s="26">
        <v>1065</v>
      </c>
      <c r="Q202" s="12">
        <v>2017</v>
      </c>
      <c r="R202" s="209">
        <v>1.1143646408839778</v>
      </c>
      <c r="S202" s="14">
        <v>1</v>
      </c>
      <c r="T202" s="163">
        <v>0</v>
      </c>
      <c r="U202" s="163">
        <v>1</v>
      </c>
      <c r="V202" s="26">
        <v>0</v>
      </c>
      <c r="W202" s="14">
        <v>1010</v>
      </c>
      <c r="X202" s="14">
        <v>1</v>
      </c>
      <c r="Y202" s="163">
        <v>0</v>
      </c>
      <c r="Z202" s="163">
        <v>0</v>
      </c>
      <c r="AA202" s="26">
        <v>1</v>
      </c>
      <c r="AB202" s="12">
        <v>1001</v>
      </c>
      <c r="AC202" s="14">
        <v>1</v>
      </c>
      <c r="AD202" s="14">
        <v>0</v>
      </c>
      <c r="AE202" s="163">
        <v>0</v>
      </c>
      <c r="AF202" s="163">
        <v>0</v>
      </c>
      <c r="AG202" s="26">
        <v>0</v>
      </c>
      <c r="AH202" s="14">
        <v>0</v>
      </c>
      <c r="AI202" s="14">
        <v>0</v>
      </c>
      <c r="AJ202" s="163">
        <v>0</v>
      </c>
      <c r="AK202" s="163">
        <v>1</v>
      </c>
      <c r="AL202" s="26">
        <v>0</v>
      </c>
      <c r="AM202" s="12">
        <v>10</v>
      </c>
      <c r="AN202" s="14">
        <v>0</v>
      </c>
      <c r="AO202" s="163">
        <v>0</v>
      </c>
      <c r="AP202" s="163">
        <v>0</v>
      </c>
      <c r="AQ202" s="163">
        <v>0</v>
      </c>
      <c r="AR202" s="163">
        <v>0</v>
      </c>
      <c r="AS202" s="14">
        <v>1</v>
      </c>
      <c r="AT202" s="163">
        <v>0</v>
      </c>
      <c r="AU202" s="163">
        <v>0</v>
      </c>
      <c r="AV202" s="163">
        <v>1</v>
      </c>
      <c r="AW202" s="26">
        <v>0</v>
      </c>
      <c r="AX202" s="14">
        <v>2</v>
      </c>
      <c r="AY202" s="14">
        <v>0</v>
      </c>
      <c r="AZ202" s="163">
        <v>0</v>
      </c>
      <c r="BA202" s="163">
        <v>0</v>
      </c>
      <c r="BB202" s="26">
        <v>0</v>
      </c>
      <c r="BC202" s="12">
        <v>0</v>
      </c>
      <c r="BD202" s="14">
        <v>0</v>
      </c>
      <c r="BE202" s="163">
        <v>1</v>
      </c>
      <c r="BF202" s="163">
        <v>0</v>
      </c>
      <c r="BG202" s="163">
        <v>0</v>
      </c>
      <c r="BH202" s="163">
        <v>0</v>
      </c>
      <c r="BI202" s="14">
        <v>1</v>
      </c>
      <c r="BJ202" s="163">
        <v>0</v>
      </c>
      <c r="BK202" s="26">
        <v>0</v>
      </c>
      <c r="BL202" s="14">
        <v>0</v>
      </c>
      <c r="BM202" s="163">
        <v>0</v>
      </c>
      <c r="BN202" s="26">
        <v>0</v>
      </c>
      <c r="BO202" s="14">
        <v>0</v>
      </c>
      <c r="BP202" s="12">
        <v>132</v>
      </c>
      <c r="BQ202" s="163">
        <v>1</v>
      </c>
      <c r="BR202" s="14">
        <v>0</v>
      </c>
      <c r="BS202" s="163">
        <v>1</v>
      </c>
      <c r="BT202" s="163">
        <v>0</v>
      </c>
      <c r="BU202" s="26">
        <v>0</v>
      </c>
      <c r="BV202" s="14">
        <v>100</v>
      </c>
      <c r="BW202" s="209"/>
      <c r="BX202" s="3"/>
      <c r="BY202" s="3"/>
      <c r="BZ202" s="40"/>
      <c r="CA202" s="209"/>
      <c r="CB202" s="3"/>
      <c r="CC202" s="3"/>
      <c r="CD202" s="3"/>
      <c r="CE202" s="209"/>
      <c r="CF202" s="3"/>
      <c r="CG202" s="3"/>
      <c r="CH202" s="40"/>
      <c r="CI202" s="209"/>
      <c r="CJ202" s="3"/>
      <c r="CK202" s="3"/>
      <c r="CL202" s="209">
        <v>86</v>
      </c>
      <c r="CM202" s="3"/>
      <c r="CN202" s="3"/>
      <c r="CO202" s="3"/>
      <c r="CP202" s="40"/>
      <c r="CQ202" s="209">
        <v>86</v>
      </c>
      <c r="CR202" s="40"/>
      <c r="CS202" s="3"/>
      <c r="CT202" s="3"/>
    </row>
    <row r="203" spans="1:98">
      <c r="A203" s="42" t="s">
        <v>433</v>
      </c>
      <c r="B203" s="173" t="s">
        <v>295</v>
      </c>
      <c r="C203" s="12"/>
      <c r="D203" s="14" t="s">
        <v>199</v>
      </c>
      <c r="E203" s="12" t="s">
        <v>0</v>
      </c>
      <c r="F203" s="12">
        <v>62</v>
      </c>
      <c r="G203" s="14">
        <v>1</v>
      </c>
      <c r="H203" s="163">
        <v>1</v>
      </c>
      <c r="I203" s="163">
        <v>1</v>
      </c>
      <c r="J203" s="12">
        <v>111</v>
      </c>
      <c r="K203" s="14">
        <v>190</v>
      </c>
      <c r="L203" s="26">
        <v>2109</v>
      </c>
      <c r="M203" s="14">
        <v>312</v>
      </c>
      <c r="N203" s="163">
        <v>1439</v>
      </c>
      <c r="O203" s="14">
        <v>0</v>
      </c>
      <c r="P203" s="26">
        <v>0</v>
      </c>
      <c r="Q203" s="12">
        <v>5851</v>
      </c>
      <c r="R203" s="209">
        <v>1.3534582465880176</v>
      </c>
      <c r="S203" s="14">
        <v>1</v>
      </c>
      <c r="T203" s="163">
        <v>1</v>
      </c>
      <c r="U203" s="163">
        <v>0</v>
      </c>
      <c r="V203" s="26">
        <v>0</v>
      </c>
      <c r="W203" s="14">
        <v>1100</v>
      </c>
      <c r="X203" s="14">
        <v>1</v>
      </c>
      <c r="Y203" s="163">
        <v>0</v>
      </c>
      <c r="Z203" s="163">
        <v>0</v>
      </c>
      <c r="AA203" s="26">
        <v>0</v>
      </c>
      <c r="AB203" s="12">
        <v>1000</v>
      </c>
      <c r="AC203" s="14">
        <v>0</v>
      </c>
      <c r="AD203" s="14">
        <v>0</v>
      </c>
      <c r="AE203" s="163">
        <v>1</v>
      </c>
      <c r="AF203" s="163">
        <v>1</v>
      </c>
      <c r="AG203" s="26">
        <v>0</v>
      </c>
      <c r="AH203" s="14">
        <v>110</v>
      </c>
      <c r="AI203" s="14">
        <v>0</v>
      </c>
      <c r="AJ203" s="163">
        <v>0</v>
      </c>
      <c r="AK203" s="163">
        <v>0</v>
      </c>
      <c r="AL203" s="26">
        <v>0</v>
      </c>
      <c r="AM203" s="12">
        <v>0</v>
      </c>
      <c r="AN203" s="14">
        <v>0</v>
      </c>
      <c r="AO203" s="163">
        <v>0</v>
      </c>
      <c r="AP203" s="163">
        <v>0</v>
      </c>
      <c r="AQ203" s="163">
        <v>0</v>
      </c>
      <c r="AR203" s="163">
        <v>0</v>
      </c>
      <c r="AS203" s="14">
        <v>1</v>
      </c>
      <c r="AT203" s="163">
        <v>0</v>
      </c>
      <c r="AU203" s="163">
        <v>0</v>
      </c>
      <c r="AV203" s="163">
        <v>0</v>
      </c>
      <c r="AW203" s="26">
        <v>0</v>
      </c>
      <c r="AX203" s="14">
        <v>1</v>
      </c>
      <c r="AY203" s="14">
        <v>0</v>
      </c>
      <c r="AZ203" s="163">
        <v>0</v>
      </c>
      <c r="BA203" s="163">
        <v>0</v>
      </c>
      <c r="BB203" s="26">
        <v>1</v>
      </c>
      <c r="BC203" s="12">
        <v>1</v>
      </c>
      <c r="BD203" s="14">
        <v>0</v>
      </c>
      <c r="BE203" s="163">
        <v>0</v>
      </c>
      <c r="BF203" s="163">
        <v>0</v>
      </c>
      <c r="BG203" s="163">
        <v>0</v>
      </c>
      <c r="BH203" s="163">
        <v>0</v>
      </c>
      <c r="BI203" s="14">
        <v>0</v>
      </c>
      <c r="BJ203" s="163">
        <v>0</v>
      </c>
      <c r="BK203" s="26">
        <v>0</v>
      </c>
      <c r="BL203" s="14">
        <v>0</v>
      </c>
      <c r="BM203" s="163">
        <v>0</v>
      </c>
      <c r="BN203" s="26">
        <v>0</v>
      </c>
      <c r="BO203" s="14">
        <v>0</v>
      </c>
      <c r="BP203" s="12">
        <v>132</v>
      </c>
      <c r="BQ203" s="163">
        <v>1</v>
      </c>
      <c r="BR203" s="14">
        <v>0</v>
      </c>
      <c r="BS203" s="163">
        <v>0</v>
      </c>
      <c r="BT203" s="163">
        <v>0</v>
      </c>
      <c r="BU203" s="26">
        <v>0</v>
      </c>
      <c r="BV203" s="14">
        <v>0</v>
      </c>
      <c r="BW203" s="209">
        <v>72.14</v>
      </c>
      <c r="BX203" s="3">
        <v>71.31</v>
      </c>
      <c r="BY203" s="3">
        <v>73.319999999999993</v>
      </c>
      <c r="BZ203" s="40"/>
      <c r="CA203" s="209"/>
      <c r="CB203" s="3"/>
      <c r="CC203" s="3"/>
      <c r="CD203" s="3"/>
      <c r="CE203" s="209">
        <v>71.989999999999995</v>
      </c>
      <c r="CF203" s="3">
        <v>73.569999999999993</v>
      </c>
      <c r="CG203" s="3">
        <v>69.62</v>
      </c>
      <c r="CH203" s="40"/>
      <c r="CI203" s="209"/>
      <c r="CJ203" s="3"/>
      <c r="CK203" s="3"/>
      <c r="CL203" s="209">
        <v>86</v>
      </c>
      <c r="CM203" s="3"/>
      <c r="CN203" s="3"/>
      <c r="CO203" s="3"/>
      <c r="CP203" s="40"/>
      <c r="CQ203" s="209"/>
      <c r="CR203" s="40"/>
      <c r="CS203" s="3"/>
      <c r="CT203" s="3"/>
    </row>
    <row r="204" spans="1:98">
      <c r="A204" s="42" t="s">
        <v>433</v>
      </c>
      <c r="B204" s="173" t="s">
        <v>295</v>
      </c>
      <c r="C204" s="12"/>
      <c r="D204" s="14" t="s">
        <v>174</v>
      </c>
      <c r="E204" s="12"/>
      <c r="F204" s="12">
        <v>7</v>
      </c>
      <c r="G204" s="14">
        <v>0</v>
      </c>
      <c r="H204" s="163">
        <v>0</v>
      </c>
      <c r="I204" s="163">
        <v>1</v>
      </c>
      <c r="J204" s="12">
        <v>1</v>
      </c>
      <c r="K204" s="14">
        <v>151</v>
      </c>
      <c r="L204" s="26">
        <v>552</v>
      </c>
      <c r="M204" s="14">
        <v>0</v>
      </c>
      <c r="N204" s="163">
        <v>227</v>
      </c>
      <c r="O204" s="14">
        <v>35</v>
      </c>
      <c r="P204" s="26">
        <v>47</v>
      </c>
      <c r="Q204" s="12">
        <v>895</v>
      </c>
      <c r="R204" s="209">
        <v>1.6213768115942029</v>
      </c>
      <c r="S204" s="14">
        <v>1</v>
      </c>
      <c r="T204" s="163">
        <v>1</v>
      </c>
      <c r="U204" s="163">
        <v>1</v>
      </c>
      <c r="V204" s="26">
        <v>0</v>
      </c>
      <c r="W204" s="14">
        <v>1110</v>
      </c>
      <c r="X204" s="14">
        <v>1</v>
      </c>
      <c r="Y204" s="163">
        <v>0</v>
      </c>
      <c r="Z204" s="163">
        <v>0</v>
      </c>
      <c r="AA204" s="26">
        <v>0</v>
      </c>
      <c r="AB204" s="12">
        <v>1000</v>
      </c>
      <c r="AC204" s="14">
        <v>1</v>
      </c>
      <c r="AD204" s="14">
        <v>1</v>
      </c>
      <c r="AE204" s="163">
        <v>0</v>
      </c>
      <c r="AF204" s="163">
        <v>0</v>
      </c>
      <c r="AG204" s="26">
        <v>0</v>
      </c>
      <c r="AH204" s="14">
        <v>1000</v>
      </c>
      <c r="AI204" s="14">
        <v>0</v>
      </c>
      <c r="AJ204" s="163">
        <v>0</v>
      </c>
      <c r="AK204" s="163">
        <v>1</v>
      </c>
      <c r="AL204" s="26">
        <v>0</v>
      </c>
      <c r="AM204" s="12">
        <v>10</v>
      </c>
      <c r="AN204" s="14">
        <v>0</v>
      </c>
      <c r="AO204" s="163">
        <v>0</v>
      </c>
      <c r="AP204" s="163">
        <v>0</v>
      </c>
      <c r="AQ204" s="163">
        <v>0</v>
      </c>
      <c r="AR204" s="163">
        <v>0</v>
      </c>
      <c r="AS204" s="14">
        <v>1</v>
      </c>
      <c r="AT204" s="163">
        <v>0</v>
      </c>
      <c r="AU204" s="163">
        <v>1</v>
      </c>
      <c r="AV204" s="163">
        <v>0</v>
      </c>
      <c r="AW204" s="26">
        <v>0</v>
      </c>
      <c r="AX204" s="14">
        <v>2</v>
      </c>
      <c r="AY204" s="14">
        <v>0</v>
      </c>
      <c r="AZ204" s="163">
        <v>0</v>
      </c>
      <c r="BA204" s="163">
        <v>0</v>
      </c>
      <c r="BB204" s="26">
        <v>0</v>
      </c>
      <c r="BC204" s="12">
        <v>0</v>
      </c>
      <c r="BD204" s="14">
        <v>0</v>
      </c>
      <c r="BE204" s="163">
        <v>0</v>
      </c>
      <c r="BF204" s="163">
        <v>0</v>
      </c>
      <c r="BG204" s="163">
        <v>0</v>
      </c>
      <c r="BH204" s="163">
        <v>0</v>
      </c>
      <c r="BI204" s="14">
        <v>1</v>
      </c>
      <c r="BJ204" s="163">
        <v>0</v>
      </c>
      <c r="BK204" s="26">
        <v>0</v>
      </c>
      <c r="BL204" s="14">
        <v>0</v>
      </c>
      <c r="BM204" s="163">
        <v>0</v>
      </c>
      <c r="BN204" s="26">
        <v>0</v>
      </c>
      <c r="BO204" s="14">
        <v>0</v>
      </c>
      <c r="BP204" s="12">
        <v>104</v>
      </c>
      <c r="BQ204" s="163">
        <v>1</v>
      </c>
      <c r="BR204" s="14">
        <v>0</v>
      </c>
      <c r="BS204" s="163">
        <v>0</v>
      </c>
      <c r="BT204" s="163">
        <v>0</v>
      </c>
      <c r="BU204" s="26">
        <v>0</v>
      </c>
      <c r="BV204" s="14">
        <v>0</v>
      </c>
      <c r="BW204" s="209"/>
      <c r="BX204" s="3"/>
      <c r="BY204" s="3"/>
      <c r="BZ204" s="40"/>
      <c r="CA204" s="209"/>
      <c r="CB204" s="3"/>
      <c r="CC204" s="3"/>
      <c r="CD204" s="3"/>
      <c r="CE204" s="209"/>
      <c r="CF204" s="3"/>
      <c r="CG204" s="3"/>
      <c r="CH204" s="40"/>
      <c r="CI204" s="209"/>
      <c r="CJ204" s="3"/>
      <c r="CK204" s="3"/>
      <c r="CL204" s="209"/>
      <c r="CM204" s="3"/>
      <c r="CN204" s="3"/>
      <c r="CO204" s="3"/>
      <c r="CP204" s="40"/>
      <c r="CQ204" s="209"/>
      <c r="CR204" s="40"/>
      <c r="CS204" s="3"/>
      <c r="CT204" s="3"/>
    </row>
    <row r="205" spans="1:98">
      <c r="A205" s="42" t="s">
        <v>433</v>
      </c>
      <c r="B205" s="173" t="s">
        <v>295</v>
      </c>
      <c r="C205" s="12"/>
      <c r="D205" s="14" t="s">
        <v>200</v>
      </c>
      <c r="E205" s="12"/>
      <c r="F205" s="12">
        <v>14</v>
      </c>
      <c r="G205" s="14">
        <v>1</v>
      </c>
      <c r="H205" s="163">
        <v>1</v>
      </c>
      <c r="I205" s="163">
        <v>1</v>
      </c>
      <c r="J205" s="12">
        <v>111</v>
      </c>
      <c r="K205" s="14">
        <v>73</v>
      </c>
      <c r="L205" s="26">
        <v>1078</v>
      </c>
      <c r="M205" s="14">
        <v>200</v>
      </c>
      <c r="N205" s="163">
        <v>667</v>
      </c>
      <c r="O205" s="14">
        <v>0</v>
      </c>
      <c r="P205" s="26">
        <v>0</v>
      </c>
      <c r="Q205" s="12">
        <v>2208</v>
      </c>
      <c r="R205" s="209">
        <v>2.2857142857142856</v>
      </c>
      <c r="S205" s="14">
        <v>1</v>
      </c>
      <c r="T205" s="163">
        <v>1</v>
      </c>
      <c r="U205" s="163">
        <v>0</v>
      </c>
      <c r="V205" s="26">
        <v>0</v>
      </c>
      <c r="W205" s="14">
        <v>1100</v>
      </c>
      <c r="X205" s="14">
        <v>1</v>
      </c>
      <c r="Y205" s="163">
        <v>0</v>
      </c>
      <c r="Z205" s="163">
        <v>0</v>
      </c>
      <c r="AA205" s="26">
        <v>0</v>
      </c>
      <c r="AB205" s="12">
        <v>1000</v>
      </c>
      <c r="AC205" s="14">
        <v>0</v>
      </c>
      <c r="AD205" s="14">
        <v>0</v>
      </c>
      <c r="AE205" s="163">
        <v>0</v>
      </c>
      <c r="AF205" s="163">
        <v>1</v>
      </c>
      <c r="AG205" s="26">
        <v>0</v>
      </c>
      <c r="AH205" s="14">
        <v>10</v>
      </c>
      <c r="AI205" s="14">
        <v>0</v>
      </c>
      <c r="AJ205" s="163">
        <v>0</v>
      </c>
      <c r="AK205" s="163">
        <v>0</v>
      </c>
      <c r="AL205" s="26">
        <v>0</v>
      </c>
      <c r="AM205" s="12">
        <v>0</v>
      </c>
      <c r="AN205" s="14">
        <v>0</v>
      </c>
      <c r="AO205" s="163">
        <v>0</v>
      </c>
      <c r="AP205" s="163">
        <v>0</v>
      </c>
      <c r="AQ205" s="163">
        <v>0</v>
      </c>
      <c r="AR205" s="163">
        <v>0</v>
      </c>
      <c r="AS205" s="14">
        <v>1</v>
      </c>
      <c r="AT205" s="163">
        <v>1</v>
      </c>
      <c r="AU205" s="163">
        <v>0</v>
      </c>
      <c r="AV205" s="163">
        <v>1</v>
      </c>
      <c r="AW205" s="26">
        <v>0</v>
      </c>
      <c r="AX205" s="14">
        <v>3</v>
      </c>
      <c r="AY205" s="14">
        <v>1</v>
      </c>
      <c r="AZ205" s="163">
        <v>0</v>
      </c>
      <c r="BA205" s="163">
        <v>0</v>
      </c>
      <c r="BB205" s="26">
        <v>1</v>
      </c>
      <c r="BC205" s="12">
        <v>2</v>
      </c>
      <c r="BD205" s="14">
        <v>0</v>
      </c>
      <c r="BE205" s="163">
        <v>0</v>
      </c>
      <c r="BF205" s="163">
        <v>0</v>
      </c>
      <c r="BG205" s="163">
        <v>0</v>
      </c>
      <c r="BH205" s="163">
        <v>0</v>
      </c>
      <c r="BI205" s="14">
        <v>0</v>
      </c>
      <c r="BJ205" s="163">
        <v>0</v>
      </c>
      <c r="BK205" s="26">
        <v>0</v>
      </c>
      <c r="BL205" s="14">
        <v>0</v>
      </c>
      <c r="BM205" s="163">
        <v>0</v>
      </c>
      <c r="BN205" s="26">
        <v>0</v>
      </c>
      <c r="BO205" s="14">
        <v>0</v>
      </c>
      <c r="BP205" s="12">
        <v>130</v>
      </c>
      <c r="BQ205" s="163">
        <v>1</v>
      </c>
      <c r="BR205" s="14">
        <v>0</v>
      </c>
      <c r="BS205" s="163">
        <v>0</v>
      </c>
      <c r="BT205" s="163">
        <v>0</v>
      </c>
      <c r="BU205" s="26">
        <v>1</v>
      </c>
      <c r="BV205" s="14">
        <v>1</v>
      </c>
      <c r="BW205" s="209"/>
      <c r="BX205" s="3"/>
      <c r="BY205" s="3"/>
      <c r="BZ205" s="40"/>
      <c r="CA205" s="209"/>
      <c r="CB205" s="3"/>
      <c r="CC205" s="3"/>
      <c r="CD205" s="3"/>
      <c r="CE205" s="209"/>
      <c r="CF205" s="3"/>
      <c r="CG205" s="3"/>
      <c r="CH205" s="40"/>
      <c r="CI205" s="209"/>
      <c r="CJ205" s="3"/>
      <c r="CK205" s="3"/>
      <c r="CL205" s="209"/>
      <c r="CM205" s="3"/>
      <c r="CN205" s="3"/>
      <c r="CO205" s="3"/>
      <c r="CP205" s="40"/>
      <c r="CQ205" s="209"/>
      <c r="CR205" s="40"/>
      <c r="CS205" s="3"/>
      <c r="CT205" s="3"/>
    </row>
    <row r="206" spans="1:98" ht="17" thickBot="1">
      <c r="A206" s="55" t="s">
        <v>433</v>
      </c>
      <c r="B206" s="47" t="s">
        <v>295</v>
      </c>
      <c r="C206" s="33"/>
      <c r="D206" s="34" t="s">
        <v>392</v>
      </c>
      <c r="E206" s="33"/>
      <c r="F206" s="33">
        <v>12</v>
      </c>
      <c r="G206" s="34">
        <v>0</v>
      </c>
      <c r="H206" s="36">
        <v>0</v>
      </c>
      <c r="I206" s="36">
        <v>1</v>
      </c>
      <c r="J206" s="33">
        <v>1</v>
      </c>
      <c r="K206" s="34">
        <v>176</v>
      </c>
      <c r="L206" s="35">
        <v>829</v>
      </c>
      <c r="M206" s="34">
        <v>222</v>
      </c>
      <c r="N206" s="36">
        <v>388</v>
      </c>
      <c r="O206" s="34">
        <v>0</v>
      </c>
      <c r="P206" s="35">
        <v>0</v>
      </c>
      <c r="Q206" s="33">
        <v>1544</v>
      </c>
      <c r="R206" s="210">
        <v>1.4243542435424354</v>
      </c>
      <c r="S206" s="34">
        <v>1</v>
      </c>
      <c r="T206" s="36">
        <v>1</v>
      </c>
      <c r="U206" s="36">
        <v>0</v>
      </c>
      <c r="V206" s="35">
        <v>0</v>
      </c>
      <c r="W206" s="34">
        <v>1100</v>
      </c>
      <c r="X206" s="34">
        <v>1</v>
      </c>
      <c r="Y206" s="36">
        <v>0</v>
      </c>
      <c r="Z206" s="36">
        <v>0</v>
      </c>
      <c r="AA206" s="35">
        <v>0</v>
      </c>
      <c r="AB206" s="33">
        <v>1000</v>
      </c>
      <c r="AC206" s="34">
        <v>1</v>
      </c>
      <c r="AD206" s="34">
        <v>0</v>
      </c>
      <c r="AE206" s="36">
        <v>0</v>
      </c>
      <c r="AF206" s="36">
        <v>1</v>
      </c>
      <c r="AG206" s="35">
        <v>0</v>
      </c>
      <c r="AH206" s="34">
        <v>10</v>
      </c>
      <c r="AI206" s="34">
        <v>0</v>
      </c>
      <c r="AJ206" s="36">
        <v>0</v>
      </c>
      <c r="AK206" s="36">
        <v>0</v>
      </c>
      <c r="AL206" s="35">
        <v>0</v>
      </c>
      <c r="AM206" s="33">
        <v>0</v>
      </c>
      <c r="AN206" s="34">
        <v>0</v>
      </c>
      <c r="AO206" s="36">
        <v>0</v>
      </c>
      <c r="AP206" s="36">
        <v>0</v>
      </c>
      <c r="AQ206" s="36">
        <v>0</v>
      </c>
      <c r="AR206" s="36">
        <v>0</v>
      </c>
      <c r="AS206" s="34">
        <v>1</v>
      </c>
      <c r="AT206" s="36">
        <v>0</v>
      </c>
      <c r="AU206" s="36">
        <v>0</v>
      </c>
      <c r="AV206" s="36">
        <v>1</v>
      </c>
      <c r="AW206" s="35">
        <v>0</v>
      </c>
      <c r="AX206" s="34">
        <v>2</v>
      </c>
      <c r="AY206" s="34">
        <v>1</v>
      </c>
      <c r="AZ206" s="36">
        <v>0</v>
      </c>
      <c r="BA206" s="36">
        <v>0</v>
      </c>
      <c r="BB206" s="35">
        <v>0</v>
      </c>
      <c r="BC206" s="33">
        <v>1</v>
      </c>
      <c r="BD206" s="34">
        <v>0</v>
      </c>
      <c r="BE206" s="36">
        <v>0</v>
      </c>
      <c r="BF206" s="36">
        <v>0</v>
      </c>
      <c r="BG206" s="36">
        <v>0</v>
      </c>
      <c r="BH206" s="36">
        <v>0</v>
      </c>
      <c r="BI206" s="34">
        <v>0</v>
      </c>
      <c r="BJ206" s="36">
        <v>0</v>
      </c>
      <c r="BK206" s="35">
        <v>0</v>
      </c>
      <c r="BL206" s="34">
        <v>0</v>
      </c>
      <c r="BM206" s="36">
        <v>0</v>
      </c>
      <c r="BN206" s="35">
        <v>0</v>
      </c>
      <c r="BO206" s="34">
        <v>1</v>
      </c>
      <c r="BP206" s="33">
        <v>121</v>
      </c>
      <c r="BQ206" s="36">
        <v>1</v>
      </c>
      <c r="BR206" s="34">
        <v>0</v>
      </c>
      <c r="BS206" s="36">
        <v>0</v>
      </c>
      <c r="BT206" s="36">
        <v>0</v>
      </c>
      <c r="BU206" s="35">
        <v>1</v>
      </c>
      <c r="BV206" s="34">
        <v>1</v>
      </c>
      <c r="BW206" s="210"/>
      <c r="BX206" s="51"/>
      <c r="BY206" s="51"/>
      <c r="BZ206" s="48"/>
      <c r="CA206" s="210"/>
      <c r="CB206" s="51"/>
      <c r="CC206" s="51"/>
      <c r="CD206" s="51"/>
      <c r="CE206" s="210"/>
      <c r="CF206" s="51"/>
      <c r="CG206" s="51"/>
      <c r="CH206" s="48"/>
      <c r="CI206" s="210"/>
      <c r="CJ206" s="51"/>
      <c r="CK206" s="51"/>
      <c r="CL206" s="210"/>
      <c r="CM206" s="51"/>
      <c r="CN206" s="51"/>
      <c r="CO206" s="51"/>
      <c r="CP206" s="48"/>
      <c r="CQ206" s="210"/>
      <c r="CR206" s="48"/>
      <c r="CS206" s="3"/>
      <c r="CT206" s="3"/>
    </row>
    <row r="207" spans="1:98">
      <c r="A207" s="87" t="s">
        <v>326</v>
      </c>
      <c r="B207" s="7" t="s">
        <v>128</v>
      </c>
      <c r="C207" s="9"/>
      <c r="D207" s="11" t="s">
        <v>398</v>
      </c>
      <c r="E207" s="9"/>
      <c r="F207" s="9">
        <v>24</v>
      </c>
      <c r="G207" s="11">
        <v>0</v>
      </c>
      <c r="H207" s="8">
        <v>0</v>
      </c>
      <c r="I207" s="8">
        <v>1</v>
      </c>
      <c r="J207" s="9">
        <v>1</v>
      </c>
      <c r="K207" s="11">
        <v>111</v>
      </c>
      <c r="L207" s="41">
        <v>248</v>
      </c>
      <c r="M207" s="11">
        <v>64</v>
      </c>
      <c r="N207" s="8">
        <v>481</v>
      </c>
      <c r="O207" s="11">
        <v>0</v>
      </c>
      <c r="P207" s="41">
        <v>0</v>
      </c>
      <c r="Q207" s="9">
        <v>1177</v>
      </c>
      <c r="R207" s="208">
        <v>1.791476407914764</v>
      </c>
      <c r="S207" s="11">
        <v>1</v>
      </c>
      <c r="T207" s="8">
        <v>1</v>
      </c>
      <c r="U207" s="8">
        <v>0</v>
      </c>
      <c r="V207" s="41">
        <v>0</v>
      </c>
      <c r="W207" s="11">
        <v>1100</v>
      </c>
      <c r="X207" s="11">
        <v>0</v>
      </c>
      <c r="Y207" s="8">
        <v>1</v>
      </c>
      <c r="Z207" s="8">
        <v>1</v>
      </c>
      <c r="AA207" s="41">
        <v>1</v>
      </c>
      <c r="AB207" s="9">
        <v>111</v>
      </c>
      <c r="AC207" s="11">
        <v>0</v>
      </c>
      <c r="AD207" s="11">
        <v>0</v>
      </c>
      <c r="AE207" s="8">
        <v>1</v>
      </c>
      <c r="AF207" s="8">
        <v>1</v>
      </c>
      <c r="AG207" s="41">
        <v>0</v>
      </c>
      <c r="AH207" s="11">
        <v>110</v>
      </c>
      <c r="AI207" s="11">
        <v>0</v>
      </c>
      <c r="AJ207" s="8">
        <v>0</v>
      </c>
      <c r="AK207" s="8">
        <v>0</v>
      </c>
      <c r="AL207" s="41">
        <v>0</v>
      </c>
      <c r="AM207" s="9">
        <v>0</v>
      </c>
      <c r="AN207" s="11">
        <v>0</v>
      </c>
      <c r="AO207" s="8">
        <v>0</v>
      </c>
      <c r="AP207" s="8">
        <v>0</v>
      </c>
      <c r="AQ207" s="8">
        <v>0</v>
      </c>
      <c r="AR207" s="8">
        <v>0</v>
      </c>
      <c r="AS207" s="11">
        <v>1</v>
      </c>
      <c r="AT207" s="8">
        <v>0</v>
      </c>
      <c r="AU207" s="8">
        <v>0</v>
      </c>
      <c r="AV207" s="8">
        <v>0</v>
      </c>
      <c r="AW207" s="41">
        <v>0</v>
      </c>
      <c r="AX207" s="11">
        <v>1</v>
      </c>
      <c r="AY207" s="11">
        <v>0</v>
      </c>
      <c r="AZ207" s="8">
        <v>0</v>
      </c>
      <c r="BA207" s="8">
        <v>1</v>
      </c>
      <c r="BB207" s="41">
        <v>0</v>
      </c>
      <c r="BC207" s="9">
        <v>1</v>
      </c>
      <c r="BD207" s="102">
        <v>0</v>
      </c>
      <c r="BE207" s="100">
        <v>0</v>
      </c>
      <c r="BF207" s="100">
        <v>0</v>
      </c>
      <c r="BG207" s="100">
        <v>0</v>
      </c>
      <c r="BH207" s="100">
        <v>0</v>
      </c>
      <c r="BI207" s="11">
        <v>0</v>
      </c>
      <c r="BJ207" s="8">
        <v>0</v>
      </c>
      <c r="BK207" s="41">
        <v>0</v>
      </c>
      <c r="BL207" s="11">
        <v>0</v>
      </c>
      <c r="BM207" s="8">
        <v>0</v>
      </c>
      <c r="BN207" s="41">
        <v>0</v>
      </c>
      <c r="BO207" s="11">
        <v>1</v>
      </c>
      <c r="BP207" s="9">
        <v>123</v>
      </c>
      <c r="BQ207" s="8">
        <v>1</v>
      </c>
      <c r="BR207" s="11">
        <v>0</v>
      </c>
      <c r="BS207" s="8">
        <v>0</v>
      </c>
      <c r="BT207" s="8">
        <v>0</v>
      </c>
      <c r="BU207" s="41">
        <v>1</v>
      </c>
      <c r="BV207" s="11">
        <v>1</v>
      </c>
      <c r="BW207" s="208"/>
      <c r="BX207" s="54"/>
      <c r="BY207" s="54"/>
      <c r="BZ207" s="10"/>
      <c r="CA207" s="208"/>
      <c r="CB207" s="54"/>
      <c r="CC207" s="54"/>
      <c r="CD207" s="54"/>
      <c r="CE207" s="208"/>
      <c r="CF207" s="54"/>
      <c r="CG207" s="54"/>
      <c r="CH207" s="10"/>
      <c r="CI207" s="208"/>
      <c r="CJ207" s="54"/>
      <c r="CK207" s="54"/>
      <c r="CL207" s="208"/>
      <c r="CM207" s="54"/>
      <c r="CN207" s="54"/>
      <c r="CO207" s="54"/>
      <c r="CP207" s="10"/>
      <c r="CQ207" s="208"/>
      <c r="CR207" s="10"/>
      <c r="CS207" s="3"/>
      <c r="CT207" s="3"/>
    </row>
    <row r="208" spans="1:98">
      <c r="A208" s="42" t="s">
        <v>326</v>
      </c>
      <c r="B208" s="173" t="s">
        <v>128</v>
      </c>
      <c r="C208" s="12"/>
      <c r="D208" s="14" t="s">
        <v>194</v>
      </c>
      <c r="E208" s="12"/>
      <c r="F208" s="12">
        <v>18</v>
      </c>
      <c r="G208" s="14">
        <v>1</v>
      </c>
      <c r="H208" s="163">
        <v>0</v>
      </c>
      <c r="I208" s="163">
        <v>1</v>
      </c>
      <c r="J208" s="12">
        <v>101</v>
      </c>
      <c r="K208" s="14">
        <v>35</v>
      </c>
      <c r="L208" s="26">
        <v>243</v>
      </c>
      <c r="M208" s="14">
        <v>49</v>
      </c>
      <c r="N208" s="163">
        <v>277</v>
      </c>
      <c r="O208" s="14">
        <v>0</v>
      </c>
      <c r="P208" s="26">
        <v>0</v>
      </c>
      <c r="Q208" s="12">
        <v>657</v>
      </c>
      <c r="R208" s="209">
        <v>1.0859504132231406</v>
      </c>
      <c r="S208" s="14">
        <v>1</v>
      </c>
      <c r="T208" s="163">
        <v>1</v>
      </c>
      <c r="U208" s="163">
        <v>0</v>
      </c>
      <c r="V208" s="26">
        <v>0</v>
      </c>
      <c r="W208" s="14">
        <v>1100</v>
      </c>
      <c r="X208" s="14">
        <v>1</v>
      </c>
      <c r="Y208" s="163">
        <v>1</v>
      </c>
      <c r="Z208" s="163">
        <v>1</v>
      </c>
      <c r="AA208" s="26">
        <v>0</v>
      </c>
      <c r="AB208" s="12">
        <v>1110</v>
      </c>
      <c r="AC208" s="14">
        <v>0</v>
      </c>
      <c r="AD208" s="14">
        <v>0</v>
      </c>
      <c r="AE208" s="163">
        <v>1</v>
      </c>
      <c r="AF208" s="163">
        <v>1</v>
      </c>
      <c r="AG208" s="26">
        <v>0</v>
      </c>
      <c r="AH208" s="14">
        <v>110</v>
      </c>
      <c r="AI208" s="14">
        <v>0</v>
      </c>
      <c r="AJ208" s="163">
        <v>0</v>
      </c>
      <c r="AK208" s="163">
        <v>0</v>
      </c>
      <c r="AL208" s="26">
        <v>0</v>
      </c>
      <c r="AM208" s="12">
        <v>0</v>
      </c>
      <c r="AN208" s="14">
        <v>0</v>
      </c>
      <c r="AO208" s="163">
        <v>0</v>
      </c>
      <c r="AP208" s="163">
        <v>0</v>
      </c>
      <c r="AQ208" s="163">
        <v>0</v>
      </c>
      <c r="AR208" s="163">
        <v>0</v>
      </c>
      <c r="AS208" s="14">
        <v>0</v>
      </c>
      <c r="AT208" s="163">
        <v>0</v>
      </c>
      <c r="AU208" s="163">
        <v>1</v>
      </c>
      <c r="AV208" s="163">
        <v>0</v>
      </c>
      <c r="AW208" s="26">
        <v>0</v>
      </c>
      <c r="AX208" s="14">
        <v>1</v>
      </c>
      <c r="AY208" s="14">
        <v>0</v>
      </c>
      <c r="AZ208" s="163">
        <v>0</v>
      </c>
      <c r="BA208" s="163">
        <v>1</v>
      </c>
      <c r="BB208" s="26">
        <v>0</v>
      </c>
      <c r="BC208" s="12">
        <v>1</v>
      </c>
      <c r="BD208" s="23">
        <v>0</v>
      </c>
      <c r="BE208" s="24">
        <v>0</v>
      </c>
      <c r="BF208" s="24">
        <v>0</v>
      </c>
      <c r="BG208" s="24">
        <v>0</v>
      </c>
      <c r="BH208" s="24">
        <v>0</v>
      </c>
      <c r="BI208" s="14">
        <v>1</v>
      </c>
      <c r="BJ208" s="163">
        <v>0</v>
      </c>
      <c r="BK208" s="26">
        <v>0</v>
      </c>
      <c r="BL208" s="14">
        <v>0</v>
      </c>
      <c r="BM208" s="163">
        <v>0</v>
      </c>
      <c r="BN208" s="26">
        <v>0</v>
      </c>
      <c r="BO208" s="14">
        <v>1</v>
      </c>
      <c r="BP208" s="12">
        <v>119</v>
      </c>
      <c r="BQ208" s="163">
        <v>1</v>
      </c>
      <c r="BR208" s="14">
        <v>0</v>
      </c>
      <c r="BS208" s="163">
        <v>0</v>
      </c>
      <c r="BT208" s="163">
        <v>0</v>
      </c>
      <c r="BU208" s="26">
        <v>1</v>
      </c>
      <c r="BV208" s="14">
        <v>1</v>
      </c>
      <c r="BW208" s="209"/>
      <c r="BX208" s="3"/>
      <c r="BY208" s="3"/>
      <c r="BZ208" s="40"/>
      <c r="CA208" s="209"/>
      <c r="CB208" s="3"/>
      <c r="CC208" s="3"/>
      <c r="CD208" s="3"/>
      <c r="CE208" s="209"/>
      <c r="CF208" s="3"/>
      <c r="CG208" s="3"/>
      <c r="CH208" s="40"/>
      <c r="CI208" s="209"/>
      <c r="CJ208" s="3"/>
      <c r="CK208" s="3"/>
      <c r="CL208" s="209"/>
      <c r="CM208" s="3"/>
      <c r="CN208" s="3"/>
      <c r="CO208" s="3"/>
      <c r="CP208" s="40"/>
      <c r="CQ208" s="209"/>
      <c r="CR208" s="40"/>
      <c r="CS208" s="3"/>
      <c r="CT208" s="3"/>
    </row>
    <row r="209" spans="1:98">
      <c r="A209" s="42" t="s">
        <v>326</v>
      </c>
      <c r="B209" s="173" t="s">
        <v>128</v>
      </c>
      <c r="C209" s="12"/>
      <c r="D209" s="14" t="s">
        <v>393</v>
      </c>
      <c r="E209" s="12"/>
      <c r="F209" s="12">
        <v>9</v>
      </c>
      <c r="G209" s="14">
        <v>1</v>
      </c>
      <c r="H209" s="163">
        <v>0</v>
      </c>
      <c r="I209" s="163">
        <v>1</v>
      </c>
      <c r="J209" s="12">
        <v>101</v>
      </c>
      <c r="K209" s="14">
        <v>0</v>
      </c>
      <c r="L209" s="26">
        <v>253</v>
      </c>
      <c r="M209" s="14">
        <v>76</v>
      </c>
      <c r="N209" s="163">
        <v>196</v>
      </c>
      <c r="O209" s="14">
        <v>0</v>
      </c>
      <c r="P209" s="26">
        <v>0</v>
      </c>
      <c r="Q209" s="12">
        <v>596</v>
      </c>
      <c r="R209" s="209">
        <v>1.717579250720461</v>
      </c>
      <c r="S209" s="14">
        <v>1</v>
      </c>
      <c r="T209" s="163">
        <v>1</v>
      </c>
      <c r="U209" s="163">
        <v>0</v>
      </c>
      <c r="V209" s="26">
        <v>0</v>
      </c>
      <c r="W209" s="14">
        <v>1100</v>
      </c>
      <c r="X209" s="14">
        <v>0</v>
      </c>
      <c r="Y209" s="163">
        <v>1</v>
      </c>
      <c r="Z209" s="163">
        <v>1</v>
      </c>
      <c r="AA209" s="26">
        <v>0</v>
      </c>
      <c r="AB209" s="12">
        <v>110</v>
      </c>
      <c r="AC209" s="14">
        <v>1</v>
      </c>
      <c r="AD209" s="14">
        <v>0</v>
      </c>
      <c r="AE209" s="163">
        <v>0</v>
      </c>
      <c r="AF209" s="163">
        <v>1</v>
      </c>
      <c r="AG209" s="26">
        <v>0</v>
      </c>
      <c r="AH209" s="14">
        <v>10</v>
      </c>
      <c r="AI209" s="14">
        <v>0</v>
      </c>
      <c r="AJ209" s="163">
        <v>0</v>
      </c>
      <c r="AK209" s="163">
        <v>0</v>
      </c>
      <c r="AL209" s="26">
        <v>0</v>
      </c>
      <c r="AM209" s="12">
        <v>0</v>
      </c>
      <c r="AN209" s="14">
        <v>0</v>
      </c>
      <c r="AO209" s="163">
        <v>0</v>
      </c>
      <c r="AP209" s="163">
        <v>0</v>
      </c>
      <c r="AQ209" s="163">
        <v>0</v>
      </c>
      <c r="AR209" s="163">
        <v>0</v>
      </c>
      <c r="AS209" s="14">
        <v>1</v>
      </c>
      <c r="AT209" s="163">
        <v>0</v>
      </c>
      <c r="AU209" s="163">
        <v>0</v>
      </c>
      <c r="AV209" s="163">
        <v>0</v>
      </c>
      <c r="AW209" s="26">
        <v>0</v>
      </c>
      <c r="AX209" s="14">
        <v>1</v>
      </c>
      <c r="AY209" s="14">
        <v>0</v>
      </c>
      <c r="AZ209" s="163">
        <v>0</v>
      </c>
      <c r="BA209" s="163">
        <v>1</v>
      </c>
      <c r="BB209" s="26">
        <v>0</v>
      </c>
      <c r="BC209" s="12">
        <v>1</v>
      </c>
      <c r="BD209" s="23">
        <v>0</v>
      </c>
      <c r="BE209" s="24">
        <v>0</v>
      </c>
      <c r="BF209" s="24">
        <v>0</v>
      </c>
      <c r="BG209" s="24">
        <v>0</v>
      </c>
      <c r="BH209" s="24">
        <v>0</v>
      </c>
      <c r="BI209" s="14">
        <v>0</v>
      </c>
      <c r="BJ209" s="163">
        <v>1</v>
      </c>
      <c r="BK209" s="26">
        <v>0</v>
      </c>
      <c r="BL209" s="14">
        <v>0</v>
      </c>
      <c r="BM209" s="163">
        <v>1</v>
      </c>
      <c r="BN209" s="26">
        <v>0</v>
      </c>
      <c r="BO209" s="14">
        <v>0</v>
      </c>
      <c r="BP209" s="12">
        <v>124</v>
      </c>
      <c r="BQ209" s="163">
        <v>2</v>
      </c>
      <c r="BR209" s="14">
        <v>0</v>
      </c>
      <c r="BS209" s="163">
        <v>0</v>
      </c>
      <c r="BT209" s="163">
        <v>0</v>
      </c>
      <c r="BU209" s="26">
        <v>1</v>
      </c>
      <c r="BV209" s="14">
        <v>1</v>
      </c>
      <c r="BW209" s="209"/>
      <c r="BX209" s="3"/>
      <c r="BY209" s="3"/>
      <c r="BZ209" s="40"/>
      <c r="CA209" s="209"/>
      <c r="CB209" s="3"/>
      <c r="CC209" s="3"/>
      <c r="CD209" s="3"/>
      <c r="CE209" s="209"/>
      <c r="CF209" s="3"/>
      <c r="CG209" s="3"/>
      <c r="CH209" s="40"/>
      <c r="CI209" s="209"/>
      <c r="CJ209" s="3"/>
      <c r="CK209" s="3"/>
      <c r="CL209" s="209"/>
      <c r="CM209" s="3"/>
      <c r="CN209" s="3"/>
      <c r="CO209" s="3"/>
      <c r="CP209" s="40"/>
      <c r="CQ209" s="209"/>
      <c r="CR209" s="40"/>
      <c r="CS209" s="3"/>
      <c r="CT209" s="3"/>
    </row>
    <row r="210" spans="1:98">
      <c r="A210" s="42" t="s">
        <v>326</v>
      </c>
      <c r="B210" s="173" t="s">
        <v>128</v>
      </c>
      <c r="C210" s="12"/>
      <c r="D210" s="14" t="s">
        <v>201</v>
      </c>
      <c r="E210" s="12"/>
      <c r="F210" s="12">
        <v>14</v>
      </c>
      <c r="G210" s="14">
        <v>1</v>
      </c>
      <c r="H210" s="163">
        <v>0</v>
      </c>
      <c r="I210" s="163">
        <v>1</v>
      </c>
      <c r="J210" s="12">
        <v>101</v>
      </c>
      <c r="K210" s="14">
        <v>74</v>
      </c>
      <c r="L210" s="26">
        <v>397</v>
      </c>
      <c r="M210" s="14">
        <v>33</v>
      </c>
      <c r="N210" s="163">
        <v>160</v>
      </c>
      <c r="O210" s="14">
        <v>0</v>
      </c>
      <c r="P210" s="26">
        <v>0</v>
      </c>
      <c r="Q210" s="12">
        <v>654</v>
      </c>
      <c r="R210" s="209">
        <v>2.1946308724832213</v>
      </c>
      <c r="S210" s="14">
        <v>1</v>
      </c>
      <c r="T210" s="163">
        <v>1</v>
      </c>
      <c r="U210" s="163">
        <v>0</v>
      </c>
      <c r="V210" s="26">
        <v>0</v>
      </c>
      <c r="W210" s="14">
        <v>1100</v>
      </c>
      <c r="X210" s="14">
        <v>1</v>
      </c>
      <c r="Y210" s="163">
        <v>0</v>
      </c>
      <c r="Z210" s="163">
        <v>1</v>
      </c>
      <c r="AA210" s="26">
        <v>0</v>
      </c>
      <c r="AB210" s="12">
        <v>1010</v>
      </c>
      <c r="AC210" s="14">
        <v>0</v>
      </c>
      <c r="AD210" s="14">
        <v>0</v>
      </c>
      <c r="AE210" s="163">
        <v>1</v>
      </c>
      <c r="AF210" s="163">
        <v>1</v>
      </c>
      <c r="AG210" s="26">
        <v>0</v>
      </c>
      <c r="AH210" s="14">
        <v>110</v>
      </c>
      <c r="AI210" s="14">
        <v>0</v>
      </c>
      <c r="AJ210" s="163">
        <v>0</v>
      </c>
      <c r="AK210" s="163">
        <v>0</v>
      </c>
      <c r="AL210" s="26">
        <v>0</v>
      </c>
      <c r="AM210" s="12">
        <v>0</v>
      </c>
      <c r="AN210" s="14">
        <v>0</v>
      </c>
      <c r="AO210" s="163">
        <v>0</v>
      </c>
      <c r="AP210" s="163">
        <v>0</v>
      </c>
      <c r="AQ210" s="163">
        <v>0</v>
      </c>
      <c r="AR210" s="163">
        <v>0</v>
      </c>
      <c r="AS210" s="14">
        <v>1</v>
      </c>
      <c r="AT210" s="163">
        <v>0</v>
      </c>
      <c r="AU210" s="163">
        <v>0</v>
      </c>
      <c r="AV210" s="163">
        <v>0</v>
      </c>
      <c r="AW210" s="26">
        <v>0</v>
      </c>
      <c r="AX210" s="14">
        <v>1</v>
      </c>
      <c r="AY210" s="14">
        <v>0</v>
      </c>
      <c r="AZ210" s="163">
        <v>0</v>
      </c>
      <c r="BA210" s="163">
        <v>1</v>
      </c>
      <c r="BB210" s="26">
        <v>0</v>
      </c>
      <c r="BC210" s="12">
        <v>1</v>
      </c>
      <c r="BD210" s="23">
        <v>0</v>
      </c>
      <c r="BE210" s="24">
        <v>0</v>
      </c>
      <c r="BF210" s="24">
        <v>0</v>
      </c>
      <c r="BG210" s="24">
        <v>0</v>
      </c>
      <c r="BH210" s="24">
        <v>0</v>
      </c>
      <c r="BI210" s="14">
        <v>1</v>
      </c>
      <c r="BJ210" s="163">
        <v>0</v>
      </c>
      <c r="BK210" s="26">
        <v>0</v>
      </c>
      <c r="BL210" s="14">
        <v>0</v>
      </c>
      <c r="BM210" s="163">
        <v>0</v>
      </c>
      <c r="BN210" s="26">
        <v>0</v>
      </c>
      <c r="BO210" s="14">
        <v>1</v>
      </c>
      <c r="BP210" s="12">
        <v>133</v>
      </c>
      <c r="BQ210" s="163">
        <v>2</v>
      </c>
      <c r="BR210" s="14">
        <v>0</v>
      </c>
      <c r="BS210" s="163">
        <v>0</v>
      </c>
      <c r="BT210" s="163">
        <v>0</v>
      </c>
      <c r="BU210" s="26">
        <v>0</v>
      </c>
      <c r="BV210" s="14">
        <v>0</v>
      </c>
      <c r="BW210" s="209"/>
      <c r="BX210" s="3"/>
      <c r="BY210" s="3"/>
      <c r="BZ210" s="40"/>
      <c r="CA210" s="209"/>
      <c r="CB210" s="3"/>
      <c r="CC210" s="3"/>
      <c r="CD210" s="3"/>
      <c r="CE210" s="209"/>
      <c r="CF210" s="3"/>
      <c r="CG210" s="3"/>
      <c r="CH210" s="40"/>
      <c r="CI210" s="209"/>
      <c r="CJ210" s="3"/>
      <c r="CK210" s="3"/>
      <c r="CL210" s="209"/>
      <c r="CM210" s="3"/>
      <c r="CN210" s="3"/>
      <c r="CO210" s="3"/>
      <c r="CP210" s="40"/>
      <c r="CQ210" s="209"/>
      <c r="CR210" s="40"/>
      <c r="CS210" s="3"/>
      <c r="CT210" s="3"/>
    </row>
    <row r="211" spans="1:98">
      <c r="A211" s="42" t="s">
        <v>326</v>
      </c>
      <c r="B211" s="173" t="s">
        <v>128</v>
      </c>
      <c r="C211" s="12"/>
      <c r="D211" s="14" t="s">
        <v>211</v>
      </c>
      <c r="E211" s="12"/>
      <c r="F211" s="12">
        <v>7</v>
      </c>
      <c r="G211" s="14">
        <v>1</v>
      </c>
      <c r="H211" s="163">
        <v>0</v>
      </c>
      <c r="I211" s="163">
        <v>1</v>
      </c>
      <c r="J211" s="12">
        <v>101</v>
      </c>
      <c r="K211" s="14">
        <v>47</v>
      </c>
      <c r="L211" s="26">
        <v>634</v>
      </c>
      <c r="M211" s="14">
        <v>76</v>
      </c>
      <c r="N211" s="163">
        <v>151</v>
      </c>
      <c r="O211" s="14">
        <v>0</v>
      </c>
      <c r="P211" s="26">
        <v>0</v>
      </c>
      <c r="Q211" s="12">
        <v>634</v>
      </c>
      <c r="R211" s="209">
        <v>2.3568773234200742</v>
      </c>
      <c r="S211" s="14">
        <v>1</v>
      </c>
      <c r="T211" s="163">
        <v>1</v>
      </c>
      <c r="U211" s="163">
        <v>0</v>
      </c>
      <c r="V211" s="26">
        <v>0</v>
      </c>
      <c r="W211" s="14">
        <v>1100</v>
      </c>
      <c r="X211" s="14">
        <v>1</v>
      </c>
      <c r="Y211" s="163">
        <v>0</v>
      </c>
      <c r="Z211" s="163">
        <v>0</v>
      </c>
      <c r="AA211" s="26">
        <v>1</v>
      </c>
      <c r="AB211" s="12">
        <v>1001</v>
      </c>
      <c r="AC211" s="14">
        <v>0</v>
      </c>
      <c r="AD211" s="14">
        <v>0</v>
      </c>
      <c r="AE211" s="163">
        <v>1</v>
      </c>
      <c r="AF211" s="163">
        <v>0</v>
      </c>
      <c r="AG211" s="26">
        <v>0</v>
      </c>
      <c r="AH211" s="14">
        <v>100</v>
      </c>
      <c r="AI211" s="14">
        <v>0</v>
      </c>
      <c r="AJ211" s="163">
        <v>0</v>
      </c>
      <c r="AK211" s="163">
        <v>0</v>
      </c>
      <c r="AL211" s="26">
        <v>0</v>
      </c>
      <c r="AM211" s="12">
        <v>0</v>
      </c>
      <c r="AN211" s="14">
        <v>0</v>
      </c>
      <c r="AO211" s="163">
        <v>0</v>
      </c>
      <c r="AP211" s="163">
        <v>0</v>
      </c>
      <c r="AQ211" s="163">
        <v>0</v>
      </c>
      <c r="AR211" s="163">
        <v>0</v>
      </c>
      <c r="AS211" s="14">
        <v>0</v>
      </c>
      <c r="AT211" s="163">
        <v>0</v>
      </c>
      <c r="AU211" s="163">
        <v>1</v>
      </c>
      <c r="AV211" s="163">
        <v>1</v>
      </c>
      <c r="AW211" s="26">
        <v>0</v>
      </c>
      <c r="AX211" s="14">
        <v>2</v>
      </c>
      <c r="AY211" s="14">
        <v>0</v>
      </c>
      <c r="AZ211" s="163">
        <v>0</v>
      </c>
      <c r="BA211" s="163">
        <v>0</v>
      </c>
      <c r="BB211" s="26">
        <v>0</v>
      </c>
      <c r="BC211" s="12">
        <v>0</v>
      </c>
      <c r="BD211" s="23">
        <v>0</v>
      </c>
      <c r="BE211" s="24">
        <v>0</v>
      </c>
      <c r="BF211" s="24">
        <v>0</v>
      </c>
      <c r="BG211" s="24">
        <v>0</v>
      </c>
      <c r="BH211" s="24">
        <v>0</v>
      </c>
      <c r="BI211" s="14">
        <v>1</v>
      </c>
      <c r="BJ211" s="163">
        <v>1</v>
      </c>
      <c r="BK211" s="26">
        <v>0</v>
      </c>
      <c r="BL211" s="14">
        <v>0</v>
      </c>
      <c r="BM211" s="163">
        <v>0</v>
      </c>
      <c r="BN211" s="26">
        <v>0</v>
      </c>
      <c r="BO211" s="14">
        <v>1</v>
      </c>
      <c r="BP211" s="12">
        <v>105</v>
      </c>
      <c r="BQ211" s="163">
        <v>2</v>
      </c>
      <c r="BR211" s="14">
        <v>0</v>
      </c>
      <c r="BS211" s="163">
        <v>0</v>
      </c>
      <c r="BT211" s="163">
        <v>0</v>
      </c>
      <c r="BU211" s="26">
        <v>0</v>
      </c>
      <c r="BV211" s="14">
        <v>0</v>
      </c>
      <c r="BW211" s="209"/>
      <c r="BX211" s="3"/>
      <c r="BY211" s="3"/>
      <c r="BZ211" s="40"/>
      <c r="CA211" s="209"/>
      <c r="CB211" s="3"/>
      <c r="CC211" s="3"/>
      <c r="CD211" s="3"/>
      <c r="CE211" s="209"/>
      <c r="CF211" s="3"/>
      <c r="CG211" s="3"/>
      <c r="CH211" s="40"/>
      <c r="CI211" s="209"/>
      <c r="CJ211" s="3"/>
      <c r="CK211" s="3"/>
      <c r="CL211" s="209"/>
      <c r="CM211" s="3"/>
      <c r="CN211" s="3"/>
      <c r="CO211" s="3"/>
      <c r="CP211" s="40"/>
      <c r="CQ211" s="209"/>
      <c r="CR211" s="40"/>
      <c r="CS211" s="3"/>
      <c r="CT211" s="3"/>
    </row>
    <row r="212" spans="1:98">
      <c r="A212" s="42" t="s">
        <v>326</v>
      </c>
      <c r="B212" s="173" t="s">
        <v>128</v>
      </c>
      <c r="C212" s="12"/>
      <c r="D212" s="14" t="s">
        <v>394</v>
      </c>
      <c r="E212" s="12" t="s">
        <v>399</v>
      </c>
      <c r="F212" s="12">
        <v>12</v>
      </c>
      <c r="G212" s="14">
        <v>0</v>
      </c>
      <c r="H212" s="163">
        <v>0</v>
      </c>
      <c r="I212" s="163">
        <v>1</v>
      </c>
      <c r="J212" s="12">
        <v>1</v>
      </c>
      <c r="K212" s="14">
        <v>190</v>
      </c>
      <c r="L212" s="26">
        <v>351</v>
      </c>
      <c r="M212" s="14">
        <v>95</v>
      </c>
      <c r="N212" s="163">
        <v>297</v>
      </c>
      <c r="O212" s="14">
        <v>0</v>
      </c>
      <c r="P212" s="26">
        <v>0</v>
      </c>
      <c r="Q212" s="12">
        <v>970</v>
      </c>
      <c r="R212" s="209">
        <v>2.0124481327800829</v>
      </c>
      <c r="S212" s="14">
        <v>1</v>
      </c>
      <c r="T212" s="163">
        <v>1</v>
      </c>
      <c r="U212" s="163">
        <v>0</v>
      </c>
      <c r="V212" s="26">
        <v>0</v>
      </c>
      <c r="W212" s="14">
        <v>1100</v>
      </c>
      <c r="X212" s="14">
        <v>1</v>
      </c>
      <c r="Y212" s="163">
        <v>0</v>
      </c>
      <c r="Z212" s="163">
        <v>0</v>
      </c>
      <c r="AA212" s="26">
        <v>1</v>
      </c>
      <c r="AB212" s="12">
        <v>1001</v>
      </c>
      <c r="AC212" s="14">
        <v>0</v>
      </c>
      <c r="AD212" s="14">
        <v>0</v>
      </c>
      <c r="AE212" s="163">
        <v>1</v>
      </c>
      <c r="AF212" s="163">
        <v>1</v>
      </c>
      <c r="AG212" s="26">
        <v>0</v>
      </c>
      <c r="AH212" s="14">
        <v>110</v>
      </c>
      <c r="AI212" s="14">
        <v>0</v>
      </c>
      <c r="AJ212" s="163">
        <v>0</v>
      </c>
      <c r="AK212" s="163">
        <v>0</v>
      </c>
      <c r="AL212" s="26">
        <v>0</v>
      </c>
      <c r="AM212" s="12">
        <v>0</v>
      </c>
      <c r="AN212" s="14">
        <v>0</v>
      </c>
      <c r="AO212" s="163">
        <v>0</v>
      </c>
      <c r="AP212" s="163">
        <v>0</v>
      </c>
      <c r="AQ212" s="163">
        <v>0</v>
      </c>
      <c r="AR212" s="163">
        <v>0</v>
      </c>
      <c r="AS212" s="14">
        <v>0</v>
      </c>
      <c r="AT212" s="163">
        <v>1</v>
      </c>
      <c r="AU212" s="163">
        <v>0</v>
      </c>
      <c r="AV212" s="163">
        <v>0</v>
      </c>
      <c r="AW212" s="26">
        <v>0</v>
      </c>
      <c r="AX212" s="14">
        <v>1</v>
      </c>
      <c r="AY212" s="14">
        <v>0</v>
      </c>
      <c r="AZ212" s="163">
        <v>0</v>
      </c>
      <c r="BA212" s="163">
        <v>1</v>
      </c>
      <c r="BB212" s="26">
        <v>0</v>
      </c>
      <c r="BC212" s="12">
        <v>1</v>
      </c>
      <c r="BD212" s="23">
        <v>0</v>
      </c>
      <c r="BE212" s="24">
        <v>0</v>
      </c>
      <c r="BF212" s="24">
        <v>0</v>
      </c>
      <c r="BG212" s="24">
        <v>0</v>
      </c>
      <c r="BH212" s="24">
        <v>0</v>
      </c>
      <c r="BI212" s="14">
        <v>1</v>
      </c>
      <c r="BJ212" s="163">
        <v>1</v>
      </c>
      <c r="BK212" s="26">
        <v>0</v>
      </c>
      <c r="BL212" s="14">
        <v>0</v>
      </c>
      <c r="BM212" s="163">
        <v>1</v>
      </c>
      <c r="BN212" s="26">
        <v>0</v>
      </c>
      <c r="BO212" s="14">
        <v>1</v>
      </c>
      <c r="BP212" s="12">
        <v>153</v>
      </c>
      <c r="BQ212" s="163">
        <v>1</v>
      </c>
      <c r="BR212" s="14">
        <v>0</v>
      </c>
      <c r="BS212" s="163">
        <v>0</v>
      </c>
      <c r="BT212" s="163">
        <v>0</v>
      </c>
      <c r="BU212" s="26">
        <v>1</v>
      </c>
      <c r="BV212" s="14">
        <v>1</v>
      </c>
      <c r="BW212" s="209"/>
      <c r="BX212" s="3"/>
      <c r="BY212" s="3"/>
      <c r="BZ212" s="40"/>
      <c r="CA212" s="209"/>
      <c r="CB212" s="3"/>
      <c r="CC212" s="3"/>
      <c r="CD212" s="3"/>
      <c r="CE212" s="209"/>
      <c r="CF212" s="3"/>
      <c r="CG212" s="3"/>
      <c r="CH212" s="40"/>
      <c r="CI212" s="209"/>
      <c r="CJ212" s="3"/>
      <c r="CK212" s="3"/>
      <c r="CL212" s="209"/>
      <c r="CM212" s="3"/>
      <c r="CN212" s="3"/>
      <c r="CO212" s="3"/>
      <c r="CP212" s="40"/>
      <c r="CQ212" s="209"/>
      <c r="CR212" s="40"/>
      <c r="CS212" s="3"/>
      <c r="CT212" s="3"/>
    </row>
    <row r="213" spans="1:98">
      <c r="A213" s="42" t="s">
        <v>326</v>
      </c>
      <c r="B213" s="173" t="s">
        <v>128</v>
      </c>
      <c r="C213" s="12"/>
      <c r="D213" s="14" t="s">
        <v>400</v>
      </c>
      <c r="E213" s="12"/>
      <c r="F213" s="12">
        <v>25</v>
      </c>
      <c r="G213" s="14">
        <v>0</v>
      </c>
      <c r="H213" s="163">
        <v>0</v>
      </c>
      <c r="I213" s="163">
        <v>1</v>
      </c>
      <c r="J213" s="12">
        <v>1</v>
      </c>
      <c r="K213" s="14">
        <v>81</v>
      </c>
      <c r="L213" s="26">
        <v>372</v>
      </c>
      <c r="M213" s="14">
        <v>97</v>
      </c>
      <c r="N213" s="163">
        <v>329</v>
      </c>
      <c r="O213" s="14">
        <v>0</v>
      </c>
      <c r="P213" s="26">
        <v>0</v>
      </c>
      <c r="Q213" s="12">
        <v>900</v>
      </c>
      <c r="R213" s="209">
        <v>1.5100671140939597</v>
      </c>
      <c r="S213" s="14">
        <v>1</v>
      </c>
      <c r="T213" s="163">
        <v>1</v>
      </c>
      <c r="U213" s="163">
        <v>0</v>
      </c>
      <c r="V213" s="26">
        <v>0</v>
      </c>
      <c r="W213" s="14">
        <v>1100</v>
      </c>
      <c r="X213" s="14">
        <v>1</v>
      </c>
      <c r="Y213" s="163">
        <v>0</v>
      </c>
      <c r="Z213" s="163">
        <v>1</v>
      </c>
      <c r="AA213" s="26">
        <v>0</v>
      </c>
      <c r="AB213" s="12">
        <v>1010</v>
      </c>
      <c r="AC213" s="14">
        <v>0</v>
      </c>
      <c r="AD213" s="14">
        <v>0</v>
      </c>
      <c r="AE213" s="163">
        <v>1</v>
      </c>
      <c r="AF213" s="163">
        <v>1</v>
      </c>
      <c r="AG213" s="26">
        <v>0</v>
      </c>
      <c r="AH213" s="14">
        <v>110</v>
      </c>
      <c r="AI213" s="14">
        <v>0</v>
      </c>
      <c r="AJ213" s="163">
        <v>0</v>
      </c>
      <c r="AK213" s="163">
        <v>0</v>
      </c>
      <c r="AL213" s="26">
        <v>0</v>
      </c>
      <c r="AM213" s="12">
        <v>0</v>
      </c>
      <c r="AN213" s="14">
        <v>0</v>
      </c>
      <c r="AO213" s="163">
        <v>0</v>
      </c>
      <c r="AP213" s="163">
        <v>0</v>
      </c>
      <c r="AQ213" s="163">
        <v>0</v>
      </c>
      <c r="AR213" s="163">
        <v>0</v>
      </c>
      <c r="AS213" s="14">
        <v>1</v>
      </c>
      <c r="AT213" s="163">
        <v>0</v>
      </c>
      <c r="AU213" s="163">
        <v>0</v>
      </c>
      <c r="AV213" s="163">
        <v>0</v>
      </c>
      <c r="AW213" s="26">
        <v>0</v>
      </c>
      <c r="AX213" s="14">
        <v>1</v>
      </c>
      <c r="AY213" s="14">
        <v>0</v>
      </c>
      <c r="AZ213" s="163">
        <v>0</v>
      </c>
      <c r="BA213" s="163">
        <v>1</v>
      </c>
      <c r="BB213" s="26">
        <v>0</v>
      </c>
      <c r="BC213" s="12">
        <v>1</v>
      </c>
      <c r="BD213" s="23">
        <v>0</v>
      </c>
      <c r="BE213" s="24">
        <v>0</v>
      </c>
      <c r="BF213" s="24">
        <v>0</v>
      </c>
      <c r="BG213" s="24">
        <v>0</v>
      </c>
      <c r="BH213" s="24">
        <v>0</v>
      </c>
      <c r="BI213" s="14">
        <v>1</v>
      </c>
      <c r="BJ213" s="163">
        <v>1</v>
      </c>
      <c r="BK213" s="26">
        <v>0</v>
      </c>
      <c r="BL213" s="14">
        <v>0</v>
      </c>
      <c r="BM213" s="163">
        <v>0</v>
      </c>
      <c r="BN213" s="26">
        <v>0</v>
      </c>
      <c r="BO213" s="14">
        <v>1</v>
      </c>
      <c r="BP213" s="12">
        <v>135</v>
      </c>
      <c r="BQ213" s="163">
        <v>1</v>
      </c>
      <c r="BR213" s="14">
        <v>0</v>
      </c>
      <c r="BS213" s="163">
        <v>0</v>
      </c>
      <c r="BT213" s="163">
        <v>0</v>
      </c>
      <c r="BU213" s="26">
        <v>1</v>
      </c>
      <c r="BV213" s="14">
        <v>1</v>
      </c>
      <c r="BW213" s="209"/>
      <c r="BX213" s="3"/>
      <c r="BY213" s="3"/>
      <c r="BZ213" s="40"/>
      <c r="CA213" s="209"/>
      <c r="CB213" s="3"/>
      <c r="CC213" s="3"/>
      <c r="CD213" s="3"/>
      <c r="CE213" s="209"/>
      <c r="CF213" s="3"/>
      <c r="CG213" s="3"/>
      <c r="CH213" s="40"/>
      <c r="CI213" s="209"/>
      <c r="CJ213" s="3"/>
      <c r="CK213" s="3"/>
      <c r="CL213" s="209"/>
      <c r="CM213" s="3"/>
      <c r="CN213" s="3"/>
      <c r="CO213" s="3"/>
      <c r="CP213" s="40"/>
      <c r="CQ213" s="209"/>
      <c r="CR213" s="40"/>
      <c r="CS213" s="3"/>
      <c r="CT213" s="3"/>
    </row>
    <row r="214" spans="1:98">
      <c r="A214" s="42" t="s">
        <v>326</v>
      </c>
      <c r="B214" s="173" t="s">
        <v>128</v>
      </c>
      <c r="C214" s="12"/>
      <c r="D214" s="14" t="s">
        <v>167</v>
      </c>
      <c r="E214" s="12"/>
      <c r="F214" s="12">
        <v>6</v>
      </c>
      <c r="G214" s="14">
        <v>0</v>
      </c>
      <c r="H214" s="163">
        <v>0</v>
      </c>
      <c r="I214" s="163">
        <v>1</v>
      </c>
      <c r="J214" s="12">
        <v>1</v>
      </c>
      <c r="K214" s="14">
        <v>112</v>
      </c>
      <c r="L214" s="26">
        <v>573</v>
      </c>
      <c r="M214" s="14">
        <v>0</v>
      </c>
      <c r="N214" s="163">
        <v>195</v>
      </c>
      <c r="O214" s="14">
        <v>0</v>
      </c>
      <c r="P214" s="26">
        <v>0</v>
      </c>
      <c r="Q214" s="12">
        <v>649</v>
      </c>
      <c r="R214" s="209">
        <v>1.7493261455525606</v>
      </c>
      <c r="S214" s="14">
        <v>1</v>
      </c>
      <c r="T214" s="163">
        <v>1</v>
      </c>
      <c r="U214" s="163">
        <v>0</v>
      </c>
      <c r="V214" s="26">
        <v>0</v>
      </c>
      <c r="W214" s="14">
        <v>1100</v>
      </c>
      <c r="X214" s="14">
        <v>1</v>
      </c>
      <c r="Y214" s="163">
        <v>0</v>
      </c>
      <c r="Z214" s="163">
        <v>0</v>
      </c>
      <c r="AA214" s="26">
        <v>1</v>
      </c>
      <c r="AB214" s="12">
        <v>1001</v>
      </c>
      <c r="AC214" s="14">
        <v>1</v>
      </c>
      <c r="AD214" s="14">
        <v>0</v>
      </c>
      <c r="AE214" s="163">
        <v>1</v>
      </c>
      <c r="AF214" s="163">
        <v>0</v>
      </c>
      <c r="AG214" s="26">
        <v>0</v>
      </c>
      <c r="AH214" s="14">
        <v>100</v>
      </c>
      <c r="AI214" s="14">
        <v>0</v>
      </c>
      <c r="AJ214" s="163">
        <v>0</v>
      </c>
      <c r="AK214" s="163">
        <v>0</v>
      </c>
      <c r="AL214" s="26">
        <v>0</v>
      </c>
      <c r="AM214" s="12">
        <v>0</v>
      </c>
      <c r="AN214" s="14">
        <v>0</v>
      </c>
      <c r="AO214" s="163">
        <v>0</v>
      </c>
      <c r="AP214" s="163">
        <v>0</v>
      </c>
      <c r="AQ214" s="163">
        <v>0</v>
      </c>
      <c r="AR214" s="163">
        <v>0</v>
      </c>
      <c r="AS214" s="14">
        <v>1</v>
      </c>
      <c r="AT214" s="163">
        <v>0</v>
      </c>
      <c r="AU214" s="163">
        <v>1</v>
      </c>
      <c r="AV214" s="163">
        <v>1</v>
      </c>
      <c r="AW214" s="26">
        <v>0</v>
      </c>
      <c r="AX214" s="14">
        <v>3</v>
      </c>
      <c r="AY214" s="14">
        <v>0</v>
      </c>
      <c r="AZ214" s="163">
        <v>1</v>
      </c>
      <c r="BA214" s="163">
        <v>0</v>
      </c>
      <c r="BB214" s="26">
        <v>0</v>
      </c>
      <c r="BC214" s="12">
        <v>1</v>
      </c>
      <c r="BD214" s="23">
        <v>0</v>
      </c>
      <c r="BE214" s="24">
        <v>0</v>
      </c>
      <c r="BF214" s="24">
        <v>0</v>
      </c>
      <c r="BG214" s="24">
        <v>0</v>
      </c>
      <c r="BH214" s="24">
        <v>0</v>
      </c>
      <c r="BI214" s="14">
        <v>1</v>
      </c>
      <c r="BJ214" s="163">
        <v>1</v>
      </c>
      <c r="BK214" s="26">
        <v>0</v>
      </c>
      <c r="BL214" s="14">
        <v>0</v>
      </c>
      <c r="BM214" s="163">
        <v>0</v>
      </c>
      <c r="BN214" s="26">
        <v>0</v>
      </c>
      <c r="BO214" s="14">
        <v>0</v>
      </c>
      <c r="BP214" s="12">
        <v>114</v>
      </c>
      <c r="BQ214" s="163">
        <v>2</v>
      </c>
      <c r="BR214" s="14">
        <v>0</v>
      </c>
      <c r="BS214" s="163">
        <v>0</v>
      </c>
      <c r="BT214" s="163">
        <v>0</v>
      </c>
      <c r="BU214" s="26">
        <v>0</v>
      </c>
      <c r="BV214" s="14">
        <v>0</v>
      </c>
      <c r="BW214" s="209"/>
      <c r="BX214" s="3"/>
      <c r="BY214" s="3"/>
      <c r="BZ214" s="40"/>
      <c r="CA214" s="209"/>
      <c r="CB214" s="3"/>
      <c r="CC214" s="3"/>
      <c r="CD214" s="3"/>
      <c r="CE214" s="209"/>
      <c r="CF214" s="3"/>
      <c r="CG214" s="3"/>
      <c r="CH214" s="40"/>
      <c r="CI214" s="209"/>
      <c r="CJ214" s="3"/>
      <c r="CK214" s="3"/>
      <c r="CL214" s="209"/>
      <c r="CM214" s="3"/>
      <c r="CN214" s="3"/>
      <c r="CO214" s="3"/>
      <c r="CP214" s="40"/>
      <c r="CQ214" s="209"/>
      <c r="CR214" s="40"/>
      <c r="CS214" s="3"/>
      <c r="CT214" s="3"/>
    </row>
    <row r="215" spans="1:98">
      <c r="A215" s="42" t="s">
        <v>326</v>
      </c>
      <c r="B215" s="173" t="s">
        <v>128</v>
      </c>
      <c r="C215" s="12"/>
      <c r="D215" s="14" t="s">
        <v>203</v>
      </c>
      <c r="E215" s="12"/>
      <c r="F215" s="12">
        <v>15</v>
      </c>
      <c r="G215" s="14">
        <v>1</v>
      </c>
      <c r="H215" s="163">
        <v>0</v>
      </c>
      <c r="I215" s="163">
        <v>1</v>
      </c>
      <c r="J215" s="12">
        <v>101</v>
      </c>
      <c r="K215" s="14">
        <v>139</v>
      </c>
      <c r="L215" s="26">
        <v>626</v>
      </c>
      <c r="M215" s="14">
        <v>35</v>
      </c>
      <c r="N215" s="163">
        <v>395</v>
      </c>
      <c r="O215" s="14">
        <v>0</v>
      </c>
      <c r="P215" s="26">
        <v>0</v>
      </c>
      <c r="Q215" s="12">
        <v>940</v>
      </c>
      <c r="R215" s="209">
        <v>2.3325062034739452</v>
      </c>
      <c r="S215" s="14">
        <v>1</v>
      </c>
      <c r="T215" s="163">
        <v>1</v>
      </c>
      <c r="U215" s="163">
        <v>0</v>
      </c>
      <c r="V215" s="26">
        <v>0</v>
      </c>
      <c r="W215" s="14">
        <v>1100</v>
      </c>
      <c r="X215" s="14">
        <v>1</v>
      </c>
      <c r="Y215" s="163">
        <v>0</v>
      </c>
      <c r="Z215" s="163">
        <v>1</v>
      </c>
      <c r="AA215" s="26">
        <v>1</v>
      </c>
      <c r="AB215" s="12">
        <v>1011</v>
      </c>
      <c r="AC215" s="14">
        <v>0</v>
      </c>
      <c r="AD215" s="14">
        <v>0</v>
      </c>
      <c r="AE215" s="163">
        <v>1</v>
      </c>
      <c r="AF215" s="163">
        <v>1</v>
      </c>
      <c r="AG215" s="26">
        <v>0</v>
      </c>
      <c r="AH215" s="14">
        <v>110</v>
      </c>
      <c r="AI215" s="14">
        <v>0</v>
      </c>
      <c r="AJ215" s="163">
        <v>0</v>
      </c>
      <c r="AK215" s="163">
        <v>0</v>
      </c>
      <c r="AL215" s="26">
        <v>0</v>
      </c>
      <c r="AM215" s="12">
        <v>0</v>
      </c>
      <c r="AN215" s="14">
        <v>0</v>
      </c>
      <c r="AO215" s="163">
        <v>0</v>
      </c>
      <c r="AP215" s="163">
        <v>0</v>
      </c>
      <c r="AQ215" s="163">
        <v>0</v>
      </c>
      <c r="AR215" s="163">
        <v>0</v>
      </c>
      <c r="AS215" s="14">
        <v>0</v>
      </c>
      <c r="AT215" s="163">
        <v>1</v>
      </c>
      <c r="AU215" s="163">
        <v>0</v>
      </c>
      <c r="AV215" s="163">
        <v>0</v>
      </c>
      <c r="AW215" s="26">
        <v>0</v>
      </c>
      <c r="AX215" s="14">
        <v>1</v>
      </c>
      <c r="AY215" s="14">
        <v>1</v>
      </c>
      <c r="AZ215" s="163">
        <v>0</v>
      </c>
      <c r="BA215" s="163">
        <v>0</v>
      </c>
      <c r="BB215" s="26">
        <v>0</v>
      </c>
      <c r="BC215" s="12">
        <v>1</v>
      </c>
      <c r="BD215" s="23">
        <v>0</v>
      </c>
      <c r="BE215" s="24">
        <v>0</v>
      </c>
      <c r="BF215" s="24">
        <v>0</v>
      </c>
      <c r="BG215" s="24">
        <v>0</v>
      </c>
      <c r="BH215" s="24">
        <v>0</v>
      </c>
      <c r="BI215" s="14">
        <v>1</v>
      </c>
      <c r="BJ215" s="163">
        <v>1</v>
      </c>
      <c r="BK215" s="26">
        <v>0</v>
      </c>
      <c r="BL215" s="14">
        <v>0</v>
      </c>
      <c r="BM215" s="163">
        <v>0</v>
      </c>
      <c r="BN215" s="26">
        <v>0</v>
      </c>
      <c r="BO215" s="14">
        <v>1</v>
      </c>
      <c r="BP215" s="12">
        <v>123</v>
      </c>
      <c r="BQ215" s="163">
        <v>1</v>
      </c>
      <c r="BR215" s="14">
        <v>0</v>
      </c>
      <c r="BS215" s="163">
        <v>0</v>
      </c>
      <c r="BT215" s="163">
        <v>0</v>
      </c>
      <c r="BU215" s="26">
        <v>0</v>
      </c>
      <c r="BV215" s="14">
        <v>0</v>
      </c>
      <c r="BW215" s="209"/>
      <c r="BX215" s="3"/>
      <c r="BY215" s="3"/>
      <c r="BZ215" s="40"/>
      <c r="CA215" s="209"/>
      <c r="CB215" s="3"/>
      <c r="CC215" s="3"/>
      <c r="CD215" s="3"/>
      <c r="CE215" s="209"/>
      <c r="CF215" s="3"/>
      <c r="CG215" s="3"/>
      <c r="CH215" s="40"/>
      <c r="CI215" s="209"/>
      <c r="CJ215" s="3"/>
      <c r="CK215" s="3"/>
      <c r="CL215" s="209"/>
      <c r="CM215" s="3"/>
      <c r="CN215" s="3"/>
      <c r="CO215" s="3"/>
      <c r="CP215" s="40"/>
      <c r="CQ215" s="209"/>
      <c r="CR215" s="40"/>
      <c r="CS215" s="3"/>
      <c r="CT215" s="3"/>
    </row>
    <row r="216" spans="1:98">
      <c r="A216" s="42" t="s">
        <v>326</v>
      </c>
      <c r="B216" s="173" t="s">
        <v>128</v>
      </c>
      <c r="C216" s="12"/>
      <c r="D216" s="14" t="s">
        <v>199</v>
      </c>
      <c r="E216" s="12"/>
      <c r="F216" s="12">
        <v>37</v>
      </c>
      <c r="G216" s="14">
        <v>1</v>
      </c>
      <c r="H216" s="163">
        <v>0</v>
      </c>
      <c r="I216" s="163">
        <v>1</v>
      </c>
      <c r="J216" s="12">
        <v>101</v>
      </c>
      <c r="K216" s="14">
        <v>91</v>
      </c>
      <c r="L216" s="26">
        <v>492</v>
      </c>
      <c r="M216" s="14">
        <v>87</v>
      </c>
      <c r="N216" s="163">
        <v>767</v>
      </c>
      <c r="O216" s="14">
        <v>0</v>
      </c>
      <c r="P216" s="26">
        <v>0</v>
      </c>
      <c r="Q216" s="12">
        <v>1547</v>
      </c>
      <c r="R216" s="209">
        <v>1.3738898756660747</v>
      </c>
      <c r="S216" s="14">
        <v>1</v>
      </c>
      <c r="T216" s="163">
        <v>1</v>
      </c>
      <c r="U216" s="163">
        <v>0</v>
      </c>
      <c r="V216" s="26">
        <v>0</v>
      </c>
      <c r="W216" s="14">
        <v>1100</v>
      </c>
      <c r="X216" s="14">
        <v>0</v>
      </c>
      <c r="Y216" s="163">
        <v>1</v>
      </c>
      <c r="Z216" s="163">
        <v>1</v>
      </c>
      <c r="AA216" s="26">
        <v>0</v>
      </c>
      <c r="AB216" s="12">
        <v>110</v>
      </c>
      <c r="AC216" s="14">
        <v>0</v>
      </c>
      <c r="AD216" s="14">
        <v>1</v>
      </c>
      <c r="AE216" s="163">
        <v>1</v>
      </c>
      <c r="AF216" s="163">
        <v>0</v>
      </c>
      <c r="AG216" s="26">
        <v>0</v>
      </c>
      <c r="AH216" s="14">
        <v>1100</v>
      </c>
      <c r="AI216" s="14">
        <v>0</v>
      </c>
      <c r="AJ216" s="163">
        <v>0</v>
      </c>
      <c r="AK216" s="163">
        <v>0</v>
      </c>
      <c r="AL216" s="26">
        <v>0</v>
      </c>
      <c r="AM216" s="12">
        <v>0</v>
      </c>
      <c r="AN216" s="14">
        <v>0</v>
      </c>
      <c r="AO216" s="163">
        <v>0</v>
      </c>
      <c r="AP216" s="163">
        <v>0</v>
      </c>
      <c r="AQ216" s="163">
        <v>0</v>
      </c>
      <c r="AR216" s="163">
        <v>0</v>
      </c>
      <c r="AS216" s="14">
        <v>1</v>
      </c>
      <c r="AT216" s="163">
        <v>0</v>
      </c>
      <c r="AU216" s="163">
        <v>1</v>
      </c>
      <c r="AV216" s="163">
        <v>0</v>
      </c>
      <c r="AW216" s="26">
        <v>0</v>
      </c>
      <c r="AX216" s="14">
        <v>2</v>
      </c>
      <c r="AY216" s="14">
        <v>0</v>
      </c>
      <c r="AZ216" s="163">
        <v>0</v>
      </c>
      <c r="BA216" s="163">
        <v>1</v>
      </c>
      <c r="BB216" s="26">
        <v>0</v>
      </c>
      <c r="BC216" s="12">
        <v>1</v>
      </c>
      <c r="BD216" s="23">
        <v>0</v>
      </c>
      <c r="BE216" s="24">
        <v>0</v>
      </c>
      <c r="BF216" s="24">
        <v>0</v>
      </c>
      <c r="BG216" s="24">
        <v>0</v>
      </c>
      <c r="BH216" s="24">
        <v>0</v>
      </c>
      <c r="BI216" s="14">
        <v>1</v>
      </c>
      <c r="BJ216" s="163">
        <v>0</v>
      </c>
      <c r="BK216" s="26">
        <v>0</v>
      </c>
      <c r="BL216" s="14">
        <v>0</v>
      </c>
      <c r="BM216" s="163">
        <v>0</v>
      </c>
      <c r="BN216" s="26">
        <v>0</v>
      </c>
      <c r="BO216" s="14">
        <v>1</v>
      </c>
      <c r="BP216" s="12">
        <v>130</v>
      </c>
      <c r="BQ216" s="163">
        <v>1</v>
      </c>
      <c r="BR216" s="14">
        <v>0</v>
      </c>
      <c r="BS216" s="163">
        <v>0</v>
      </c>
      <c r="BT216" s="163">
        <v>0</v>
      </c>
      <c r="BU216" s="26">
        <v>1</v>
      </c>
      <c r="BV216" s="14">
        <v>1</v>
      </c>
      <c r="BW216" s="209"/>
      <c r="BX216" s="3"/>
      <c r="BY216" s="3"/>
      <c r="BZ216" s="40"/>
      <c r="CA216" s="209"/>
      <c r="CB216" s="3"/>
      <c r="CC216" s="3"/>
      <c r="CD216" s="3"/>
      <c r="CE216" s="209"/>
      <c r="CF216" s="3"/>
      <c r="CG216" s="3"/>
      <c r="CH216" s="40"/>
      <c r="CI216" s="209"/>
      <c r="CJ216" s="3"/>
      <c r="CK216" s="3"/>
      <c r="CL216" s="209"/>
      <c r="CM216" s="3"/>
      <c r="CN216" s="3"/>
      <c r="CO216" s="3"/>
      <c r="CP216" s="40"/>
      <c r="CQ216" s="209"/>
      <c r="CR216" s="40"/>
      <c r="CS216" s="3"/>
      <c r="CT216" s="3"/>
    </row>
    <row r="217" spans="1:98">
      <c r="A217" s="42" t="s">
        <v>326</v>
      </c>
      <c r="B217" s="173" t="s">
        <v>128</v>
      </c>
      <c r="C217" s="12"/>
      <c r="D217" s="14" t="s">
        <v>395</v>
      </c>
      <c r="E217" s="12"/>
      <c r="F217" s="12">
        <v>11</v>
      </c>
      <c r="G217" s="14">
        <v>1</v>
      </c>
      <c r="H217" s="163">
        <v>0</v>
      </c>
      <c r="I217" s="163">
        <v>1</v>
      </c>
      <c r="J217" s="12">
        <v>101</v>
      </c>
      <c r="K217" s="14">
        <v>144</v>
      </c>
      <c r="L217" s="26">
        <v>384</v>
      </c>
      <c r="M217" s="14">
        <v>103</v>
      </c>
      <c r="N217" s="163">
        <v>457</v>
      </c>
      <c r="O217" s="14">
        <v>0</v>
      </c>
      <c r="P217" s="26">
        <v>0</v>
      </c>
      <c r="Q217" s="12">
        <v>1006</v>
      </c>
      <c r="R217" s="209">
        <v>1.4643377001455604</v>
      </c>
      <c r="S217" s="14">
        <v>1</v>
      </c>
      <c r="T217" s="163">
        <v>1</v>
      </c>
      <c r="U217" s="163">
        <v>0</v>
      </c>
      <c r="V217" s="26">
        <v>0</v>
      </c>
      <c r="W217" s="14">
        <v>1100</v>
      </c>
      <c r="X217" s="14">
        <v>1</v>
      </c>
      <c r="Y217" s="163">
        <v>0</v>
      </c>
      <c r="Z217" s="163">
        <v>0</v>
      </c>
      <c r="AA217" s="26">
        <v>0</v>
      </c>
      <c r="AB217" s="12">
        <v>1000</v>
      </c>
      <c r="AC217" s="14">
        <v>1</v>
      </c>
      <c r="AD217" s="14">
        <v>0</v>
      </c>
      <c r="AE217" s="163">
        <v>0</v>
      </c>
      <c r="AF217" s="163">
        <v>1</v>
      </c>
      <c r="AG217" s="26">
        <v>0</v>
      </c>
      <c r="AH217" s="14">
        <v>10</v>
      </c>
      <c r="AI217" s="14">
        <v>0</v>
      </c>
      <c r="AJ217" s="163">
        <v>0</v>
      </c>
      <c r="AK217" s="163">
        <v>0</v>
      </c>
      <c r="AL217" s="26">
        <v>0</v>
      </c>
      <c r="AM217" s="12">
        <v>0</v>
      </c>
      <c r="AN217" s="14">
        <v>0</v>
      </c>
      <c r="AO217" s="163">
        <v>0</v>
      </c>
      <c r="AP217" s="163">
        <v>0</v>
      </c>
      <c r="AQ217" s="163">
        <v>0</v>
      </c>
      <c r="AR217" s="163">
        <v>0</v>
      </c>
      <c r="AS217" s="14">
        <v>0</v>
      </c>
      <c r="AT217" s="163">
        <v>0</v>
      </c>
      <c r="AU217" s="163">
        <v>1</v>
      </c>
      <c r="AV217" s="163">
        <v>0</v>
      </c>
      <c r="AW217" s="26">
        <v>0</v>
      </c>
      <c r="AX217" s="14">
        <v>1</v>
      </c>
      <c r="AY217" s="14">
        <v>0</v>
      </c>
      <c r="AZ217" s="163">
        <v>0</v>
      </c>
      <c r="BA217" s="163">
        <v>1</v>
      </c>
      <c r="BB217" s="26">
        <v>0</v>
      </c>
      <c r="BC217" s="12">
        <v>1</v>
      </c>
      <c r="BD217" s="23">
        <v>0</v>
      </c>
      <c r="BE217" s="24">
        <v>0</v>
      </c>
      <c r="BF217" s="24">
        <v>0</v>
      </c>
      <c r="BG217" s="24">
        <v>0</v>
      </c>
      <c r="BH217" s="24">
        <v>0</v>
      </c>
      <c r="BI217" s="14">
        <v>0</v>
      </c>
      <c r="BJ217" s="163">
        <v>1</v>
      </c>
      <c r="BK217" s="26">
        <v>0</v>
      </c>
      <c r="BL217" s="14">
        <v>0</v>
      </c>
      <c r="BM217" s="163">
        <v>1</v>
      </c>
      <c r="BN217" s="26">
        <v>0</v>
      </c>
      <c r="BO217" s="14">
        <v>1</v>
      </c>
      <c r="BP217" s="12">
        <v>135</v>
      </c>
      <c r="BQ217" s="163">
        <v>2</v>
      </c>
      <c r="BR217" s="14">
        <v>0</v>
      </c>
      <c r="BS217" s="163">
        <v>0</v>
      </c>
      <c r="BT217" s="163">
        <v>0</v>
      </c>
      <c r="BU217" s="26">
        <v>0</v>
      </c>
      <c r="BV217" s="14">
        <v>0</v>
      </c>
      <c r="BW217" s="209"/>
      <c r="BX217" s="3"/>
      <c r="BY217" s="3"/>
      <c r="BZ217" s="40"/>
      <c r="CA217" s="209"/>
      <c r="CB217" s="3"/>
      <c r="CC217" s="3"/>
      <c r="CD217" s="3"/>
      <c r="CE217" s="209"/>
      <c r="CF217" s="3"/>
      <c r="CG217" s="3"/>
      <c r="CH217" s="40"/>
      <c r="CI217" s="209"/>
      <c r="CJ217" s="3"/>
      <c r="CK217" s="3"/>
      <c r="CL217" s="209"/>
      <c r="CM217" s="3"/>
      <c r="CN217" s="3"/>
      <c r="CO217" s="3"/>
      <c r="CP217" s="40"/>
      <c r="CQ217" s="209"/>
      <c r="CR217" s="40"/>
      <c r="CS217" s="3"/>
      <c r="CT217" s="3"/>
    </row>
    <row r="218" spans="1:98" ht="17" thickBot="1">
      <c r="A218" s="55" t="s">
        <v>326</v>
      </c>
      <c r="B218" s="47" t="s">
        <v>128</v>
      </c>
      <c r="C218" s="33"/>
      <c r="D218" s="34" t="s">
        <v>190</v>
      </c>
      <c r="E218" s="33"/>
      <c r="F218" s="33">
        <v>29</v>
      </c>
      <c r="G218" s="34">
        <v>1</v>
      </c>
      <c r="H218" s="36">
        <v>0</v>
      </c>
      <c r="I218" s="36">
        <v>1</v>
      </c>
      <c r="J218" s="33">
        <v>101</v>
      </c>
      <c r="K218" s="34">
        <v>79</v>
      </c>
      <c r="L218" s="35">
        <v>232</v>
      </c>
      <c r="M218" s="34">
        <v>149</v>
      </c>
      <c r="N218" s="36">
        <v>272</v>
      </c>
      <c r="O218" s="34">
        <v>0</v>
      </c>
      <c r="P218" s="35">
        <v>0</v>
      </c>
      <c r="Q218" s="33">
        <v>683</v>
      </c>
      <c r="R218" s="210">
        <v>1.1878260869565218</v>
      </c>
      <c r="S218" s="34">
        <v>1</v>
      </c>
      <c r="T218" s="36">
        <v>1</v>
      </c>
      <c r="U218" s="36">
        <v>0</v>
      </c>
      <c r="V218" s="35">
        <v>0</v>
      </c>
      <c r="W218" s="34">
        <v>1100</v>
      </c>
      <c r="X218" s="34">
        <v>1</v>
      </c>
      <c r="Y218" s="36">
        <v>1</v>
      </c>
      <c r="Z218" s="36">
        <v>0</v>
      </c>
      <c r="AA218" s="35">
        <v>0</v>
      </c>
      <c r="AB218" s="33">
        <v>1100</v>
      </c>
      <c r="AC218" s="34">
        <v>0</v>
      </c>
      <c r="AD218" s="34">
        <v>0</v>
      </c>
      <c r="AE218" s="36">
        <v>1</v>
      </c>
      <c r="AF218" s="36">
        <v>0</v>
      </c>
      <c r="AG218" s="35">
        <v>0</v>
      </c>
      <c r="AH218" s="34">
        <v>100</v>
      </c>
      <c r="AI218" s="34">
        <v>0</v>
      </c>
      <c r="AJ218" s="36">
        <v>0</v>
      </c>
      <c r="AK218" s="36">
        <v>0</v>
      </c>
      <c r="AL218" s="35">
        <v>0</v>
      </c>
      <c r="AM218" s="33">
        <v>0</v>
      </c>
      <c r="AN218" s="34">
        <v>0</v>
      </c>
      <c r="AO218" s="36">
        <v>0</v>
      </c>
      <c r="AP218" s="36">
        <v>0</v>
      </c>
      <c r="AQ218" s="36">
        <v>0</v>
      </c>
      <c r="AR218" s="36">
        <v>0</v>
      </c>
      <c r="AS218" s="34">
        <v>0</v>
      </c>
      <c r="AT218" s="36">
        <v>0</v>
      </c>
      <c r="AU218" s="36">
        <v>1</v>
      </c>
      <c r="AV218" s="36">
        <v>0</v>
      </c>
      <c r="AW218" s="35">
        <v>0</v>
      </c>
      <c r="AX218" s="34">
        <v>1</v>
      </c>
      <c r="AY218" s="34">
        <v>0</v>
      </c>
      <c r="AZ218" s="36">
        <v>0</v>
      </c>
      <c r="BA218" s="36">
        <v>1</v>
      </c>
      <c r="BB218" s="35">
        <v>0</v>
      </c>
      <c r="BC218" s="33">
        <v>1</v>
      </c>
      <c r="BD218" s="105">
        <v>0</v>
      </c>
      <c r="BE218" s="103">
        <v>0</v>
      </c>
      <c r="BF218" s="103">
        <v>0</v>
      </c>
      <c r="BG218" s="103">
        <v>0</v>
      </c>
      <c r="BH218" s="103">
        <v>0</v>
      </c>
      <c r="BI218" s="34">
        <v>1</v>
      </c>
      <c r="BJ218" s="36">
        <v>0</v>
      </c>
      <c r="BK218" s="35">
        <v>0</v>
      </c>
      <c r="BL218" s="34">
        <v>0</v>
      </c>
      <c r="BM218" s="36">
        <v>0</v>
      </c>
      <c r="BN218" s="35">
        <v>0</v>
      </c>
      <c r="BO218" s="34">
        <v>1</v>
      </c>
      <c r="BP218" s="33">
        <v>107</v>
      </c>
      <c r="BQ218" s="36">
        <v>1</v>
      </c>
      <c r="BR218" s="34">
        <v>0</v>
      </c>
      <c r="BS218" s="36">
        <v>0</v>
      </c>
      <c r="BT218" s="36">
        <v>0</v>
      </c>
      <c r="BU218" s="35">
        <v>1</v>
      </c>
      <c r="BV218" s="34">
        <v>1</v>
      </c>
      <c r="BW218" s="210"/>
      <c r="BX218" s="51"/>
      <c r="BY218" s="51"/>
      <c r="BZ218" s="48"/>
      <c r="CA218" s="210"/>
      <c r="CB218" s="51"/>
      <c r="CC218" s="51"/>
      <c r="CD218" s="51"/>
      <c r="CE218" s="210"/>
      <c r="CF218" s="51"/>
      <c r="CG218" s="51"/>
      <c r="CH218" s="48"/>
      <c r="CI218" s="210"/>
      <c r="CJ218" s="51"/>
      <c r="CK218" s="51"/>
      <c r="CL218" s="210"/>
      <c r="CM218" s="51"/>
      <c r="CN218" s="51"/>
      <c r="CO218" s="51"/>
      <c r="CP218" s="48"/>
      <c r="CQ218" s="210"/>
      <c r="CR218" s="48"/>
      <c r="CS218" s="3"/>
      <c r="CT218" s="3"/>
    </row>
    <row r="219" spans="1:98">
      <c r="A219" s="87" t="s">
        <v>326</v>
      </c>
      <c r="B219" s="7" t="s">
        <v>133</v>
      </c>
      <c r="C219" s="9"/>
      <c r="D219" s="11" t="s">
        <v>189</v>
      </c>
      <c r="E219" s="9"/>
      <c r="F219" s="9">
        <v>22</v>
      </c>
      <c r="G219" s="11">
        <v>1</v>
      </c>
      <c r="H219" s="8">
        <v>0</v>
      </c>
      <c r="I219" s="8">
        <v>1</v>
      </c>
      <c r="J219" s="9">
        <v>101</v>
      </c>
      <c r="K219" s="11">
        <v>42</v>
      </c>
      <c r="L219" s="41">
        <v>133</v>
      </c>
      <c r="M219" s="11">
        <v>40</v>
      </c>
      <c r="N219" s="8">
        <v>290</v>
      </c>
      <c r="O219" s="11">
        <v>0</v>
      </c>
      <c r="P219" s="41">
        <v>0</v>
      </c>
      <c r="Q219" s="9">
        <v>566</v>
      </c>
      <c r="R219" s="208">
        <v>1.1791666666666667</v>
      </c>
      <c r="S219" s="11">
        <v>1</v>
      </c>
      <c r="T219" s="8">
        <v>1</v>
      </c>
      <c r="U219" s="8">
        <v>0</v>
      </c>
      <c r="V219" s="41">
        <v>1</v>
      </c>
      <c r="W219" s="11">
        <v>1101</v>
      </c>
      <c r="X219" s="11">
        <v>1</v>
      </c>
      <c r="Y219" s="8">
        <v>0</v>
      </c>
      <c r="Z219" s="8">
        <v>0</v>
      </c>
      <c r="AA219" s="41">
        <v>0</v>
      </c>
      <c r="AB219" s="9">
        <v>1000</v>
      </c>
      <c r="AC219" s="11">
        <v>0</v>
      </c>
      <c r="AD219" s="11">
        <v>0</v>
      </c>
      <c r="AE219" s="8">
        <v>1</v>
      </c>
      <c r="AF219" s="8">
        <v>1</v>
      </c>
      <c r="AG219" s="41">
        <v>0</v>
      </c>
      <c r="AH219" s="11">
        <v>110</v>
      </c>
      <c r="AI219" s="11">
        <v>0</v>
      </c>
      <c r="AJ219" s="8">
        <v>0</v>
      </c>
      <c r="AK219" s="8">
        <v>0</v>
      </c>
      <c r="AL219" s="41">
        <v>0</v>
      </c>
      <c r="AM219" s="9">
        <v>0</v>
      </c>
      <c r="AN219" s="11">
        <v>0</v>
      </c>
      <c r="AO219" s="8">
        <v>0</v>
      </c>
      <c r="AP219" s="8">
        <v>0</v>
      </c>
      <c r="AQ219" s="8">
        <v>0</v>
      </c>
      <c r="AR219" s="8">
        <v>1</v>
      </c>
      <c r="AS219" s="11">
        <v>0</v>
      </c>
      <c r="AT219" s="8">
        <v>0</v>
      </c>
      <c r="AU219" s="8">
        <v>1</v>
      </c>
      <c r="AV219" s="8">
        <v>0</v>
      </c>
      <c r="AW219" s="41">
        <v>0</v>
      </c>
      <c r="AX219" s="11">
        <v>1</v>
      </c>
      <c r="AY219" s="11">
        <v>0</v>
      </c>
      <c r="AZ219" s="8">
        <v>0</v>
      </c>
      <c r="BA219" s="8">
        <v>1</v>
      </c>
      <c r="BB219" s="41">
        <v>0</v>
      </c>
      <c r="BC219" s="9">
        <v>1</v>
      </c>
      <c r="BD219" s="102">
        <v>0</v>
      </c>
      <c r="BE219" s="100">
        <v>0</v>
      </c>
      <c r="BF219" s="100">
        <v>0</v>
      </c>
      <c r="BG219" s="100">
        <v>0</v>
      </c>
      <c r="BH219" s="100">
        <v>0</v>
      </c>
      <c r="BI219" s="11">
        <v>1</v>
      </c>
      <c r="BJ219" s="8">
        <v>1</v>
      </c>
      <c r="BK219" s="41">
        <v>0</v>
      </c>
      <c r="BL219" s="11">
        <v>0</v>
      </c>
      <c r="BM219" s="8">
        <v>0</v>
      </c>
      <c r="BN219" s="41">
        <v>0</v>
      </c>
      <c r="BO219" s="11">
        <v>1</v>
      </c>
      <c r="BP219" s="9">
        <v>75</v>
      </c>
      <c r="BQ219" s="8">
        <v>2</v>
      </c>
      <c r="BR219" s="11">
        <v>0</v>
      </c>
      <c r="BS219" s="8">
        <v>0</v>
      </c>
      <c r="BT219" s="8">
        <v>0</v>
      </c>
      <c r="BU219" s="41">
        <v>0</v>
      </c>
      <c r="BV219" s="11">
        <v>0</v>
      </c>
      <c r="BW219" s="208"/>
      <c r="BX219" s="54"/>
      <c r="BY219" s="54"/>
      <c r="BZ219" s="10"/>
      <c r="CA219" s="208"/>
      <c r="CB219" s="54"/>
      <c r="CC219" s="54"/>
      <c r="CD219" s="54"/>
      <c r="CE219" s="208"/>
      <c r="CF219" s="54"/>
      <c r="CG219" s="54"/>
      <c r="CH219" s="10"/>
      <c r="CI219" s="208"/>
      <c r="CJ219" s="54"/>
      <c r="CK219" s="54"/>
      <c r="CL219" s="208"/>
      <c r="CM219" s="54"/>
      <c r="CN219" s="54"/>
      <c r="CO219" s="54"/>
      <c r="CP219" s="10"/>
      <c r="CQ219" s="208"/>
      <c r="CR219" s="10"/>
      <c r="CS219" s="3"/>
      <c r="CT219" s="3"/>
    </row>
    <row r="220" spans="1:98">
      <c r="A220" s="42" t="s">
        <v>326</v>
      </c>
      <c r="B220" s="173" t="s">
        <v>133</v>
      </c>
      <c r="C220" s="12"/>
      <c r="D220" s="14" t="s">
        <v>381</v>
      </c>
      <c r="E220" s="12"/>
      <c r="F220" s="12">
        <v>16</v>
      </c>
      <c r="G220" s="14">
        <v>1</v>
      </c>
      <c r="H220" s="163">
        <v>0</v>
      </c>
      <c r="I220" s="163">
        <v>1</v>
      </c>
      <c r="J220" s="12">
        <v>101</v>
      </c>
      <c r="K220" s="14">
        <v>245</v>
      </c>
      <c r="L220" s="26">
        <v>1096</v>
      </c>
      <c r="M220" s="14">
        <v>80</v>
      </c>
      <c r="N220" s="163">
        <v>338</v>
      </c>
      <c r="O220" s="14">
        <v>0</v>
      </c>
      <c r="P220" s="26">
        <v>0</v>
      </c>
      <c r="Q220" s="12">
        <v>1750</v>
      </c>
      <c r="R220" s="209">
        <v>3.2710280373831777</v>
      </c>
      <c r="S220" s="14">
        <v>1</v>
      </c>
      <c r="T220" s="163">
        <v>1</v>
      </c>
      <c r="U220" s="163">
        <v>0</v>
      </c>
      <c r="V220" s="26">
        <v>0</v>
      </c>
      <c r="W220" s="14">
        <v>1100</v>
      </c>
      <c r="X220" s="14">
        <v>0</v>
      </c>
      <c r="Y220" s="163">
        <v>1</v>
      </c>
      <c r="Z220" s="163">
        <v>1</v>
      </c>
      <c r="AA220" s="26">
        <v>0</v>
      </c>
      <c r="AB220" s="12">
        <v>110</v>
      </c>
      <c r="AC220" s="14">
        <v>0</v>
      </c>
      <c r="AD220" s="14">
        <v>0</v>
      </c>
      <c r="AE220" s="163">
        <v>1</v>
      </c>
      <c r="AF220" s="163">
        <v>0</v>
      </c>
      <c r="AG220" s="26">
        <v>0</v>
      </c>
      <c r="AH220" s="14">
        <v>100</v>
      </c>
      <c r="AI220" s="14">
        <v>0</v>
      </c>
      <c r="AJ220" s="163">
        <v>0</v>
      </c>
      <c r="AK220" s="163">
        <v>0</v>
      </c>
      <c r="AL220" s="26">
        <v>0</v>
      </c>
      <c r="AM220" s="12">
        <v>0</v>
      </c>
      <c r="AN220" s="14">
        <v>0</v>
      </c>
      <c r="AO220" s="163">
        <v>0</v>
      </c>
      <c r="AP220" s="163">
        <v>0</v>
      </c>
      <c r="AQ220" s="163">
        <v>0</v>
      </c>
      <c r="AR220" s="163">
        <v>0</v>
      </c>
      <c r="AS220" s="14">
        <v>0</v>
      </c>
      <c r="AT220" s="163">
        <v>0</v>
      </c>
      <c r="AU220" s="163">
        <v>1</v>
      </c>
      <c r="AV220" s="163">
        <v>0</v>
      </c>
      <c r="AW220" s="26">
        <v>0</v>
      </c>
      <c r="AX220" s="14">
        <v>1</v>
      </c>
      <c r="AY220" s="14">
        <v>0</v>
      </c>
      <c r="AZ220" s="163">
        <v>0</v>
      </c>
      <c r="BA220" s="163">
        <v>0</v>
      </c>
      <c r="BB220" s="26">
        <v>1</v>
      </c>
      <c r="BC220" s="12">
        <v>1</v>
      </c>
      <c r="BD220" s="23">
        <v>0</v>
      </c>
      <c r="BE220" s="24">
        <v>0</v>
      </c>
      <c r="BF220" s="24">
        <v>0</v>
      </c>
      <c r="BG220" s="24">
        <v>0</v>
      </c>
      <c r="BH220" s="24">
        <v>0</v>
      </c>
      <c r="BI220" s="14">
        <v>1</v>
      </c>
      <c r="BJ220" s="163">
        <v>0</v>
      </c>
      <c r="BK220" s="26">
        <v>0</v>
      </c>
      <c r="BL220" s="14">
        <v>0</v>
      </c>
      <c r="BM220" s="163">
        <v>0</v>
      </c>
      <c r="BN220" s="26">
        <v>0</v>
      </c>
      <c r="BO220" s="14">
        <v>1</v>
      </c>
      <c r="BP220" s="12">
        <v>123</v>
      </c>
      <c r="BQ220" s="163">
        <v>1</v>
      </c>
      <c r="BR220" s="14">
        <v>0</v>
      </c>
      <c r="BS220" s="163">
        <v>0</v>
      </c>
      <c r="BT220" s="163">
        <v>0</v>
      </c>
      <c r="BU220" s="26">
        <v>0</v>
      </c>
      <c r="BV220" s="14">
        <v>0</v>
      </c>
      <c r="BW220" s="209"/>
      <c r="BX220" s="3"/>
      <c r="BY220" s="3"/>
      <c r="BZ220" s="40"/>
      <c r="CA220" s="209"/>
      <c r="CB220" s="3"/>
      <c r="CC220" s="3"/>
      <c r="CD220" s="3"/>
      <c r="CE220" s="209"/>
      <c r="CF220" s="3"/>
      <c r="CG220" s="3"/>
      <c r="CH220" s="40"/>
      <c r="CI220" s="209"/>
      <c r="CJ220" s="3"/>
      <c r="CK220" s="3"/>
      <c r="CL220" s="209"/>
      <c r="CM220" s="3"/>
      <c r="CN220" s="3"/>
      <c r="CO220" s="3"/>
      <c r="CP220" s="40"/>
      <c r="CQ220" s="209"/>
      <c r="CR220" s="40"/>
      <c r="CS220" s="3"/>
      <c r="CT220" s="3"/>
    </row>
    <row r="221" spans="1:98">
      <c r="A221" s="42" t="s">
        <v>326</v>
      </c>
      <c r="B221" s="173" t="s">
        <v>133</v>
      </c>
      <c r="C221" s="12"/>
      <c r="D221" s="14" t="s">
        <v>131</v>
      </c>
      <c r="E221" s="12"/>
      <c r="F221" s="12">
        <v>9</v>
      </c>
      <c r="G221" s="14">
        <v>1</v>
      </c>
      <c r="H221" s="163">
        <v>0</v>
      </c>
      <c r="I221" s="163">
        <v>1</v>
      </c>
      <c r="J221" s="12">
        <v>101</v>
      </c>
      <c r="K221" s="14">
        <v>117</v>
      </c>
      <c r="L221" s="26">
        <v>834</v>
      </c>
      <c r="M221" s="14">
        <v>63</v>
      </c>
      <c r="N221" s="163">
        <v>109</v>
      </c>
      <c r="O221" s="14">
        <v>0</v>
      </c>
      <c r="P221" s="26">
        <v>0</v>
      </c>
      <c r="Q221" s="12">
        <v>836</v>
      </c>
      <c r="R221" s="209">
        <v>3.062271062271062</v>
      </c>
      <c r="S221" s="14">
        <v>1</v>
      </c>
      <c r="T221" s="163">
        <v>1</v>
      </c>
      <c r="U221" s="163">
        <v>0</v>
      </c>
      <c r="V221" s="26">
        <v>0</v>
      </c>
      <c r="W221" s="14">
        <v>1100</v>
      </c>
      <c r="X221" s="14">
        <v>0</v>
      </c>
      <c r="Y221" s="163">
        <v>1</v>
      </c>
      <c r="Z221" s="163">
        <v>1</v>
      </c>
      <c r="AA221" s="26">
        <v>0</v>
      </c>
      <c r="AB221" s="12">
        <v>110</v>
      </c>
      <c r="AC221" s="14">
        <v>0</v>
      </c>
      <c r="AD221" s="14">
        <v>0</v>
      </c>
      <c r="AE221" s="163">
        <v>1</v>
      </c>
      <c r="AF221" s="163">
        <v>1</v>
      </c>
      <c r="AG221" s="26">
        <v>0</v>
      </c>
      <c r="AH221" s="14">
        <v>110</v>
      </c>
      <c r="AI221" s="14">
        <v>0</v>
      </c>
      <c r="AJ221" s="163">
        <v>0</v>
      </c>
      <c r="AK221" s="163">
        <v>0</v>
      </c>
      <c r="AL221" s="26">
        <v>0</v>
      </c>
      <c r="AM221" s="12">
        <v>0</v>
      </c>
      <c r="AN221" s="14">
        <v>0</v>
      </c>
      <c r="AO221" s="163">
        <v>0</v>
      </c>
      <c r="AP221" s="163">
        <v>0</v>
      </c>
      <c r="AQ221" s="163">
        <v>0</v>
      </c>
      <c r="AR221" s="163">
        <v>0</v>
      </c>
      <c r="AS221" s="14">
        <v>0</v>
      </c>
      <c r="AT221" s="163">
        <v>0</v>
      </c>
      <c r="AU221" s="163">
        <v>1</v>
      </c>
      <c r="AV221" s="163">
        <v>0</v>
      </c>
      <c r="AW221" s="26">
        <v>0</v>
      </c>
      <c r="AX221" s="14">
        <v>1</v>
      </c>
      <c r="AY221" s="14">
        <v>0</v>
      </c>
      <c r="AZ221" s="163">
        <v>0</v>
      </c>
      <c r="BA221" s="163">
        <v>0</v>
      </c>
      <c r="BB221" s="26">
        <v>1</v>
      </c>
      <c r="BC221" s="12">
        <v>1</v>
      </c>
      <c r="BD221" s="23">
        <v>0</v>
      </c>
      <c r="BE221" s="24">
        <v>0</v>
      </c>
      <c r="BF221" s="24">
        <v>0</v>
      </c>
      <c r="BG221" s="24">
        <v>0</v>
      </c>
      <c r="BH221" s="24">
        <v>0</v>
      </c>
      <c r="BI221" s="14">
        <v>1</v>
      </c>
      <c r="BJ221" s="163">
        <v>0</v>
      </c>
      <c r="BK221" s="26">
        <v>0</v>
      </c>
      <c r="BL221" s="14">
        <v>0</v>
      </c>
      <c r="BM221" s="163">
        <v>0</v>
      </c>
      <c r="BN221" s="26">
        <v>0</v>
      </c>
      <c r="BO221" s="14">
        <v>0</v>
      </c>
      <c r="BP221" s="12">
        <v>111</v>
      </c>
      <c r="BQ221" s="163">
        <v>1</v>
      </c>
      <c r="BR221" s="14">
        <v>0</v>
      </c>
      <c r="BS221" s="163">
        <v>0</v>
      </c>
      <c r="BT221" s="163">
        <v>0</v>
      </c>
      <c r="BU221" s="26">
        <v>0</v>
      </c>
      <c r="BV221" s="14">
        <v>0</v>
      </c>
      <c r="BW221" s="209"/>
      <c r="BX221" s="3"/>
      <c r="BY221" s="3"/>
      <c r="BZ221" s="40"/>
      <c r="CA221" s="209"/>
      <c r="CB221" s="3"/>
      <c r="CC221" s="3"/>
      <c r="CD221" s="3"/>
      <c r="CE221" s="209"/>
      <c r="CF221" s="3"/>
      <c r="CG221" s="3"/>
      <c r="CH221" s="40"/>
      <c r="CI221" s="209"/>
      <c r="CJ221" s="3"/>
      <c r="CK221" s="3"/>
      <c r="CL221" s="209"/>
      <c r="CM221" s="3"/>
      <c r="CN221" s="3"/>
      <c r="CO221" s="3"/>
      <c r="CP221" s="40"/>
      <c r="CQ221" s="209"/>
      <c r="CR221" s="40"/>
      <c r="CS221" s="3"/>
      <c r="CT221" s="3"/>
    </row>
    <row r="222" spans="1:98">
      <c r="A222" s="42" t="s">
        <v>326</v>
      </c>
      <c r="B222" s="173" t="s">
        <v>133</v>
      </c>
      <c r="C222" s="12"/>
      <c r="D222" s="14" t="s">
        <v>210</v>
      </c>
      <c r="E222" s="12"/>
      <c r="F222" s="12">
        <v>12</v>
      </c>
      <c r="G222" s="14">
        <v>1</v>
      </c>
      <c r="H222" s="163">
        <v>0</v>
      </c>
      <c r="I222" s="163">
        <v>1</v>
      </c>
      <c r="J222" s="12">
        <v>101</v>
      </c>
      <c r="K222" s="14">
        <v>156</v>
      </c>
      <c r="L222" s="26">
        <v>465</v>
      </c>
      <c r="M222" s="14">
        <v>57</v>
      </c>
      <c r="N222" s="163">
        <v>237</v>
      </c>
      <c r="O222" s="14">
        <v>0</v>
      </c>
      <c r="P222" s="26">
        <v>0</v>
      </c>
      <c r="Q222" s="12">
        <v>576</v>
      </c>
      <c r="R222" s="209">
        <v>1.0249110320284698</v>
      </c>
      <c r="S222" s="14">
        <v>1</v>
      </c>
      <c r="T222" s="163">
        <v>1</v>
      </c>
      <c r="U222" s="163">
        <v>0</v>
      </c>
      <c r="V222" s="26">
        <v>0</v>
      </c>
      <c r="W222" s="14">
        <v>1100</v>
      </c>
      <c r="X222" s="14">
        <v>0</v>
      </c>
      <c r="Y222" s="163">
        <v>1</v>
      </c>
      <c r="Z222" s="163">
        <v>1</v>
      </c>
      <c r="AA222" s="26">
        <v>0</v>
      </c>
      <c r="AB222" s="12">
        <v>110</v>
      </c>
      <c r="AC222" s="14">
        <v>0</v>
      </c>
      <c r="AD222" s="14">
        <v>0</v>
      </c>
      <c r="AE222" s="163">
        <v>1</v>
      </c>
      <c r="AF222" s="163">
        <v>1</v>
      </c>
      <c r="AG222" s="26">
        <v>0</v>
      </c>
      <c r="AH222" s="14">
        <v>110</v>
      </c>
      <c r="AI222" s="14">
        <v>0</v>
      </c>
      <c r="AJ222" s="163">
        <v>0</v>
      </c>
      <c r="AK222" s="163">
        <v>0</v>
      </c>
      <c r="AL222" s="26">
        <v>0</v>
      </c>
      <c r="AM222" s="12">
        <v>0</v>
      </c>
      <c r="AN222" s="14">
        <v>0</v>
      </c>
      <c r="AO222" s="163">
        <v>0</v>
      </c>
      <c r="AP222" s="163">
        <v>0</v>
      </c>
      <c r="AQ222" s="163">
        <v>0</v>
      </c>
      <c r="AR222" s="163">
        <v>0</v>
      </c>
      <c r="AS222" s="14">
        <v>1</v>
      </c>
      <c r="AT222" s="163">
        <v>0</v>
      </c>
      <c r="AU222" s="163">
        <v>0</v>
      </c>
      <c r="AV222" s="163">
        <v>0</v>
      </c>
      <c r="AW222" s="26">
        <v>0</v>
      </c>
      <c r="AX222" s="14">
        <v>1</v>
      </c>
      <c r="AY222" s="14">
        <v>0</v>
      </c>
      <c r="AZ222" s="163">
        <v>0</v>
      </c>
      <c r="BA222" s="163">
        <v>0</v>
      </c>
      <c r="BB222" s="26">
        <v>0</v>
      </c>
      <c r="BC222" s="12">
        <v>0</v>
      </c>
      <c r="BD222" s="23">
        <v>0</v>
      </c>
      <c r="BE222" s="24">
        <v>0</v>
      </c>
      <c r="BF222" s="24">
        <v>0</v>
      </c>
      <c r="BG222" s="24">
        <v>0</v>
      </c>
      <c r="BH222" s="24">
        <v>0</v>
      </c>
      <c r="BI222" s="14">
        <v>1</v>
      </c>
      <c r="BJ222" s="163">
        <v>1</v>
      </c>
      <c r="BK222" s="26">
        <v>0</v>
      </c>
      <c r="BL222" s="14">
        <v>0</v>
      </c>
      <c r="BM222" s="163">
        <v>1</v>
      </c>
      <c r="BN222" s="26">
        <v>0</v>
      </c>
      <c r="BO222" s="14">
        <v>1</v>
      </c>
      <c r="BP222" s="12">
        <v>106</v>
      </c>
      <c r="BQ222" s="163">
        <v>1</v>
      </c>
      <c r="BR222" s="14">
        <v>0</v>
      </c>
      <c r="BS222" s="163">
        <v>0</v>
      </c>
      <c r="BT222" s="163">
        <v>0</v>
      </c>
      <c r="BU222" s="26">
        <v>0</v>
      </c>
      <c r="BV222" s="14">
        <v>0</v>
      </c>
      <c r="BW222" s="209"/>
      <c r="BX222" s="3"/>
      <c r="BY222" s="3"/>
      <c r="BZ222" s="40"/>
      <c r="CA222" s="209"/>
      <c r="CB222" s="3"/>
      <c r="CC222" s="3"/>
      <c r="CD222" s="3"/>
      <c r="CE222" s="209"/>
      <c r="CF222" s="3"/>
      <c r="CG222" s="3"/>
      <c r="CH222" s="40"/>
      <c r="CI222" s="209"/>
      <c r="CJ222" s="3"/>
      <c r="CK222" s="3"/>
      <c r="CL222" s="209"/>
      <c r="CM222" s="3"/>
      <c r="CN222" s="3"/>
      <c r="CO222" s="3"/>
      <c r="CP222" s="40"/>
      <c r="CQ222" s="209"/>
      <c r="CR222" s="40"/>
      <c r="CS222" s="3"/>
      <c r="CT222" s="3"/>
    </row>
    <row r="223" spans="1:98">
      <c r="A223" s="42" t="s">
        <v>326</v>
      </c>
      <c r="B223" s="173" t="s">
        <v>133</v>
      </c>
      <c r="C223" s="12"/>
      <c r="D223" s="14" t="s">
        <v>211</v>
      </c>
      <c r="E223" s="12"/>
      <c r="F223" s="12">
        <v>13</v>
      </c>
      <c r="G223" s="14">
        <v>0</v>
      </c>
      <c r="H223" s="163">
        <v>1</v>
      </c>
      <c r="I223" s="163">
        <v>1</v>
      </c>
      <c r="J223" s="12">
        <v>11</v>
      </c>
      <c r="K223" s="14">
        <v>74</v>
      </c>
      <c r="L223" s="26">
        <v>758</v>
      </c>
      <c r="M223" s="14">
        <v>69</v>
      </c>
      <c r="N223" s="163">
        <v>183</v>
      </c>
      <c r="O223" s="14">
        <v>0</v>
      </c>
      <c r="P223" s="26">
        <v>0</v>
      </c>
      <c r="Q223" s="12">
        <v>960</v>
      </c>
      <c r="R223" s="209">
        <v>2.9090909090909092</v>
      </c>
      <c r="S223" s="14">
        <v>1</v>
      </c>
      <c r="T223" s="163">
        <v>1</v>
      </c>
      <c r="U223" s="163">
        <v>0</v>
      </c>
      <c r="V223" s="26">
        <v>0</v>
      </c>
      <c r="W223" s="14">
        <v>1100</v>
      </c>
      <c r="X223" s="14">
        <v>1</v>
      </c>
      <c r="Y223" s="163">
        <v>0</v>
      </c>
      <c r="Z223" s="163">
        <v>1</v>
      </c>
      <c r="AA223" s="26">
        <v>0</v>
      </c>
      <c r="AB223" s="12">
        <v>1010</v>
      </c>
      <c r="AC223" s="14">
        <v>0</v>
      </c>
      <c r="AD223" s="14">
        <v>0</v>
      </c>
      <c r="AE223" s="163">
        <v>1</v>
      </c>
      <c r="AF223" s="163">
        <v>0</v>
      </c>
      <c r="AG223" s="26">
        <v>0</v>
      </c>
      <c r="AH223" s="14">
        <v>100</v>
      </c>
      <c r="AI223" s="14">
        <v>0</v>
      </c>
      <c r="AJ223" s="163">
        <v>0</v>
      </c>
      <c r="AK223" s="163">
        <v>0</v>
      </c>
      <c r="AL223" s="26">
        <v>0</v>
      </c>
      <c r="AM223" s="12">
        <v>0</v>
      </c>
      <c r="AN223" s="14">
        <v>0</v>
      </c>
      <c r="AO223" s="163">
        <v>0</v>
      </c>
      <c r="AP223" s="163">
        <v>0</v>
      </c>
      <c r="AQ223" s="163">
        <v>0</v>
      </c>
      <c r="AR223" s="163">
        <v>0</v>
      </c>
      <c r="AS223" s="14">
        <v>1</v>
      </c>
      <c r="AT223" s="163">
        <v>0</v>
      </c>
      <c r="AU223" s="163">
        <v>0</v>
      </c>
      <c r="AV223" s="163">
        <v>0</v>
      </c>
      <c r="AW223" s="26">
        <v>0</v>
      </c>
      <c r="AX223" s="14">
        <v>1</v>
      </c>
      <c r="AY223" s="14">
        <v>1</v>
      </c>
      <c r="AZ223" s="163">
        <v>0</v>
      </c>
      <c r="BA223" s="163">
        <v>0</v>
      </c>
      <c r="BB223" s="26">
        <v>0</v>
      </c>
      <c r="BC223" s="12">
        <v>1</v>
      </c>
      <c r="BD223" s="23">
        <v>0</v>
      </c>
      <c r="BE223" s="24">
        <v>0</v>
      </c>
      <c r="BF223" s="24">
        <v>0</v>
      </c>
      <c r="BG223" s="24">
        <v>0</v>
      </c>
      <c r="BH223" s="24">
        <v>0</v>
      </c>
      <c r="BI223" s="14">
        <v>1</v>
      </c>
      <c r="BJ223" s="163">
        <v>0</v>
      </c>
      <c r="BK223" s="26">
        <v>0</v>
      </c>
      <c r="BL223" s="14">
        <v>0</v>
      </c>
      <c r="BM223" s="163">
        <v>0</v>
      </c>
      <c r="BN223" s="26">
        <v>0</v>
      </c>
      <c r="BO223" s="14">
        <v>1</v>
      </c>
      <c r="BP223" s="12">
        <v>109</v>
      </c>
      <c r="BQ223" s="163">
        <v>2</v>
      </c>
      <c r="BR223" s="14">
        <v>0</v>
      </c>
      <c r="BS223" s="163">
        <v>0</v>
      </c>
      <c r="BT223" s="163">
        <v>0</v>
      </c>
      <c r="BU223" s="26">
        <v>0</v>
      </c>
      <c r="BV223" s="14">
        <v>0</v>
      </c>
      <c r="BW223" s="209"/>
      <c r="BX223" s="3"/>
      <c r="BY223" s="3"/>
      <c r="BZ223" s="40"/>
      <c r="CA223" s="209"/>
      <c r="CB223" s="3"/>
      <c r="CC223" s="3"/>
      <c r="CD223" s="3"/>
      <c r="CE223" s="209"/>
      <c r="CF223" s="3"/>
      <c r="CG223" s="3"/>
      <c r="CH223" s="40"/>
      <c r="CI223" s="209"/>
      <c r="CJ223" s="3"/>
      <c r="CK223" s="3"/>
      <c r="CL223" s="209"/>
      <c r="CM223" s="3"/>
      <c r="CN223" s="3"/>
      <c r="CO223" s="3"/>
      <c r="CP223" s="40"/>
      <c r="CQ223" s="209"/>
      <c r="CR223" s="40"/>
      <c r="CS223" s="3"/>
      <c r="CT223" s="3"/>
    </row>
    <row r="224" spans="1:98">
      <c r="A224" s="42" t="s">
        <v>326</v>
      </c>
      <c r="B224" s="173" t="s">
        <v>133</v>
      </c>
      <c r="C224" s="12"/>
      <c r="D224" s="14" t="s">
        <v>202</v>
      </c>
      <c r="E224" s="12"/>
      <c r="F224" s="12">
        <v>16</v>
      </c>
      <c r="G224" s="14">
        <v>1</v>
      </c>
      <c r="H224" s="163">
        <v>1</v>
      </c>
      <c r="I224" s="163">
        <v>0</v>
      </c>
      <c r="J224" s="12">
        <v>110</v>
      </c>
      <c r="K224" s="14">
        <v>46</v>
      </c>
      <c r="L224" s="26">
        <v>840</v>
      </c>
      <c r="M224" s="14">
        <v>36</v>
      </c>
      <c r="N224" s="163">
        <v>109</v>
      </c>
      <c r="O224" s="14">
        <v>0</v>
      </c>
      <c r="P224" s="26">
        <v>0</v>
      </c>
      <c r="Q224" s="12">
        <v>884</v>
      </c>
      <c r="R224" s="209">
        <v>1.8189300411522633</v>
      </c>
      <c r="S224" s="14">
        <v>1</v>
      </c>
      <c r="T224" s="163">
        <v>1</v>
      </c>
      <c r="U224" s="163">
        <v>0</v>
      </c>
      <c r="V224" s="26">
        <v>0</v>
      </c>
      <c r="W224" s="14">
        <v>1100</v>
      </c>
      <c r="X224" s="14">
        <v>1</v>
      </c>
      <c r="Y224" s="163">
        <v>1</v>
      </c>
      <c r="Z224" s="163">
        <v>0</v>
      </c>
      <c r="AA224" s="26">
        <v>0</v>
      </c>
      <c r="AB224" s="12">
        <v>1100</v>
      </c>
      <c r="AC224" s="14">
        <v>0</v>
      </c>
      <c r="AD224" s="14">
        <v>0</v>
      </c>
      <c r="AE224" s="163">
        <v>0</v>
      </c>
      <c r="AF224" s="163">
        <v>1</v>
      </c>
      <c r="AG224" s="26">
        <v>0</v>
      </c>
      <c r="AH224" s="14">
        <v>10</v>
      </c>
      <c r="AI224" s="14">
        <v>0</v>
      </c>
      <c r="AJ224" s="163">
        <v>0</v>
      </c>
      <c r="AK224" s="163">
        <v>0</v>
      </c>
      <c r="AL224" s="26">
        <v>0</v>
      </c>
      <c r="AM224" s="12">
        <v>0</v>
      </c>
      <c r="AN224" s="14">
        <v>0</v>
      </c>
      <c r="AO224" s="163">
        <v>0</v>
      </c>
      <c r="AP224" s="163">
        <v>0</v>
      </c>
      <c r="AQ224" s="163">
        <v>0</v>
      </c>
      <c r="AR224" s="163">
        <v>0</v>
      </c>
      <c r="AS224" s="14">
        <v>1</v>
      </c>
      <c r="AT224" s="163">
        <v>1</v>
      </c>
      <c r="AU224" s="163">
        <v>0</v>
      </c>
      <c r="AV224" s="163">
        <v>0</v>
      </c>
      <c r="AW224" s="26">
        <v>0</v>
      </c>
      <c r="AX224" s="14">
        <v>2</v>
      </c>
      <c r="AY224" s="14">
        <v>0</v>
      </c>
      <c r="AZ224" s="163">
        <v>0</v>
      </c>
      <c r="BA224" s="163">
        <v>0</v>
      </c>
      <c r="BB224" s="26">
        <v>0</v>
      </c>
      <c r="BC224" s="12">
        <v>0</v>
      </c>
      <c r="BD224" s="23">
        <v>0</v>
      </c>
      <c r="BE224" s="24">
        <v>0</v>
      </c>
      <c r="BF224" s="24">
        <v>0</v>
      </c>
      <c r="BG224" s="24">
        <v>0</v>
      </c>
      <c r="BH224" s="24">
        <v>0</v>
      </c>
      <c r="BI224" s="14">
        <v>1</v>
      </c>
      <c r="BJ224" s="163">
        <v>1</v>
      </c>
      <c r="BK224" s="26">
        <v>0</v>
      </c>
      <c r="BL224" s="14">
        <v>0</v>
      </c>
      <c r="BM224" s="163">
        <v>0</v>
      </c>
      <c r="BN224" s="26">
        <v>0</v>
      </c>
      <c r="BO224" s="14">
        <v>1</v>
      </c>
      <c r="BP224" s="12">
        <v>125</v>
      </c>
      <c r="BQ224" s="163">
        <v>1</v>
      </c>
      <c r="BR224" s="14">
        <v>0</v>
      </c>
      <c r="BS224" s="163">
        <v>0</v>
      </c>
      <c r="BT224" s="163">
        <v>0</v>
      </c>
      <c r="BU224" s="26">
        <v>0</v>
      </c>
      <c r="BV224" s="14">
        <v>0</v>
      </c>
      <c r="BW224" s="209"/>
      <c r="BX224" s="3"/>
      <c r="BY224" s="3"/>
      <c r="BZ224" s="40"/>
      <c r="CA224" s="209"/>
      <c r="CB224" s="3"/>
      <c r="CC224" s="3"/>
      <c r="CD224" s="3"/>
      <c r="CE224" s="209"/>
      <c r="CF224" s="3"/>
      <c r="CG224" s="3"/>
      <c r="CH224" s="40"/>
      <c r="CI224" s="209"/>
      <c r="CJ224" s="3"/>
      <c r="CK224" s="3"/>
      <c r="CL224" s="209"/>
      <c r="CM224" s="3"/>
      <c r="CN224" s="3"/>
      <c r="CO224" s="3"/>
      <c r="CP224" s="40"/>
      <c r="CQ224" s="209"/>
      <c r="CR224" s="40"/>
      <c r="CS224" s="3"/>
      <c r="CT224" s="3"/>
    </row>
    <row r="225" spans="1:98">
      <c r="A225" s="42" t="s">
        <v>326</v>
      </c>
      <c r="B225" s="173" t="s">
        <v>133</v>
      </c>
      <c r="C225" s="12"/>
      <c r="D225" s="14" t="s">
        <v>397</v>
      </c>
      <c r="E225" s="12"/>
      <c r="F225" s="12">
        <v>7</v>
      </c>
      <c r="G225" s="14">
        <v>0</v>
      </c>
      <c r="H225" s="163">
        <v>0</v>
      </c>
      <c r="I225" s="163">
        <v>1</v>
      </c>
      <c r="J225" s="12">
        <v>1</v>
      </c>
      <c r="K225" s="14">
        <v>204</v>
      </c>
      <c r="L225" s="26">
        <v>399</v>
      </c>
      <c r="M225" s="14">
        <v>50</v>
      </c>
      <c r="N225" s="163">
        <v>127</v>
      </c>
      <c r="O225" s="14">
        <v>0</v>
      </c>
      <c r="P225" s="26">
        <v>0</v>
      </c>
      <c r="Q225" s="12">
        <v>673</v>
      </c>
      <c r="R225" s="209">
        <v>1.7124681933842238</v>
      </c>
      <c r="S225" s="14">
        <v>1</v>
      </c>
      <c r="T225" s="163">
        <v>1</v>
      </c>
      <c r="U225" s="163">
        <v>0</v>
      </c>
      <c r="V225" s="26">
        <v>0</v>
      </c>
      <c r="W225" s="14">
        <v>1100</v>
      </c>
      <c r="X225" s="14">
        <v>1</v>
      </c>
      <c r="Y225" s="163">
        <v>0</v>
      </c>
      <c r="Z225" s="163">
        <v>0</v>
      </c>
      <c r="AA225" s="26">
        <v>1</v>
      </c>
      <c r="AB225" s="12">
        <v>1001</v>
      </c>
      <c r="AC225" s="14">
        <v>0</v>
      </c>
      <c r="AD225" s="14">
        <v>1</v>
      </c>
      <c r="AE225" s="163">
        <v>1</v>
      </c>
      <c r="AF225" s="163">
        <v>1</v>
      </c>
      <c r="AG225" s="26">
        <v>0</v>
      </c>
      <c r="AH225" s="14">
        <v>1110</v>
      </c>
      <c r="AI225" s="14">
        <v>0</v>
      </c>
      <c r="AJ225" s="163">
        <v>0</v>
      </c>
      <c r="AK225" s="163">
        <v>0</v>
      </c>
      <c r="AL225" s="26">
        <v>0</v>
      </c>
      <c r="AM225" s="12">
        <v>0</v>
      </c>
      <c r="AN225" s="14">
        <v>0</v>
      </c>
      <c r="AO225" s="163">
        <v>0</v>
      </c>
      <c r="AP225" s="163">
        <v>0</v>
      </c>
      <c r="AQ225" s="163">
        <v>0</v>
      </c>
      <c r="AR225" s="163">
        <v>0</v>
      </c>
      <c r="AS225" s="14">
        <v>0</v>
      </c>
      <c r="AT225" s="163">
        <v>0</v>
      </c>
      <c r="AU225" s="163">
        <v>1</v>
      </c>
      <c r="AV225" s="163">
        <v>0</v>
      </c>
      <c r="AW225" s="26">
        <v>0</v>
      </c>
      <c r="AX225" s="14">
        <v>1</v>
      </c>
      <c r="AY225" s="14">
        <v>0</v>
      </c>
      <c r="AZ225" s="163">
        <v>0</v>
      </c>
      <c r="BA225" s="163">
        <v>0</v>
      </c>
      <c r="BB225" s="26">
        <v>1</v>
      </c>
      <c r="BC225" s="12">
        <v>1</v>
      </c>
      <c r="BD225" s="23">
        <v>0</v>
      </c>
      <c r="BE225" s="24">
        <v>0</v>
      </c>
      <c r="BF225" s="24">
        <v>0</v>
      </c>
      <c r="BG225" s="24">
        <v>0</v>
      </c>
      <c r="BH225" s="24">
        <v>0</v>
      </c>
      <c r="BI225" s="14">
        <v>1</v>
      </c>
      <c r="BJ225" s="163">
        <v>1</v>
      </c>
      <c r="BK225" s="26">
        <v>0</v>
      </c>
      <c r="BL225" s="14">
        <v>0</v>
      </c>
      <c r="BM225" s="163">
        <v>0</v>
      </c>
      <c r="BN225" s="26">
        <v>0</v>
      </c>
      <c r="BO225" s="14">
        <v>0</v>
      </c>
      <c r="BP225" s="12">
        <v>100</v>
      </c>
      <c r="BQ225" s="163">
        <v>2</v>
      </c>
      <c r="BR225" s="14">
        <v>0</v>
      </c>
      <c r="BS225" s="163">
        <v>0</v>
      </c>
      <c r="BT225" s="163">
        <v>0</v>
      </c>
      <c r="BU225" s="26">
        <v>0</v>
      </c>
      <c r="BV225" s="14">
        <v>0</v>
      </c>
      <c r="BW225" s="209"/>
      <c r="BX225" s="3"/>
      <c r="BY225" s="3"/>
      <c r="BZ225" s="40"/>
      <c r="CA225" s="209"/>
      <c r="CB225" s="3"/>
      <c r="CC225" s="3"/>
      <c r="CD225" s="3"/>
      <c r="CE225" s="209"/>
      <c r="CF225" s="3"/>
      <c r="CG225" s="3"/>
      <c r="CH225" s="40"/>
      <c r="CI225" s="209"/>
      <c r="CJ225" s="3"/>
      <c r="CK225" s="3"/>
      <c r="CL225" s="209"/>
      <c r="CM225" s="3"/>
      <c r="CN225" s="3"/>
      <c r="CO225" s="3"/>
      <c r="CP225" s="40"/>
      <c r="CQ225" s="209"/>
      <c r="CR225" s="40"/>
      <c r="CS225" s="3"/>
      <c r="CT225" s="3"/>
    </row>
    <row r="226" spans="1:98">
      <c r="A226" s="42" t="s">
        <v>326</v>
      </c>
      <c r="B226" s="173" t="s">
        <v>133</v>
      </c>
      <c r="C226" s="12"/>
      <c r="D226" s="14" t="s">
        <v>208</v>
      </c>
      <c r="E226" s="12"/>
      <c r="F226" s="12">
        <v>17</v>
      </c>
      <c r="G226" s="14">
        <v>1</v>
      </c>
      <c r="H226" s="163">
        <v>0</v>
      </c>
      <c r="I226" s="163">
        <v>1</v>
      </c>
      <c r="J226" s="12">
        <v>101</v>
      </c>
      <c r="K226" s="14">
        <v>45</v>
      </c>
      <c r="L226" s="26">
        <v>1282</v>
      </c>
      <c r="M226" s="14">
        <v>57</v>
      </c>
      <c r="N226" s="163">
        <v>170</v>
      </c>
      <c r="O226" s="14">
        <v>0</v>
      </c>
      <c r="P226" s="26">
        <v>0</v>
      </c>
      <c r="Q226" s="12">
        <v>1282</v>
      </c>
      <c r="R226" s="209">
        <v>2.2491228070175437</v>
      </c>
      <c r="S226" s="14">
        <v>1</v>
      </c>
      <c r="T226" s="163">
        <v>1</v>
      </c>
      <c r="U226" s="163">
        <v>0</v>
      </c>
      <c r="V226" s="26">
        <v>0</v>
      </c>
      <c r="W226" s="14">
        <v>1100</v>
      </c>
      <c r="X226" s="14">
        <v>0</v>
      </c>
      <c r="Y226" s="163">
        <v>1</v>
      </c>
      <c r="Z226" s="163">
        <v>0</v>
      </c>
      <c r="AA226" s="26">
        <v>0</v>
      </c>
      <c r="AB226" s="12">
        <v>100</v>
      </c>
      <c r="AC226" s="14">
        <v>0</v>
      </c>
      <c r="AD226" s="14">
        <v>0</v>
      </c>
      <c r="AE226" s="163">
        <v>1</v>
      </c>
      <c r="AF226" s="163">
        <v>1</v>
      </c>
      <c r="AG226" s="26">
        <v>0</v>
      </c>
      <c r="AH226" s="14">
        <v>110</v>
      </c>
      <c r="AI226" s="14">
        <v>0</v>
      </c>
      <c r="AJ226" s="163">
        <v>0</v>
      </c>
      <c r="AK226" s="163">
        <v>0</v>
      </c>
      <c r="AL226" s="26">
        <v>0</v>
      </c>
      <c r="AM226" s="12">
        <v>0</v>
      </c>
      <c r="AN226" s="14">
        <v>0</v>
      </c>
      <c r="AO226" s="163">
        <v>0</v>
      </c>
      <c r="AP226" s="163">
        <v>0</v>
      </c>
      <c r="AQ226" s="163">
        <v>0</v>
      </c>
      <c r="AR226" s="163">
        <v>0</v>
      </c>
      <c r="AS226" s="14">
        <v>1</v>
      </c>
      <c r="AT226" s="163">
        <v>0</v>
      </c>
      <c r="AU226" s="163">
        <v>0</v>
      </c>
      <c r="AV226" s="163">
        <v>0</v>
      </c>
      <c r="AW226" s="26">
        <v>0</v>
      </c>
      <c r="AX226" s="14">
        <v>1</v>
      </c>
      <c r="AY226" s="14">
        <v>0</v>
      </c>
      <c r="AZ226" s="163">
        <v>0</v>
      </c>
      <c r="BA226" s="163">
        <v>0</v>
      </c>
      <c r="BB226" s="26">
        <v>0</v>
      </c>
      <c r="BC226" s="12">
        <v>0</v>
      </c>
      <c r="BD226" s="23">
        <v>0</v>
      </c>
      <c r="BE226" s="24">
        <v>0</v>
      </c>
      <c r="BF226" s="24">
        <v>0</v>
      </c>
      <c r="BG226" s="24">
        <v>0</v>
      </c>
      <c r="BH226" s="24">
        <v>0</v>
      </c>
      <c r="BI226" s="14">
        <v>1</v>
      </c>
      <c r="BJ226" s="163">
        <v>1</v>
      </c>
      <c r="BK226" s="26">
        <v>0</v>
      </c>
      <c r="BL226" s="14">
        <v>0</v>
      </c>
      <c r="BM226" s="163">
        <v>0</v>
      </c>
      <c r="BN226" s="26">
        <v>0</v>
      </c>
      <c r="BO226" s="14">
        <v>1</v>
      </c>
      <c r="BP226" s="12">
        <v>114</v>
      </c>
      <c r="BQ226" s="163">
        <v>1</v>
      </c>
      <c r="BR226" s="14">
        <v>0</v>
      </c>
      <c r="BS226" s="163">
        <v>0</v>
      </c>
      <c r="BT226" s="163">
        <v>0</v>
      </c>
      <c r="BU226" s="26">
        <v>0</v>
      </c>
      <c r="BV226" s="14">
        <v>0</v>
      </c>
      <c r="BW226" s="209"/>
      <c r="BX226" s="3"/>
      <c r="BY226" s="3"/>
      <c r="BZ226" s="40"/>
      <c r="CA226" s="209"/>
      <c r="CB226" s="3"/>
      <c r="CC226" s="3"/>
      <c r="CD226" s="3"/>
      <c r="CE226" s="209"/>
      <c r="CF226" s="3"/>
      <c r="CG226" s="3"/>
      <c r="CH226" s="40"/>
      <c r="CI226" s="209"/>
      <c r="CJ226" s="3"/>
      <c r="CK226" s="3"/>
      <c r="CL226" s="209"/>
      <c r="CM226" s="3"/>
      <c r="CN226" s="3"/>
      <c r="CO226" s="3"/>
      <c r="CP226" s="40"/>
      <c r="CQ226" s="209"/>
      <c r="CR226" s="40"/>
      <c r="CS226" s="3"/>
      <c r="CT226" s="3"/>
    </row>
    <row r="227" spans="1:98">
      <c r="A227" s="42" t="s">
        <v>326</v>
      </c>
      <c r="B227" s="222" t="s">
        <v>133</v>
      </c>
      <c r="C227" s="12"/>
      <c r="D227" s="14" t="s">
        <v>199</v>
      </c>
      <c r="E227" s="12"/>
      <c r="F227" s="12">
        <v>12</v>
      </c>
      <c r="G227" s="14">
        <v>1</v>
      </c>
      <c r="H227" s="163">
        <v>0</v>
      </c>
      <c r="I227" s="163">
        <v>1</v>
      </c>
      <c r="J227" s="12">
        <v>101</v>
      </c>
      <c r="K227" s="14">
        <v>28</v>
      </c>
      <c r="L227" s="26">
        <v>462</v>
      </c>
      <c r="M227" s="14">
        <v>38</v>
      </c>
      <c r="N227" s="163">
        <v>353</v>
      </c>
      <c r="O227" s="14">
        <v>0</v>
      </c>
      <c r="P227" s="26">
        <v>0</v>
      </c>
      <c r="Q227" s="12">
        <v>612</v>
      </c>
      <c r="R227" s="209">
        <v>1.2749999999999999</v>
      </c>
      <c r="S227" s="14">
        <v>1</v>
      </c>
      <c r="T227" s="163">
        <v>1</v>
      </c>
      <c r="U227" s="163">
        <v>0</v>
      </c>
      <c r="V227" s="26">
        <v>0</v>
      </c>
      <c r="W227" s="14">
        <v>1100</v>
      </c>
      <c r="X227" s="14">
        <v>0</v>
      </c>
      <c r="Y227" s="163">
        <v>1</v>
      </c>
      <c r="Z227" s="163">
        <v>0</v>
      </c>
      <c r="AA227" s="26">
        <v>0</v>
      </c>
      <c r="AB227" s="12">
        <v>100</v>
      </c>
      <c r="AC227" s="14">
        <v>0</v>
      </c>
      <c r="AD227" s="14">
        <v>0</v>
      </c>
      <c r="AE227" s="163">
        <v>0</v>
      </c>
      <c r="AF227" s="163">
        <v>0</v>
      </c>
      <c r="AG227" s="26">
        <v>1</v>
      </c>
      <c r="AH227" s="14">
        <v>1</v>
      </c>
      <c r="AI227" s="14">
        <v>0</v>
      </c>
      <c r="AJ227" s="163">
        <v>0</v>
      </c>
      <c r="AK227" s="163">
        <v>0</v>
      </c>
      <c r="AL227" s="26">
        <v>0</v>
      </c>
      <c r="AM227" s="12">
        <v>0</v>
      </c>
      <c r="AN227" s="14">
        <v>0</v>
      </c>
      <c r="AO227" s="163">
        <v>0</v>
      </c>
      <c r="AP227" s="163">
        <v>0</v>
      </c>
      <c r="AQ227" s="163">
        <v>0</v>
      </c>
      <c r="AR227" s="163">
        <v>0</v>
      </c>
      <c r="AS227" s="14">
        <v>0</v>
      </c>
      <c r="AT227" s="163">
        <v>0</v>
      </c>
      <c r="AU227" s="163">
        <v>1</v>
      </c>
      <c r="AV227" s="163">
        <v>0</v>
      </c>
      <c r="AW227" s="26">
        <v>0</v>
      </c>
      <c r="AX227" s="14">
        <v>1</v>
      </c>
      <c r="AY227" s="14">
        <v>0</v>
      </c>
      <c r="AZ227" s="163">
        <v>0</v>
      </c>
      <c r="BA227" s="163">
        <v>1</v>
      </c>
      <c r="BB227" s="26">
        <v>0</v>
      </c>
      <c r="BC227" s="12">
        <v>1</v>
      </c>
      <c r="BD227" s="23">
        <v>0</v>
      </c>
      <c r="BE227" s="24">
        <v>0</v>
      </c>
      <c r="BF227" s="24">
        <v>0</v>
      </c>
      <c r="BG227" s="24">
        <v>0</v>
      </c>
      <c r="BH227" s="24">
        <v>0</v>
      </c>
      <c r="BI227" s="14">
        <v>1</v>
      </c>
      <c r="BJ227" s="163">
        <v>0</v>
      </c>
      <c r="BK227" s="26">
        <v>0</v>
      </c>
      <c r="BL227" s="14">
        <v>0</v>
      </c>
      <c r="BM227" s="163">
        <v>0</v>
      </c>
      <c r="BN227" s="26">
        <v>0</v>
      </c>
      <c r="BO227" s="14">
        <v>1</v>
      </c>
      <c r="BP227" s="12"/>
      <c r="BQ227" s="163">
        <v>1</v>
      </c>
      <c r="BR227" s="14">
        <v>1</v>
      </c>
      <c r="BS227" s="163">
        <v>0</v>
      </c>
      <c r="BT227" s="163">
        <v>0</v>
      </c>
      <c r="BU227" s="26">
        <v>0</v>
      </c>
      <c r="BV227" s="14">
        <v>1000</v>
      </c>
      <c r="BW227" s="209"/>
      <c r="BX227" s="3"/>
      <c r="BY227" s="3"/>
      <c r="BZ227" s="40"/>
      <c r="CA227" s="209"/>
      <c r="CB227" s="3"/>
      <c r="CC227" s="3"/>
      <c r="CD227" s="3"/>
      <c r="CE227" s="209"/>
      <c r="CF227" s="3"/>
      <c r="CG227" s="3"/>
      <c r="CH227" s="40"/>
      <c r="CI227" s="209"/>
      <c r="CJ227" s="3"/>
      <c r="CK227" s="3"/>
      <c r="CL227" s="209"/>
      <c r="CM227" s="3"/>
      <c r="CN227" s="3"/>
      <c r="CO227" s="3"/>
      <c r="CP227" s="40"/>
      <c r="CQ227" s="209"/>
      <c r="CR227" s="40"/>
      <c r="CS227" s="3"/>
      <c r="CT227" s="3"/>
    </row>
    <row r="228" spans="1:98">
      <c r="A228" s="42" t="s">
        <v>326</v>
      </c>
      <c r="B228" s="173" t="s">
        <v>133</v>
      </c>
      <c r="C228" s="12"/>
      <c r="D228" s="14" t="s">
        <v>390</v>
      </c>
      <c r="E228" s="12"/>
      <c r="F228" s="12">
        <v>7</v>
      </c>
      <c r="G228" s="14">
        <v>1</v>
      </c>
      <c r="H228" s="163">
        <v>0</v>
      </c>
      <c r="I228" s="163">
        <v>1</v>
      </c>
      <c r="J228" s="12">
        <v>101</v>
      </c>
      <c r="K228" s="14">
        <v>259</v>
      </c>
      <c r="L228" s="26">
        <v>352</v>
      </c>
      <c r="M228" s="14">
        <v>90</v>
      </c>
      <c r="N228" s="163">
        <v>352</v>
      </c>
      <c r="O228" s="14">
        <v>0</v>
      </c>
      <c r="P228" s="26">
        <v>0</v>
      </c>
      <c r="Q228" s="12">
        <v>560</v>
      </c>
      <c r="R228" s="209">
        <v>1.3658536585365855</v>
      </c>
      <c r="S228" s="14">
        <v>1</v>
      </c>
      <c r="T228" s="163">
        <v>1</v>
      </c>
      <c r="U228" s="163">
        <v>0</v>
      </c>
      <c r="V228" s="26">
        <v>0</v>
      </c>
      <c r="W228" s="14">
        <v>1100</v>
      </c>
      <c r="X228" s="14">
        <v>1</v>
      </c>
      <c r="Y228" s="163">
        <v>1</v>
      </c>
      <c r="Z228" s="163">
        <v>0</v>
      </c>
      <c r="AA228" s="26">
        <v>0</v>
      </c>
      <c r="AB228" s="12">
        <v>1100</v>
      </c>
      <c r="AC228" s="14">
        <v>0</v>
      </c>
      <c r="AD228" s="14">
        <v>0</v>
      </c>
      <c r="AE228" s="163">
        <v>1</v>
      </c>
      <c r="AF228" s="163">
        <v>1</v>
      </c>
      <c r="AG228" s="26">
        <v>0</v>
      </c>
      <c r="AH228" s="14">
        <v>110</v>
      </c>
      <c r="AI228" s="14">
        <v>0</v>
      </c>
      <c r="AJ228" s="163">
        <v>0</v>
      </c>
      <c r="AK228" s="163">
        <v>0</v>
      </c>
      <c r="AL228" s="26">
        <v>0</v>
      </c>
      <c r="AM228" s="12">
        <v>0</v>
      </c>
      <c r="AN228" s="14">
        <v>0</v>
      </c>
      <c r="AO228" s="163">
        <v>0</v>
      </c>
      <c r="AP228" s="163">
        <v>0</v>
      </c>
      <c r="AQ228" s="163">
        <v>0</v>
      </c>
      <c r="AR228" s="163">
        <v>0</v>
      </c>
      <c r="AS228" s="14">
        <v>1</v>
      </c>
      <c r="AT228" s="163">
        <v>0</v>
      </c>
      <c r="AU228" s="163">
        <v>0</v>
      </c>
      <c r="AV228" s="163">
        <v>0</v>
      </c>
      <c r="AW228" s="26">
        <v>0</v>
      </c>
      <c r="AX228" s="14">
        <v>1</v>
      </c>
      <c r="AY228" s="14">
        <v>0</v>
      </c>
      <c r="AZ228" s="163">
        <v>0</v>
      </c>
      <c r="BA228" s="163">
        <v>1</v>
      </c>
      <c r="BB228" s="26">
        <v>0</v>
      </c>
      <c r="BC228" s="12">
        <v>1</v>
      </c>
      <c r="BD228" s="23">
        <v>0</v>
      </c>
      <c r="BE228" s="24">
        <v>0</v>
      </c>
      <c r="BF228" s="24">
        <v>0</v>
      </c>
      <c r="BG228" s="24">
        <v>0</v>
      </c>
      <c r="BH228" s="24">
        <v>0</v>
      </c>
      <c r="BI228" s="14">
        <v>0</v>
      </c>
      <c r="BJ228" s="163">
        <v>1</v>
      </c>
      <c r="BK228" s="26">
        <v>0</v>
      </c>
      <c r="BL228" s="14">
        <v>0</v>
      </c>
      <c r="BM228" s="163">
        <v>1</v>
      </c>
      <c r="BN228" s="26">
        <v>0</v>
      </c>
      <c r="BO228" s="14">
        <v>0</v>
      </c>
      <c r="BP228" s="12">
        <v>114</v>
      </c>
      <c r="BQ228" s="163">
        <v>2</v>
      </c>
      <c r="BR228" s="14">
        <v>1</v>
      </c>
      <c r="BS228" s="163">
        <v>0</v>
      </c>
      <c r="BT228" s="163">
        <v>0</v>
      </c>
      <c r="BU228" s="26">
        <v>1</v>
      </c>
      <c r="BV228" s="14">
        <v>1001</v>
      </c>
      <c r="BW228" s="209"/>
      <c r="BX228" s="3"/>
      <c r="BY228" s="3"/>
      <c r="BZ228" s="40"/>
      <c r="CA228" s="209"/>
      <c r="CB228" s="3"/>
      <c r="CC228" s="3"/>
      <c r="CD228" s="3"/>
      <c r="CE228" s="209"/>
      <c r="CF228" s="3"/>
      <c r="CG228" s="3"/>
      <c r="CH228" s="40"/>
      <c r="CI228" s="209"/>
      <c r="CJ228" s="3"/>
      <c r="CK228" s="3"/>
      <c r="CL228" s="209"/>
      <c r="CM228" s="3"/>
      <c r="CN228" s="3"/>
      <c r="CO228" s="3"/>
      <c r="CP228" s="40"/>
      <c r="CQ228" s="209"/>
      <c r="CR228" s="40"/>
      <c r="CS228" s="3"/>
      <c r="CT228" s="3"/>
    </row>
    <row r="229" spans="1:98">
      <c r="A229" s="42" t="s">
        <v>326</v>
      </c>
      <c r="B229" s="173" t="s">
        <v>133</v>
      </c>
      <c r="C229" s="12"/>
      <c r="D229" s="14" t="s">
        <v>206</v>
      </c>
      <c r="E229" s="12"/>
      <c r="F229" s="12">
        <v>13</v>
      </c>
      <c r="G229" s="14">
        <v>0</v>
      </c>
      <c r="H229" s="163">
        <v>0</v>
      </c>
      <c r="I229" s="163">
        <v>1</v>
      </c>
      <c r="J229" s="12">
        <v>1</v>
      </c>
      <c r="K229" s="14">
        <v>169</v>
      </c>
      <c r="L229" s="26">
        <v>394</v>
      </c>
      <c r="M229" s="14">
        <v>45</v>
      </c>
      <c r="N229" s="163">
        <v>273</v>
      </c>
      <c r="O229" s="14">
        <v>0</v>
      </c>
      <c r="P229" s="26">
        <v>0</v>
      </c>
      <c r="Q229" s="12">
        <v>840</v>
      </c>
      <c r="R229" s="209">
        <v>1.5328467153284671</v>
      </c>
      <c r="S229" s="14">
        <v>1</v>
      </c>
      <c r="T229" s="163">
        <v>1</v>
      </c>
      <c r="U229" s="163">
        <v>0</v>
      </c>
      <c r="V229" s="26">
        <v>0</v>
      </c>
      <c r="W229" s="14">
        <v>1100</v>
      </c>
      <c r="X229" s="14">
        <v>1</v>
      </c>
      <c r="Y229" s="163">
        <v>0</v>
      </c>
      <c r="Z229" s="163">
        <v>0</v>
      </c>
      <c r="AA229" s="26">
        <v>0</v>
      </c>
      <c r="AB229" s="12">
        <v>1000</v>
      </c>
      <c r="AC229" s="14">
        <v>0</v>
      </c>
      <c r="AD229" s="14">
        <v>0</v>
      </c>
      <c r="AE229" s="163">
        <v>1</v>
      </c>
      <c r="AF229" s="163">
        <v>0</v>
      </c>
      <c r="AG229" s="26">
        <v>0</v>
      </c>
      <c r="AH229" s="14">
        <v>100</v>
      </c>
      <c r="AI229" s="14">
        <v>0</v>
      </c>
      <c r="AJ229" s="163">
        <v>0</v>
      </c>
      <c r="AK229" s="163">
        <v>0</v>
      </c>
      <c r="AL229" s="26">
        <v>0</v>
      </c>
      <c r="AM229" s="12">
        <v>0</v>
      </c>
      <c r="AN229" s="14">
        <v>0</v>
      </c>
      <c r="AO229" s="163">
        <v>0</v>
      </c>
      <c r="AP229" s="163">
        <v>0</v>
      </c>
      <c r="AQ229" s="163">
        <v>0</v>
      </c>
      <c r="AR229" s="163">
        <v>0</v>
      </c>
      <c r="AS229" s="14">
        <v>0</v>
      </c>
      <c r="AT229" s="163">
        <v>0</v>
      </c>
      <c r="AU229" s="163">
        <v>0</v>
      </c>
      <c r="AV229" s="163">
        <v>0</v>
      </c>
      <c r="AW229" s="26">
        <v>0</v>
      </c>
      <c r="AX229" s="14">
        <v>0</v>
      </c>
      <c r="AY229" s="14">
        <v>0</v>
      </c>
      <c r="AZ229" s="163">
        <v>0</v>
      </c>
      <c r="BA229" s="163">
        <v>0</v>
      </c>
      <c r="BB229" s="26">
        <v>1</v>
      </c>
      <c r="BC229" s="12">
        <v>1</v>
      </c>
      <c r="BD229" s="23">
        <v>0</v>
      </c>
      <c r="BE229" s="24">
        <v>0</v>
      </c>
      <c r="BF229" s="24">
        <v>0</v>
      </c>
      <c r="BG229" s="24">
        <v>0</v>
      </c>
      <c r="BH229" s="24">
        <v>0</v>
      </c>
      <c r="BI229" s="14">
        <v>1</v>
      </c>
      <c r="BJ229" s="163">
        <v>1</v>
      </c>
      <c r="BK229" s="26">
        <v>0</v>
      </c>
      <c r="BL229" s="14">
        <v>0</v>
      </c>
      <c r="BM229" s="163">
        <v>0</v>
      </c>
      <c r="BN229" s="26">
        <v>0</v>
      </c>
      <c r="BO229" s="14">
        <v>0</v>
      </c>
      <c r="BP229" s="12">
        <v>109</v>
      </c>
      <c r="BQ229" s="163">
        <v>2</v>
      </c>
      <c r="BR229" s="14">
        <v>0</v>
      </c>
      <c r="BS229" s="163">
        <v>0</v>
      </c>
      <c r="BT229" s="163">
        <v>0</v>
      </c>
      <c r="BU229" s="26">
        <v>0</v>
      </c>
      <c r="BV229" s="14">
        <v>0</v>
      </c>
      <c r="BW229" s="209"/>
      <c r="BX229" s="3"/>
      <c r="BY229" s="3"/>
      <c r="BZ229" s="40"/>
      <c r="CA229" s="209"/>
      <c r="CB229" s="3"/>
      <c r="CC229" s="3"/>
      <c r="CD229" s="3"/>
      <c r="CE229" s="209"/>
      <c r="CF229" s="3"/>
      <c r="CG229" s="3"/>
      <c r="CH229" s="40"/>
      <c r="CI229" s="209"/>
      <c r="CJ229" s="3"/>
      <c r="CK229" s="3"/>
      <c r="CL229" s="209"/>
      <c r="CM229" s="3"/>
      <c r="CN229" s="3"/>
      <c r="CO229" s="3"/>
      <c r="CP229" s="40"/>
      <c r="CQ229" s="209"/>
      <c r="CR229" s="40"/>
      <c r="CS229" s="3"/>
      <c r="CT229" s="3"/>
    </row>
    <row r="230" spans="1:98">
      <c r="A230" s="42" t="s">
        <v>326</v>
      </c>
      <c r="B230" s="173" t="s">
        <v>133</v>
      </c>
      <c r="C230" s="12"/>
      <c r="D230" s="14" t="s">
        <v>401</v>
      </c>
      <c r="E230" s="12"/>
      <c r="F230" s="12">
        <v>4</v>
      </c>
      <c r="G230" s="14">
        <v>0</v>
      </c>
      <c r="H230" s="163">
        <v>0</v>
      </c>
      <c r="I230" s="163">
        <v>1</v>
      </c>
      <c r="J230" s="12">
        <v>1</v>
      </c>
      <c r="K230" s="14">
        <v>357</v>
      </c>
      <c r="L230" s="26">
        <v>575</v>
      </c>
      <c r="M230" s="14">
        <v>224</v>
      </c>
      <c r="N230" s="163">
        <v>252</v>
      </c>
      <c r="O230" s="14">
        <v>0</v>
      </c>
      <c r="P230" s="26">
        <v>0</v>
      </c>
      <c r="Q230" s="12">
        <v>715</v>
      </c>
      <c r="R230" s="209">
        <v>1.0392441860465116</v>
      </c>
      <c r="S230" s="14">
        <v>1</v>
      </c>
      <c r="T230" s="163">
        <v>1</v>
      </c>
      <c r="U230" s="163">
        <v>0</v>
      </c>
      <c r="V230" s="26">
        <v>0</v>
      </c>
      <c r="W230" s="14">
        <v>1100</v>
      </c>
      <c r="X230" s="14">
        <v>1</v>
      </c>
      <c r="Y230" s="163">
        <v>0</v>
      </c>
      <c r="Z230" s="163">
        <v>0</v>
      </c>
      <c r="AA230" s="26">
        <v>0</v>
      </c>
      <c r="AB230" s="12">
        <v>1000</v>
      </c>
      <c r="AC230" s="14">
        <v>0</v>
      </c>
      <c r="AD230" s="14">
        <v>1</v>
      </c>
      <c r="AE230" s="163">
        <v>0</v>
      </c>
      <c r="AF230" s="163">
        <v>1</v>
      </c>
      <c r="AG230" s="26">
        <v>0</v>
      </c>
      <c r="AH230" s="14">
        <v>1010</v>
      </c>
      <c r="AI230" s="14">
        <v>0</v>
      </c>
      <c r="AJ230" s="163">
        <v>0</v>
      </c>
      <c r="AK230" s="163">
        <v>0</v>
      </c>
      <c r="AL230" s="26">
        <v>0</v>
      </c>
      <c r="AM230" s="12">
        <v>0</v>
      </c>
      <c r="AN230" s="14">
        <v>0</v>
      </c>
      <c r="AO230" s="163">
        <v>0</v>
      </c>
      <c r="AP230" s="163">
        <v>0</v>
      </c>
      <c r="AQ230" s="163">
        <v>0</v>
      </c>
      <c r="AR230" s="163">
        <v>0</v>
      </c>
      <c r="AS230" s="14">
        <v>0</v>
      </c>
      <c r="AT230" s="163">
        <v>0</v>
      </c>
      <c r="AU230" s="163">
        <v>1</v>
      </c>
      <c r="AV230" s="163">
        <v>0</v>
      </c>
      <c r="AW230" s="26">
        <v>0</v>
      </c>
      <c r="AX230" s="14">
        <v>1</v>
      </c>
      <c r="AY230" s="14">
        <v>0</v>
      </c>
      <c r="AZ230" s="163">
        <v>0</v>
      </c>
      <c r="BA230" s="163">
        <v>1</v>
      </c>
      <c r="BB230" s="26">
        <v>0</v>
      </c>
      <c r="BC230" s="12">
        <v>1</v>
      </c>
      <c r="BD230" s="23">
        <v>0</v>
      </c>
      <c r="BE230" s="24">
        <v>0</v>
      </c>
      <c r="BF230" s="24">
        <v>0</v>
      </c>
      <c r="BG230" s="24">
        <v>0</v>
      </c>
      <c r="BH230" s="24">
        <v>0</v>
      </c>
      <c r="BI230" s="14">
        <v>1</v>
      </c>
      <c r="BJ230" s="163">
        <v>0</v>
      </c>
      <c r="BK230" s="26">
        <v>0</v>
      </c>
      <c r="BL230" s="14">
        <v>0</v>
      </c>
      <c r="BM230" s="163">
        <v>0</v>
      </c>
      <c r="BN230" s="26">
        <v>0</v>
      </c>
      <c r="BO230" s="14">
        <v>1</v>
      </c>
      <c r="BP230" s="12">
        <v>122</v>
      </c>
      <c r="BQ230" s="163">
        <v>2</v>
      </c>
      <c r="BR230" s="14">
        <v>0</v>
      </c>
      <c r="BS230" s="163">
        <v>0</v>
      </c>
      <c r="BT230" s="163">
        <v>0</v>
      </c>
      <c r="BU230" s="26">
        <v>1</v>
      </c>
      <c r="BV230" s="14">
        <v>1</v>
      </c>
      <c r="BW230" s="209"/>
      <c r="BX230" s="3"/>
      <c r="BY230" s="3"/>
      <c r="BZ230" s="40"/>
      <c r="CA230" s="209"/>
      <c r="CB230" s="3"/>
      <c r="CC230" s="3"/>
      <c r="CD230" s="3"/>
      <c r="CE230" s="209"/>
      <c r="CF230" s="3"/>
      <c r="CG230" s="3"/>
      <c r="CH230" s="40"/>
      <c r="CI230" s="209"/>
      <c r="CJ230" s="3"/>
      <c r="CK230" s="3"/>
      <c r="CL230" s="209"/>
      <c r="CM230" s="3"/>
      <c r="CN230" s="3"/>
      <c r="CO230" s="3"/>
      <c r="CP230" s="40"/>
      <c r="CQ230" s="209"/>
      <c r="CR230" s="40"/>
      <c r="CS230" s="3"/>
      <c r="CT230" s="3"/>
    </row>
    <row r="231" spans="1:98" ht="17" thickBot="1">
      <c r="A231" s="55" t="s">
        <v>326</v>
      </c>
      <c r="B231" s="47" t="s">
        <v>133</v>
      </c>
      <c r="C231" s="33"/>
      <c r="D231" s="34" t="s">
        <v>392</v>
      </c>
      <c r="E231" s="33"/>
      <c r="F231" s="33">
        <v>22</v>
      </c>
      <c r="G231" s="34">
        <v>1</v>
      </c>
      <c r="H231" s="36">
        <v>0</v>
      </c>
      <c r="I231" s="36">
        <v>1</v>
      </c>
      <c r="J231" s="33">
        <v>101</v>
      </c>
      <c r="K231" s="34">
        <v>132</v>
      </c>
      <c r="L231" s="35">
        <v>604</v>
      </c>
      <c r="M231" s="34">
        <v>187</v>
      </c>
      <c r="N231" s="36">
        <v>797</v>
      </c>
      <c r="O231" s="34">
        <v>0</v>
      </c>
      <c r="P231" s="35">
        <v>0</v>
      </c>
      <c r="Q231" s="33">
        <v>1826</v>
      </c>
      <c r="R231" s="210">
        <v>1.6721611721611722</v>
      </c>
      <c r="S231" s="34">
        <v>1</v>
      </c>
      <c r="T231" s="36">
        <v>1</v>
      </c>
      <c r="U231" s="36">
        <v>0</v>
      </c>
      <c r="V231" s="35">
        <v>1</v>
      </c>
      <c r="W231" s="34">
        <v>1101</v>
      </c>
      <c r="X231" s="34">
        <v>1</v>
      </c>
      <c r="Y231" s="36">
        <v>1</v>
      </c>
      <c r="Z231" s="36">
        <v>0</v>
      </c>
      <c r="AA231" s="35">
        <v>0</v>
      </c>
      <c r="AB231" s="33">
        <v>1100</v>
      </c>
      <c r="AC231" s="34">
        <v>0</v>
      </c>
      <c r="AD231" s="34">
        <v>0</v>
      </c>
      <c r="AE231" s="36">
        <v>1</v>
      </c>
      <c r="AF231" s="36">
        <v>1</v>
      </c>
      <c r="AG231" s="35">
        <v>0</v>
      </c>
      <c r="AH231" s="34">
        <v>110</v>
      </c>
      <c r="AI231" s="34">
        <v>0</v>
      </c>
      <c r="AJ231" s="36">
        <v>0</v>
      </c>
      <c r="AK231" s="36">
        <v>0</v>
      </c>
      <c r="AL231" s="35">
        <v>0</v>
      </c>
      <c r="AM231" s="33">
        <v>0</v>
      </c>
      <c r="AN231" s="34">
        <v>0</v>
      </c>
      <c r="AO231" s="36">
        <v>0</v>
      </c>
      <c r="AP231" s="36">
        <v>0</v>
      </c>
      <c r="AQ231" s="36">
        <v>0</v>
      </c>
      <c r="AR231" s="36">
        <v>0</v>
      </c>
      <c r="AS231" s="34">
        <v>0</v>
      </c>
      <c r="AT231" s="36">
        <v>0</v>
      </c>
      <c r="AU231" s="36">
        <v>1</v>
      </c>
      <c r="AV231" s="36">
        <v>0</v>
      </c>
      <c r="AW231" s="35">
        <v>0</v>
      </c>
      <c r="AX231" s="34">
        <v>1</v>
      </c>
      <c r="AY231" s="34">
        <v>0</v>
      </c>
      <c r="AZ231" s="36">
        <v>0</v>
      </c>
      <c r="BA231" s="36">
        <v>1</v>
      </c>
      <c r="BB231" s="35">
        <v>0</v>
      </c>
      <c r="BC231" s="33">
        <v>1</v>
      </c>
      <c r="BD231" s="105">
        <v>0</v>
      </c>
      <c r="BE231" s="103">
        <v>0</v>
      </c>
      <c r="BF231" s="103">
        <v>0</v>
      </c>
      <c r="BG231" s="103">
        <v>0</v>
      </c>
      <c r="BH231" s="103">
        <v>0</v>
      </c>
      <c r="BI231" s="34">
        <v>1</v>
      </c>
      <c r="BJ231" s="36">
        <v>1</v>
      </c>
      <c r="BK231" s="35">
        <v>0</v>
      </c>
      <c r="BL231" s="34">
        <v>0</v>
      </c>
      <c r="BM231" s="36">
        <v>1</v>
      </c>
      <c r="BN231" s="35">
        <v>0</v>
      </c>
      <c r="BO231" s="34">
        <v>1</v>
      </c>
      <c r="BP231" s="33">
        <v>118</v>
      </c>
      <c r="BQ231" s="36">
        <v>1</v>
      </c>
      <c r="BR231" s="34">
        <v>0</v>
      </c>
      <c r="BS231" s="36">
        <v>0</v>
      </c>
      <c r="BT231" s="36">
        <v>0</v>
      </c>
      <c r="BU231" s="35">
        <v>0</v>
      </c>
      <c r="BV231" s="34">
        <v>0</v>
      </c>
      <c r="BW231" s="210"/>
      <c r="BX231" s="51"/>
      <c r="BY231" s="51"/>
      <c r="BZ231" s="48"/>
      <c r="CA231" s="210"/>
      <c r="CB231" s="51"/>
      <c r="CC231" s="51"/>
      <c r="CD231" s="51"/>
      <c r="CE231" s="210"/>
      <c r="CF231" s="51"/>
      <c r="CG231" s="51"/>
      <c r="CH231" s="48"/>
      <c r="CI231" s="210"/>
      <c r="CJ231" s="51"/>
      <c r="CK231" s="51"/>
      <c r="CL231" s="210"/>
      <c r="CM231" s="51"/>
      <c r="CN231" s="51"/>
      <c r="CO231" s="51"/>
      <c r="CP231" s="48"/>
      <c r="CQ231" s="210"/>
      <c r="CR231" s="48"/>
      <c r="CS231" s="3"/>
      <c r="CT231" s="3"/>
    </row>
    <row r="232" spans="1:98">
      <c r="A232" s="87" t="s">
        <v>326</v>
      </c>
      <c r="B232" s="7" t="s">
        <v>138</v>
      </c>
      <c r="C232" s="9"/>
      <c r="D232" s="11" t="s">
        <v>189</v>
      </c>
      <c r="E232" s="9"/>
      <c r="F232" s="9">
        <v>12</v>
      </c>
      <c r="G232" s="11">
        <v>1</v>
      </c>
      <c r="H232" s="8">
        <v>0</v>
      </c>
      <c r="I232" s="8">
        <v>1</v>
      </c>
      <c r="J232" s="9">
        <v>101</v>
      </c>
      <c r="K232" s="11">
        <v>225</v>
      </c>
      <c r="L232" s="41">
        <v>1544</v>
      </c>
      <c r="M232" s="11">
        <v>100</v>
      </c>
      <c r="N232" s="8">
        <v>358</v>
      </c>
      <c r="O232" s="11">
        <v>0</v>
      </c>
      <c r="P232" s="41">
        <v>0</v>
      </c>
      <c r="Q232" s="9">
        <v>2213</v>
      </c>
      <c r="R232" s="208">
        <v>3.1614285714285715</v>
      </c>
      <c r="S232" s="11">
        <v>1</v>
      </c>
      <c r="T232" s="8">
        <v>1</v>
      </c>
      <c r="U232" s="8">
        <v>0</v>
      </c>
      <c r="V232" s="41">
        <v>0</v>
      </c>
      <c r="W232" s="11">
        <v>1100</v>
      </c>
      <c r="X232" s="11">
        <v>1</v>
      </c>
      <c r="Y232" s="8">
        <v>1</v>
      </c>
      <c r="Z232" s="8">
        <v>1</v>
      </c>
      <c r="AA232" s="41">
        <v>0</v>
      </c>
      <c r="AB232" s="9">
        <v>1110</v>
      </c>
      <c r="AC232" s="11">
        <v>0</v>
      </c>
      <c r="AD232" s="11">
        <v>0</v>
      </c>
      <c r="AE232" s="8">
        <v>0</v>
      </c>
      <c r="AF232" s="8">
        <v>1</v>
      </c>
      <c r="AG232" s="41">
        <v>0</v>
      </c>
      <c r="AH232" s="11">
        <v>10</v>
      </c>
      <c r="AI232" s="11">
        <v>0</v>
      </c>
      <c r="AJ232" s="8">
        <v>0</v>
      </c>
      <c r="AK232" s="8">
        <v>0</v>
      </c>
      <c r="AL232" s="41">
        <v>0</v>
      </c>
      <c r="AM232" s="9">
        <v>0</v>
      </c>
      <c r="AN232" s="11">
        <v>0</v>
      </c>
      <c r="AO232" s="8">
        <v>0</v>
      </c>
      <c r="AP232" s="8">
        <v>0</v>
      </c>
      <c r="AQ232" s="8">
        <v>0</v>
      </c>
      <c r="AR232" s="8">
        <v>0</v>
      </c>
      <c r="AS232" s="11">
        <v>1</v>
      </c>
      <c r="AT232" s="8">
        <v>1</v>
      </c>
      <c r="AU232" s="8">
        <v>0</v>
      </c>
      <c r="AV232" s="8">
        <v>0</v>
      </c>
      <c r="AW232" s="41">
        <v>0</v>
      </c>
      <c r="AX232" s="11">
        <v>2</v>
      </c>
      <c r="AY232" s="11">
        <v>0</v>
      </c>
      <c r="AZ232" s="8">
        <v>0</v>
      </c>
      <c r="BA232" s="8">
        <v>1</v>
      </c>
      <c r="BB232" s="41">
        <v>0</v>
      </c>
      <c r="BC232" s="9">
        <v>1</v>
      </c>
      <c r="BD232" s="102">
        <v>0</v>
      </c>
      <c r="BE232" s="100">
        <v>0</v>
      </c>
      <c r="BF232" s="100">
        <v>0</v>
      </c>
      <c r="BG232" s="100">
        <v>0</v>
      </c>
      <c r="BH232" s="100">
        <v>0</v>
      </c>
      <c r="BI232" s="11">
        <v>1</v>
      </c>
      <c r="BJ232" s="8">
        <v>1</v>
      </c>
      <c r="BK232" s="41">
        <v>0</v>
      </c>
      <c r="BL232" s="11">
        <v>0</v>
      </c>
      <c r="BM232" s="8">
        <v>0</v>
      </c>
      <c r="BN232" s="41">
        <v>0</v>
      </c>
      <c r="BO232" s="11">
        <v>0</v>
      </c>
      <c r="BP232" s="9">
        <v>149</v>
      </c>
      <c r="BQ232" s="8">
        <v>1</v>
      </c>
      <c r="BR232" s="11">
        <v>0</v>
      </c>
      <c r="BS232" s="8">
        <v>0</v>
      </c>
      <c r="BT232" s="8">
        <v>0</v>
      </c>
      <c r="BU232" s="41">
        <v>0</v>
      </c>
      <c r="BV232" s="11">
        <v>0</v>
      </c>
      <c r="BW232" s="208"/>
      <c r="BX232" s="54"/>
      <c r="BY232" s="54"/>
      <c r="BZ232" s="10"/>
      <c r="CA232" s="208"/>
      <c r="CB232" s="54"/>
      <c r="CC232" s="54"/>
      <c r="CD232" s="54"/>
      <c r="CE232" s="208"/>
      <c r="CF232" s="54"/>
      <c r="CG232" s="54"/>
      <c r="CH232" s="10"/>
      <c r="CI232" s="208"/>
      <c r="CJ232" s="54"/>
      <c r="CK232" s="54"/>
      <c r="CL232" s="208"/>
      <c r="CM232" s="54"/>
      <c r="CN232" s="54"/>
      <c r="CO232" s="54"/>
      <c r="CP232" s="10"/>
      <c r="CQ232" s="208"/>
      <c r="CR232" s="10"/>
      <c r="CS232" s="3"/>
      <c r="CT232" s="3"/>
    </row>
    <row r="233" spans="1:98">
      <c r="A233" s="42" t="s">
        <v>326</v>
      </c>
      <c r="B233" s="173" t="s">
        <v>138</v>
      </c>
      <c r="C233" s="12"/>
      <c r="D233" s="14" t="s">
        <v>194</v>
      </c>
      <c r="E233" s="12"/>
      <c r="F233" s="12">
        <v>22</v>
      </c>
      <c r="G233" s="14">
        <v>1</v>
      </c>
      <c r="H233" s="163">
        <v>0</v>
      </c>
      <c r="I233" s="163">
        <v>1</v>
      </c>
      <c r="J233" s="12">
        <v>101</v>
      </c>
      <c r="K233" s="14">
        <v>116</v>
      </c>
      <c r="L233" s="26">
        <v>600</v>
      </c>
      <c r="M233" s="14">
        <v>56</v>
      </c>
      <c r="N233" s="163">
        <v>368</v>
      </c>
      <c r="O233" s="14">
        <v>0</v>
      </c>
      <c r="P233" s="26">
        <v>0</v>
      </c>
      <c r="Q233" s="12">
        <v>1163</v>
      </c>
      <c r="R233" s="209">
        <v>1.1747474747474747</v>
      </c>
      <c r="S233" s="14">
        <v>1</v>
      </c>
      <c r="T233" s="163">
        <v>1</v>
      </c>
      <c r="U233" s="163">
        <v>0</v>
      </c>
      <c r="V233" s="26">
        <v>0</v>
      </c>
      <c r="W233" s="14">
        <v>1100</v>
      </c>
      <c r="X233" s="14">
        <v>1</v>
      </c>
      <c r="Y233" s="163">
        <v>0</v>
      </c>
      <c r="Z233" s="163">
        <v>0</v>
      </c>
      <c r="AA233" s="26">
        <v>1</v>
      </c>
      <c r="AB233" s="12">
        <v>1001</v>
      </c>
      <c r="AC233" s="14">
        <v>1</v>
      </c>
      <c r="AD233" s="14">
        <v>0</v>
      </c>
      <c r="AE233" s="163">
        <v>0</v>
      </c>
      <c r="AF233" s="163">
        <v>1</v>
      </c>
      <c r="AG233" s="26">
        <v>0</v>
      </c>
      <c r="AH233" s="14">
        <v>10</v>
      </c>
      <c r="AI233" s="14">
        <v>0</v>
      </c>
      <c r="AJ233" s="163">
        <v>0</v>
      </c>
      <c r="AK233" s="163">
        <v>0</v>
      </c>
      <c r="AL233" s="26">
        <v>0</v>
      </c>
      <c r="AM233" s="12">
        <v>0</v>
      </c>
      <c r="AN233" s="14">
        <v>0</v>
      </c>
      <c r="AO233" s="163">
        <v>0</v>
      </c>
      <c r="AP233" s="163">
        <v>0</v>
      </c>
      <c r="AQ233" s="163">
        <v>0</v>
      </c>
      <c r="AR233" s="163">
        <v>0</v>
      </c>
      <c r="AS233" s="14">
        <v>1</v>
      </c>
      <c r="AT233" s="163">
        <v>0</v>
      </c>
      <c r="AU233" s="163">
        <v>0</v>
      </c>
      <c r="AV233" s="163">
        <v>0</v>
      </c>
      <c r="AW233" s="26">
        <v>0</v>
      </c>
      <c r="AX233" s="14">
        <v>1</v>
      </c>
      <c r="AY233" s="14">
        <v>0</v>
      </c>
      <c r="AZ233" s="163">
        <v>0</v>
      </c>
      <c r="BA233" s="163">
        <v>1</v>
      </c>
      <c r="BB233" s="26">
        <v>0</v>
      </c>
      <c r="BC233" s="12">
        <v>1</v>
      </c>
      <c r="BD233" s="23">
        <v>0</v>
      </c>
      <c r="BE233" s="24">
        <v>0</v>
      </c>
      <c r="BF233" s="24">
        <v>0</v>
      </c>
      <c r="BG233" s="24">
        <v>0</v>
      </c>
      <c r="BH233" s="24">
        <v>0</v>
      </c>
      <c r="BI233" s="14">
        <v>1</v>
      </c>
      <c r="BJ233" s="163">
        <v>1</v>
      </c>
      <c r="BK233" s="26">
        <v>0</v>
      </c>
      <c r="BL233" s="14">
        <v>0</v>
      </c>
      <c r="BM233" s="163">
        <v>0</v>
      </c>
      <c r="BN233" s="26">
        <v>0</v>
      </c>
      <c r="BO233" s="14">
        <v>0</v>
      </c>
      <c r="BP233" s="12">
        <v>119</v>
      </c>
      <c r="BQ233" s="163">
        <v>1</v>
      </c>
      <c r="BR233" s="14">
        <v>0</v>
      </c>
      <c r="BS233" s="163">
        <v>0</v>
      </c>
      <c r="BT233" s="163">
        <v>0</v>
      </c>
      <c r="BU233" s="26">
        <v>0</v>
      </c>
      <c r="BV233" s="14">
        <v>0</v>
      </c>
      <c r="BW233" s="209"/>
      <c r="BX233" s="3"/>
      <c r="BY233" s="3"/>
      <c r="BZ233" s="40"/>
      <c r="CA233" s="209"/>
      <c r="CB233" s="3"/>
      <c r="CC233" s="3"/>
      <c r="CD233" s="3"/>
      <c r="CE233" s="209"/>
      <c r="CF233" s="3"/>
      <c r="CG233" s="3"/>
      <c r="CH233" s="40"/>
      <c r="CI233" s="209"/>
      <c r="CJ233" s="3"/>
      <c r="CK233" s="3"/>
      <c r="CL233" s="209"/>
      <c r="CM233" s="3"/>
      <c r="CN233" s="3"/>
      <c r="CO233" s="3"/>
      <c r="CP233" s="40"/>
      <c r="CQ233" s="209"/>
      <c r="CR233" s="40"/>
      <c r="CS233" s="3"/>
      <c r="CT233" s="3"/>
    </row>
    <row r="234" spans="1:98">
      <c r="A234" s="42" t="s">
        <v>326</v>
      </c>
      <c r="B234" s="173" t="s">
        <v>138</v>
      </c>
      <c r="C234" s="12"/>
      <c r="D234" s="14" t="s">
        <v>381</v>
      </c>
      <c r="E234" s="12"/>
      <c r="F234" s="12">
        <v>27</v>
      </c>
      <c r="G234" s="14">
        <v>1</v>
      </c>
      <c r="H234" s="163">
        <v>0</v>
      </c>
      <c r="I234" s="163">
        <v>1</v>
      </c>
      <c r="J234" s="12">
        <v>101</v>
      </c>
      <c r="K234" s="14">
        <v>107</v>
      </c>
      <c r="L234" s="26">
        <v>534</v>
      </c>
      <c r="M234" s="14">
        <v>293</v>
      </c>
      <c r="N234" s="163">
        <v>632</v>
      </c>
      <c r="O234" s="14">
        <v>0</v>
      </c>
      <c r="P234" s="26">
        <v>0</v>
      </c>
      <c r="Q234" s="12">
        <v>1617</v>
      </c>
      <c r="R234" s="209">
        <v>1.4916974169741697</v>
      </c>
      <c r="S234" s="14">
        <v>1</v>
      </c>
      <c r="T234" s="163">
        <v>1</v>
      </c>
      <c r="U234" s="163">
        <v>0</v>
      </c>
      <c r="V234" s="26">
        <v>0</v>
      </c>
      <c r="W234" s="14">
        <v>1100</v>
      </c>
      <c r="X234" s="14">
        <v>1</v>
      </c>
      <c r="Y234" s="163">
        <v>0</v>
      </c>
      <c r="Z234" s="163">
        <v>1</v>
      </c>
      <c r="AA234" s="26">
        <v>0</v>
      </c>
      <c r="AB234" s="12">
        <v>1010</v>
      </c>
      <c r="AC234" s="14">
        <v>0</v>
      </c>
      <c r="AD234" s="14">
        <v>1</v>
      </c>
      <c r="AE234" s="163">
        <v>0</v>
      </c>
      <c r="AF234" s="163">
        <v>1</v>
      </c>
      <c r="AG234" s="26">
        <v>0</v>
      </c>
      <c r="AH234" s="14">
        <v>1010</v>
      </c>
      <c r="AI234" s="14">
        <v>0</v>
      </c>
      <c r="AJ234" s="163">
        <v>0</v>
      </c>
      <c r="AK234" s="163">
        <v>0</v>
      </c>
      <c r="AL234" s="26">
        <v>0</v>
      </c>
      <c r="AM234" s="12">
        <v>0</v>
      </c>
      <c r="AN234" s="14">
        <v>0</v>
      </c>
      <c r="AO234" s="163">
        <v>0</v>
      </c>
      <c r="AP234" s="163">
        <v>0</v>
      </c>
      <c r="AQ234" s="163">
        <v>0</v>
      </c>
      <c r="AR234" s="163">
        <v>0</v>
      </c>
      <c r="AS234" s="14">
        <v>1</v>
      </c>
      <c r="AT234" s="163">
        <v>0</v>
      </c>
      <c r="AU234" s="163">
        <v>0</v>
      </c>
      <c r="AV234" s="163">
        <v>1</v>
      </c>
      <c r="AW234" s="26">
        <v>0</v>
      </c>
      <c r="AX234" s="14">
        <v>2</v>
      </c>
      <c r="AY234" s="14">
        <v>0</v>
      </c>
      <c r="AZ234" s="163">
        <v>1</v>
      </c>
      <c r="BA234" s="163">
        <v>1</v>
      </c>
      <c r="BB234" s="26">
        <v>0</v>
      </c>
      <c r="BC234" s="12">
        <v>2</v>
      </c>
      <c r="BD234" s="23">
        <v>0</v>
      </c>
      <c r="BE234" s="24">
        <v>0</v>
      </c>
      <c r="BF234" s="24">
        <v>0</v>
      </c>
      <c r="BG234" s="24">
        <v>0</v>
      </c>
      <c r="BH234" s="24">
        <v>0</v>
      </c>
      <c r="BI234" s="14">
        <v>1</v>
      </c>
      <c r="BJ234" s="163">
        <v>1</v>
      </c>
      <c r="BK234" s="26">
        <v>0</v>
      </c>
      <c r="BL234" s="14">
        <v>0</v>
      </c>
      <c r="BM234" s="163">
        <v>0</v>
      </c>
      <c r="BN234" s="26">
        <v>0</v>
      </c>
      <c r="BO234" s="14">
        <v>0</v>
      </c>
      <c r="BP234" s="12">
        <v>131</v>
      </c>
      <c r="BQ234" s="163">
        <v>1</v>
      </c>
      <c r="BR234" s="14">
        <v>0</v>
      </c>
      <c r="BS234" s="163">
        <v>0</v>
      </c>
      <c r="BT234" s="163">
        <v>0</v>
      </c>
      <c r="BU234" s="26">
        <v>0</v>
      </c>
      <c r="BV234" s="14">
        <v>0</v>
      </c>
      <c r="BW234" s="209"/>
      <c r="BX234" s="3"/>
      <c r="BY234" s="3"/>
      <c r="BZ234" s="40"/>
      <c r="CA234" s="209"/>
      <c r="CB234" s="3"/>
      <c r="CC234" s="3"/>
      <c r="CD234" s="3"/>
      <c r="CE234" s="209"/>
      <c r="CF234" s="3"/>
      <c r="CG234" s="3"/>
      <c r="CH234" s="40"/>
      <c r="CI234" s="209"/>
      <c r="CJ234" s="3"/>
      <c r="CK234" s="3"/>
      <c r="CL234" s="209"/>
      <c r="CM234" s="3"/>
      <c r="CN234" s="3"/>
      <c r="CO234" s="3"/>
      <c r="CP234" s="40"/>
      <c r="CQ234" s="209"/>
      <c r="CR234" s="40"/>
      <c r="CS234" s="3"/>
      <c r="CT234" s="3"/>
    </row>
    <row r="235" spans="1:98">
      <c r="A235" s="42" t="s">
        <v>326</v>
      </c>
      <c r="B235" s="173" t="s">
        <v>138</v>
      </c>
      <c r="C235" s="12"/>
      <c r="D235" s="14" t="s">
        <v>393</v>
      </c>
      <c r="E235" s="12"/>
      <c r="F235" s="12">
        <v>55</v>
      </c>
      <c r="G235" s="14">
        <v>1</v>
      </c>
      <c r="H235" s="163">
        <v>1</v>
      </c>
      <c r="I235" s="163">
        <v>1</v>
      </c>
      <c r="J235" s="12">
        <v>111</v>
      </c>
      <c r="K235" s="14">
        <v>81</v>
      </c>
      <c r="L235" s="26">
        <v>687</v>
      </c>
      <c r="M235" s="14">
        <v>97</v>
      </c>
      <c r="N235" s="163">
        <v>671</v>
      </c>
      <c r="O235" s="14">
        <v>0</v>
      </c>
      <c r="P235" s="26">
        <v>0</v>
      </c>
      <c r="Q235" s="12">
        <v>2658</v>
      </c>
      <c r="R235" s="209">
        <v>1.728218465539662</v>
      </c>
      <c r="S235" s="14">
        <v>1</v>
      </c>
      <c r="T235" s="163">
        <v>1</v>
      </c>
      <c r="U235" s="163">
        <v>0</v>
      </c>
      <c r="V235" s="26">
        <v>0</v>
      </c>
      <c r="W235" s="14">
        <v>1100</v>
      </c>
      <c r="X235" s="14">
        <v>1</v>
      </c>
      <c r="Y235" s="163">
        <v>0</v>
      </c>
      <c r="Z235" s="163">
        <v>1</v>
      </c>
      <c r="AA235" s="26">
        <v>0</v>
      </c>
      <c r="AB235" s="12">
        <v>1010</v>
      </c>
      <c r="AC235" s="14">
        <v>0</v>
      </c>
      <c r="AD235" s="14">
        <v>0</v>
      </c>
      <c r="AE235" s="163">
        <v>1</v>
      </c>
      <c r="AF235" s="163">
        <v>1</v>
      </c>
      <c r="AG235" s="26">
        <v>0</v>
      </c>
      <c r="AH235" s="14">
        <v>110</v>
      </c>
      <c r="AI235" s="14">
        <v>0</v>
      </c>
      <c r="AJ235" s="163">
        <v>0</v>
      </c>
      <c r="AK235" s="163">
        <v>0</v>
      </c>
      <c r="AL235" s="26">
        <v>0</v>
      </c>
      <c r="AM235" s="12">
        <v>0</v>
      </c>
      <c r="AN235" s="14">
        <v>0</v>
      </c>
      <c r="AO235" s="163">
        <v>0</v>
      </c>
      <c r="AP235" s="163">
        <v>0</v>
      </c>
      <c r="AQ235" s="163">
        <v>0</v>
      </c>
      <c r="AR235" s="163">
        <v>0</v>
      </c>
      <c r="AS235" s="14">
        <v>1</v>
      </c>
      <c r="AT235" s="163">
        <v>0</v>
      </c>
      <c r="AU235" s="163">
        <v>0</v>
      </c>
      <c r="AV235" s="163">
        <v>1</v>
      </c>
      <c r="AW235" s="26">
        <v>0</v>
      </c>
      <c r="AX235" s="14">
        <v>2</v>
      </c>
      <c r="AY235" s="14">
        <v>0</v>
      </c>
      <c r="AZ235" s="163">
        <v>0</v>
      </c>
      <c r="BA235" s="163">
        <v>1</v>
      </c>
      <c r="BB235" s="26">
        <v>0</v>
      </c>
      <c r="BC235" s="12">
        <v>1</v>
      </c>
      <c r="BD235" s="23">
        <v>0</v>
      </c>
      <c r="BE235" s="24">
        <v>0</v>
      </c>
      <c r="BF235" s="24">
        <v>0</v>
      </c>
      <c r="BG235" s="24">
        <v>0</v>
      </c>
      <c r="BH235" s="24">
        <v>0</v>
      </c>
      <c r="BI235" s="14">
        <v>1</v>
      </c>
      <c r="BJ235" s="163">
        <v>1</v>
      </c>
      <c r="BK235" s="26">
        <v>0</v>
      </c>
      <c r="BL235" s="14">
        <v>0</v>
      </c>
      <c r="BM235" s="163">
        <v>0</v>
      </c>
      <c r="BN235" s="26">
        <v>0</v>
      </c>
      <c r="BO235" s="14">
        <v>0</v>
      </c>
      <c r="BP235" s="12">
        <v>117</v>
      </c>
      <c r="BQ235" s="163">
        <v>1</v>
      </c>
      <c r="BR235" s="14">
        <v>0</v>
      </c>
      <c r="BS235" s="163">
        <v>0</v>
      </c>
      <c r="BT235" s="163">
        <v>0</v>
      </c>
      <c r="BU235" s="26">
        <v>1</v>
      </c>
      <c r="BV235" s="14">
        <v>1</v>
      </c>
      <c r="BW235" s="209"/>
      <c r="BX235" s="3"/>
      <c r="BY235" s="3"/>
      <c r="BZ235" s="40"/>
      <c r="CA235" s="209"/>
      <c r="CB235" s="3"/>
      <c r="CC235" s="3"/>
      <c r="CD235" s="3"/>
      <c r="CE235" s="209"/>
      <c r="CF235" s="3"/>
      <c r="CG235" s="3"/>
      <c r="CH235" s="40"/>
      <c r="CI235" s="209"/>
      <c r="CJ235" s="3"/>
      <c r="CK235" s="3"/>
      <c r="CL235" s="209"/>
      <c r="CM235" s="3"/>
      <c r="CN235" s="3"/>
      <c r="CO235" s="3"/>
      <c r="CP235" s="40"/>
      <c r="CQ235" s="209"/>
      <c r="CR235" s="40"/>
      <c r="CS235" s="3"/>
      <c r="CT235" s="3"/>
    </row>
    <row r="236" spans="1:98">
      <c r="A236" s="42" t="s">
        <v>326</v>
      </c>
      <c r="B236" s="173" t="s">
        <v>138</v>
      </c>
      <c r="C236" s="12"/>
      <c r="D236" s="14" t="s">
        <v>131</v>
      </c>
      <c r="E236" s="12"/>
      <c r="F236" s="12">
        <v>42</v>
      </c>
      <c r="G236" s="14">
        <v>1</v>
      </c>
      <c r="H236" s="163">
        <v>0</v>
      </c>
      <c r="I236" s="163">
        <v>1</v>
      </c>
      <c r="J236" s="12">
        <v>101</v>
      </c>
      <c r="K236" s="14">
        <v>84</v>
      </c>
      <c r="L236" s="26">
        <v>929</v>
      </c>
      <c r="M236" s="14">
        <v>34</v>
      </c>
      <c r="N236" s="163">
        <v>560</v>
      </c>
      <c r="O236" s="14">
        <v>0</v>
      </c>
      <c r="P236" s="26">
        <v>0</v>
      </c>
      <c r="Q236" s="12">
        <v>2141</v>
      </c>
      <c r="R236" s="209">
        <v>1.9270927092709271</v>
      </c>
      <c r="S236" s="14">
        <v>1</v>
      </c>
      <c r="T236" s="163">
        <v>1</v>
      </c>
      <c r="U236" s="163">
        <v>0</v>
      </c>
      <c r="V236" s="26">
        <v>0</v>
      </c>
      <c r="W236" s="14">
        <v>1100</v>
      </c>
      <c r="X236" s="14">
        <v>1</v>
      </c>
      <c r="Y236" s="163">
        <v>1</v>
      </c>
      <c r="Z236" s="163">
        <v>1</v>
      </c>
      <c r="AA236" s="26">
        <v>1</v>
      </c>
      <c r="AB236" s="12">
        <v>1111</v>
      </c>
      <c r="AC236" s="14">
        <v>1</v>
      </c>
      <c r="AD236" s="14">
        <v>0</v>
      </c>
      <c r="AE236" s="163">
        <v>0</v>
      </c>
      <c r="AF236" s="163">
        <v>1</v>
      </c>
      <c r="AG236" s="26">
        <v>0</v>
      </c>
      <c r="AH236" s="14">
        <v>10</v>
      </c>
      <c r="AI236" s="14">
        <v>0</v>
      </c>
      <c r="AJ236" s="163">
        <v>0</v>
      </c>
      <c r="AK236" s="163">
        <v>0</v>
      </c>
      <c r="AL236" s="26">
        <v>0</v>
      </c>
      <c r="AM236" s="12">
        <v>0</v>
      </c>
      <c r="AN236" s="14">
        <v>0</v>
      </c>
      <c r="AO236" s="163">
        <v>0</v>
      </c>
      <c r="AP236" s="163">
        <v>0</v>
      </c>
      <c r="AQ236" s="163">
        <v>0</v>
      </c>
      <c r="AR236" s="163">
        <v>0</v>
      </c>
      <c r="AS236" s="14">
        <v>1</v>
      </c>
      <c r="AT236" s="163">
        <v>0</v>
      </c>
      <c r="AU236" s="163">
        <v>0</v>
      </c>
      <c r="AV236" s="163">
        <v>1</v>
      </c>
      <c r="AW236" s="26">
        <v>0</v>
      </c>
      <c r="AX236" s="14">
        <v>2</v>
      </c>
      <c r="AY236" s="14">
        <v>0</v>
      </c>
      <c r="AZ236" s="163">
        <v>0</v>
      </c>
      <c r="BA236" s="163">
        <v>0</v>
      </c>
      <c r="BB236" s="26">
        <v>0</v>
      </c>
      <c r="BC236" s="12">
        <v>0</v>
      </c>
      <c r="BD236" s="23">
        <v>0</v>
      </c>
      <c r="BE236" s="24">
        <v>0</v>
      </c>
      <c r="BF236" s="24">
        <v>0</v>
      </c>
      <c r="BG236" s="24">
        <v>0</v>
      </c>
      <c r="BH236" s="24">
        <v>0</v>
      </c>
      <c r="BI236" s="14">
        <v>1</v>
      </c>
      <c r="BJ236" s="163">
        <v>1</v>
      </c>
      <c r="BK236" s="26">
        <v>0</v>
      </c>
      <c r="BL236" s="14">
        <v>1</v>
      </c>
      <c r="BM236" s="163">
        <v>0</v>
      </c>
      <c r="BN236" s="26">
        <v>0</v>
      </c>
      <c r="BO236" s="14">
        <v>1</v>
      </c>
      <c r="BP236" s="12">
        <v>121</v>
      </c>
      <c r="BQ236" s="163">
        <v>1</v>
      </c>
      <c r="BR236" s="14">
        <v>0</v>
      </c>
      <c r="BS236" s="163">
        <v>0</v>
      </c>
      <c r="BT236" s="163">
        <v>0</v>
      </c>
      <c r="BU236" s="26">
        <v>1</v>
      </c>
      <c r="BV236" s="14">
        <v>1</v>
      </c>
      <c r="BW236" s="209"/>
      <c r="BX236" s="3"/>
      <c r="BY236" s="3"/>
      <c r="BZ236" s="40"/>
      <c r="CA236" s="209"/>
      <c r="CB236" s="3"/>
      <c r="CC236" s="3"/>
      <c r="CD236" s="3"/>
      <c r="CE236" s="209"/>
      <c r="CF236" s="3"/>
      <c r="CG236" s="3"/>
      <c r="CH236" s="40"/>
      <c r="CI236" s="209"/>
      <c r="CJ236" s="3"/>
      <c r="CK236" s="3"/>
      <c r="CL236" s="209">
        <v>84</v>
      </c>
      <c r="CM236" s="3"/>
      <c r="CN236" s="3"/>
      <c r="CO236" s="3"/>
      <c r="CP236" s="40"/>
      <c r="CQ236" s="209"/>
      <c r="CR236" s="40"/>
      <c r="CS236" s="3"/>
      <c r="CT236" s="3"/>
    </row>
    <row r="237" spans="1:98">
      <c r="A237" s="42" t="s">
        <v>326</v>
      </c>
      <c r="B237" s="173" t="s">
        <v>138</v>
      </c>
      <c r="C237" s="12"/>
      <c r="D237" s="14" t="s">
        <v>167</v>
      </c>
      <c r="E237" s="12"/>
      <c r="F237" s="12">
        <v>24</v>
      </c>
      <c r="G237" s="14">
        <v>1</v>
      </c>
      <c r="H237" s="163">
        <v>0</v>
      </c>
      <c r="I237" s="163">
        <v>1</v>
      </c>
      <c r="J237" s="12">
        <v>101</v>
      </c>
      <c r="K237" s="14">
        <v>116</v>
      </c>
      <c r="L237" s="26">
        <v>810</v>
      </c>
      <c r="M237" s="14">
        <v>0</v>
      </c>
      <c r="N237" s="163">
        <v>838</v>
      </c>
      <c r="O237" s="14">
        <v>0</v>
      </c>
      <c r="P237" s="26">
        <v>0</v>
      </c>
      <c r="Q237" s="12">
        <v>1747</v>
      </c>
      <c r="R237" s="209">
        <v>1.3998397435897436</v>
      </c>
      <c r="S237" s="14">
        <v>1</v>
      </c>
      <c r="T237" s="163">
        <v>1</v>
      </c>
      <c r="U237" s="163">
        <v>0</v>
      </c>
      <c r="V237" s="26">
        <v>0</v>
      </c>
      <c r="W237" s="14">
        <v>1100</v>
      </c>
      <c r="X237" s="14">
        <v>1</v>
      </c>
      <c r="Y237" s="163">
        <v>0</v>
      </c>
      <c r="Z237" s="163">
        <v>1</v>
      </c>
      <c r="AA237" s="26">
        <v>0</v>
      </c>
      <c r="AB237" s="12">
        <v>1010</v>
      </c>
      <c r="AC237" s="14">
        <v>0</v>
      </c>
      <c r="AD237" s="14">
        <v>0</v>
      </c>
      <c r="AE237" s="163">
        <v>0</v>
      </c>
      <c r="AF237" s="163">
        <v>1</v>
      </c>
      <c r="AG237" s="26">
        <v>0</v>
      </c>
      <c r="AH237" s="14">
        <v>10</v>
      </c>
      <c r="AI237" s="14">
        <v>0</v>
      </c>
      <c r="AJ237" s="163">
        <v>0</v>
      </c>
      <c r="AK237" s="163">
        <v>0</v>
      </c>
      <c r="AL237" s="26">
        <v>0</v>
      </c>
      <c r="AM237" s="12">
        <v>0</v>
      </c>
      <c r="AN237" s="14">
        <v>0</v>
      </c>
      <c r="AO237" s="163">
        <v>0</v>
      </c>
      <c r="AP237" s="163">
        <v>0</v>
      </c>
      <c r="AQ237" s="163">
        <v>0</v>
      </c>
      <c r="AR237" s="163">
        <v>0</v>
      </c>
      <c r="AS237" s="14">
        <v>1</v>
      </c>
      <c r="AT237" s="163">
        <v>0</v>
      </c>
      <c r="AU237" s="163">
        <v>0</v>
      </c>
      <c r="AV237" s="163">
        <v>1</v>
      </c>
      <c r="AW237" s="26">
        <v>0</v>
      </c>
      <c r="AX237" s="14">
        <v>2</v>
      </c>
      <c r="AY237" s="14">
        <v>0</v>
      </c>
      <c r="AZ237" s="163">
        <v>0</v>
      </c>
      <c r="BA237" s="163">
        <v>0</v>
      </c>
      <c r="BB237" s="26">
        <v>1</v>
      </c>
      <c r="BC237" s="12">
        <v>1</v>
      </c>
      <c r="BD237" s="23">
        <v>0</v>
      </c>
      <c r="BE237" s="24">
        <v>0</v>
      </c>
      <c r="BF237" s="24">
        <v>0</v>
      </c>
      <c r="BG237" s="24">
        <v>0</v>
      </c>
      <c r="BH237" s="24">
        <v>0</v>
      </c>
      <c r="BI237" s="14">
        <v>0</v>
      </c>
      <c r="BJ237" s="163">
        <v>0</v>
      </c>
      <c r="BK237" s="26">
        <v>0</v>
      </c>
      <c r="BL237" s="14">
        <v>0</v>
      </c>
      <c r="BM237" s="163">
        <v>0</v>
      </c>
      <c r="BN237" s="26">
        <v>0</v>
      </c>
      <c r="BO237" s="14">
        <v>1</v>
      </c>
      <c r="BP237" s="12">
        <v>139</v>
      </c>
      <c r="BQ237" s="163">
        <v>1</v>
      </c>
      <c r="BR237" s="14">
        <v>0</v>
      </c>
      <c r="BS237" s="163">
        <v>0</v>
      </c>
      <c r="BT237" s="163">
        <v>0</v>
      </c>
      <c r="BU237" s="26">
        <v>0</v>
      </c>
      <c r="BV237" s="14">
        <v>0</v>
      </c>
      <c r="BW237" s="209"/>
      <c r="BX237" s="3"/>
      <c r="BY237" s="3"/>
      <c r="BZ237" s="40"/>
      <c r="CA237" s="209"/>
      <c r="CB237" s="3"/>
      <c r="CC237" s="3"/>
      <c r="CD237" s="3"/>
      <c r="CE237" s="209"/>
      <c r="CF237" s="3"/>
      <c r="CG237" s="3"/>
      <c r="CH237" s="40"/>
      <c r="CI237" s="209"/>
      <c r="CJ237" s="3"/>
      <c r="CK237" s="3"/>
      <c r="CL237" s="209"/>
      <c r="CM237" s="3"/>
      <c r="CN237" s="3"/>
      <c r="CO237" s="3"/>
      <c r="CP237" s="40"/>
      <c r="CQ237" s="209"/>
      <c r="CR237" s="40"/>
      <c r="CS237" s="3"/>
      <c r="CT237" s="3"/>
    </row>
    <row r="238" spans="1:98">
      <c r="A238" s="42" t="s">
        <v>326</v>
      </c>
      <c r="B238" s="173" t="s">
        <v>138</v>
      </c>
      <c r="C238" s="12"/>
      <c r="D238" s="14" t="s">
        <v>168</v>
      </c>
      <c r="E238" s="12"/>
      <c r="F238" s="12">
        <v>37</v>
      </c>
      <c r="G238" s="14">
        <v>1</v>
      </c>
      <c r="H238" s="163">
        <v>0</v>
      </c>
      <c r="I238" s="163">
        <v>1</v>
      </c>
      <c r="J238" s="12">
        <v>101</v>
      </c>
      <c r="K238" s="14">
        <v>86</v>
      </c>
      <c r="L238" s="26">
        <v>793</v>
      </c>
      <c r="M238" s="14">
        <v>153</v>
      </c>
      <c r="N238" s="163">
        <v>804</v>
      </c>
      <c r="O238" s="14">
        <v>0</v>
      </c>
      <c r="P238" s="26">
        <v>0</v>
      </c>
      <c r="Q238" s="12">
        <v>2493</v>
      </c>
      <c r="R238" s="209">
        <v>1.8197080291970802</v>
      </c>
      <c r="S238" s="14">
        <v>1</v>
      </c>
      <c r="T238" s="163">
        <v>1</v>
      </c>
      <c r="U238" s="163">
        <v>0</v>
      </c>
      <c r="V238" s="26">
        <v>0</v>
      </c>
      <c r="W238" s="14">
        <v>1100</v>
      </c>
      <c r="X238" s="14">
        <v>1</v>
      </c>
      <c r="Y238" s="163">
        <v>0</v>
      </c>
      <c r="Z238" s="163">
        <v>1</v>
      </c>
      <c r="AA238" s="26">
        <v>0</v>
      </c>
      <c r="AB238" s="12">
        <v>1010</v>
      </c>
      <c r="AC238" s="14">
        <v>0</v>
      </c>
      <c r="AD238" s="14">
        <v>0</v>
      </c>
      <c r="AE238" s="163">
        <v>1</v>
      </c>
      <c r="AF238" s="163">
        <v>1</v>
      </c>
      <c r="AG238" s="26">
        <v>0</v>
      </c>
      <c r="AH238" s="14">
        <v>110</v>
      </c>
      <c r="AI238" s="14">
        <v>0</v>
      </c>
      <c r="AJ238" s="163">
        <v>0</v>
      </c>
      <c r="AK238" s="163">
        <v>0</v>
      </c>
      <c r="AL238" s="26">
        <v>0</v>
      </c>
      <c r="AM238" s="12">
        <v>0</v>
      </c>
      <c r="AN238" s="14">
        <v>0</v>
      </c>
      <c r="AO238" s="163">
        <v>0</v>
      </c>
      <c r="AP238" s="163">
        <v>0</v>
      </c>
      <c r="AQ238" s="163">
        <v>0</v>
      </c>
      <c r="AR238" s="163">
        <v>0</v>
      </c>
      <c r="AS238" s="14">
        <v>1</v>
      </c>
      <c r="AT238" s="163">
        <v>0</v>
      </c>
      <c r="AU238" s="163">
        <v>0</v>
      </c>
      <c r="AV238" s="163">
        <v>1</v>
      </c>
      <c r="AW238" s="26">
        <v>0</v>
      </c>
      <c r="AX238" s="14">
        <v>2</v>
      </c>
      <c r="AY238" s="14">
        <v>0</v>
      </c>
      <c r="AZ238" s="163">
        <v>0</v>
      </c>
      <c r="BA238" s="163">
        <v>1</v>
      </c>
      <c r="BB238" s="26">
        <v>0</v>
      </c>
      <c r="BC238" s="12">
        <v>1</v>
      </c>
      <c r="BD238" s="23">
        <v>0</v>
      </c>
      <c r="BE238" s="24">
        <v>0</v>
      </c>
      <c r="BF238" s="24">
        <v>0</v>
      </c>
      <c r="BG238" s="24">
        <v>0</v>
      </c>
      <c r="BH238" s="24">
        <v>0</v>
      </c>
      <c r="BI238" s="14">
        <v>1</v>
      </c>
      <c r="BJ238" s="163">
        <v>1</v>
      </c>
      <c r="BK238" s="26">
        <v>0</v>
      </c>
      <c r="BL238" s="14">
        <v>0</v>
      </c>
      <c r="BM238" s="163">
        <v>0</v>
      </c>
      <c r="BN238" s="26">
        <v>0</v>
      </c>
      <c r="BO238" s="14">
        <v>1</v>
      </c>
      <c r="BP238" s="12">
        <v>130</v>
      </c>
      <c r="BQ238" s="163">
        <v>1</v>
      </c>
      <c r="BR238" s="14">
        <v>0</v>
      </c>
      <c r="BS238" s="163">
        <v>0</v>
      </c>
      <c r="BT238" s="163">
        <v>0</v>
      </c>
      <c r="BU238" s="26">
        <v>0</v>
      </c>
      <c r="BV238" s="14">
        <v>0</v>
      </c>
      <c r="BW238" s="209"/>
      <c r="BX238" s="3"/>
      <c r="BY238" s="3"/>
      <c r="BZ238" s="40"/>
      <c r="CA238" s="209"/>
      <c r="CB238" s="3"/>
      <c r="CC238" s="3"/>
      <c r="CD238" s="3"/>
      <c r="CE238" s="209"/>
      <c r="CF238" s="3"/>
      <c r="CG238" s="3"/>
      <c r="CH238" s="40"/>
      <c r="CI238" s="209"/>
      <c r="CJ238" s="3"/>
      <c r="CK238" s="3"/>
      <c r="CL238" s="209"/>
      <c r="CM238" s="3"/>
      <c r="CN238" s="3"/>
      <c r="CO238" s="3"/>
      <c r="CP238" s="40"/>
      <c r="CQ238" s="209"/>
      <c r="CR238" s="40"/>
      <c r="CS238" s="3"/>
      <c r="CT238" s="3"/>
    </row>
    <row r="239" spans="1:98">
      <c r="A239" s="42" t="s">
        <v>326</v>
      </c>
      <c r="B239" s="173" t="s">
        <v>138</v>
      </c>
      <c r="C239" s="12"/>
      <c r="D239" s="14" t="s">
        <v>390</v>
      </c>
      <c r="E239" s="12"/>
      <c r="F239" s="12">
        <v>41</v>
      </c>
      <c r="G239" s="14">
        <v>1</v>
      </c>
      <c r="H239" s="163">
        <v>1</v>
      </c>
      <c r="I239" s="163">
        <v>1</v>
      </c>
      <c r="J239" s="12">
        <v>111</v>
      </c>
      <c r="K239" s="14">
        <v>172</v>
      </c>
      <c r="L239" s="26">
        <v>688</v>
      </c>
      <c r="M239" s="14">
        <v>55</v>
      </c>
      <c r="N239" s="163">
        <v>425</v>
      </c>
      <c r="O239" s="14">
        <v>0</v>
      </c>
      <c r="P239" s="26">
        <v>0</v>
      </c>
      <c r="Q239" s="12">
        <v>2294</v>
      </c>
      <c r="R239" s="209">
        <v>2.5376106194690267</v>
      </c>
      <c r="S239" s="14">
        <v>1</v>
      </c>
      <c r="T239" s="163">
        <v>1</v>
      </c>
      <c r="U239" s="163">
        <v>0</v>
      </c>
      <c r="V239" s="26">
        <v>0</v>
      </c>
      <c r="W239" s="14">
        <v>1100</v>
      </c>
      <c r="X239" s="14">
        <v>1</v>
      </c>
      <c r="Y239" s="163">
        <v>0</v>
      </c>
      <c r="Z239" s="163">
        <v>1</v>
      </c>
      <c r="AA239" s="26">
        <v>0</v>
      </c>
      <c r="AB239" s="12">
        <v>1010</v>
      </c>
      <c r="AC239" s="14">
        <v>0</v>
      </c>
      <c r="AD239" s="14">
        <v>0</v>
      </c>
      <c r="AE239" s="163">
        <v>0</v>
      </c>
      <c r="AF239" s="163">
        <v>1</v>
      </c>
      <c r="AG239" s="26">
        <v>0</v>
      </c>
      <c r="AH239" s="14">
        <v>10</v>
      </c>
      <c r="AI239" s="14">
        <v>0</v>
      </c>
      <c r="AJ239" s="163">
        <v>0</v>
      </c>
      <c r="AK239" s="163">
        <v>0</v>
      </c>
      <c r="AL239" s="26">
        <v>0</v>
      </c>
      <c r="AM239" s="12">
        <v>0</v>
      </c>
      <c r="AN239" s="14">
        <v>0</v>
      </c>
      <c r="AO239" s="163">
        <v>0</v>
      </c>
      <c r="AP239" s="163">
        <v>0</v>
      </c>
      <c r="AQ239" s="163">
        <v>0</v>
      </c>
      <c r="AR239" s="163">
        <v>0</v>
      </c>
      <c r="AS239" s="14">
        <v>1</v>
      </c>
      <c r="AT239" s="163">
        <v>0</v>
      </c>
      <c r="AU239" s="163">
        <v>0</v>
      </c>
      <c r="AV239" s="163">
        <v>0</v>
      </c>
      <c r="AW239" s="26">
        <v>0</v>
      </c>
      <c r="AX239" s="14">
        <v>1</v>
      </c>
      <c r="AY239" s="14"/>
      <c r="BB239" s="26"/>
      <c r="BC239" s="12">
        <v>0</v>
      </c>
      <c r="BD239" s="23">
        <v>0</v>
      </c>
      <c r="BE239" s="24">
        <v>0</v>
      </c>
      <c r="BF239" s="24">
        <v>0</v>
      </c>
      <c r="BG239" s="24">
        <v>0</v>
      </c>
      <c r="BH239" s="24">
        <v>0</v>
      </c>
      <c r="BI239" s="14">
        <v>0</v>
      </c>
      <c r="BJ239" s="163">
        <v>1</v>
      </c>
      <c r="BK239" s="26">
        <v>0</v>
      </c>
      <c r="BL239" s="14">
        <v>0</v>
      </c>
      <c r="BM239" s="163">
        <v>0</v>
      </c>
      <c r="BN239" s="26">
        <v>0</v>
      </c>
      <c r="BO239" s="14">
        <v>1</v>
      </c>
      <c r="BP239" s="12">
        <v>155</v>
      </c>
      <c r="BQ239" s="163">
        <v>1</v>
      </c>
      <c r="BR239" s="14">
        <v>0</v>
      </c>
      <c r="BS239" s="163">
        <v>0</v>
      </c>
      <c r="BT239" s="163">
        <v>0</v>
      </c>
      <c r="BU239" s="26">
        <v>1</v>
      </c>
      <c r="BV239" s="14">
        <v>1</v>
      </c>
      <c r="BW239" s="209"/>
      <c r="BX239" s="3"/>
      <c r="BY239" s="3"/>
      <c r="BZ239" s="40"/>
      <c r="CA239" s="209"/>
      <c r="CB239" s="3"/>
      <c r="CC239" s="3"/>
      <c r="CD239" s="3"/>
      <c r="CE239" s="209"/>
      <c r="CF239" s="3"/>
      <c r="CG239" s="3"/>
      <c r="CH239" s="40"/>
      <c r="CI239" s="209"/>
      <c r="CJ239" s="3"/>
      <c r="CK239" s="3"/>
      <c r="CL239" s="209"/>
      <c r="CM239" s="3"/>
      <c r="CN239" s="3"/>
      <c r="CO239" s="3"/>
      <c r="CP239" s="40"/>
      <c r="CQ239" s="209"/>
      <c r="CR239" s="40"/>
      <c r="CS239" s="3"/>
      <c r="CT239" s="3"/>
    </row>
    <row r="240" spans="1:98">
      <c r="A240" s="42" t="s">
        <v>326</v>
      </c>
      <c r="B240" s="173" t="s">
        <v>138</v>
      </c>
      <c r="C240" s="12"/>
      <c r="D240" s="14" t="s">
        <v>206</v>
      </c>
      <c r="E240" s="12"/>
      <c r="F240" s="12">
        <v>20</v>
      </c>
      <c r="G240" s="14">
        <v>1</v>
      </c>
      <c r="H240" s="163">
        <v>1</v>
      </c>
      <c r="I240" s="163">
        <v>1</v>
      </c>
      <c r="J240" s="12">
        <v>111</v>
      </c>
      <c r="K240" s="14">
        <v>76</v>
      </c>
      <c r="L240" s="26">
        <v>770</v>
      </c>
      <c r="M240" s="14">
        <v>62</v>
      </c>
      <c r="N240" s="163">
        <v>715</v>
      </c>
      <c r="O240" s="14">
        <v>0</v>
      </c>
      <c r="P240" s="26">
        <v>0</v>
      </c>
      <c r="Q240" s="12">
        <v>1504</v>
      </c>
      <c r="R240" s="209">
        <v>1.7367205542725173</v>
      </c>
      <c r="S240" s="14">
        <v>1</v>
      </c>
      <c r="T240" s="163">
        <v>1</v>
      </c>
      <c r="U240" s="163">
        <v>0</v>
      </c>
      <c r="V240" s="26">
        <v>0</v>
      </c>
      <c r="W240" s="14">
        <v>1100</v>
      </c>
      <c r="X240" s="14">
        <v>1</v>
      </c>
      <c r="Y240" s="163">
        <v>0</v>
      </c>
      <c r="Z240" s="163">
        <v>1</v>
      </c>
      <c r="AA240" s="26">
        <v>0</v>
      </c>
      <c r="AB240" s="12">
        <v>1010</v>
      </c>
      <c r="AC240" s="14">
        <v>0</v>
      </c>
      <c r="AD240" s="14">
        <v>0</v>
      </c>
      <c r="AE240" s="163">
        <v>1</v>
      </c>
      <c r="AF240" s="163">
        <v>1</v>
      </c>
      <c r="AG240" s="26">
        <v>0</v>
      </c>
      <c r="AH240" s="14">
        <v>110</v>
      </c>
      <c r="AI240" s="14">
        <v>0</v>
      </c>
      <c r="AJ240" s="163">
        <v>0</v>
      </c>
      <c r="AK240" s="163">
        <v>0</v>
      </c>
      <c r="AL240" s="26">
        <v>0</v>
      </c>
      <c r="AM240" s="12">
        <v>0</v>
      </c>
      <c r="AN240" s="14">
        <v>0</v>
      </c>
      <c r="AO240" s="163">
        <v>0</v>
      </c>
      <c r="AP240" s="163">
        <v>0</v>
      </c>
      <c r="AQ240" s="163">
        <v>0</v>
      </c>
      <c r="AR240" s="163">
        <v>0</v>
      </c>
      <c r="AS240" s="14">
        <v>1</v>
      </c>
      <c r="AT240" s="163">
        <v>0</v>
      </c>
      <c r="AU240" s="163">
        <v>0</v>
      </c>
      <c r="AV240" s="163">
        <v>0</v>
      </c>
      <c r="AW240" s="26">
        <v>0</v>
      </c>
      <c r="AX240" s="14">
        <v>1</v>
      </c>
      <c r="AY240" s="14">
        <v>0</v>
      </c>
      <c r="AZ240" s="163">
        <v>0</v>
      </c>
      <c r="BA240" s="163">
        <v>1</v>
      </c>
      <c r="BB240" s="26">
        <v>0</v>
      </c>
      <c r="BC240" s="12">
        <v>1</v>
      </c>
      <c r="BD240" s="23">
        <v>0</v>
      </c>
      <c r="BE240" s="24">
        <v>0</v>
      </c>
      <c r="BF240" s="24">
        <v>0</v>
      </c>
      <c r="BG240" s="24">
        <v>0</v>
      </c>
      <c r="BH240" s="24">
        <v>0</v>
      </c>
      <c r="BI240" s="14">
        <v>1</v>
      </c>
      <c r="BJ240" s="163">
        <v>1</v>
      </c>
      <c r="BK240" s="26">
        <v>0</v>
      </c>
      <c r="BL240" s="14">
        <v>0</v>
      </c>
      <c r="BM240" s="163">
        <v>0</v>
      </c>
      <c r="BN240" s="26">
        <v>0</v>
      </c>
      <c r="BO240" s="14">
        <v>1</v>
      </c>
      <c r="BP240" s="12">
        <v>135</v>
      </c>
      <c r="BQ240" s="163">
        <v>1</v>
      </c>
      <c r="BR240" s="14">
        <v>0</v>
      </c>
      <c r="BS240" s="163">
        <v>0</v>
      </c>
      <c r="BT240" s="163">
        <v>0</v>
      </c>
      <c r="BU240" s="26">
        <v>1</v>
      </c>
      <c r="BV240" s="14">
        <v>1</v>
      </c>
      <c r="BW240" s="209"/>
      <c r="BX240" s="3"/>
      <c r="BY240" s="3"/>
      <c r="BZ240" s="40"/>
      <c r="CA240" s="209"/>
      <c r="CB240" s="3"/>
      <c r="CC240" s="3"/>
      <c r="CD240" s="3"/>
      <c r="CE240" s="209"/>
      <c r="CF240" s="3"/>
      <c r="CG240" s="3"/>
      <c r="CH240" s="40"/>
      <c r="CI240" s="209"/>
      <c r="CJ240" s="3"/>
      <c r="CK240" s="3"/>
      <c r="CL240" s="209"/>
      <c r="CM240" s="3"/>
      <c r="CN240" s="3"/>
      <c r="CO240" s="3"/>
      <c r="CP240" s="40"/>
      <c r="CQ240" s="209"/>
      <c r="CR240" s="40"/>
      <c r="CS240" s="3"/>
      <c r="CT240" s="3"/>
    </row>
    <row r="241" spans="1:98">
      <c r="A241" s="42" t="s">
        <v>326</v>
      </c>
      <c r="B241" s="173" t="s">
        <v>138</v>
      </c>
      <c r="C241" s="12"/>
      <c r="D241" s="14" t="s">
        <v>395</v>
      </c>
      <c r="E241" s="12"/>
      <c r="F241" s="12">
        <v>38</v>
      </c>
      <c r="G241" s="14">
        <v>1</v>
      </c>
      <c r="H241" s="163">
        <v>1</v>
      </c>
      <c r="I241" s="163">
        <v>1</v>
      </c>
      <c r="J241" s="12">
        <v>111</v>
      </c>
      <c r="K241" s="14">
        <v>94</v>
      </c>
      <c r="L241" s="26">
        <v>484</v>
      </c>
      <c r="M241" s="14">
        <v>178</v>
      </c>
      <c r="N241" s="163">
        <v>386</v>
      </c>
      <c r="O241" s="14">
        <v>0</v>
      </c>
      <c r="P241" s="26">
        <v>0</v>
      </c>
      <c r="Q241" s="12">
        <v>1885</v>
      </c>
      <c r="R241" s="209">
        <v>1.2753721244925575</v>
      </c>
      <c r="S241" s="14">
        <v>1</v>
      </c>
      <c r="T241" s="163">
        <v>1</v>
      </c>
      <c r="U241" s="163">
        <v>0</v>
      </c>
      <c r="V241" s="26">
        <v>0</v>
      </c>
      <c r="W241" s="14">
        <v>1100</v>
      </c>
      <c r="X241" s="14">
        <v>1</v>
      </c>
      <c r="Y241" s="163">
        <v>0</v>
      </c>
      <c r="Z241" s="163">
        <v>1</v>
      </c>
      <c r="AA241" s="26">
        <v>0</v>
      </c>
      <c r="AB241" s="12">
        <v>1010</v>
      </c>
      <c r="AC241" s="14">
        <v>0</v>
      </c>
      <c r="AD241" s="14">
        <v>1</v>
      </c>
      <c r="AE241" s="163">
        <v>1</v>
      </c>
      <c r="AF241" s="163">
        <v>0</v>
      </c>
      <c r="AG241" s="26">
        <v>0</v>
      </c>
      <c r="AH241" s="14">
        <v>1100</v>
      </c>
      <c r="AI241" s="14">
        <v>0</v>
      </c>
      <c r="AJ241" s="163">
        <v>0</v>
      </c>
      <c r="AK241" s="163">
        <v>0</v>
      </c>
      <c r="AL241" s="26">
        <v>0</v>
      </c>
      <c r="AM241" s="12">
        <v>0</v>
      </c>
      <c r="AN241" s="14">
        <v>0</v>
      </c>
      <c r="AO241" s="163">
        <v>0</v>
      </c>
      <c r="AP241" s="163">
        <v>0</v>
      </c>
      <c r="AQ241" s="163">
        <v>0</v>
      </c>
      <c r="AR241" s="163">
        <v>0</v>
      </c>
      <c r="AS241" s="14">
        <v>1</v>
      </c>
      <c r="AT241" s="163">
        <v>0</v>
      </c>
      <c r="AU241" s="163">
        <v>0</v>
      </c>
      <c r="AV241" s="163">
        <v>1</v>
      </c>
      <c r="AW241" s="26">
        <v>0</v>
      </c>
      <c r="AX241" s="14">
        <v>2</v>
      </c>
      <c r="AY241" s="14">
        <v>0</v>
      </c>
      <c r="AZ241" s="163">
        <v>0</v>
      </c>
      <c r="BA241" s="163">
        <v>0</v>
      </c>
      <c r="BB241" s="26">
        <v>0</v>
      </c>
      <c r="BC241" s="12">
        <v>0</v>
      </c>
      <c r="BD241" s="23">
        <v>0</v>
      </c>
      <c r="BE241" s="24">
        <v>0</v>
      </c>
      <c r="BF241" s="24">
        <v>0</v>
      </c>
      <c r="BG241" s="24">
        <v>0</v>
      </c>
      <c r="BH241" s="24">
        <v>0</v>
      </c>
      <c r="BI241" s="14">
        <v>0</v>
      </c>
      <c r="BJ241" s="163">
        <v>0</v>
      </c>
      <c r="BK241" s="26">
        <v>0</v>
      </c>
      <c r="BL241" s="14">
        <v>0</v>
      </c>
      <c r="BM241" s="163">
        <v>0</v>
      </c>
      <c r="BN241" s="26">
        <v>0</v>
      </c>
      <c r="BO241" s="14">
        <v>0</v>
      </c>
      <c r="BP241" s="12">
        <v>112</v>
      </c>
      <c r="BQ241" s="163">
        <v>1</v>
      </c>
      <c r="BR241" s="14">
        <v>0</v>
      </c>
      <c r="BS241" s="163">
        <v>0</v>
      </c>
      <c r="BT241" s="163">
        <v>0</v>
      </c>
      <c r="BU241" s="26">
        <v>1</v>
      </c>
      <c r="BV241" s="14">
        <v>1</v>
      </c>
      <c r="BW241" s="209"/>
      <c r="BX241" s="3"/>
      <c r="BY241" s="3"/>
      <c r="BZ241" s="40"/>
      <c r="CA241" s="209"/>
      <c r="CB241" s="3"/>
      <c r="CC241" s="3"/>
      <c r="CD241" s="3"/>
      <c r="CE241" s="209"/>
      <c r="CF241" s="3"/>
      <c r="CG241" s="3"/>
      <c r="CH241" s="40"/>
      <c r="CI241" s="209"/>
      <c r="CJ241" s="3"/>
      <c r="CK241" s="3"/>
      <c r="CL241" s="209"/>
      <c r="CM241" s="3"/>
      <c r="CN241" s="3"/>
      <c r="CO241" s="3"/>
      <c r="CP241" s="40"/>
      <c r="CQ241" s="209"/>
      <c r="CR241" s="40"/>
      <c r="CS241" s="3"/>
      <c r="CT241" s="3"/>
    </row>
    <row r="242" spans="1:98" ht="17" thickBot="1">
      <c r="A242" s="55" t="s">
        <v>326</v>
      </c>
      <c r="B242" s="47" t="s">
        <v>138</v>
      </c>
      <c r="C242" s="33"/>
      <c r="D242" s="34" t="s">
        <v>392</v>
      </c>
      <c r="E242" s="33"/>
      <c r="F242" s="33">
        <v>30</v>
      </c>
      <c r="G242" s="34">
        <v>1</v>
      </c>
      <c r="H242" s="36">
        <v>1</v>
      </c>
      <c r="I242" s="36">
        <v>1</v>
      </c>
      <c r="J242" s="33">
        <v>111</v>
      </c>
      <c r="K242" s="34">
        <v>190</v>
      </c>
      <c r="L242" s="35">
        <v>1251</v>
      </c>
      <c r="M242" s="34">
        <v>176</v>
      </c>
      <c r="N242" s="36">
        <v>608</v>
      </c>
      <c r="O242" s="34">
        <v>0</v>
      </c>
      <c r="P242" s="35">
        <v>0</v>
      </c>
      <c r="Q242" s="33">
        <v>2748</v>
      </c>
      <c r="R242" s="210">
        <v>1.5958188153310104</v>
      </c>
      <c r="S242" s="34">
        <v>1</v>
      </c>
      <c r="T242" s="36">
        <v>1</v>
      </c>
      <c r="U242" s="36">
        <v>0</v>
      </c>
      <c r="V242" s="35">
        <v>0</v>
      </c>
      <c r="W242" s="34">
        <v>1100</v>
      </c>
      <c r="X242" s="34">
        <v>1</v>
      </c>
      <c r="Y242" s="36">
        <v>0</v>
      </c>
      <c r="Z242" s="36">
        <v>1</v>
      </c>
      <c r="AA242" s="35">
        <v>0</v>
      </c>
      <c r="AB242" s="33">
        <v>1010</v>
      </c>
      <c r="AC242" s="34">
        <v>1</v>
      </c>
      <c r="AD242" s="34">
        <v>0</v>
      </c>
      <c r="AE242" s="36">
        <v>1</v>
      </c>
      <c r="AF242" s="36">
        <v>1</v>
      </c>
      <c r="AG242" s="35">
        <v>0</v>
      </c>
      <c r="AH242" s="34">
        <v>110</v>
      </c>
      <c r="AI242" s="34">
        <v>0</v>
      </c>
      <c r="AJ242" s="36">
        <v>0</v>
      </c>
      <c r="AK242" s="36">
        <v>0</v>
      </c>
      <c r="AL242" s="35">
        <v>0</v>
      </c>
      <c r="AM242" s="33">
        <v>0</v>
      </c>
      <c r="AN242" s="34">
        <v>0</v>
      </c>
      <c r="AO242" s="36">
        <v>0</v>
      </c>
      <c r="AP242" s="36">
        <v>0</v>
      </c>
      <c r="AQ242" s="36">
        <v>0</v>
      </c>
      <c r="AR242" s="36">
        <v>0</v>
      </c>
      <c r="AS242" s="34">
        <v>1</v>
      </c>
      <c r="AT242" s="36">
        <v>1</v>
      </c>
      <c r="AU242" s="36">
        <v>0</v>
      </c>
      <c r="AV242" s="36">
        <v>1</v>
      </c>
      <c r="AW242" s="35">
        <v>0</v>
      </c>
      <c r="AX242" s="34">
        <v>3</v>
      </c>
      <c r="AY242" s="34">
        <v>0</v>
      </c>
      <c r="AZ242" s="36">
        <v>0</v>
      </c>
      <c r="BA242" s="36">
        <v>0</v>
      </c>
      <c r="BB242" s="35">
        <v>0</v>
      </c>
      <c r="BC242" s="33">
        <v>0</v>
      </c>
      <c r="BD242" s="105">
        <v>0</v>
      </c>
      <c r="BE242" s="103">
        <v>0</v>
      </c>
      <c r="BF242" s="103">
        <v>0</v>
      </c>
      <c r="BG242" s="103">
        <v>0</v>
      </c>
      <c r="BH242" s="103">
        <v>0</v>
      </c>
      <c r="BI242" s="34">
        <v>1</v>
      </c>
      <c r="BJ242" s="36">
        <v>1</v>
      </c>
      <c r="BK242" s="35">
        <v>0</v>
      </c>
      <c r="BL242" s="34">
        <v>0</v>
      </c>
      <c r="BM242" s="36">
        <v>0</v>
      </c>
      <c r="BN242" s="35">
        <v>0</v>
      </c>
      <c r="BO242" s="34">
        <v>1</v>
      </c>
      <c r="BP242" s="33">
        <v>114</v>
      </c>
      <c r="BQ242" s="36">
        <v>1</v>
      </c>
      <c r="BR242" s="34">
        <v>0</v>
      </c>
      <c r="BS242" s="36">
        <v>0</v>
      </c>
      <c r="BT242" s="36">
        <v>0</v>
      </c>
      <c r="BU242" s="35">
        <v>0</v>
      </c>
      <c r="BV242" s="34">
        <v>0</v>
      </c>
      <c r="BW242" s="210"/>
      <c r="BX242" s="51"/>
      <c r="BY242" s="51"/>
      <c r="BZ242" s="48"/>
      <c r="CA242" s="210"/>
      <c r="CB242" s="51"/>
      <c r="CC242" s="51"/>
      <c r="CD242" s="51"/>
      <c r="CE242" s="210"/>
      <c r="CF242" s="51"/>
      <c r="CG242" s="51"/>
      <c r="CH242" s="48"/>
      <c r="CI242" s="210"/>
      <c r="CJ242" s="51"/>
      <c r="CK242" s="51"/>
      <c r="CL242" s="210"/>
      <c r="CM242" s="51"/>
      <c r="CN242" s="51"/>
      <c r="CO242" s="51"/>
      <c r="CP242" s="48"/>
      <c r="CQ242" s="210"/>
      <c r="CR242" s="48"/>
      <c r="CS242" s="3"/>
      <c r="CT242" s="3"/>
    </row>
    <row r="243" spans="1:98" ht="17" thickBot="1">
      <c r="A243" s="87" t="s">
        <v>326</v>
      </c>
      <c r="B243" s="7" t="s">
        <v>137</v>
      </c>
      <c r="C243" s="9"/>
      <c r="D243" s="11" t="s">
        <v>132</v>
      </c>
      <c r="E243" s="9"/>
      <c r="F243" s="9">
        <v>30</v>
      </c>
      <c r="G243" s="11">
        <v>1</v>
      </c>
      <c r="H243" s="8">
        <v>0</v>
      </c>
      <c r="I243" s="8">
        <v>1</v>
      </c>
      <c r="J243" s="9">
        <v>101</v>
      </c>
      <c r="K243" s="11">
        <v>74</v>
      </c>
      <c r="L243" s="41">
        <v>544</v>
      </c>
      <c r="M243" s="11">
        <v>61</v>
      </c>
      <c r="N243" s="8">
        <v>324</v>
      </c>
      <c r="O243" s="11">
        <v>0</v>
      </c>
      <c r="P243" s="41">
        <v>0</v>
      </c>
      <c r="Q243" s="9">
        <v>1285</v>
      </c>
      <c r="R243" s="208">
        <v>2.5597609561752988</v>
      </c>
      <c r="S243" s="11">
        <v>1</v>
      </c>
      <c r="T243" s="8">
        <v>1</v>
      </c>
      <c r="U243" s="8">
        <v>0</v>
      </c>
      <c r="V243" s="41">
        <v>0</v>
      </c>
      <c r="W243" s="11">
        <v>1100</v>
      </c>
      <c r="X243" s="11">
        <v>1</v>
      </c>
      <c r="Y243" s="8">
        <v>0</v>
      </c>
      <c r="Z243" s="8">
        <v>1</v>
      </c>
      <c r="AA243" s="41">
        <v>0</v>
      </c>
      <c r="AB243" s="9">
        <v>1010</v>
      </c>
      <c r="AC243" s="11">
        <v>0</v>
      </c>
      <c r="AD243" s="11">
        <v>0</v>
      </c>
      <c r="AE243" s="8">
        <v>0</v>
      </c>
      <c r="AF243" s="8">
        <v>1</v>
      </c>
      <c r="AG243" s="41">
        <v>0</v>
      </c>
      <c r="AH243" s="11">
        <v>10</v>
      </c>
      <c r="AI243" s="11">
        <v>0</v>
      </c>
      <c r="AJ243" s="8">
        <v>0</v>
      </c>
      <c r="AK243" s="8">
        <v>0</v>
      </c>
      <c r="AL243" s="41">
        <v>0</v>
      </c>
      <c r="AM243" s="9">
        <v>0</v>
      </c>
      <c r="AN243" s="11">
        <v>0</v>
      </c>
      <c r="AO243" s="8">
        <v>0</v>
      </c>
      <c r="AP243" s="8">
        <v>0</v>
      </c>
      <c r="AQ243" s="8">
        <v>0</v>
      </c>
      <c r="AR243" s="8">
        <v>0</v>
      </c>
      <c r="AS243" s="11">
        <v>1</v>
      </c>
      <c r="AT243" s="8">
        <v>0</v>
      </c>
      <c r="AU243" s="8">
        <v>0</v>
      </c>
      <c r="AV243" s="8">
        <v>0</v>
      </c>
      <c r="AW243" s="41">
        <v>0</v>
      </c>
      <c r="AX243" s="11">
        <v>1</v>
      </c>
      <c r="AY243" s="11">
        <v>1</v>
      </c>
      <c r="AZ243" s="8">
        <v>0</v>
      </c>
      <c r="BA243" s="8">
        <v>0</v>
      </c>
      <c r="BB243" s="41">
        <v>1</v>
      </c>
      <c r="BC243" s="9">
        <v>2</v>
      </c>
      <c r="BD243" s="102">
        <v>0</v>
      </c>
      <c r="BE243" s="100">
        <v>0</v>
      </c>
      <c r="BF243" s="100">
        <v>0</v>
      </c>
      <c r="BG243" s="100">
        <v>0</v>
      </c>
      <c r="BH243" s="100">
        <v>0</v>
      </c>
      <c r="BI243" s="11">
        <v>0</v>
      </c>
      <c r="BJ243" s="8">
        <v>1</v>
      </c>
      <c r="BK243" s="41">
        <v>0</v>
      </c>
      <c r="BL243" s="11">
        <v>0</v>
      </c>
      <c r="BM243" s="8">
        <v>0</v>
      </c>
      <c r="BN243" s="41">
        <v>0</v>
      </c>
      <c r="BO243" s="11">
        <v>1</v>
      </c>
      <c r="BP243" s="9">
        <v>82</v>
      </c>
      <c r="BQ243" s="8">
        <v>1</v>
      </c>
      <c r="BR243" s="11">
        <v>0</v>
      </c>
      <c r="BS243" s="8">
        <v>0</v>
      </c>
      <c r="BT243" s="8">
        <v>0</v>
      </c>
      <c r="BU243" s="41">
        <v>0</v>
      </c>
      <c r="BV243" s="11">
        <v>0</v>
      </c>
      <c r="BW243" s="208"/>
      <c r="BX243" s="54"/>
      <c r="BY243" s="54"/>
      <c r="BZ243" s="10"/>
      <c r="CA243" s="208"/>
      <c r="CB243" s="54"/>
      <c r="CC243" s="54"/>
      <c r="CD243" s="54"/>
      <c r="CE243" s="208"/>
      <c r="CF243" s="54"/>
      <c r="CG243" s="54"/>
      <c r="CH243" s="10"/>
      <c r="CI243" s="208"/>
      <c r="CJ243" s="54"/>
      <c r="CK243" s="54"/>
      <c r="CL243" s="208"/>
      <c r="CM243" s="54"/>
      <c r="CN243" s="54"/>
      <c r="CO243" s="54"/>
      <c r="CP243" s="10"/>
      <c r="CQ243" s="208"/>
      <c r="CR243" s="10"/>
      <c r="CS243" s="3"/>
      <c r="CT243" s="3"/>
    </row>
    <row r="244" spans="1:98" ht="17" thickBot="1">
      <c r="A244" s="88" t="s">
        <v>319</v>
      </c>
      <c r="B244" s="185" t="s">
        <v>603</v>
      </c>
      <c r="C244" s="27"/>
      <c r="D244" s="28" t="s">
        <v>132</v>
      </c>
      <c r="E244" s="27"/>
      <c r="F244" s="27">
        <v>8</v>
      </c>
      <c r="G244" s="28">
        <v>0</v>
      </c>
      <c r="H244" s="30">
        <v>0</v>
      </c>
      <c r="I244" s="30">
        <v>1</v>
      </c>
      <c r="J244" s="27">
        <v>1</v>
      </c>
      <c r="K244" s="28">
        <v>191</v>
      </c>
      <c r="L244" s="29">
        <v>414</v>
      </c>
      <c r="M244" s="28">
        <v>412</v>
      </c>
      <c r="N244" s="30">
        <v>514</v>
      </c>
      <c r="O244" s="28">
        <v>0</v>
      </c>
      <c r="P244" s="29">
        <v>0</v>
      </c>
      <c r="Q244" s="27">
        <v>1117</v>
      </c>
      <c r="R244" s="211">
        <v>1.6523668639053255</v>
      </c>
      <c r="S244" s="28">
        <v>1</v>
      </c>
      <c r="T244" s="30">
        <v>1</v>
      </c>
      <c r="U244" s="30">
        <v>0</v>
      </c>
      <c r="V244" s="29">
        <v>0</v>
      </c>
      <c r="W244" s="28">
        <v>1100</v>
      </c>
      <c r="X244" s="28">
        <v>1</v>
      </c>
      <c r="Y244" s="30">
        <v>0</v>
      </c>
      <c r="Z244" s="30">
        <v>0</v>
      </c>
      <c r="AA244" s="29">
        <v>0</v>
      </c>
      <c r="AB244" s="27">
        <v>1000</v>
      </c>
      <c r="AC244" s="28">
        <v>1</v>
      </c>
      <c r="AD244" s="28">
        <v>0</v>
      </c>
      <c r="AE244" s="30">
        <v>1</v>
      </c>
      <c r="AF244" s="30">
        <v>1</v>
      </c>
      <c r="AG244" s="29">
        <v>0</v>
      </c>
      <c r="AH244" s="28">
        <v>110</v>
      </c>
      <c r="AI244" s="28">
        <v>0</v>
      </c>
      <c r="AJ244" s="30">
        <v>0</v>
      </c>
      <c r="AK244" s="30">
        <v>0</v>
      </c>
      <c r="AL244" s="29">
        <v>0</v>
      </c>
      <c r="AM244" s="27">
        <v>0</v>
      </c>
      <c r="AN244" s="28">
        <v>0</v>
      </c>
      <c r="AO244" s="30">
        <v>0</v>
      </c>
      <c r="AP244" s="30">
        <v>0</v>
      </c>
      <c r="AQ244" s="30">
        <v>0</v>
      </c>
      <c r="AR244" s="30">
        <v>0</v>
      </c>
      <c r="AS244" s="28">
        <v>0</v>
      </c>
      <c r="AT244" s="30">
        <v>0</v>
      </c>
      <c r="AU244" s="30">
        <v>1</v>
      </c>
      <c r="AV244" s="30">
        <v>0</v>
      </c>
      <c r="AW244" s="29">
        <v>0</v>
      </c>
      <c r="AX244" s="28">
        <v>1</v>
      </c>
      <c r="AY244" s="28">
        <v>0</v>
      </c>
      <c r="AZ244" s="30">
        <v>0</v>
      </c>
      <c r="BA244" s="30">
        <v>0</v>
      </c>
      <c r="BB244" s="29">
        <v>1</v>
      </c>
      <c r="BC244" s="27">
        <v>1</v>
      </c>
      <c r="BD244" s="28">
        <v>0</v>
      </c>
      <c r="BE244" s="30">
        <v>0</v>
      </c>
      <c r="BF244" s="30">
        <v>0</v>
      </c>
      <c r="BG244" s="30">
        <v>0</v>
      </c>
      <c r="BH244" s="30">
        <v>0</v>
      </c>
      <c r="BI244" s="28">
        <v>1</v>
      </c>
      <c r="BJ244" s="30">
        <v>1</v>
      </c>
      <c r="BK244" s="29">
        <v>0</v>
      </c>
      <c r="BL244" s="28">
        <v>0</v>
      </c>
      <c r="BM244" s="30">
        <v>0</v>
      </c>
      <c r="BN244" s="29">
        <v>0</v>
      </c>
      <c r="BO244" s="28">
        <v>1</v>
      </c>
      <c r="BP244" s="27">
        <v>117</v>
      </c>
      <c r="BQ244" s="30">
        <v>2</v>
      </c>
      <c r="BR244" s="28">
        <v>0</v>
      </c>
      <c r="BS244" s="30">
        <v>0</v>
      </c>
      <c r="BT244" s="30">
        <v>0</v>
      </c>
      <c r="BU244" s="29">
        <v>0</v>
      </c>
      <c r="BV244" s="28">
        <v>0</v>
      </c>
      <c r="BW244" s="211"/>
      <c r="BX244" s="77"/>
      <c r="BY244" s="77"/>
      <c r="BZ244" s="45"/>
      <c r="CA244" s="211"/>
      <c r="CB244" s="77"/>
      <c r="CC244" s="77"/>
      <c r="CD244" s="77"/>
      <c r="CE244" s="211"/>
      <c r="CF244" s="77"/>
      <c r="CG244" s="77"/>
      <c r="CH244" s="45"/>
      <c r="CI244" s="211"/>
      <c r="CJ244" s="77"/>
      <c r="CK244" s="77"/>
      <c r="CL244" s="211"/>
      <c r="CM244" s="77"/>
      <c r="CN244" s="77"/>
      <c r="CO244" s="77"/>
      <c r="CP244" s="45"/>
      <c r="CQ244" s="211"/>
      <c r="CR244" s="45"/>
      <c r="CS244" s="3"/>
      <c r="CT244" s="3"/>
    </row>
    <row r="245" spans="1:98" ht="17" thickBot="1">
      <c r="A245" s="88" t="s">
        <v>319</v>
      </c>
      <c r="B245" s="185" t="s">
        <v>309</v>
      </c>
      <c r="C245" s="27"/>
      <c r="D245" s="28" t="s">
        <v>132</v>
      </c>
      <c r="E245" s="27"/>
      <c r="F245" s="27">
        <v>11</v>
      </c>
      <c r="G245" s="28">
        <v>0</v>
      </c>
      <c r="H245" s="30">
        <v>0</v>
      </c>
      <c r="I245" s="30">
        <v>1</v>
      </c>
      <c r="J245" s="27">
        <v>1</v>
      </c>
      <c r="K245" s="28">
        <v>215</v>
      </c>
      <c r="L245" s="29">
        <v>1531</v>
      </c>
      <c r="M245" s="28">
        <v>130</v>
      </c>
      <c r="N245" s="30">
        <v>175</v>
      </c>
      <c r="O245" s="28">
        <v>0</v>
      </c>
      <c r="P245" s="29">
        <v>0</v>
      </c>
      <c r="Q245" s="27">
        <v>1930</v>
      </c>
      <c r="R245" s="211">
        <v>2.6187245590230663</v>
      </c>
      <c r="S245" s="28">
        <v>1</v>
      </c>
      <c r="T245" s="30">
        <v>1</v>
      </c>
      <c r="U245" s="30">
        <v>0</v>
      </c>
      <c r="V245" s="29">
        <v>0</v>
      </c>
      <c r="W245" s="28">
        <v>1100</v>
      </c>
      <c r="X245" s="28">
        <v>0</v>
      </c>
      <c r="Y245" s="30">
        <v>0</v>
      </c>
      <c r="Z245" s="30">
        <v>1</v>
      </c>
      <c r="AA245" s="29">
        <v>1</v>
      </c>
      <c r="AB245" s="27">
        <v>11</v>
      </c>
      <c r="AC245" s="28"/>
      <c r="AD245" s="28">
        <v>0</v>
      </c>
      <c r="AE245" s="30">
        <v>1</v>
      </c>
      <c r="AF245" s="30">
        <v>1</v>
      </c>
      <c r="AG245" s="29">
        <v>0</v>
      </c>
      <c r="AH245" s="28">
        <v>110</v>
      </c>
      <c r="AI245" s="28">
        <v>0</v>
      </c>
      <c r="AJ245" s="30">
        <v>0</v>
      </c>
      <c r="AK245" s="30">
        <v>0</v>
      </c>
      <c r="AL245" s="29">
        <v>0</v>
      </c>
      <c r="AM245" s="27">
        <v>0</v>
      </c>
      <c r="AN245" s="28">
        <v>0</v>
      </c>
      <c r="AO245" s="30">
        <v>0</v>
      </c>
      <c r="AP245" s="30">
        <v>0</v>
      </c>
      <c r="AQ245" s="30">
        <v>0</v>
      </c>
      <c r="AR245" s="30">
        <v>0</v>
      </c>
      <c r="AS245" s="28">
        <v>0</v>
      </c>
      <c r="AT245" s="30">
        <v>0</v>
      </c>
      <c r="AU245" s="30">
        <v>1</v>
      </c>
      <c r="AV245" s="30">
        <v>0</v>
      </c>
      <c r="AW245" s="29">
        <v>0</v>
      </c>
      <c r="AX245" s="28">
        <v>1</v>
      </c>
      <c r="AY245" s="28">
        <v>0</v>
      </c>
      <c r="AZ245" s="30">
        <v>0</v>
      </c>
      <c r="BA245" s="30">
        <v>0</v>
      </c>
      <c r="BB245" s="29">
        <v>0</v>
      </c>
      <c r="BC245" s="27">
        <v>0</v>
      </c>
      <c r="BD245" s="28">
        <v>0</v>
      </c>
      <c r="BE245" s="30">
        <v>0</v>
      </c>
      <c r="BF245" s="30">
        <v>0</v>
      </c>
      <c r="BG245" s="30">
        <v>0</v>
      </c>
      <c r="BH245" s="30">
        <v>0</v>
      </c>
      <c r="BI245" s="28">
        <v>1</v>
      </c>
      <c r="BJ245" s="30">
        <v>0</v>
      </c>
      <c r="BK245" s="29">
        <v>0</v>
      </c>
      <c r="BL245" s="28">
        <v>0</v>
      </c>
      <c r="BM245" s="30">
        <v>0</v>
      </c>
      <c r="BN245" s="29">
        <v>0</v>
      </c>
      <c r="BO245" s="28">
        <v>0</v>
      </c>
      <c r="BP245" s="27">
        <v>124</v>
      </c>
      <c r="BQ245" s="30">
        <v>2</v>
      </c>
      <c r="BR245" s="28"/>
      <c r="BS245" s="30"/>
      <c r="BT245" s="30"/>
      <c r="BU245" s="29"/>
      <c r="BV245" s="28">
        <v>0</v>
      </c>
      <c r="BW245" s="211"/>
      <c r="BX245" s="77"/>
      <c r="BY245" s="77"/>
      <c r="BZ245" s="45"/>
      <c r="CA245" s="211"/>
      <c r="CB245" s="77"/>
      <c r="CC245" s="77"/>
      <c r="CD245" s="77"/>
      <c r="CE245" s="211"/>
      <c r="CF245" s="77"/>
      <c r="CG245" s="77"/>
      <c r="CH245" s="45"/>
      <c r="CI245" s="211"/>
      <c r="CJ245" s="77"/>
      <c r="CK245" s="77"/>
      <c r="CL245" s="211"/>
      <c r="CM245" s="77"/>
      <c r="CN245" s="77"/>
      <c r="CO245" s="77"/>
      <c r="CP245" s="45"/>
      <c r="CQ245" s="211"/>
      <c r="CR245" s="45"/>
      <c r="CS245" s="3"/>
      <c r="CT245" s="3"/>
    </row>
    <row r="246" spans="1:98">
      <c r="A246" s="87" t="s">
        <v>319</v>
      </c>
      <c r="B246" s="7" t="s">
        <v>84</v>
      </c>
      <c r="C246" s="9"/>
      <c r="D246" s="11" t="s">
        <v>132</v>
      </c>
      <c r="E246" s="9"/>
      <c r="F246" s="9">
        <v>12</v>
      </c>
      <c r="G246" s="11">
        <v>1</v>
      </c>
      <c r="H246" s="8">
        <v>0</v>
      </c>
      <c r="I246" s="8">
        <v>1</v>
      </c>
      <c r="J246" s="9">
        <v>101</v>
      </c>
      <c r="K246" s="11">
        <v>21</v>
      </c>
      <c r="L246" s="41">
        <v>176</v>
      </c>
      <c r="M246" s="11">
        <v>0</v>
      </c>
      <c r="N246" s="8">
        <v>0</v>
      </c>
      <c r="O246" s="11">
        <v>8</v>
      </c>
      <c r="P246" s="41">
        <v>95</v>
      </c>
      <c r="Q246" s="9">
        <v>347</v>
      </c>
      <c r="R246" s="208">
        <v>1.4765957446808511</v>
      </c>
      <c r="S246" s="11">
        <v>1</v>
      </c>
      <c r="T246" s="8">
        <v>0</v>
      </c>
      <c r="U246" s="8">
        <v>1</v>
      </c>
      <c r="V246" s="41">
        <v>0</v>
      </c>
      <c r="W246" s="11">
        <v>1010</v>
      </c>
      <c r="X246" s="11">
        <v>1</v>
      </c>
      <c r="Y246" s="8">
        <v>0</v>
      </c>
      <c r="Z246" s="8">
        <v>1</v>
      </c>
      <c r="AA246" s="41">
        <v>0</v>
      </c>
      <c r="AB246" s="9">
        <v>1010</v>
      </c>
      <c r="AC246" s="11">
        <v>0</v>
      </c>
      <c r="AD246" s="11">
        <v>0</v>
      </c>
      <c r="AE246" s="8">
        <v>0</v>
      </c>
      <c r="AF246" s="8">
        <v>0</v>
      </c>
      <c r="AG246" s="41">
        <v>0</v>
      </c>
      <c r="AH246" s="11">
        <v>0</v>
      </c>
      <c r="AI246" s="11">
        <v>0</v>
      </c>
      <c r="AJ246" s="8">
        <v>0</v>
      </c>
      <c r="AK246" s="8">
        <v>1</v>
      </c>
      <c r="AL246" s="41">
        <v>1</v>
      </c>
      <c r="AM246" s="9">
        <v>11</v>
      </c>
      <c r="AN246" s="11">
        <v>0</v>
      </c>
      <c r="AO246" s="8">
        <v>0</v>
      </c>
      <c r="AP246" s="8">
        <v>0</v>
      </c>
      <c r="AQ246" s="8">
        <v>0</v>
      </c>
      <c r="AR246" s="8">
        <v>0</v>
      </c>
      <c r="AS246" s="11">
        <v>0</v>
      </c>
      <c r="AT246" s="8">
        <v>0</v>
      </c>
      <c r="AU246" s="8">
        <v>1</v>
      </c>
      <c r="AV246" s="8">
        <v>0</v>
      </c>
      <c r="AW246" s="41">
        <v>0</v>
      </c>
      <c r="AX246" s="11">
        <v>1</v>
      </c>
      <c r="AY246" s="11">
        <v>0</v>
      </c>
      <c r="AZ246" s="8">
        <v>0</v>
      </c>
      <c r="BA246" s="8">
        <v>0</v>
      </c>
      <c r="BB246" s="41">
        <v>0</v>
      </c>
      <c r="BC246" s="9">
        <v>0</v>
      </c>
      <c r="BD246" s="11">
        <v>0</v>
      </c>
      <c r="BE246" s="8">
        <v>1</v>
      </c>
      <c r="BF246" s="8">
        <v>0</v>
      </c>
      <c r="BG246" s="8">
        <v>0</v>
      </c>
      <c r="BH246" s="8">
        <v>0</v>
      </c>
      <c r="BI246" s="11">
        <v>1</v>
      </c>
      <c r="BJ246" s="8">
        <v>0</v>
      </c>
      <c r="BK246" s="41">
        <v>0</v>
      </c>
      <c r="BL246" s="11">
        <v>0</v>
      </c>
      <c r="BM246" s="8">
        <v>0</v>
      </c>
      <c r="BN246" s="41">
        <v>0</v>
      </c>
      <c r="BO246" s="11">
        <v>1</v>
      </c>
      <c r="BP246" s="9">
        <v>63</v>
      </c>
      <c r="BQ246" s="8">
        <v>2</v>
      </c>
      <c r="BR246" s="11"/>
      <c r="BS246" s="8"/>
      <c r="BT246" s="8"/>
      <c r="BU246" s="41"/>
      <c r="BV246" s="11">
        <v>0</v>
      </c>
      <c r="BW246" s="208"/>
      <c r="BX246" s="54"/>
      <c r="BY246" s="54"/>
      <c r="BZ246" s="10"/>
      <c r="CA246" s="208"/>
      <c r="CB246" s="54"/>
      <c r="CC246" s="54"/>
      <c r="CD246" s="54"/>
      <c r="CE246" s="208"/>
      <c r="CF246" s="54"/>
      <c r="CG246" s="54"/>
      <c r="CH246" s="10"/>
      <c r="CI246" s="208"/>
      <c r="CJ246" s="54"/>
      <c r="CK246" s="54"/>
      <c r="CL246" s="208"/>
      <c r="CM246" s="54"/>
      <c r="CN246" s="54"/>
      <c r="CO246" s="54"/>
      <c r="CP246" s="10"/>
      <c r="CQ246" s="208"/>
      <c r="CR246" s="10"/>
      <c r="CS246" s="3"/>
      <c r="CT246" s="3"/>
    </row>
    <row r="247" spans="1:98">
      <c r="A247" s="42" t="s">
        <v>319</v>
      </c>
      <c r="B247" s="173" t="s">
        <v>84</v>
      </c>
      <c r="C247" s="12"/>
      <c r="D247" s="14" t="s">
        <v>167</v>
      </c>
      <c r="E247" s="12"/>
      <c r="F247" s="12">
        <v>11</v>
      </c>
      <c r="G247" s="14">
        <v>0</v>
      </c>
      <c r="H247" s="163">
        <v>0</v>
      </c>
      <c r="I247" s="163">
        <v>1</v>
      </c>
      <c r="J247" s="12">
        <v>1</v>
      </c>
      <c r="K247" s="14">
        <v>128</v>
      </c>
      <c r="L247" s="26">
        <v>748</v>
      </c>
      <c r="M247" s="14">
        <v>213</v>
      </c>
      <c r="N247" s="163">
        <v>334</v>
      </c>
      <c r="O247" s="14">
        <v>134</v>
      </c>
      <c r="P247" s="26">
        <v>325</v>
      </c>
      <c r="Q247" s="12">
        <v>1240</v>
      </c>
      <c r="R247" s="209">
        <v>1.6145833333333333</v>
      </c>
      <c r="S247" s="14">
        <v>1</v>
      </c>
      <c r="T247" s="163">
        <v>1</v>
      </c>
      <c r="U247" s="163">
        <v>1</v>
      </c>
      <c r="V247" s="26">
        <v>0</v>
      </c>
      <c r="W247" s="14">
        <v>1110</v>
      </c>
      <c r="X247" s="14">
        <v>1</v>
      </c>
      <c r="Y247" s="163">
        <v>1</v>
      </c>
      <c r="Z247" s="163">
        <v>0</v>
      </c>
      <c r="AA247" s="26">
        <v>0</v>
      </c>
      <c r="AB247" s="12">
        <v>1100</v>
      </c>
      <c r="AC247" s="14">
        <v>0</v>
      </c>
      <c r="AD247" s="14">
        <v>0</v>
      </c>
      <c r="AE247" s="163">
        <v>0</v>
      </c>
      <c r="AF247" s="163">
        <v>1</v>
      </c>
      <c r="AG247" s="26">
        <v>0</v>
      </c>
      <c r="AH247" s="14">
        <v>10</v>
      </c>
      <c r="AI247" s="14">
        <v>0</v>
      </c>
      <c r="AJ247" s="163">
        <v>0</v>
      </c>
      <c r="AK247" s="163">
        <v>1</v>
      </c>
      <c r="AL247" s="26">
        <v>0</v>
      </c>
      <c r="AM247" s="12">
        <v>10</v>
      </c>
      <c r="AN247" s="14">
        <v>0</v>
      </c>
      <c r="AO247" s="163">
        <v>0</v>
      </c>
      <c r="AP247" s="163">
        <v>0</v>
      </c>
      <c r="AQ247" s="163">
        <v>0</v>
      </c>
      <c r="AR247" s="163">
        <v>0</v>
      </c>
      <c r="AS247" s="14">
        <v>1</v>
      </c>
      <c r="AT247" s="163">
        <v>0</v>
      </c>
      <c r="AU247" s="163">
        <v>0</v>
      </c>
      <c r="AV247" s="163">
        <v>0</v>
      </c>
      <c r="AW247" s="26">
        <v>0</v>
      </c>
      <c r="AX247" s="14">
        <v>1</v>
      </c>
      <c r="AY247" s="14">
        <v>0</v>
      </c>
      <c r="AZ247" s="163">
        <v>0</v>
      </c>
      <c r="BA247" s="163">
        <v>0</v>
      </c>
      <c r="BB247" s="26">
        <v>1</v>
      </c>
      <c r="BC247" s="12">
        <v>1</v>
      </c>
      <c r="BD247" s="14">
        <v>1</v>
      </c>
      <c r="BE247" s="163">
        <v>0</v>
      </c>
      <c r="BF247" s="163">
        <v>0</v>
      </c>
      <c r="BG247" s="163">
        <v>0</v>
      </c>
      <c r="BH247" s="163">
        <v>0</v>
      </c>
      <c r="BI247" s="14">
        <v>1</v>
      </c>
      <c r="BJ247" s="163">
        <v>1</v>
      </c>
      <c r="BK247" s="26">
        <v>0</v>
      </c>
      <c r="BL247" s="14">
        <v>0</v>
      </c>
      <c r="BM247" s="163">
        <v>1</v>
      </c>
      <c r="BN247" s="26">
        <v>0</v>
      </c>
      <c r="BO247" s="14">
        <v>1</v>
      </c>
      <c r="BP247" s="12">
        <v>86</v>
      </c>
      <c r="BQ247" s="163">
        <v>2</v>
      </c>
      <c r="BR247" s="14"/>
      <c r="BU247" s="26"/>
      <c r="BV247" s="14">
        <v>0</v>
      </c>
      <c r="BW247" s="209">
        <v>63.62</v>
      </c>
      <c r="BX247" s="3">
        <v>65.38</v>
      </c>
      <c r="BY247" s="3"/>
      <c r="BZ247" s="40"/>
      <c r="CA247" s="209"/>
      <c r="CB247" s="3"/>
      <c r="CC247" s="3"/>
      <c r="CD247" s="3"/>
      <c r="CE247" s="209">
        <v>62.78</v>
      </c>
      <c r="CF247" s="3">
        <v>61.99</v>
      </c>
      <c r="CG247" s="3"/>
      <c r="CH247" s="40"/>
      <c r="CI247" s="209"/>
      <c r="CJ247" s="3"/>
      <c r="CK247" s="3"/>
      <c r="CL247" s="209">
        <v>81</v>
      </c>
      <c r="CM247" s="3"/>
      <c r="CN247" s="3"/>
      <c r="CO247" s="3"/>
      <c r="CP247" s="40"/>
      <c r="CQ247" s="209"/>
      <c r="CR247" s="40"/>
      <c r="CS247" s="3"/>
      <c r="CT247" s="3"/>
    </row>
    <row r="248" spans="1:98">
      <c r="A248" s="42" t="s">
        <v>319</v>
      </c>
      <c r="B248" s="173" t="s">
        <v>84</v>
      </c>
      <c r="C248" s="12"/>
      <c r="D248" s="14" t="s">
        <v>168</v>
      </c>
      <c r="E248" s="12" t="s">
        <v>0</v>
      </c>
      <c r="F248" s="12">
        <v>4</v>
      </c>
      <c r="G248" s="14">
        <v>0</v>
      </c>
      <c r="H248" s="163">
        <v>0</v>
      </c>
      <c r="I248" s="163">
        <v>1</v>
      </c>
      <c r="J248" s="12">
        <v>1</v>
      </c>
      <c r="K248" s="14">
        <v>465</v>
      </c>
      <c r="L248" s="26">
        <v>467</v>
      </c>
      <c r="M248" s="14">
        <v>0</v>
      </c>
      <c r="N248" s="163">
        <v>0</v>
      </c>
      <c r="O248" s="14">
        <v>0</v>
      </c>
      <c r="P248" s="26">
        <v>461</v>
      </c>
      <c r="Q248" s="12">
        <v>1138</v>
      </c>
      <c r="R248" s="209">
        <v>1.8149920255183414</v>
      </c>
      <c r="S248" s="14">
        <v>1</v>
      </c>
      <c r="T248" s="163">
        <v>0</v>
      </c>
      <c r="U248" s="163">
        <v>1</v>
      </c>
      <c r="V248" s="26">
        <v>0</v>
      </c>
      <c r="W248" s="14">
        <v>1010</v>
      </c>
      <c r="X248" s="14">
        <v>0</v>
      </c>
      <c r="Y248" s="163">
        <v>1</v>
      </c>
      <c r="Z248" s="163">
        <v>1</v>
      </c>
      <c r="AA248" s="26">
        <v>0</v>
      </c>
      <c r="AB248" s="12">
        <v>110</v>
      </c>
      <c r="AC248" s="14">
        <v>0</v>
      </c>
      <c r="AD248" s="14">
        <v>0</v>
      </c>
      <c r="AE248" s="163">
        <v>0</v>
      </c>
      <c r="AF248" s="163">
        <v>0</v>
      </c>
      <c r="AG248" s="26">
        <v>0</v>
      </c>
      <c r="AH248" s="14">
        <v>0</v>
      </c>
      <c r="AI248" s="14">
        <v>0</v>
      </c>
      <c r="AJ248" s="163">
        <v>0</v>
      </c>
      <c r="AK248" s="163">
        <v>0</v>
      </c>
      <c r="AL248" s="26">
        <v>1</v>
      </c>
      <c r="AM248" s="12">
        <v>1</v>
      </c>
      <c r="AN248" s="14">
        <v>0</v>
      </c>
      <c r="AO248" s="163">
        <v>0</v>
      </c>
      <c r="AP248" s="163">
        <v>0</v>
      </c>
      <c r="AQ248" s="163">
        <v>0</v>
      </c>
      <c r="AR248" s="163">
        <v>0</v>
      </c>
      <c r="AS248" s="14">
        <v>1</v>
      </c>
      <c r="AT248" s="163">
        <v>0</v>
      </c>
      <c r="AU248" s="163">
        <v>0</v>
      </c>
      <c r="AV248" s="163">
        <v>0</v>
      </c>
      <c r="AW248" s="26">
        <v>0</v>
      </c>
      <c r="AX248" s="14">
        <v>1</v>
      </c>
      <c r="AY248" s="14">
        <v>0</v>
      </c>
      <c r="AZ248" s="163">
        <v>0</v>
      </c>
      <c r="BA248" s="163">
        <v>0</v>
      </c>
      <c r="BB248" s="26">
        <v>0</v>
      </c>
      <c r="BC248" s="12">
        <v>0</v>
      </c>
      <c r="BD248" s="14">
        <v>0</v>
      </c>
      <c r="BE248" s="163">
        <v>1</v>
      </c>
      <c r="BF248" s="163">
        <v>0</v>
      </c>
      <c r="BG248" s="163">
        <v>0</v>
      </c>
      <c r="BH248" s="163">
        <v>0</v>
      </c>
      <c r="BI248" s="14">
        <v>1</v>
      </c>
      <c r="BJ248" s="163">
        <v>0</v>
      </c>
      <c r="BK248" s="26">
        <v>0</v>
      </c>
      <c r="BL248" s="14">
        <v>0</v>
      </c>
      <c r="BM248" s="163">
        <v>0</v>
      </c>
      <c r="BN248" s="26">
        <v>0</v>
      </c>
      <c r="BO248" s="14">
        <v>1</v>
      </c>
      <c r="BP248" s="12">
        <v>146</v>
      </c>
      <c r="BQ248" s="163">
        <v>2</v>
      </c>
      <c r="BR248" s="14"/>
      <c r="BU248" s="26"/>
      <c r="BV248" s="14">
        <v>0</v>
      </c>
      <c r="BW248" s="209">
        <v>62.73</v>
      </c>
      <c r="BX248" s="3"/>
      <c r="BY248" s="3"/>
      <c r="BZ248" s="40"/>
      <c r="CA248" s="209"/>
      <c r="CB248" s="3"/>
      <c r="CC248" s="3"/>
      <c r="CD248" s="3"/>
      <c r="CE248" s="209">
        <v>62.67</v>
      </c>
      <c r="CF248" s="3"/>
      <c r="CG248" s="3"/>
      <c r="CH248" s="40"/>
      <c r="CI248" s="209"/>
      <c r="CJ248" s="3"/>
      <c r="CK248" s="3"/>
      <c r="CL248" s="209"/>
      <c r="CM248" s="3"/>
      <c r="CN248" s="3"/>
      <c r="CO248" s="3"/>
      <c r="CP248" s="40"/>
      <c r="CQ248" s="209"/>
      <c r="CR248" s="40"/>
      <c r="CS248" s="3"/>
      <c r="CT248" s="3"/>
    </row>
    <row r="249" spans="1:98">
      <c r="A249" s="42" t="s">
        <v>319</v>
      </c>
      <c r="B249" s="173" t="s">
        <v>84</v>
      </c>
      <c r="C249" s="12"/>
      <c r="D249" s="14" t="s">
        <v>168</v>
      </c>
      <c r="E249" s="12" t="s">
        <v>1</v>
      </c>
      <c r="F249" s="12">
        <v>4</v>
      </c>
      <c r="G249" s="14">
        <v>0</v>
      </c>
      <c r="H249" s="163">
        <v>0</v>
      </c>
      <c r="I249" s="163">
        <v>1</v>
      </c>
      <c r="J249" s="12">
        <v>1</v>
      </c>
      <c r="K249" s="14">
        <v>325</v>
      </c>
      <c r="L249" s="26">
        <v>822</v>
      </c>
      <c r="M249" s="14">
        <v>235</v>
      </c>
      <c r="N249" s="163">
        <v>303</v>
      </c>
      <c r="O249" s="14">
        <v>0</v>
      </c>
      <c r="P249" s="26">
        <v>0</v>
      </c>
      <c r="Q249" s="12">
        <v>997</v>
      </c>
      <c r="R249" s="209">
        <v>2.6236842105263158</v>
      </c>
      <c r="S249" s="14">
        <v>1</v>
      </c>
      <c r="T249" s="163">
        <v>1</v>
      </c>
      <c r="U249" s="163">
        <v>0</v>
      </c>
      <c r="V249" s="26">
        <v>0</v>
      </c>
      <c r="W249" s="14">
        <v>1100</v>
      </c>
      <c r="X249" s="14">
        <v>1</v>
      </c>
      <c r="Y249" s="163">
        <v>0</v>
      </c>
      <c r="Z249" s="163">
        <v>0</v>
      </c>
      <c r="AA249" s="26">
        <v>0</v>
      </c>
      <c r="AB249" s="12">
        <v>1000</v>
      </c>
      <c r="AC249" s="14">
        <v>0</v>
      </c>
      <c r="AD249" s="14">
        <v>0</v>
      </c>
      <c r="AE249" s="163">
        <v>0</v>
      </c>
      <c r="AF249" s="163">
        <v>1</v>
      </c>
      <c r="AG249" s="26">
        <v>1</v>
      </c>
      <c r="AH249" s="14">
        <v>11</v>
      </c>
      <c r="AI249" s="14">
        <v>0</v>
      </c>
      <c r="AJ249" s="163">
        <v>0</v>
      </c>
      <c r="AK249" s="163">
        <v>0</v>
      </c>
      <c r="AL249" s="26">
        <v>0</v>
      </c>
      <c r="AM249" s="12">
        <v>0</v>
      </c>
      <c r="AN249" s="14">
        <v>0</v>
      </c>
      <c r="AO249" s="163">
        <v>0</v>
      </c>
      <c r="AP249" s="163">
        <v>0</v>
      </c>
      <c r="AQ249" s="163">
        <v>0</v>
      </c>
      <c r="AR249" s="163">
        <v>0</v>
      </c>
      <c r="AS249" s="14">
        <v>1</v>
      </c>
      <c r="AT249" s="163">
        <v>0</v>
      </c>
      <c r="AU249" s="163">
        <v>0</v>
      </c>
      <c r="AV249" s="163">
        <v>0</v>
      </c>
      <c r="AW249" s="26">
        <v>0</v>
      </c>
      <c r="AX249" s="14">
        <v>1</v>
      </c>
      <c r="AY249" s="14">
        <v>0</v>
      </c>
      <c r="AZ249" s="163">
        <v>0</v>
      </c>
      <c r="BA249" s="163">
        <v>1</v>
      </c>
      <c r="BB249" s="26">
        <v>0</v>
      </c>
      <c r="BC249" s="12">
        <v>1</v>
      </c>
      <c r="BD249" s="14">
        <v>0</v>
      </c>
      <c r="BE249" s="163">
        <v>0</v>
      </c>
      <c r="BF249" s="163">
        <v>0</v>
      </c>
      <c r="BG249" s="163">
        <v>0</v>
      </c>
      <c r="BH249" s="163">
        <v>0</v>
      </c>
      <c r="BI249" s="14">
        <v>0</v>
      </c>
      <c r="BJ249" s="163">
        <v>1</v>
      </c>
      <c r="BK249" s="26">
        <v>0</v>
      </c>
      <c r="BL249" s="14">
        <v>0</v>
      </c>
      <c r="BM249" s="163">
        <v>1</v>
      </c>
      <c r="BN249" s="26">
        <v>0</v>
      </c>
      <c r="BO249" s="14">
        <v>1</v>
      </c>
      <c r="BP249" s="12">
        <v>146</v>
      </c>
      <c r="BQ249" s="163">
        <v>2</v>
      </c>
      <c r="BR249" s="14"/>
      <c r="BU249" s="26"/>
      <c r="BV249" s="14">
        <v>0</v>
      </c>
      <c r="BW249" s="209"/>
      <c r="BX249" s="3"/>
      <c r="BY249" s="3"/>
      <c r="BZ249" s="40"/>
      <c r="CA249" s="209"/>
      <c r="CB249" s="3"/>
      <c r="CC249" s="3"/>
      <c r="CD249" s="3"/>
      <c r="CE249" s="209"/>
      <c r="CF249" s="3"/>
      <c r="CG249" s="3"/>
      <c r="CH249" s="40"/>
      <c r="CI249" s="209"/>
      <c r="CJ249" s="3"/>
      <c r="CK249" s="3"/>
      <c r="CL249" s="209"/>
      <c r="CM249" s="3"/>
      <c r="CN249" s="3"/>
      <c r="CO249" s="3"/>
      <c r="CP249" s="40"/>
      <c r="CQ249" s="209"/>
      <c r="CR249" s="40"/>
      <c r="CS249" s="3"/>
      <c r="CT249" s="3"/>
    </row>
    <row r="250" spans="1:98">
      <c r="A250" s="42" t="s">
        <v>319</v>
      </c>
      <c r="B250" s="173" t="s">
        <v>84</v>
      </c>
      <c r="C250" s="12"/>
      <c r="D250" s="14" t="s">
        <v>199</v>
      </c>
      <c r="E250" s="12"/>
      <c r="F250" s="12">
        <v>6</v>
      </c>
      <c r="G250" s="14">
        <v>0</v>
      </c>
      <c r="H250" s="163">
        <v>0</v>
      </c>
      <c r="I250" s="163">
        <v>1</v>
      </c>
      <c r="J250" s="12">
        <v>1</v>
      </c>
      <c r="K250" s="14">
        <v>145</v>
      </c>
      <c r="L250" s="26">
        <v>323</v>
      </c>
      <c r="M250" s="14">
        <v>0</v>
      </c>
      <c r="N250" s="163">
        <v>788</v>
      </c>
      <c r="O250" s="14">
        <v>0</v>
      </c>
      <c r="P250" s="26">
        <v>188</v>
      </c>
      <c r="Q250" s="12">
        <v>788</v>
      </c>
      <c r="R250" s="209">
        <v>1.0194049159120311</v>
      </c>
      <c r="S250" s="14">
        <v>1</v>
      </c>
      <c r="T250" s="163">
        <v>1</v>
      </c>
      <c r="U250" s="163">
        <v>1</v>
      </c>
      <c r="V250" s="26">
        <v>0</v>
      </c>
      <c r="W250" s="14">
        <v>1110</v>
      </c>
      <c r="X250" s="14">
        <v>1</v>
      </c>
      <c r="Y250" s="163">
        <v>0</v>
      </c>
      <c r="Z250" s="163">
        <v>0</v>
      </c>
      <c r="AA250" s="26">
        <v>0</v>
      </c>
      <c r="AB250" s="12">
        <v>1000</v>
      </c>
      <c r="AC250" s="14">
        <v>0</v>
      </c>
      <c r="AD250" s="14">
        <v>0</v>
      </c>
      <c r="AE250" s="163">
        <v>1</v>
      </c>
      <c r="AF250" s="163">
        <v>0</v>
      </c>
      <c r="AG250" s="26">
        <v>0</v>
      </c>
      <c r="AH250" s="14">
        <v>100</v>
      </c>
      <c r="AI250" s="14">
        <v>0</v>
      </c>
      <c r="AJ250" s="163">
        <v>0</v>
      </c>
      <c r="AK250" s="163">
        <v>1</v>
      </c>
      <c r="AL250" s="26">
        <v>0</v>
      </c>
      <c r="AM250" s="12">
        <v>10</v>
      </c>
      <c r="AN250" s="14">
        <v>0</v>
      </c>
      <c r="AO250" s="163">
        <v>0</v>
      </c>
      <c r="AP250" s="163">
        <v>0</v>
      </c>
      <c r="AQ250" s="163">
        <v>0</v>
      </c>
      <c r="AR250" s="163">
        <v>0</v>
      </c>
      <c r="AS250" s="14">
        <v>0</v>
      </c>
      <c r="AT250" s="163">
        <v>0</v>
      </c>
      <c r="AU250" s="163">
        <v>1</v>
      </c>
      <c r="AV250" s="163">
        <v>0</v>
      </c>
      <c r="AW250" s="26">
        <v>0</v>
      </c>
      <c r="AX250" s="14">
        <v>1</v>
      </c>
      <c r="AY250" s="14">
        <v>0</v>
      </c>
      <c r="AZ250" s="163">
        <v>0</v>
      </c>
      <c r="BA250" s="163">
        <v>0</v>
      </c>
      <c r="BB250" s="26">
        <v>1</v>
      </c>
      <c r="BC250" s="12">
        <v>1</v>
      </c>
      <c r="BD250" s="14">
        <v>0</v>
      </c>
      <c r="BE250" s="163">
        <v>1</v>
      </c>
      <c r="BF250" s="163">
        <v>0</v>
      </c>
      <c r="BG250" s="163">
        <v>0</v>
      </c>
      <c r="BH250" s="163">
        <v>0</v>
      </c>
      <c r="BI250" s="14">
        <v>1</v>
      </c>
      <c r="BJ250" s="163">
        <v>1</v>
      </c>
      <c r="BK250" s="26">
        <v>0</v>
      </c>
      <c r="BL250" s="14">
        <v>0</v>
      </c>
      <c r="BM250" s="163">
        <v>0</v>
      </c>
      <c r="BN250" s="26">
        <v>0</v>
      </c>
      <c r="BO250" s="14">
        <v>1</v>
      </c>
      <c r="BP250" s="12">
        <v>124</v>
      </c>
      <c r="BQ250" s="163">
        <v>2</v>
      </c>
      <c r="BR250" s="14"/>
      <c r="BU250" s="26"/>
      <c r="BV250" s="14">
        <v>0</v>
      </c>
      <c r="BW250" s="209">
        <v>60.61</v>
      </c>
      <c r="BX250" s="3">
        <v>62.14</v>
      </c>
      <c r="BY250" s="3"/>
      <c r="BZ250" s="40"/>
      <c r="CA250" s="209"/>
      <c r="CB250" s="3"/>
      <c r="CC250" s="3"/>
      <c r="CD250" s="3"/>
      <c r="CE250" s="209"/>
      <c r="CF250" s="3"/>
      <c r="CG250" s="3"/>
      <c r="CH250" s="40"/>
      <c r="CI250" s="209"/>
      <c r="CJ250" s="3"/>
      <c r="CK250" s="3"/>
      <c r="CL250" s="209">
        <v>81</v>
      </c>
      <c r="CM250" s="3"/>
      <c r="CN250" s="3"/>
      <c r="CO250" s="3"/>
      <c r="CP250" s="40"/>
      <c r="CQ250" s="209">
        <v>82</v>
      </c>
      <c r="CR250" s="40"/>
      <c r="CS250" s="3"/>
      <c r="CT250" s="3"/>
    </row>
    <row r="251" spans="1:98" ht="17" thickBot="1">
      <c r="A251" s="42" t="s">
        <v>319</v>
      </c>
      <c r="B251" s="173" t="s">
        <v>84</v>
      </c>
      <c r="C251" s="12"/>
      <c r="D251" s="14" t="s">
        <v>206</v>
      </c>
      <c r="E251" s="12"/>
      <c r="F251" s="12">
        <v>8</v>
      </c>
      <c r="G251" s="14">
        <v>0</v>
      </c>
      <c r="H251" s="163">
        <v>0</v>
      </c>
      <c r="I251" s="163">
        <v>1</v>
      </c>
      <c r="J251" s="12">
        <v>1</v>
      </c>
      <c r="K251" s="14">
        <v>234</v>
      </c>
      <c r="L251" s="26">
        <v>315</v>
      </c>
      <c r="M251" s="14">
        <v>179</v>
      </c>
      <c r="N251" s="163">
        <v>341</v>
      </c>
      <c r="O251" s="14">
        <v>0</v>
      </c>
      <c r="P251" s="26">
        <v>0</v>
      </c>
      <c r="Q251" s="12">
        <v>833</v>
      </c>
      <c r="R251" s="209">
        <v>1.466549295774648</v>
      </c>
      <c r="S251" s="14">
        <v>1</v>
      </c>
      <c r="T251" s="163">
        <v>1</v>
      </c>
      <c r="U251" s="163">
        <v>0</v>
      </c>
      <c r="V251" s="26">
        <v>0</v>
      </c>
      <c r="W251" s="14">
        <v>1100</v>
      </c>
      <c r="X251" s="14">
        <v>0</v>
      </c>
      <c r="Y251" s="163">
        <v>1</v>
      </c>
      <c r="Z251" s="163">
        <v>0</v>
      </c>
      <c r="AA251" s="26">
        <v>0</v>
      </c>
      <c r="AB251" s="12">
        <v>100</v>
      </c>
      <c r="AC251" s="14">
        <v>0</v>
      </c>
      <c r="AD251" s="14">
        <v>0</v>
      </c>
      <c r="AE251" s="163">
        <v>1</v>
      </c>
      <c r="AF251" s="163">
        <v>0</v>
      </c>
      <c r="AG251" s="26">
        <v>0</v>
      </c>
      <c r="AH251" s="14">
        <v>100</v>
      </c>
      <c r="AI251" s="14">
        <v>0</v>
      </c>
      <c r="AJ251" s="163">
        <v>0</v>
      </c>
      <c r="AK251" s="163">
        <v>0</v>
      </c>
      <c r="AL251" s="26">
        <v>0</v>
      </c>
      <c r="AM251" s="12">
        <v>0</v>
      </c>
      <c r="AN251" s="14">
        <v>0</v>
      </c>
      <c r="AO251" s="163">
        <v>0</v>
      </c>
      <c r="AP251" s="163">
        <v>0</v>
      </c>
      <c r="AQ251" s="163">
        <v>0</v>
      </c>
      <c r="AR251" s="163">
        <v>0</v>
      </c>
      <c r="AS251" s="14">
        <v>0</v>
      </c>
      <c r="AT251" s="163">
        <v>0</v>
      </c>
      <c r="AU251" s="163">
        <v>1</v>
      </c>
      <c r="AV251" s="163">
        <v>0</v>
      </c>
      <c r="AW251" s="26">
        <v>0</v>
      </c>
      <c r="AX251" s="14">
        <v>1</v>
      </c>
      <c r="AY251" s="14">
        <v>0</v>
      </c>
      <c r="AZ251" s="163">
        <v>0</v>
      </c>
      <c r="BA251" s="163">
        <v>1</v>
      </c>
      <c r="BB251" s="26">
        <v>0</v>
      </c>
      <c r="BC251" s="12">
        <v>1</v>
      </c>
      <c r="BD251" s="14">
        <v>0</v>
      </c>
      <c r="BE251" s="163">
        <v>0</v>
      </c>
      <c r="BF251" s="163">
        <v>0</v>
      </c>
      <c r="BG251" s="163">
        <v>0</v>
      </c>
      <c r="BH251" s="163">
        <v>0</v>
      </c>
      <c r="BI251" s="14">
        <v>1</v>
      </c>
      <c r="BJ251" s="163">
        <v>1</v>
      </c>
      <c r="BK251" s="26">
        <v>0</v>
      </c>
      <c r="BL251" s="14">
        <v>0</v>
      </c>
      <c r="BM251" s="163">
        <v>0</v>
      </c>
      <c r="BN251" s="26">
        <v>0</v>
      </c>
      <c r="BO251" s="14">
        <v>1</v>
      </c>
      <c r="BP251" s="12">
        <v>121</v>
      </c>
      <c r="BQ251" s="163">
        <v>1</v>
      </c>
      <c r="BR251" s="14"/>
      <c r="BU251" s="26"/>
      <c r="BV251" s="14">
        <v>0</v>
      </c>
      <c r="BW251" s="209"/>
      <c r="BX251" s="3"/>
      <c r="BY251" s="3"/>
      <c r="BZ251" s="40"/>
      <c r="CA251" s="209"/>
      <c r="CB251" s="3"/>
      <c r="CC251" s="3"/>
      <c r="CD251" s="3"/>
      <c r="CE251" s="209"/>
      <c r="CF251" s="3"/>
      <c r="CG251" s="3"/>
      <c r="CH251" s="40"/>
      <c r="CI251" s="209"/>
      <c r="CJ251" s="3"/>
      <c r="CK251" s="3"/>
      <c r="CL251" s="209"/>
      <c r="CM251" s="3"/>
      <c r="CN251" s="3"/>
      <c r="CO251" s="3"/>
      <c r="CP251" s="40"/>
      <c r="CQ251" s="209"/>
      <c r="CR251" s="40"/>
      <c r="CS251" s="3"/>
      <c r="CT251" s="3"/>
    </row>
    <row r="252" spans="1:98" ht="17" thickBot="1">
      <c r="A252" s="88" t="s">
        <v>319</v>
      </c>
      <c r="B252" s="185" t="s">
        <v>90</v>
      </c>
      <c r="C252" s="27"/>
      <c r="D252" s="28" t="s">
        <v>132</v>
      </c>
      <c r="E252" s="27"/>
      <c r="F252" s="27">
        <v>19</v>
      </c>
      <c r="G252" s="28">
        <v>1</v>
      </c>
      <c r="H252" s="30">
        <v>1</v>
      </c>
      <c r="I252" s="30">
        <v>1</v>
      </c>
      <c r="J252" s="27">
        <v>111</v>
      </c>
      <c r="K252" s="28">
        <v>125</v>
      </c>
      <c r="L252" s="29">
        <v>537</v>
      </c>
      <c r="M252" s="28">
        <v>64</v>
      </c>
      <c r="N252" s="30">
        <v>343</v>
      </c>
      <c r="O252" s="28">
        <v>0</v>
      </c>
      <c r="P252" s="29">
        <v>0</v>
      </c>
      <c r="Q252" s="27">
        <v>1047</v>
      </c>
      <c r="R252" s="211">
        <v>1.6232558139534883</v>
      </c>
      <c r="S252" s="28">
        <v>1</v>
      </c>
      <c r="T252" s="30">
        <v>1</v>
      </c>
      <c r="U252" s="30">
        <v>0</v>
      </c>
      <c r="V252" s="29">
        <v>0</v>
      </c>
      <c r="W252" s="28">
        <v>1100</v>
      </c>
      <c r="X252" s="28">
        <v>1</v>
      </c>
      <c r="Y252" s="30">
        <v>1</v>
      </c>
      <c r="Z252" s="30">
        <v>1</v>
      </c>
      <c r="AA252" s="29">
        <v>0</v>
      </c>
      <c r="AB252" s="27">
        <v>1110</v>
      </c>
      <c r="AC252" s="28">
        <v>0</v>
      </c>
      <c r="AD252" s="28">
        <v>0</v>
      </c>
      <c r="AE252" s="30">
        <v>0</v>
      </c>
      <c r="AF252" s="30">
        <v>1</v>
      </c>
      <c r="AG252" s="29">
        <v>1</v>
      </c>
      <c r="AH252" s="28">
        <v>11</v>
      </c>
      <c r="AI252" s="28">
        <v>0</v>
      </c>
      <c r="AJ252" s="30">
        <v>0</v>
      </c>
      <c r="AK252" s="30">
        <v>0</v>
      </c>
      <c r="AL252" s="29">
        <v>0</v>
      </c>
      <c r="AM252" s="27">
        <v>0</v>
      </c>
      <c r="AN252" s="28">
        <v>0</v>
      </c>
      <c r="AO252" s="30">
        <v>0</v>
      </c>
      <c r="AP252" s="30">
        <v>0</v>
      </c>
      <c r="AQ252" s="30">
        <v>0</v>
      </c>
      <c r="AR252" s="30">
        <v>0</v>
      </c>
      <c r="AS252" s="28">
        <v>1</v>
      </c>
      <c r="AT252" s="30">
        <v>0</v>
      </c>
      <c r="AU252" s="30">
        <v>1</v>
      </c>
      <c r="AV252" s="30">
        <v>0</v>
      </c>
      <c r="AW252" s="29">
        <v>0</v>
      </c>
      <c r="AX252" s="28">
        <v>2</v>
      </c>
      <c r="AY252" s="28">
        <v>0</v>
      </c>
      <c r="AZ252" s="30">
        <v>0</v>
      </c>
      <c r="BA252" s="30">
        <v>1</v>
      </c>
      <c r="BB252" s="29">
        <v>0</v>
      </c>
      <c r="BC252" s="27">
        <v>1</v>
      </c>
      <c r="BD252" s="28">
        <v>0</v>
      </c>
      <c r="BE252" s="30">
        <v>0</v>
      </c>
      <c r="BF252" s="30">
        <v>0</v>
      </c>
      <c r="BG252" s="30">
        <v>0</v>
      </c>
      <c r="BH252" s="30">
        <v>0</v>
      </c>
      <c r="BI252" s="28">
        <v>1</v>
      </c>
      <c r="BJ252" s="30">
        <v>0</v>
      </c>
      <c r="BK252" s="29">
        <v>0</v>
      </c>
      <c r="BL252" s="28">
        <v>0</v>
      </c>
      <c r="BM252" s="30">
        <v>0</v>
      </c>
      <c r="BN252" s="29">
        <v>0</v>
      </c>
      <c r="BO252" s="28">
        <v>0</v>
      </c>
      <c r="BP252" s="27">
        <v>133</v>
      </c>
      <c r="BQ252" s="30">
        <v>2</v>
      </c>
      <c r="BR252" s="28"/>
      <c r="BS252" s="30"/>
      <c r="BT252" s="30"/>
      <c r="BU252" s="29"/>
      <c r="BV252" s="28">
        <v>0</v>
      </c>
      <c r="BW252" s="211"/>
      <c r="BX252" s="77"/>
      <c r="BY252" s="77"/>
      <c r="BZ252" s="45"/>
      <c r="CA252" s="211"/>
      <c r="CB252" s="77"/>
      <c r="CC252" s="77"/>
      <c r="CD252" s="77"/>
      <c r="CE252" s="211"/>
      <c r="CF252" s="77"/>
      <c r="CG252" s="77"/>
      <c r="CH252" s="45"/>
      <c r="CI252" s="211"/>
      <c r="CJ252" s="77"/>
      <c r="CK252" s="77"/>
      <c r="CL252" s="211"/>
      <c r="CM252" s="77"/>
      <c r="CN252" s="77"/>
      <c r="CO252" s="77"/>
      <c r="CP252" s="45"/>
      <c r="CQ252" s="211"/>
      <c r="CR252" s="45"/>
      <c r="CS252" s="3"/>
      <c r="CT252" s="3"/>
    </row>
    <row r="253" spans="1:98">
      <c r="A253" s="87" t="s">
        <v>319</v>
      </c>
      <c r="B253" s="7" t="s">
        <v>110</v>
      </c>
      <c r="C253" s="9"/>
      <c r="D253" s="11" t="s">
        <v>132</v>
      </c>
      <c r="E253" s="9"/>
      <c r="F253" s="9">
        <v>23</v>
      </c>
      <c r="G253" s="11">
        <v>1</v>
      </c>
      <c r="H253" s="8">
        <v>0</v>
      </c>
      <c r="I253" s="8">
        <v>1</v>
      </c>
      <c r="J253" s="9">
        <v>101</v>
      </c>
      <c r="K253" s="11">
        <v>119</v>
      </c>
      <c r="L253" s="41">
        <v>1001</v>
      </c>
      <c r="M253" s="11">
        <v>97</v>
      </c>
      <c r="N253" s="8">
        <v>360</v>
      </c>
      <c r="O253" s="11">
        <v>0</v>
      </c>
      <c r="P253" s="41">
        <v>0</v>
      </c>
      <c r="Q253" s="9">
        <v>2040</v>
      </c>
      <c r="R253" s="208">
        <v>1.6025137470542026</v>
      </c>
      <c r="S253" s="11">
        <v>1</v>
      </c>
      <c r="T253" s="8">
        <v>1</v>
      </c>
      <c r="U253" s="8">
        <v>0</v>
      </c>
      <c r="V253" s="41">
        <v>0</v>
      </c>
      <c r="W253" s="11">
        <v>1100</v>
      </c>
      <c r="X253" s="11">
        <v>1</v>
      </c>
      <c r="Y253" s="8">
        <v>1</v>
      </c>
      <c r="Z253" s="8">
        <v>0</v>
      </c>
      <c r="AA253" s="41">
        <v>0</v>
      </c>
      <c r="AB253" s="9">
        <v>1100</v>
      </c>
      <c r="AC253" s="11">
        <v>0</v>
      </c>
      <c r="AD253" s="11">
        <v>0</v>
      </c>
      <c r="AE253" s="8">
        <v>0</v>
      </c>
      <c r="AF253" s="8">
        <v>1</v>
      </c>
      <c r="AG253" s="41">
        <v>1</v>
      </c>
      <c r="AH253" s="11">
        <v>11</v>
      </c>
      <c r="AI253" s="11">
        <v>0</v>
      </c>
      <c r="AJ253" s="8">
        <v>0</v>
      </c>
      <c r="AK253" s="8">
        <v>0</v>
      </c>
      <c r="AL253" s="41">
        <v>0</v>
      </c>
      <c r="AM253" s="9">
        <v>0</v>
      </c>
      <c r="AN253" s="11">
        <v>0</v>
      </c>
      <c r="AO253" s="8">
        <v>0</v>
      </c>
      <c r="AP253" s="8">
        <v>0</v>
      </c>
      <c r="AQ253" s="8">
        <v>0</v>
      </c>
      <c r="AR253" s="8">
        <v>0</v>
      </c>
      <c r="AS253" s="11">
        <v>0</v>
      </c>
      <c r="AT253" s="8">
        <v>0</v>
      </c>
      <c r="AU253" s="8">
        <v>1</v>
      </c>
      <c r="AV253" s="8">
        <v>0</v>
      </c>
      <c r="AW253" s="41">
        <v>0</v>
      </c>
      <c r="AX253" s="11">
        <v>1</v>
      </c>
      <c r="AY253" s="11">
        <v>0</v>
      </c>
      <c r="AZ253" s="8">
        <v>0</v>
      </c>
      <c r="BA253" s="8">
        <v>0</v>
      </c>
      <c r="BB253" s="41">
        <v>1</v>
      </c>
      <c r="BC253" s="9">
        <v>1</v>
      </c>
      <c r="BD253" s="11">
        <v>0</v>
      </c>
      <c r="BE253" s="8">
        <v>0</v>
      </c>
      <c r="BF253" s="8">
        <v>0</v>
      </c>
      <c r="BG253" s="8">
        <v>0</v>
      </c>
      <c r="BH253" s="8">
        <v>0</v>
      </c>
      <c r="BI253" s="11">
        <v>1</v>
      </c>
      <c r="BJ253" s="8">
        <v>0</v>
      </c>
      <c r="BK253" s="41">
        <v>0</v>
      </c>
      <c r="BL253" s="11">
        <v>0</v>
      </c>
      <c r="BM253" s="8">
        <v>0</v>
      </c>
      <c r="BN253" s="41">
        <v>0</v>
      </c>
      <c r="BO253" s="11">
        <v>1</v>
      </c>
      <c r="BP253" s="9">
        <v>113</v>
      </c>
      <c r="BQ253" s="8">
        <v>1</v>
      </c>
      <c r="BR253" s="11">
        <v>0</v>
      </c>
      <c r="BS253" s="8">
        <v>0</v>
      </c>
      <c r="BT253" s="8">
        <v>0</v>
      </c>
      <c r="BU253" s="41">
        <v>0</v>
      </c>
      <c r="BV253" s="11">
        <v>0</v>
      </c>
      <c r="BW253" s="208"/>
      <c r="BX253" s="54"/>
      <c r="BY253" s="54"/>
      <c r="BZ253" s="10"/>
      <c r="CA253" s="208"/>
      <c r="CB253" s="54"/>
      <c r="CC253" s="54"/>
      <c r="CD253" s="54"/>
      <c r="CE253" s="208"/>
      <c r="CF253" s="54"/>
      <c r="CG253" s="54"/>
      <c r="CH253" s="10"/>
      <c r="CI253" s="208"/>
      <c r="CJ253" s="54"/>
      <c r="CK253" s="54"/>
      <c r="CL253" s="208"/>
      <c r="CM253" s="54"/>
      <c r="CN253" s="54"/>
      <c r="CO253" s="54"/>
      <c r="CP253" s="10"/>
      <c r="CQ253" s="208"/>
      <c r="CR253" s="10"/>
      <c r="CS253" s="3"/>
      <c r="CT253" s="3"/>
    </row>
    <row r="254" spans="1:98">
      <c r="A254" s="42" t="s">
        <v>319</v>
      </c>
      <c r="B254" s="173" t="s">
        <v>110</v>
      </c>
      <c r="C254" s="12"/>
      <c r="D254" s="14" t="s">
        <v>208</v>
      </c>
      <c r="E254" s="12"/>
      <c r="F254" s="12">
        <v>16</v>
      </c>
      <c r="G254" s="14">
        <v>1</v>
      </c>
      <c r="H254" s="163">
        <v>0</v>
      </c>
      <c r="I254" s="163">
        <v>1</v>
      </c>
      <c r="J254" s="12">
        <v>101</v>
      </c>
      <c r="K254" s="14">
        <v>126</v>
      </c>
      <c r="L254" s="26">
        <v>379</v>
      </c>
      <c r="M254" s="14">
        <v>175</v>
      </c>
      <c r="N254" s="163">
        <v>402</v>
      </c>
      <c r="O254" s="14">
        <v>0</v>
      </c>
      <c r="P254" s="26">
        <v>0</v>
      </c>
      <c r="Q254" s="12">
        <v>1048</v>
      </c>
      <c r="R254" s="209">
        <v>1.8647686832740213</v>
      </c>
      <c r="S254" s="14">
        <v>1</v>
      </c>
      <c r="T254" s="163">
        <v>1</v>
      </c>
      <c r="U254" s="163">
        <v>0</v>
      </c>
      <c r="V254" s="26">
        <v>0</v>
      </c>
      <c r="W254" s="14">
        <v>1100</v>
      </c>
      <c r="X254" s="14">
        <v>0</v>
      </c>
      <c r="Y254" s="163">
        <v>1</v>
      </c>
      <c r="Z254" s="163">
        <v>0</v>
      </c>
      <c r="AA254" s="26">
        <v>1</v>
      </c>
      <c r="AB254" s="12">
        <v>101</v>
      </c>
      <c r="AC254" s="14">
        <v>0</v>
      </c>
      <c r="AD254" s="14">
        <v>0</v>
      </c>
      <c r="AE254" s="163">
        <v>0</v>
      </c>
      <c r="AF254" s="163">
        <v>0</v>
      </c>
      <c r="AG254" s="26">
        <v>1</v>
      </c>
      <c r="AH254" s="14">
        <v>1</v>
      </c>
      <c r="AI254" s="14">
        <v>0</v>
      </c>
      <c r="AJ254" s="163">
        <v>0</v>
      </c>
      <c r="AK254" s="163">
        <v>0</v>
      </c>
      <c r="AL254" s="26">
        <v>0</v>
      </c>
      <c r="AM254" s="12">
        <v>0</v>
      </c>
      <c r="AN254" s="14">
        <v>0</v>
      </c>
      <c r="AO254" s="163">
        <v>0</v>
      </c>
      <c r="AP254" s="163">
        <v>0</v>
      </c>
      <c r="AQ254" s="163">
        <v>0</v>
      </c>
      <c r="AR254" s="163">
        <v>0</v>
      </c>
      <c r="AS254" s="14">
        <v>0</v>
      </c>
      <c r="AT254" s="163">
        <v>0</v>
      </c>
      <c r="AU254" s="163">
        <v>1</v>
      </c>
      <c r="AV254" s="163">
        <v>0</v>
      </c>
      <c r="AW254" s="26">
        <v>0</v>
      </c>
      <c r="AX254" s="14">
        <v>1</v>
      </c>
      <c r="AY254" s="14">
        <v>0</v>
      </c>
      <c r="AZ254" s="163">
        <v>0</v>
      </c>
      <c r="BA254" s="163">
        <v>0</v>
      </c>
      <c r="BB254" s="26">
        <v>1</v>
      </c>
      <c r="BC254" s="12">
        <v>1</v>
      </c>
      <c r="BD254" s="14">
        <v>0</v>
      </c>
      <c r="BE254" s="163">
        <v>0</v>
      </c>
      <c r="BF254" s="163">
        <v>0</v>
      </c>
      <c r="BG254" s="163">
        <v>0</v>
      </c>
      <c r="BH254" s="163">
        <v>0</v>
      </c>
      <c r="BI254" s="14">
        <v>1</v>
      </c>
      <c r="BJ254" s="163">
        <v>0</v>
      </c>
      <c r="BK254" s="26">
        <v>0</v>
      </c>
      <c r="BL254" s="14">
        <v>0</v>
      </c>
      <c r="BM254" s="163">
        <v>0</v>
      </c>
      <c r="BN254" s="26">
        <v>0</v>
      </c>
      <c r="BO254" s="14">
        <v>1</v>
      </c>
      <c r="BP254" s="12">
        <v>107</v>
      </c>
      <c r="BQ254" s="163">
        <v>1</v>
      </c>
      <c r="BR254" s="14">
        <v>0</v>
      </c>
      <c r="BS254" s="163">
        <v>0</v>
      </c>
      <c r="BT254" s="163">
        <v>0</v>
      </c>
      <c r="BU254" s="26">
        <v>0</v>
      </c>
      <c r="BV254" s="14">
        <v>0</v>
      </c>
      <c r="BW254" s="209"/>
      <c r="BX254" s="3"/>
      <c r="BY254" s="3"/>
      <c r="BZ254" s="40"/>
      <c r="CA254" s="209"/>
      <c r="CB254" s="3"/>
      <c r="CC254" s="3"/>
      <c r="CD254" s="3"/>
      <c r="CE254" s="209"/>
      <c r="CF254" s="3"/>
      <c r="CG254" s="3"/>
      <c r="CH254" s="40"/>
      <c r="CI254" s="209"/>
      <c r="CJ254" s="3"/>
      <c r="CK254" s="3"/>
      <c r="CL254" s="209"/>
      <c r="CM254" s="3"/>
      <c r="CN254" s="3"/>
      <c r="CO254" s="3"/>
      <c r="CP254" s="40"/>
      <c r="CQ254" s="209"/>
      <c r="CR254" s="40"/>
      <c r="CS254" s="3"/>
      <c r="CT254" s="3"/>
    </row>
    <row r="255" spans="1:98">
      <c r="A255" s="42" t="s">
        <v>319</v>
      </c>
      <c r="B255" s="173" t="s">
        <v>110</v>
      </c>
      <c r="C255" s="12"/>
      <c r="D255" s="14" t="s">
        <v>168</v>
      </c>
      <c r="E255" s="12"/>
      <c r="F255" s="12">
        <v>4</v>
      </c>
      <c r="G255" s="14">
        <v>0</v>
      </c>
      <c r="H255" s="163">
        <v>0</v>
      </c>
      <c r="I255" s="163">
        <v>1</v>
      </c>
      <c r="J255" s="12">
        <v>1</v>
      </c>
      <c r="K255" s="14">
        <v>167</v>
      </c>
      <c r="L255" s="26">
        <v>697</v>
      </c>
      <c r="M255" s="14">
        <v>0</v>
      </c>
      <c r="N255" s="163">
        <v>599</v>
      </c>
      <c r="O255" s="14">
        <v>0</v>
      </c>
      <c r="P255" s="26">
        <v>0</v>
      </c>
      <c r="Q255" s="12">
        <v>697</v>
      </c>
      <c r="R255" s="209">
        <v>1.0592705167173253</v>
      </c>
      <c r="S255" s="14">
        <v>1</v>
      </c>
      <c r="T255" s="163">
        <v>1</v>
      </c>
      <c r="U255" s="163">
        <v>0</v>
      </c>
      <c r="V255" s="26">
        <v>0</v>
      </c>
      <c r="W255" s="14">
        <v>1100</v>
      </c>
      <c r="X255" s="14">
        <v>1</v>
      </c>
      <c r="Y255" s="163">
        <v>0</v>
      </c>
      <c r="Z255" s="163">
        <v>0</v>
      </c>
      <c r="AA255" s="26">
        <v>1</v>
      </c>
      <c r="AB255" s="12">
        <v>1001</v>
      </c>
      <c r="AC255" s="14">
        <v>1</v>
      </c>
      <c r="AD255" s="14">
        <v>0</v>
      </c>
      <c r="AE255" s="163">
        <v>0</v>
      </c>
      <c r="AF255" s="163">
        <v>0</v>
      </c>
      <c r="AG255" s="26">
        <v>1</v>
      </c>
      <c r="AH255" s="14">
        <v>1</v>
      </c>
      <c r="AI255" s="14">
        <v>0</v>
      </c>
      <c r="AJ255" s="163">
        <v>0</v>
      </c>
      <c r="AK255" s="163">
        <v>0</v>
      </c>
      <c r="AL255" s="26">
        <v>0</v>
      </c>
      <c r="AM255" s="12">
        <v>0</v>
      </c>
      <c r="AN255" s="14">
        <v>0</v>
      </c>
      <c r="AO255" s="163">
        <v>0</v>
      </c>
      <c r="AP255" s="163">
        <v>0</v>
      </c>
      <c r="AQ255" s="163">
        <v>0</v>
      </c>
      <c r="AR255" s="163">
        <v>0</v>
      </c>
      <c r="AS255" s="14">
        <v>0</v>
      </c>
      <c r="AT255" s="163">
        <v>0</v>
      </c>
      <c r="AU255" s="163">
        <v>0</v>
      </c>
      <c r="AV255" s="163">
        <v>1</v>
      </c>
      <c r="AW255" s="26">
        <v>0</v>
      </c>
      <c r="AX255" s="14">
        <v>1</v>
      </c>
      <c r="AY255" s="14">
        <v>0</v>
      </c>
      <c r="AZ255" s="163">
        <v>0</v>
      </c>
      <c r="BA255" s="163">
        <v>0</v>
      </c>
      <c r="BB255" s="26">
        <v>1</v>
      </c>
      <c r="BC255" s="12">
        <v>1</v>
      </c>
      <c r="BD255" s="14">
        <v>0</v>
      </c>
      <c r="BE255" s="163">
        <v>0</v>
      </c>
      <c r="BF255" s="163">
        <v>0</v>
      </c>
      <c r="BG255" s="163">
        <v>0</v>
      </c>
      <c r="BH255" s="163">
        <v>0</v>
      </c>
      <c r="BI255" s="14">
        <v>1</v>
      </c>
      <c r="BJ255" s="163">
        <v>1</v>
      </c>
      <c r="BK255" s="26">
        <v>0</v>
      </c>
      <c r="BL255" s="14">
        <v>0</v>
      </c>
      <c r="BM255" s="163">
        <v>0</v>
      </c>
      <c r="BN255" s="26">
        <v>0</v>
      </c>
      <c r="BO255" s="14">
        <v>1</v>
      </c>
      <c r="BP255" s="12">
        <v>87</v>
      </c>
      <c r="BQ255" s="163">
        <v>2</v>
      </c>
      <c r="BR255" s="14">
        <v>0</v>
      </c>
      <c r="BS255" s="163">
        <v>0</v>
      </c>
      <c r="BT255" s="163">
        <v>0</v>
      </c>
      <c r="BU255" s="26">
        <v>0</v>
      </c>
      <c r="BV255" s="14">
        <v>0</v>
      </c>
      <c r="BW255" s="209"/>
      <c r="BX255" s="3"/>
      <c r="BY255" s="3"/>
      <c r="BZ255" s="40"/>
      <c r="CA255" s="209"/>
      <c r="CB255" s="3"/>
      <c r="CC255" s="3"/>
      <c r="CD255" s="3"/>
      <c r="CE255" s="209"/>
      <c r="CF255" s="3"/>
      <c r="CG255" s="3"/>
      <c r="CH255" s="40"/>
      <c r="CI255" s="209"/>
      <c r="CJ255" s="3"/>
      <c r="CK255" s="3"/>
      <c r="CL255" s="209"/>
      <c r="CM255" s="3"/>
      <c r="CN255" s="3"/>
      <c r="CO255" s="3"/>
      <c r="CP255" s="40"/>
      <c r="CQ255" s="209"/>
      <c r="CR255" s="40"/>
      <c r="CS255" s="3"/>
      <c r="CT255" s="3"/>
    </row>
    <row r="256" spans="1:98">
      <c r="A256" s="42" t="s">
        <v>319</v>
      </c>
      <c r="B256" s="173" t="s">
        <v>110</v>
      </c>
      <c r="C256" s="12"/>
      <c r="D256" s="14" t="s">
        <v>199</v>
      </c>
      <c r="E256" s="12"/>
      <c r="F256" s="12">
        <v>6</v>
      </c>
      <c r="G256" s="14">
        <v>0</v>
      </c>
      <c r="H256" s="163">
        <v>0</v>
      </c>
      <c r="I256" s="163">
        <v>1</v>
      </c>
      <c r="J256" s="12">
        <v>1</v>
      </c>
      <c r="K256" s="14">
        <v>283</v>
      </c>
      <c r="L256" s="26">
        <v>601</v>
      </c>
      <c r="M256" s="14">
        <v>100</v>
      </c>
      <c r="N256" s="163">
        <v>649</v>
      </c>
      <c r="O256" s="14">
        <v>0</v>
      </c>
      <c r="P256" s="26">
        <v>0</v>
      </c>
      <c r="Q256" s="12">
        <v>1023</v>
      </c>
      <c r="R256" s="209">
        <v>1.5291479820627802</v>
      </c>
      <c r="S256" s="14">
        <v>1</v>
      </c>
      <c r="T256" s="163">
        <v>1</v>
      </c>
      <c r="U256" s="163">
        <v>0</v>
      </c>
      <c r="V256" s="26">
        <v>0</v>
      </c>
      <c r="W256" s="14">
        <v>1100</v>
      </c>
      <c r="X256" s="14">
        <v>1</v>
      </c>
      <c r="Y256" s="163">
        <v>0</v>
      </c>
      <c r="Z256" s="163">
        <v>0</v>
      </c>
      <c r="AA256" s="26">
        <v>1</v>
      </c>
      <c r="AB256" s="12">
        <v>1001</v>
      </c>
      <c r="AC256" s="14">
        <v>1</v>
      </c>
      <c r="AD256" s="14">
        <v>0</v>
      </c>
      <c r="AE256" s="163">
        <v>0</v>
      </c>
      <c r="AF256" s="163">
        <v>0</v>
      </c>
      <c r="AG256" s="26">
        <v>1</v>
      </c>
      <c r="AH256" s="14">
        <v>1</v>
      </c>
      <c r="AI256" s="14">
        <v>0</v>
      </c>
      <c r="AJ256" s="163">
        <v>0</v>
      </c>
      <c r="AK256" s="163">
        <v>0</v>
      </c>
      <c r="AL256" s="26">
        <v>0</v>
      </c>
      <c r="AM256" s="12">
        <v>0</v>
      </c>
      <c r="AN256" s="14">
        <v>0</v>
      </c>
      <c r="AO256" s="163">
        <v>0</v>
      </c>
      <c r="AP256" s="163">
        <v>0</v>
      </c>
      <c r="AQ256" s="163">
        <v>0</v>
      </c>
      <c r="AR256" s="163">
        <v>0</v>
      </c>
      <c r="AS256" s="14">
        <v>1</v>
      </c>
      <c r="AT256" s="163">
        <v>0</v>
      </c>
      <c r="AU256" s="163">
        <v>1</v>
      </c>
      <c r="AV256" s="163">
        <v>0</v>
      </c>
      <c r="AW256" s="26">
        <v>0</v>
      </c>
      <c r="AX256" s="14">
        <v>2</v>
      </c>
      <c r="AY256" s="14">
        <v>0</v>
      </c>
      <c r="AZ256" s="163">
        <v>0</v>
      </c>
      <c r="BA256" s="163">
        <v>0</v>
      </c>
      <c r="BB256" s="26">
        <v>1</v>
      </c>
      <c r="BC256" s="12">
        <v>1</v>
      </c>
      <c r="BD256" s="14">
        <v>0</v>
      </c>
      <c r="BE256" s="163">
        <v>0</v>
      </c>
      <c r="BF256" s="163">
        <v>0</v>
      </c>
      <c r="BG256" s="163">
        <v>0</v>
      </c>
      <c r="BH256" s="163">
        <v>0</v>
      </c>
      <c r="BI256" s="14">
        <v>1</v>
      </c>
      <c r="BJ256" s="163">
        <v>0</v>
      </c>
      <c r="BK256" s="26">
        <v>0</v>
      </c>
      <c r="BL256" s="14">
        <v>0</v>
      </c>
      <c r="BM256" s="163">
        <v>0</v>
      </c>
      <c r="BN256" s="26">
        <v>0</v>
      </c>
      <c r="BO256" s="14">
        <v>1</v>
      </c>
      <c r="BP256" s="12">
        <v>100</v>
      </c>
      <c r="BQ256" s="163">
        <v>2</v>
      </c>
      <c r="BR256" s="14">
        <v>0</v>
      </c>
      <c r="BS256" s="163">
        <v>0</v>
      </c>
      <c r="BT256" s="163">
        <v>0</v>
      </c>
      <c r="BU256" s="26">
        <v>0</v>
      </c>
      <c r="BV256" s="14">
        <v>0</v>
      </c>
      <c r="BW256" s="209"/>
      <c r="BX256" s="3"/>
      <c r="BY256" s="3"/>
      <c r="BZ256" s="40"/>
      <c r="CA256" s="209"/>
      <c r="CB256" s="3"/>
      <c r="CC256" s="3"/>
      <c r="CD256" s="3"/>
      <c r="CE256" s="209"/>
      <c r="CF256" s="3"/>
      <c r="CG256" s="3"/>
      <c r="CH256" s="40"/>
      <c r="CI256" s="209"/>
      <c r="CJ256" s="3"/>
      <c r="CK256" s="3"/>
      <c r="CL256" s="209"/>
      <c r="CM256" s="3"/>
      <c r="CN256" s="3"/>
      <c r="CO256" s="3"/>
      <c r="CP256" s="40"/>
      <c r="CQ256" s="209"/>
      <c r="CR256" s="40"/>
      <c r="CS256" s="3"/>
      <c r="CT256" s="3"/>
    </row>
    <row r="257" spans="1:98" ht="17" thickBot="1">
      <c r="A257" s="55" t="s">
        <v>319</v>
      </c>
      <c r="B257" s="47" t="s">
        <v>110</v>
      </c>
      <c r="C257" s="33"/>
      <c r="D257" s="34" t="s">
        <v>174</v>
      </c>
      <c r="E257" s="33"/>
      <c r="F257" s="33">
        <v>12</v>
      </c>
      <c r="G257" s="34">
        <v>1</v>
      </c>
      <c r="H257" s="36">
        <v>0</v>
      </c>
      <c r="I257" s="36">
        <v>1</v>
      </c>
      <c r="J257" s="33">
        <v>101</v>
      </c>
      <c r="K257" s="34">
        <v>146</v>
      </c>
      <c r="L257" s="35">
        <v>724</v>
      </c>
      <c r="M257" s="34">
        <v>51</v>
      </c>
      <c r="N257" s="36">
        <v>203</v>
      </c>
      <c r="O257" s="34">
        <v>0</v>
      </c>
      <c r="P257" s="35">
        <v>0</v>
      </c>
      <c r="Q257" s="33">
        <v>1887</v>
      </c>
      <c r="R257" s="210">
        <v>2.6171983356449378</v>
      </c>
      <c r="S257" s="34">
        <v>1</v>
      </c>
      <c r="T257" s="36">
        <v>1</v>
      </c>
      <c r="U257" s="36">
        <v>9</v>
      </c>
      <c r="V257" s="35">
        <v>9</v>
      </c>
      <c r="W257" s="34">
        <v>1199</v>
      </c>
      <c r="X257" s="34">
        <v>1</v>
      </c>
      <c r="Y257" s="36">
        <v>0</v>
      </c>
      <c r="Z257" s="36">
        <v>0</v>
      </c>
      <c r="AA257" s="35">
        <v>1</v>
      </c>
      <c r="AB257" s="33">
        <v>1001</v>
      </c>
      <c r="AC257" s="34">
        <v>0</v>
      </c>
      <c r="AD257" s="34">
        <v>0</v>
      </c>
      <c r="AE257" s="36">
        <v>0</v>
      </c>
      <c r="AF257" s="36">
        <v>0</v>
      </c>
      <c r="AG257" s="35">
        <v>1</v>
      </c>
      <c r="AH257" s="34">
        <v>1</v>
      </c>
      <c r="AI257" s="34">
        <v>0</v>
      </c>
      <c r="AJ257" s="36">
        <v>0</v>
      </c>
      <c r="AK257" s="36">
        <v>0</v>
      </c>
      <c r="AL257" s="35">
        <v>0</v>
      </c>
      <c r="AM257" s="33">
        <v>0</v>
      </c>
      <c r="AN257" s="34">
        <v>0</v>
      </c>
      <c r="AO257" s="36">
        <v>0</v>
      </c>
      <c r="AP257" s="36">
        <v>0</v>
      </c>
      <c r="AQ257" s="36">
        <v>0</v>
      </c>
      <c r="AR257" s="36">
        <v>0</v>
      </c>
      <c r="AS257" s="34">
        <v>0</v>
      </c>
      <c r="AT257" s="36">
        <v>0</v>
      </c>
      <c r="AU257" s="36">
        <v>1</v>
      </c>
      <c r="AV257" s="36">
        <v>0</v>
      </c>
      <c r="AW257" s="35">
        <v>0</v>
      </c>
      <c r="AX257" s="34">
        <v>1</v>
      </c>
      <c r="AY257" s="34">
        <v>0</v>
      </c>
      <c r="AZ257" s="36">
        <v>0</v>
      </c>
      <c r="BA257" s="36">
        <v>0</v>
      </c>
      <c r="BB257" s="35">
        <v>1</v>
      </c>
      <c r="BC257" s="33">
        <v>1</v>
      </c>
      <c r="BD257" s="34">
        <v>0</v>
      </c>
      <c r="BE257" s="36">
        <v>0</v>
      </c>
      <c r="BF257" s="36">
        <v>0</v>
      </c>
      <c r="BG257" s="36">
        <v>0</v>
      </c>
      <c r="BH257" s="36">
        <v>0</v>
      </c>
      <c r="BI257" s="34">
        <v>1</v>
      </c>
      <c r="BJ257" s="36">
        <v>0</v>
      </c>
      <c r="BK257" s="35">
        <v>0</v>
      </c>
      <c r="BL257" s="34">
        <v>0</v>
      </c>
      <c r="BM257" s="36">
        <v>0</v>
      </c>
      <c r="BN257" s="35">
        <v>0</v>
      </c>
      <c r="BO257" s="34">
        <v>1</v>
      </c>
      <c r="BP257" s="33">
        <v>108</v>
      </c>
      <c r="BQ257" s="36">
        <v>2</v>
      </c>
      <c r="BR257" s="34">
        <v>0</v>
      </c>
      <c r="BS257" s="36">
        <v>0</v>
      </c>
      <c r="BT257" s="36">
        <v>0</v>
      </c>
      <c r="BU257" s="35">
        <v>0</v>
      </c>
      <c r="BV257" s="34">
        <v>0</v>
      </c>
      <c r="BW257" s="210"/>
      <c r="BX257" s="51"/>
      <c r="BY257" s="51"/>
      <c r="BZ257" s="48"/>
      <c r="CA257" s="210"/>
      <c r="CB257" s="51"/>
      <c r="CC257" s="51"/>
      <c r="CD257" s="51"/>
      <c r="CE257" s="210"/>
      <c r="CF257" s="51"/>
      <c r="CG257" s="51"/>
      <c r="CH257" s="48"/>
      <c r="CI257" s="210"/>
      <c r="CJ257" s="51"/>
      <c r="CK257" s="51"/>
      <c r="CL257" s="210"/>
      <c r="CM257" s="51"/>
      <c r="CN257" s="51"/>
      <c r="CO257" s="51"/>
      <c r="CP257" s="48"/>
      <c r="CQ257" s="210"/>
      <c r="CR257" s="48"/>
      <c r="CS257" s="3"/>
      <c r="CT257" s="3"/>
    </row>
    <row r="258" spans="1:98" ht="17" thickBot="1">
      <c r="A258" s="88" t="s">
        <v>319</v>
      </c>
      <c r="B258" s="185" t="s">
        <v>115</v>
      </c>
      <c r="C258" s="27"/>
      <c r="D258" s="28" t="s">
        <v>132</v>
      </c>
      <c r="E258" s="27"/>
      <c r="F258" s="27">
        <v>13</v>
      </c>
      <c r="G258" s="28">
        <v>1</v>
      </c>
      <c r="H258" s="30">
        <v>0</v>
      </c>
      <c r="I258" s="30">
        <v>1</v>
      </c>
      <c r="J258" s="27">
        <v>101</v>
      </c>
      <c r="K258" s="28">
        <v>150</v>
      </c>
      <c r="L258" s="29">
        <v>449</v>
      </c>
      <c r="M258" s="28">
        <v>98</v>
      </c>
      <c r="N258" s="30">
        <v>336</v>
      </c>
      <c r="O258" s="28">
        <v>0</v>
      </c>
      <c r="P258" s="29">
        <v>0</v>
      </c>
      <c r="Q258" s="27">
        <v>784</v>
      </c>
      <c r="R258" s="211">
        <v>1.4385321100917432</v>
      </c>
      <c r="S258" s="28">
        <v>1</v>
      </c>
      <c r="T258" s="30">
        <v>1</v>
      </c>
      <c r="U258" s="30">
        <v>0</v>
      </c>
      <c r="V258" s="29">
        <v>0</v>
      </c>
      <c r="W258" s="28">
        <v>1100</v>
      </c>
      <c r="X258" s="28">
        <v>1</v>
      </c>
      <c r="Y258" s="30">
        <v>0</v>
      </c>
      <c r="Z258" s="30">
        <v>1</v>
      </c>
      <c r="AA258" s="29">
        <v>0</v>
      </c>
      <c r="AB258" s="27">
        <v>1010</v>
      </c>
      <c r="AC258" s="28">
        <v>1</v>
      </c>
      <c r="AD258" s="28">
        <v>0</v>
      </c>
      <c r="AE258" s="30">
        <v>1</v>
      </c>
      <c r="AF258" s="30">
        <v>0</v>
      </c>
      <c r="AG258" s="29">
        <v>1</v>
      </c>
      <c r="AH258" s="28">
        <v>101</v>
      </c>
      <c r="AI258" s="28">
        <v>0</v>
      </c>
      <c r="AJ258" s="30">
        <v>0</v>
      </c>
      <c r="AK258" s="30">
        <v>0</v>
      </c>
      <c r="AL258" s="29">
        <v>0</v>
      </c>
      <c r="AM258" s="27">
        <v>0</v>
      </c>
      <c r="AN258" s="28">
        <v>0</v>
      </c>
      <c r="AO258" s="30">
        <v>0</v>
      </c>
      <c r="AP258" s="30">
        <v>0</v>
      </c>
      <c r="AQ258" s="30">
        <v>0</v>
      </c>
      <c r="AR258" s="30">
        <v>0</v>
      </c>
      <c r="AS258" s="28">
        <v>1</v>
      </c>
      <c r="AT258" s="30">
        <v>0</v>
      </c>
      <c r="AU258" s="30">
        <v>1</v>
      </c>
      <c r="AV258" s="30">
        <v>0</v>
      </c>
      <c r="AW258" s="29">
        <v>0</v>
      </c>
      <c r="AX258" s="28">
        <v>2</v>
      </c>
      <c r="AY258" s="28">
        <v>0</v>
      </c>
      <c r="AZ258" s="30">
        <v>0</v>
      </c>
      <c r="BA258" s="30">
        <v>1</v>
      </c>
      <c r="BB258" s="29">
        <v>0</v>
      </c>
      <c r="BC258" s="27">
        <v>1</v>
      </c>
      <c r="BD258" s="28">
        <v>0</v>
      </c>
      <c r="BE258" s="30">
        <v>0</v>
      </c>
      <c r="BF258" s="30">
        <v>0</v>
      </c>
      <c r="BG258" s="30">
        <v>0</v>
      </c>
      <c r="BH258" s="30">
        <v>0</v>
      </c>
      <c r="BI258" s="28">
        <v>1</v>
      </c>
      <c r="BJ258" s="30">
        <v>0</v>
      </c>
      <c r="BK258" s="29">
        <v>0</v>
      </c>
      <c r="BL258" s="28">
        <v>0</v>
      </c>
      <c r="BM258" s="30">
        <v>0</v>
      </c>
      <c r="BN258" s="29">
        <v>0</v>
      </c>
      <c r="BO258" s="28">
        <v>1</v>
      </c>
      <c r="BP258" s="27">
        <v>129</v>
      </c>
      <c r="BQ258" s="30">
        <v>2</v>
      </c>
      <c r="BR258" s="28"/>
      <c r="BS258" s="30"/>
      <c r="BT258" s="30"/>
      <c r="BU258" s="29"/>
      <c r="BV258" s="28">
        <v>0</v>
      </c>
      <c r="BW258" s="211"/>
      <c r="BX258" s="77"/>
      <c r="BY258" s="77"/>
      <c r="BZ258" s="45"/>
      <c r="CA258" s="211"/>
      <c r="CB258" s="77"/>
      <c r="CC258" s="77"/>
      <c r="CD258" s="77"/>
      <c r="CE258" s="211"/>
      <c r="CF258" s="77"/>
      <c r="CG258" s="77"/>
      <c r="CH258" s="45"/>
      <c r="CI258" s="211"/>
      <c r="CJ258" s="77"/>
      <c r="CK258" s="77"/>
      <c r="CL258" s="211"/>
      <c r="CM258" s="77"/>
      <c r="CN258" s="77"/>
      <c r="CO258" s="77"/>
      <c r="CP258" s="45"/>
      <c r="CQ258" s="211"/>
      <c r="CR258" s="45"/>
      <c r="CS258" s="3"/>
      <c r="CT258" s="3"/>
    </row>
    <row r="259" spans="1:98">
      <c r="A259" s="87" t="s">
        <v>319</v>
      </c>
      <c r="B259" s="7" t="s">
        <v>123</v>
      </c>
      <c r="C259" s="9"/>
      <c r="D259" s="11" t="s">
        <v>132</v>
      </c>
      <c r="E259" s="9"/>
      <c r="F259" s="9">
        <v>19</v>
      </c>
      <c r="G259" s="11">
        <v>1</v>
      </c>
      <c r="H259" s="8">
        <v>0</v>
      </c>
      <c r="I259" s="8">
        <v>1</v>
      </c>
      <c r="J259" s="9">
        <v>101</v>
      </c>
      <c r="K259" s="11">
        <v>132</v>
      </c>
      <c r="L259" s="41">
        <v>891</v>
      </c>
      <c r="M259" s="11">
        <v>115</v>
      </c>
      <c r="N259" s="8">
        <v>517</v>
      </c>
      <c r="O259" s="11">
        <v>0</v>
      </c>
      <c r="P259" s="41">
        <v>0</v>
      </c>
      <c r="Q259" s="9">
        <v>1438</v>
      </c>
      <c r="R259" s="208">
        <v>1.1748366013071896</v>
      </c>
      <c r="S259" s="11">
        <v>1</v>
      </c>
      <c r="T259" s="8">
        <v>1</v>
      </c>
      <c r="U259" s="8">
        <v>0</v>
      </c>
      <c r="V259" s="41">
        <v>1</v>
      </c>
      <c r="W259" s="11">
        <v>1101</v>
      </c>
      <c r="X259" s="11">
        <v>0</v>
      </c>
      <c r="Y259" s="8">
        <v>1</v>
      </c>
      <c r="Z259" s="8">
        <v>1</v>
      </c>
      <c r="AA259" s="41">
        <v>0</v>
      </c>
      <c r="AB259" s="9">
        <v>110</v>
      </c>
      <c r="AC259" s="11">
        <v>0</v>
      </c>
      <c r="AD259" s="11">
        <v>0</v>
      </c>
      <c r="AE259" s="8">
        <v>0</v>
      </c>
      <c r="AF259" s="8">
        <v>1</v>
      </c>
      <c r="AG259" s="41">
        <v>1</v>
      </c>
      <c r="AH259" s="11">
        <v>11</v>
      </c>
      <c r="AI259" s="11">
        <v>0</v>
      </c>
      <c r="AJ259" s="8">
        <v>0</v>
      </c>
      <c r="AK259" s="8">
        <v>0</v>
      </c>
      <c r="AL259" s="41">
        <v>0</v>
      </c>
      <c r="AM259" s="9">
        <v>0</v>
      </c>
      <c r="AN259" s="11">
        <v>0</v>
      </c>
      <c r="AO259" s="8">
        <v>0</v>
      </c>
      <c r="AP259" s="8">
        <v>0</v>
      </c>
      <c r="AQ259" s="8">
        <v>0</v>
      </c>
      <c r="AR259" s="8">
        <v>1</v>
      </c>
      <c r="AS259" s="11">
        <v>1</v>
      </c>
      <c r="AT259" s="8">
        <v>0</v>
      </c>
      <c r="AU259" s="8">
        <v>0</v>
      </c>
      <c r="AV259" s="8">
        <v>0</v>
      </c>
      <c r="AW259" s="41">
        <v>0</v>
      </c>
      <c r="AX259" s="11">
        <v>1</v>
      </c>
      <c r="AY259" s="11">
        <v>0</v>
      </c>
      <c r="AZ259" s="8">
        <v>0</v>
      </c>
      <c r="BA259" s="8">
        <v>0</v>
      </c>
      <c r="BB259" s="41">
        <v>1</v>
      </c>
      <c r="BC259" s="9">
        <v>1</v>
      </c>
      <c r="BD259" s="11">
        <v>0</v>
      </c>
      <c r="BE259" s="8">
        <v>0</v>
      </c>
      <c r="BF259" s="8">
        <v>0</v>
      </c>
      <c r="BG259" s="8">
        <v>0</v>
      </c>
      <c r="BH259" s="8">
        <v>0</v>
      </c>
      <c r="BI259" s="11">
        <v>1</v>
      </c>
      <c r="BJ259" s="8">
        <v>0</v>
      </c>
      <c r="BK259" s="41">
        <v>0</v>
      </c>
      <c r="BL259" s="11">
        <v>0</v>
      </c>
      <c r="BM259" s="8">
        <v>0</v>
      </c>
      <c r="BN259" s="41">
        <v>0</v>
      </c>
      <c r="BO259" s="11">
        <v>1</v>
      </c>
      <c r="BP259" s="9">
        <v>119</v>
      </c>
      <c r="BQ259" s="8">
        <v>1</v>
      </c>
      <c r="BR259" s="11"/>
      <c r="BS259" s="8"/>
      <c r="BT259" s="8"/>
      <c r="BU259" s="41"/>
      <c r="BV259" s="11">
        <v>0</v>
      </c>
      <c r="BW259" s="208"/>
      <c r="BX259" s="54"/>
      <c r="BY259" s="54"/>
      <c r="BZ259" s="10"/>
      <c r="CA259" s="208"/>
      <c r="CB259" s="54"/>
      <c r="CC259" s="54"/>
      <c r="CD259" s="54"/>
      <c r="CE259" s="208"/>
      <c r="CF259" s="54"/>
      <c r="CG259" s="54"/>
      <c r="CH259" s="10"/>
      <c r="CI259" s="208"/>
      <c r="CJ259" s="54"/>
      <c r="CK259" s="54"/>
      <c r="CL259" s="208"/>
      <c r="CM259" s="54"/>
      <c r="CN259" s="54"/>
      <c r="CO259" s="54"/>
      <c r="CP259" s="10"/>
      <c r="CQ259" s="208"/>
      <c r="CR259" s="10"/>
      <c r="CS259" s="3"/>
      <c r="CT259" s="3"/>
    </row>
    <row r="260" spans="1:98" ht="17" thickBot="1">
      <c r="A260" s="55" t="s">
        <v>319</v>
      </c>
      <c r="B260" s="47" t="s">
        <v>123</v>
      </c>
      <c r="C260" s="33"/>
      <c r="D260" s="34" t="s">
        <v>167</v>
      </c>
      <c r="E260" s="33"/>
      <c r="F260" s="33">
        <v>8</v>
      </c>
      <c r="G260" s="34">
        <v>0</v>
      </c>
      <c r="H260" s="36">
        <v>0</v>
      </c>
      <c r="I260" s="36">
        <v>1</v>
      </c>
      <c r="J260" s="33">
        <v>1</v>
      </c>
      <c r="K260" s="34">
        <v>171</v>
      </c>
      <c r="L260" s="35">
        <v>367</v>
      </c>
      <c r="M260" s="34">
        <v>100</v>
      </c>
      <c r="N260" s="36">
        <v>326</v>
      </c>
      <c r="O260" s="34">
        <v>0</v>
      </c>
      <c r="P260" s="35">
        <v>0</v>
      </c>
      <c r="Q260" s="33">
        <v>666</v>
      </c>
      <c r="R260" s="210">
        <v>1.3675564681724846</v>
      </c>
      <c r="S260" s="34">
        <v>1</v>
      </c>
      <c r="T260" s="36">
        <v>1</v>
      </c>
      <c r="U260" s="36">
        <v>0</v>
      </c>
      <c r="V260" s="35">
        <v>0</v>
      </c>
      <c r="W260" s="34">
        <v>1100</v>
      </c>
      <c r="X260" s="34">
        <v>0</v>
      </c>
      <c r="Y260" s="36">
        <v>1</v>
      </c>
      <c r="Z260" s="36">
        <v>0</v>
      </c>
      <c r="AA260" s="35">
        <v>0</v>
      </c>
      <c r="AB260" s="33">
        <v>100</v>
      </c>
      <c r="AC260" s="34">
        <v>1</v>
      </c>
      <c r="AD260" s="34">
        <v>0</v>
      </c>
      <c r="AE260" s="36">
        <v>0</v>
      </c>
      <c r="AF260" s="36">
        <v>1</v>
      </c>
      <c r="AG260" s="35">
        <v>1</v>
      </c>
      <c r="AH260" s="34">
        <v>11</v>
      </c>
      <c r="AI260" s="34">
        <v>0</v>
      </c>
      <c r="AJ260" s="36">
        <v>0</v>
      </c>
      <c r="AK260" s="36">
        <v>0</v>
      </c>
      <c r="AL260" s="35">
        <v>0</v>
      </c>
      <c r="AM260" s="33">
        <v>0</v>
      </c>
      <c r="AN260" s="34">
        <v>0</v>
      </c>
      <c r="AO260" s="36">
        <v>0</v>
      </c>
      <c r="AP260" s="36">
        <v>0</v>
      </c>
      <c r="AQ260" s="36">
        <v>0</v>
      </c>
      <c r="AR260" s="36">
        <v>0</v>
      </c>
      <c r="AS260" s="34">
        <v>0</v>
      </c>
      <c r="AT260" s="36">
        <v>1</v>
      </c>
      <c r="AU260" s="36">
        <v>1</v>
      </c>
      <c r="AV260" s="36">
        <v>0</v>
      </c>
      <c r="AW260" s="35">
        <v>0</v>
      </c>
      <c r="AX260" s="34">
        <v>2</v>
      </c>
      <c r="AY260" s="34">
        <v>0</v>
      </c>
      <c r="AZ260" s="36">
        <v>0</v>
      </c>
      <c r="BA260" s="36">
        <v>0</v>
      </c>
      <c r="BB260" s="35">
        <v>1</v>
      </c>
      <c r="BC260" s="33">
        <v>1</v>
      </c>
      <c r="BD260" s="34">
        <v>0</v>
      </c>
      <c r="BE260" s="36">
        <v>0</v>
      </c>
      <c r="BF260" s="36">
        <v>0</v>
      </c>
      <c r="BG260" s="36">
        <v>0</v>
      </c>
      <c r="BH260" s="36">
        <v>0</v>
      </c>
      <c r="BI260" s="34">
        <v>1</v>
      </c>
      <c r="BJ260" s="36">
        <v>0</v>
      </c>
      <c r="BK260" s="35">
        <v>0</v>
      </c>
      <c r="BL260" s="34">
        <v>0</v>
      </c>
      <c r="BM260" s="36">
        <v>0</v>
      </c>
      <c r="BN260" s="35">
        <v>0</v>
      </c>
      <c r="BO260" s="34">
        <v>1</v>
      </c>
      <c r="BP260" s="33">
        <v>100</v>
      </c>
      <c r="BQ260" s="36">
        <v>2</v>
      </c>
      <c r="BR260" s="34"/>
      <c r="BS260" s="36"/>
      <c r="BT260" s="36"/>
      <c r="BU260" s="35"/>
      <c r="BV260" s="34">
        <v>0</v>
      </c>
      <c r="BW260" s="210"/>
      <c r="BX260" s="51"/>
      <c r="BY260" s="51"/>
      <c r="BZ260" s="48"/>
      <c r="CA260" s="210"/>
      <c r="CB260" s="51"/>
      <c r="CC260" s="51"/>
      <c r="CD260" s="51"/>
      <c r="CE260" s="210"/>
      <c r="CF260" s="51"/>
      <c r="CG260" s="51"/>
      <c r="CH260" s="48"/>
      <c r="CI260" s="210"/>
      <c r="CJ260" s="51"/>
      <c r="CK260" s="51"/>
      <c r="CL260" s="210"/>
      <c r="CM260" s="51"/>
      <c r="CN260" s="51"/>
      <c r="CO260" s="51"/>
      <c r="CP260" s="48"/>
      <c r="CQ260" s="210"/>
      <c r="CR260" s="48"/>
      <c r="CS260" s="3"/>
      <c r="CT260" s="3"/>
    </row>
    <row r="261" spans="1:98">
      <c r="A261" s="87" t="s">
        <v>319</v>
      </c>
      <c r="B261" s="7" t="s">
        <v>125</v>
      </c>
      <c r="C261" s="9"/>
      <c r="D261" s="11" t="s">
        <v>332</v>
      </c>
      <c r="E261" s="9"/>
      <c r="F261" s="9">
        <v>5</v>
      </c>
      <c r="G261" s="11">
        <v>1</v>
      </c>
      <c r="H261" s="8">
        <v>0</v>
      </c>
      <c r="I261" s="8">
        <v>1</v>
      </c>
      <c r="J261" s="9">
        <v>101</v>
      </c>
      <c r="K261" s="11">
        <v>1066</v>
      </c>
      <c r="L261" s="41">
        <v>1680</v>
      </c>
      <c r="M261" s="11">
        <v>297</v>
      </c>
      <c r="N261" s="8">
        <v>305</v>
      </c>
      <c r="O261" s="11">
        <v>0</v>
      </c>
      <c r="P261" s="41">
        <v>683</v>
      </c>
      <c r="Q261" s="213">
        <v>1655</v>
      </c>
      <c r="R261" s="107">
        <v>1.3208300079808459</v>
      </c>
      <c r="S261" s="11">
        <v>1</v>
      </c>
      <c r="T261" s="8">
        <v>1</v>
      </c>
      <c r="U261" s="8">
        <v>1</v>
      </c>
      <c r="V261" s="41">
        <v>0</v>
      </c>
      <c r="W261" s="11">
        <v>1110</v>
      </c>
      <c r="X261" s="11">
        <v>0</v>
      </c>
      <c r="Y261" s="8">
        <v>1</v>
      </c>
      <c r="Z261" s="8">
        <v>0</v>
      </c>
      <c r="AA261" s="41">
        <v>0</v>
      </c>
      <c r="AB261" s="9"/>
      <c r="AC261" s="11"/>
      <c r="AD261" s="11">
        <v>1</v>
      </c>
      <c r="AE261" s="8">
        <v>0</v>
      </c>
      <c r="AF261" s="8">
        <v>0</v>
      </c>
      <c r="AG261" s="41">
        <v>0</v>
      </c>
      <c r="AH261" s="11">
        <v>1000</v>
      </c>
      <c r="AI261" s="11">
        <v>0</v>
      </c>
      <c r="AJ261" s="8">
        <v>0</v>
      </c>
      <c r="AK261" s="8">
        <v>1</v>
      </c>
      <c r="AL261" s="41">
        <v>0</v>
      </c>
      <c r="AM261" s="9">
        <v>10</v>
      </c>
      <c r="AN261" s="11">
        <v>0</v>
      </c>
      <c r="AO261" s="8">
        <v>0</v>
      </c>
      <c r="AP261" s="8">
        <v>0</v>
      </c>
      <c r="AQ261" s="8">
        <v>0</v>
      </c>
      <c r="AR261" s="8">
        <v>0</v>
      </c>
      <c r="AS261" s="11">
        <v>0</v>
      </c>
      <c r="AT261" s="8">
        <v>0</v>
      </c>
      <c r="AU261" s="8">
        <v>0</v>
      </c>
      <c r="AV261" s="8">
        <v>1</v>
      </c>
      <c r="AW261" s="41">
        <v>0</v>
      </c>
      <c r="AX261" s="11">
        <v>1</v>
      </c>
      <c r="AY261" s="11">
        <v>0</v>
      </c>
      <c r="AZ261" s="8">
        <v>0</v>
      </c>
      <c r="BA261" s="8">
        <v>1</v>
      </c>
      <c r="BB261" s="41">
        <v>1</v>
      </c>
      <c r="BC261" s="9">
        <v>2</v>
      </c>
      <c r="BD261" s="11">
        <v>0</v>
      </c>
      <c r="BE261" s="8">
        <v>0</v>
      </c>
      <c r="BF261" s="8">
        <v>0</v>
      </c>
      <c r="BG261" s="8">
        <v>0</v>
      </c>
      <c r="BH261" s="8">
        <v>0</v>
      </c>
      <c r="BI261" s="11">
        <v>0</v>
      </c>
      <c r="BJ261" s="8">
        <v>0</v>
      </c>
      <c r="BK261" s="41">
        <v>0</v>
      </c>
      <c r="BL261" s="11">
        <v>0</v>
      </c>
      <c r="BM261" s="8">
        <v>0</v>
      </c>
      <c r="BN261" s="41">
        <v>0</v>
      </c>
      <c r="BO261" s="11">
        <v>0</v>
      </c>
      <c r="BP261" s="213">
        <v>128</v>
      </c>
      <c r="BQ261" s="8">
        <v>2</v>
      </c>
      <c r="BR261" s="11">
        <v>0</v>
      </c>
      <c r="BS261" s="8">
        <v>0</v>
      </c>
      <c r="BT261" s="8">
        <v>0</v>
      </c>
      <c r="BU261" s="41">
        <v>0</v>
      </c>
      <c r="BV261" s="11">
        <v>0</v>
      </c>
      <c r="BW261" s="208">
        <v>65.45</v>
      </c>
      <c r="BX261" s="54"/>
      <c r="BY261" s="54"/>
      <c r="BZ261" s="10"/>
      <c r="CA261" s="208"/>
      <c r="CB261" s="54"/>
      <c r="CC261" s="54"/>
      <c r="CD261" s="54"/>
      <c r="CE261" s="208">
        <v>66.3</v>
      </c>
      <c r="CF261" s="54"/>
      <c r="CG261" s="54"/>
      <c r="CH261" s="10"/>
      <c r="CI261" s="208"/>
      <c r="CJ261" s="54"/>
      <c r="CK261" s="54"/>
      <c r="CL261" s="208">
        <v>84</v>
      </c>
      <c r="CM261" s="54"/>
      <c r="CN261" s="54"/>
      <c r="CO261" s="54"/>
      <c r="CP261" s="10"/>
      <c r="CQ261" s="208"/>
      <c r="CR261" s="10"/>
      <c r="CS261" s="3"/>
      <c r="CT261" s="3"/>
    </row>
    <row r="262" spans="1:98">
      <c r="A262" s="42" t="s">
        <v>319</v>
      </c>
      <c r="B262" s="173" t="s">
        <v>125</v>
      </c>
      <c r="C262" s="12"/>
      <c r="D262" s="14" t="s">
        <v>62</v>
      </c>
      <c r="E262" s="12"/>
      <c r="F262" s="12">
        <v>13</v>
      </c>
      <c r="G262" s="14">
        <v>1</v>
      </c>
      <c r="H262" s="163">
        <v>0</v>
      </c>
      <c r="I262" s="163">
        <v>1</v>
      </c>
      <c r="J262" s="12">
        <v>101</v>
      </c>
      <c r="K262" s="14">
        <v>210</v>
      </c>
      <c r="L262" s="26">
        <v>1531</v>
      </c>
      <c r="M262" s="14">
        <v>500</v>
      </c>
      <c r="N262" s="163">
        <v>650</v>
      </c>
      <c r="O262" s="14">
        <v>0</v>
      </c>
      <c r="P262" s="26">
        <v>0</v>
      </c>
      <c r="Q262" s="214">
        <v>2723</v>
      </c>
      <c r="R262" s="108">
        <v>1.3466864490603363</v>
      </c>
      <c r="S262" s="14">
        <v>1</v>
      </c>
      <c r="T262" s="163">
        <v>1</v>
      </c>
      <c r="U262" s="163">
        <v>0</v>
      </c>
      <c r="V262" s="26">
        <v>0</v>
      </c>
      <c r="W262" s="14">
        <v>1100</v>
      </c>
      <c r="X262" s="14">
        <v>1</v>
      </c>
      <c r="Y262" s="163">
        <v>0</v>
      </c>
      <c r="Z262" s="163">
        <v>0</v>
      </c>
      <c r="AA262" s="26">
        <v>0</v>
      </c>
      <c r="AB262" s="12">
        <v>1000</v>
      </c>
      <c r="AC262" s="14">
        <v>0</v>
      </c>
      <c r="AD262" s="14">
        <v>1</v>
      </c>
      <c r="AE262" s="163">
        <v>1</v>
      </c>
      <c r="AF262" s="163">
        <v>0</v>
      </c>
      <c r="AG262" s="26">
        <v>0</v>
      </c>
      <c r="AH262" s="14">
        <v>1100</v>
      </c>
      <c r="AI262" s="14">
        <v>0</v>
      </c>
      <c r="AJ262" s="163">
        <v>0</v>
      </c>
      <c r="AK262" s="163">
        <v>0</v>
      </c>
      <c r="AL262" s="26">
        <v>0</v>
      </c>
      <c r="AM262" s="12">
        <v>0</v>
      </c>
      <c r="AN262" s="14">
        <v>0</v>
      </c>
      <c r="AO262" s="163">
        <v>0</v>
      </c>
      <c r="AP262" s="163">
        <v>0</v>
      </c>
      <c r="AQ262" s="163">
        <v>0</v>
      </c>
      <c r="AR262" s="163">
        <v>0</v>
      </c>
      <c r="AS262" s="14">
        <v>1</v>
      </c>
      <c r="AT262" s="163">
        <v>0</v>
      </c>
      <c r="AU262" s="163">
        <v>0</v>
      </c>
      <c r="AV262" s="163">
        <v>1</v>
      </c>
      <c r="AW262" s="26">
        <v>0</v>
      </c>
      <c r="AX262" s="14">
        <v>2</v>
      </c>
      <c r="AY262" s="14">
        <v>0</v>
      </c>
      <c r="AZ262" s="163">
        <v>0</v>
      </c>
      <c r="BA262" s="163">
        <v>1</v>
      </c>
      <c r="BB262" s="26">
        <v>0</v>
      </c>
      <c r="BC262" s="12">
        <v>1</v>
      </c>
      <c r="BD262" s="14">
        <v>0</v>
      </c>
      <c r="BE262" s="163">
        <v>0</v>
      </c>
      <c r="BF262" s="163">
        <v>0</v>
      </c>
      <c r="BG262" s="163">
        <v>0</v>
      </c>
      <c r="BH262" s="163">
        <v>0</v>
      </c>
      <c r="BI262" s="14">
        <v>0</v>
      </c>
      <c r="BJ262" s="163">
        <v>1</v>
      </c>
      <c r="BK262" s="26">
        <v>0</v>
      </c>
      <c r="BL262" s="14">
        <v>0</v>
      </c>
      <c r="BM262" s="163">
        <v>0</v>
      </c>
      <c r="BN262" s="26">
        <v>0</v>
      </c>
      <c r="BO262" s="14">
        <v>0</v>
      </c>
      <c r="BP262" s="214">
        <v>104</v>
      </c>
      <c r="BQ262" s="163">
        <v>1</v>
      </c>
      <c r="BR262" s="14">
        <v>0</v>
      </c>
      <c r="BS262" s="163">
        <v>0</v>
      </c>
      <c r="BT262" s="163">
        <v>0</v>
      </c>
      <c r="BU262" s="26">
        <v>0</v>
      </c>
      <c r="BV262" s="14">
        <v>0</v>
      </c>
      <c r="BW262" s="209">
        <v>66.06</v>
      </c>
      <c r="BX262" s="3">
        <v>69.31</v>
      </c>
      <c r="BY262" s="3"/>
      <c r="BZ262" s="40"/>
      <c r="CA262" s="209"/>
      <c r="CB262" s="3"/>
      <c r="CC262" s="3"/>
      <c r="CD262" s="3"/>
      <c r="CE262" s="209">
        <v>61.53</v>
      </c>
      <c r="CF262" s="3">
        <v>68.88</v>
      </c>
      <c r="CG262" s="3"/>
      <c r="CH262" s="40"/>
      <c r="CI262" s="209">
        <v>58.84</v>
      </c>
      <c r="CJ262" s="3"/>
      <c r="CK262" s="3"/>
      <c r="CL262" s="209">
        <v>84</v>
      </c>
      <c r="CM262" s="3"/>
      <c r="CN262" s="3"/>
      <c r="CO262" s="3"/>
      <c r="CP262" s="40"/>
      <c r="CQ262" s="209"/>
      <c r="CR262" s="40"/>
      <c r="CS262" s="3"/>
      <c r="CT262" s="3"/>
    </row>
    <row r="263" spans="1:98">
      <c r="A263" s="42" t="s">
        <v>319</v>
      </c>
      <c r="B263" s="173" t="s">
        <v>125</v>
      </c>
      <c r="C263" s="12"/>
      <c r="D263" s="14" t="s">
        <v>376</v>
      </c>
      <c r="E263" s="12"/>
      <c r="F263" s="12">
        <v>10</v>
      </c>
      <c r="G263" s="14">
        <v>1</v>
      </c>
      <c r="H263" s="163">
        <v>0</v>
      </c>
      <c r="I263" s="163">
        <v>1</v>
      </c>
      <c r="J263" s="12">
        <v>101</v>
      </c>
      <c r="K263" s="14">
        <v>430</v>
      </c>
      <c r="L263" s="26">
        <v>1569</v>
      </c>
      <c r="M263" s="14">
        <v>162</v>
      </c>
      <c r="N263" s="163">
        <v>1117</v>
      </c>
      <c r="O263" s="14">
        <v>0</v>
      </c>
      <c r="P263" s="26">
        <v>0</v>
      </c>
      <c r="Q263" s="12">
        <v>2410</v>
      </c>
      <c r="R263" s="209">
        <v>1.2644281217208815</v>
      </c>
      <c r="S263" s="14">
        <v>1</v>
      </c>
      <c r="T263" s="163">
        <v>1</v>
      </c>
      <c r="U263" s="163">
        <v>0</v>
      </c>
      <c r="V263" s="26">
        <v>0</v>
      </c>
      <c r="W263" s="14">
        <v>1100</v>
      </c>
      <c r="X263" s="14">
        <v>1</v>
      </c>
      <c r="Y263" s="163">
        <v>0</v>
      </c>
      <c r="Z263" s="163">
        <v>0</v>
      </c>
      <c r="AA263" s="26">
        <v>0</v>
      </c>
      <c r="AB263" s="12">
        <v>1000</v>
      </c>
      <c r="AC263" s="14">
        <v>1</v>
      </c>
      <c r="AD263" s="14">
        <v>0</v>
      </c>
      <c r="AE263" s="163">
        <v>1</v>
      </c>
      <c r="AF263" s="163">
        <v>0</v>
      </c>
      <c r="AG263" s="26">
        <v>0</v>
      </c>
      <c r="AH263" s="14">
        <v>100</v>
      </c>
      <c r="AI263" s="14">
        <v>0</v>
      </c>
      <c r="AJ263" s="163">
        <v>0</v>
      </c>
      <c r="AK263" s="163">
        <v>0</v>
      </c>
      <c r="AL263" s="26">
        <v>0</v>
      </c>
      <c r="AM263" s="12">
        <v>0</v>
      </c>
      <c r="AN263" s="14">
        <v>0</v>
      </c>
      <c r="AO263" s="163">
        <v>0</v>
      </c>
      <c r="AP263" s="163">
        <v>0</v>
      </c>
      <c r="AQ263" s="163">
        <v>0</v>
      </c>
      <c r="AR263" s="163">
        <v>0</v>
      </c>
      <c r="AS263" s="14">
        <v>1</v>
      </c>
      <c r="AT263" s="163">
        <v>0</v>
      </c>
      <c r="AU263" s="163">
        <v>0</v>
      </c>
      <c r="AV263" s="163">
        <v>0</v>
      </c>
      <c r="AW263" s="26">
        <v>0</v>
      </c>
      <c r="AX263" s="14">
        <v>1</v>
      </c>
      <c r="AY263" s="14">
        <v>0</v>
      </c>
      <c r="AZ263" s="163">
        <v>0</v>
      </c>
      <c r="BA263" s="163">
        <v>1</v>
      </c>
      <c r="BB263" s="26">
        <v>0</v>
      </c>
      <c r="BC263" s="12">
        <v>1</v>
      </c>
      <c r="BD263" s="14">
        <v>0</v>
      </c>
      <c r="BE263" s="163">
        <v>0</v>
      </c>
      <c r="BF263" s="163">
        <v>0</v>
      </c>
      <c r="BG263" s="163">
        <v>0</v>
      </c>
      <c r="BH263" s="163">
        <v>0</v>
      </c>
      <c r="BI263" s="14">
        <v>1</v>
      </c>
      <c r="BJ263" s="163">
        <v>1</v>
      </c>
      <c r="BK263" s="26">
        <v>0</v>
      </c>
      <c r="BL263" s="14">
        <v>0</v>
      </c>
      <c r="BM263" s="163">
        <v>0</v>
      </c>
      <c r="BN263" s="26">
        <v>0</v>
      </c>
      <c r="BO263" s="14">
        <v>0</v>
      </c>
      <c r="BP263" s="12">
        <v>118</v>
      </c>
      <c r="BQ263" s="163">
        <v>1</v>
      </c>
      <c r="BR263" s="14"/>
      <c r="BU263" s="26"/>
      <c r="BV263" s="14">
        <v>0</v>
      </c>
      <c r="BW263" s="209"/>
      <c r="BX263" s="3"/>
      <c r="BY263" s="3"/>
      <c r="BZ263" s="40"/>
      <c r="CA263" s="209"/>
      <c r="CB263" s="3"/>
      <c r="CC263" s="3"/>
      <c r="CD263" s="3"/>
      <c r="CE263" s="209"/>
      <c r="CF263" s="3"/>
      <c r="CG263" s="3"/>
      <c r="CH263" s="40"/>
      <c r="CI263" s="209"/>
      <c r="CJ263" s="3"/>
      <c r="CK263" s="3"/>
      <c r="CL263" s="209"/>
      <c r="CM263" s="3"/>
      <c r="CN263" s="3"/>
      <c r="CO263" s="3"/>
      <c r="CP263" s="40"/>
      <c r="CQ263" s="209"/>
      <c r="CR263" s="40"/>
      <c r="CS263" s="3"/>
      <c r="CT263" s="3"/>
    </row>
    <row r="264" spans="1:98">
      <c r="A264" s="42" t="s">
        <v>319</v>
      </c>
      <c r="B264" s="173" t="s">
        <v>125</v>
      </c>
      <c r="C264" s="12"/>
      <c r="D264" s="14" t="s">
        <v>130</v>
      </c>
      <c r="E264" s="12"/>
      <c r="F264" s="12">
        <v>12</v>
      </c>
      <c r="G264" s="14">
        <v>1</v>
      </c>
      <c r="H264" s="163">
        <v>0</v>
      </c>
      <c r="I264" s="163">
        <v>1</v>
      </c>
      <c r="J264" s="12">
        <v>101</v>
      </c>
      <c r="K264" s="14">
        <v>339</v>
      </c>
      <c r="L264" s="26">
        <v>1216</v>
      </c>
      <c r="M264" s="14">
        <v>324</v>
      </c>
      <c r="N264" s="163">
        <v>1215</v>
      </c>
      <c r="O264" s="14">
        <v>0</v>
      </c>
      <c r="P264" s="26">
        <v>0</v>
      </c>
      <c r="Q264" s="12">
        <v>2528</v>
      </c>
      <c r="R264" s="209">
        <v>1.9021820917983445</v>
      </c>
      <c r="S264" s="14">
        <v>1</v>
      </c>
      <c r="T264" s="163">
        <v>1</v>
      </c>
      <c r="U264" s="163">
        <v>0</v>
      </c>
      <c r="V264" s="26">
        <v>0</v>
      </c>
      <c r="W264" s="14">
        <v>1100</v>
      </c>
      <c r="X264" s="14">
        <v>1</v>
      </c>
      <c r="Y264" s="163">
        <v>0</v>
      </c>
      <c r="Z264" s="163">
        <v>1</v>
      </c>
      <c r="AA264" s="26">
        <v>0</v>
      </c>
      <c r="AB264" s="12">
        <v>1010</v>
      </c>
      <c r="AC264" s="14">
        <v>0</v>
      </c>
      <c r="AD264" s="14">
        <v>0</v>
      </c>
      <c r="AE264" s="163">
        <v>1</v>
      </c>
      <c r="AF264" s="163">
        <v>1</v>
      </c>
      <c r="AG264" s="26">
        <v>0</v>
      </c>
      <c r="AH264" s="14">
        <v>110</v>
      </c>
      <c r="AI264" s="14">
        <v>0</v>
      </c>
      <c r="AJ264" s="163">
        <v>0</v>
      </c>
      <c r="AK264" s="163">
        <v>0</v>
      </c>
      <c r="AL264" s="26">
        <v>0</v>
      </c>
      <c r="AM264" s="12">
        <v>0</v>
      </c>
      <c r="AN264" s="14">
        <v>0</v>
      </c>
      <c r="AO264" s="163">
        <v>0</v>
      </c>
      <c r="AP264" s="163">
        <v>0</v>
      </c>
      <c r="AQ264" s="163">
        <v>0</v>
      </c>
      <c r="AR264" s="163">
        <v>0</v>
      </c>
      <c r="AS264" s="14">
        <v>0</v>
      </c>
      <c r="AT264" s="163">
        <v>1</v>
      </c>
      <c r="AU264" s="163">
        <v>1</v>
      </c>
      <c r="AV264" s="163">
        <v>0</v>
      </c>
      <c r="AW264" s="26">
        <v>0</v>
      </c>
      <c r="AX264" s="14">
        <v>2</v>
      </c>
      <c r="AY264" s="14">
        <v>1</v>
      </c>
      <c r="AZ264" s="163">
        <v>0</v>
      </c>
      <c r="BA264" s="163">
        <v>1</v>
      </c>
      <c r="BB264" s="26">
        <v>0</v>
      </c>
      <c r="BC264" s="12">
        <v>2</v>
      </c>
      <c r="BD264" s="14">
        <v>0</v>
      </c>
      <c r="BE264" s="163">
        <v>0</v>
      </c>
      <c r="BF264" s="163">
        <v>0</v>
      </c>
      <c r="BG264" s="163">
        <v>0</v>
      </c>
      <c r="BH264" s="163">
        <v>0</v>
      </c>
      <c r="BI264" s="14">
        <v>1</v>
      </c>
      <c r="BJ264" s="163">
        <v>0</v>
      </c>
      <c r="BK264" s="26">
        <v>0</v>
      </c>
      <c r="BL264" s="14">
        <v>0</v>
      </c>
      <c r="BM264" s="163">
        <v>0</v>
      </c>
      <c r="BN264" s="26">
        <v>0</v>
      </c>
      <c r="BO264" s="14">
        <v>0</v>
      </c>
      <c r="BP264" s="12">
        <v>128</v>
      </c>
      <c r="BQ264" s="163">
        <v>1</v>
      </c>
      <c r="BR264" s="14"/>
      <c r="BU264" s="26"/>
      <c r="BV264" s="14">
        <v>0</v>
      </c>
      <c r="BW264" s="209">
        <v>68.599999999999994</v>
      </c>
      <c r="BX264" s="3"/>
      <c r="BY264" s="3"/>
      <c r="BZ264" s="40"/>
      <c r="CA264" s="209"/>
      <c r="CB264" s="3"/>
      <c r="CC264" s="3"/>
      <c r="CD264" s="3"/>
      <c r="CE264" s="209">
        <v>62.1</v>
      </c>
      <c r="CF264" s="3"/>
      <c r="CG264" s="3"/>
      <c r="CH264" s="40"/>
      <c r="CI264" s="209"/>
      <c r="CJ264" s="3"/>
      <c r="CK264" s="3"/>
      <c r="CL264" s="209">
        <v>84</v>
      </c>
      <c r="CM264" s="3"/>
      <c r="CN264" s="3"/>
      <c r="CO264" s="3"/>
      <c r="CP264" s="40"/>
      <c r="CQ264" s="209"/>
      <c r="CR264" s="40"/>
      <c r="CS264" s="3"/>
      <c r="CT264" s="3"/>
    </row>
    <row r="265" spans="1:98">
      <c r="A265" s="42" t="s">
        <v>319</v>
      </c>
      <c r="B265" s="173" t="s">
        <v>125</v>
      </c>
      <c r="C265" s="12"/>
      <c r="D265" s="14" t="s">
        <v>211</v>
      </c>
      <c r="E265" s="12"/>
      <c r="F265" s="12">
        <v>4</v>
      </c>
      <c r="G265" s="14">
        <v>0</v>
      </c>
      <c r="H265" s="163">
        <v>0</v>
      </c>
      <c r="I265" s="163">
        <v>1</v>
      </c>
      <c r="J265" s="12">
        <v>1</v>
      </c>
      <c r="K265" s="14">
        <v>264</v>
      </c>
      <c r="L265" s="26">
        <v>1499</v>
      </c>
      <c r="M265" s="14">
        <v>0</v>
      </c>
      <c r="N265" s="163">
        <v>1153</v>
      </c>
      <c r="O265" s="14">
        <v>0</v>
      </c>
      <c r="P265" s="26">
        <v>0</v>
      </c>
      <c r="Q265" s="12">
        <v>2421</v>
      </c>
      <c r="R265" s="209">
        <v>1.8973354231974922</v>
      </c>
      <c r="S265" s="14">
        <v>1</v>
      </c>
      <c r="T265" s="163">
        <v>1</v>
      </c>
      <c r="U265" s="163">
        <v>0</v>
      </c>
      <c r="V265" s="26">
        <v>0</v>
      </c>
      <c r="W265" s="14">
        <v>1100</v>
      </c>
      <c r="X265" s="14">
        <v>1</v>
      </c>
      <c r="Y265" s="163">
        <v>1</v>
      </c>
      <c r="Z265" s="163">
        <v>0</v>
      </c>
      <c r="AA265" s="26">
        <v>0</v>
      </c>
      <c r="AB265" s="12">
        <v>1100</v>
      </c>
      <c r="AC265" s="14">
        <v>1</v>
      </c>
      <c r="AD265" s="14">
        <v>0</v>
      </c>
      <c r="AE265" s="163">
        <v>0</v>
      </c>
      <c r="AF265" s="163">
        <v>0</v>
      </c>
      <c r="AG265" s="26">
        <v>1</v>
      </c>
      <c r="AH265" s="14">
        <v>1</v>
      </c>
      <c r="AI265" s="14">
        <v>0</v>
      </c>
      <c r="AJ265" s="163">
        <v>0</v>
      </c>
      <c r="AK265" s="163">
        <v>0</v>
      </c>
      <c r="AL265" s="26">
        <v>0</v>
      </c>
      <c r="AM265" s="12">
        <v>0</v>
      </c>
      <c r="AN265" s="14">
        <v>0</v>
      </c>
      <c r="AO265" s="163">
        <v>0</v>
      </c>
      <c r="AP265" s="163">
        <v>0</v>
      </c>
      <c r="AQ265" s="163">
        <v>0</v>
      </c>
      <c r="AR265" s="163">
        <v>0</v>
      </c>
      <c r="AS265" s="14">
        <v>1</v>
      </c>
      <c r="AT265" s="163">
        <v>0</v>
      </c>
      <c r="AU265" s="163">
        <v>0</v>
      </c>
      <c r="AV265" s="163">
        <v>0</v>
      </c>
      <c r="AW265" s="26">
        <v>0</v>
      </c>
      <c r="AX265" s="14">
        <v>1</v>
      </c>
      <c r="AY265" s="14">
        <v>1</v>
      </c>
      <c r="AZ265" s="163">
        <v>0</v>
      </c>
      <c r="BA265" s="163">
        <v>0</v>
      </c>
      <c r="BB265" s="26">
        <v>0</v>
      </c>
      <c r="BC265" s="12">
        <v>1</v>
      </c>
      <c r="BD265" s="14">
        <v>0</v>
      </c>
      <c r="BE265" s="163">
        <v>0</v>
      </c>
      <c r="BF265" s="163">
        <v>0</v>
      </c>
      <c r="BG265" s="163">
        <v>0</v>
      </c>
      <c r="BH265" s="163">
        <v>0</v>
      </c>
      <c r="BI265" s="14">
        <v>1</v>
      </c>
      <c r="BJ265" s="163">
        <v>1</v>
      </c>
      <c r="BK265" s="26">
        <v>0</v>
      </c>
      <c r="BL265" s="14">
        <v>0</v>
      </c>
      <c r="BM265" s="163">
        <v>0</v>
      </c>
      <c r="BN265" s="26">
        <v>0</v>
      </c>
      <c r="BO265" s="14">
        <v>0</v>
      </c>
      <c r="BP265" s="12">
        <v>156</v>
      </c>
      <c r="BQ265" s="163">
        <v>2</v>
      </c>
      <c r="BR265" s="14"/>
      <c r="BU265" s="26"/>
      <c r="BV265" s="14">
        <v>0</v>
      </c>
      <c r="BW265" s="209"/>
      <c r="BX265" s="3"/>
      <c r="BY265" s="3"/>
      <c r="BZ265" s="40"/>
      <c r="CA265" s="209"/>
      <c r="CB265" s="3"/>
      <c r="CC265" s="3"/>
      <c r="CD265" s="3"/>
      <c r="CE265" s="209"/>
      <c r="CF265" s="3"/>
      <c r="CG265" s="3"/>
      <c r="CH265" s="40"/>
      <c r="CI265" s="209"/>
      <c r="CJ265" s="3"/>
      <c r="CK265" s="3"/>
      <c r="CL265" s="209"/>
      <c r="CM265" s="3"/>
      <c r="CN265" s="3"/>
      <c r="CO265" s="3"/>
      <c r="CP265" s="40"/>
      <c r="CQ265" s="209"/>
      <c r="CR265" s="40"/>
      <c r="CS265" s="3"/>
      <c r="CT265" s="3"/>
    </row>
    <row r="266" spans="1:98">
      <c r="A266" s="42" t="s">
        <v>319</v>
      </c>
      <c r="B266" s="173" t="s">
        <v>125</v>
      </c>
      <c r="C266" s="12"/>
      <c r="D266" s="14" t="s">
        <v>202</v>
      </c>
      <c r="E266" s="12"/>
      <c r="F266" s="12">
        <v>8</v>
      </c>
      <c r="G266" s="14">
        <v>1</v>
      </c>
      <c r="H266" s="163">
        <v>0</v>
      </c>
      <c r="I266" s="163">
        <v>1</v>
      </c>
      <c r="J266" s="12">
        <v>101</v>
      </c>
      <c r="K266" s="14">
        <v>190</v>
      </c>
      <c r="L266" s="26">
        <v>1457</v>
      </c>
      <c r="M266" s="14">
        <v>351</v>
      </c>
      <c r="N266" s="163">
        <v>516</v>
      </c>
      <c r="O266" s="14">
        <v>0</v>
      </c>
      <c r="P266" s="26">
        <v>0</v>
      </c>
      <c r="Q266" s="12">
        <v>1807</v>
      </c>
      <c r="R266" s="209">
        <v>2.1692677070828332</v>
      </c>
      <c r="S266" s="14">
        <v>1</v>
      </c>
      <c r="T266" s="163">
        <v>1</v>
      </c>
      <c r="U266" s="163">
        <v>0</v>
      </c>
      <c r="V266" s="26">
        <v>0</v>
      </c>
      <c r="W266" s="14">
        <v>1100</v>
      </c>
      <c r="X266" s="14">
        <v>1</v>
      </c>
      <c r="Y266" s="163">
        <v>0</v>
      </c>
      <c r="Z266" s="163">
        <v>1</v>
      </c>
      <c r="AA266" s="26">
        <v>0</v>
      </c>
      <c r="AB266" s="12">
        <v>1010</v>
      </c>
      <c r="AC266" s="14">
        <v>1</v>
      </c>
      <c r="AD266" s="14">
        <v>0</v>
      </c>
      <c r="AE266" s="163">
        <v>0</v>
      </c>
      <c r="AF266" s="163">
        <v>1</v>
      </c>
      <c r="AG266" s="26">
        <v>0</v>
      </c>
      <c r="AH266" s="14">
        <v>10</v>
      </c>
      <c r="AI266" s="14">
        <v>0</v>
      </c>
      <c r="AJ266" s="163">
        <v>0</v>
      </c>
      <c r="AK266" s="163">
        <v>0</v>
      </c>
      <c r="AL266" s="26">
        <v>0</v>
      </c>
      <c r="AM266" s="12">
        <v>0</v>
      </c>
      <c r="AN266" s="14">
        <v>0</v>
      </c>
      <c r="AO266" s="163">
        <v>0</v>
      </c>
      <c r="AP266" s="163">
        <v>0</v>
      </c>
      <c r="AQ266" s="163">
        <v>0</v>
      </c>
      <c r="AR266" s="163">
        <v>0</v>
      </c>
      <c r="AS266" s="14">
        <v>0</v>
      </c>
      <c r="AT266" s="163">
        <v>1</v>
      </c>
      <c r="AU266" s="163">
        <v>1</v>
      </c>
      <c r="AV266" s="163">
        <v>0</v>
      </c>
      <c r="AW266" s="26">
        <v>0</v>
      </c>
      <c r="AX266" s="14">
        <v>2</v>
      </c>
      <c r="AY266" s="14">
        <v>1</v>
      </c>
      <c r="AZ266" s="163">
        <v>0</v>
      </c>
      <c r="BA266" s="163">
        <v>0</v>
      </c>
      <c r="BB266" s="26">
        <v>0</v>
      </c>
      <c r="BC266" s="12">
        <v>1</v>
      </c>
      <c r="BD266" s="14">
        <v>0</v>
      </c>
      <c r="BE266" s="163">
        <v>0</v>
      </c>
      <c r="BF266" s="163">
        <v>0</v>
      </c>
      <c r="BG266" s="163">
        <v>0</v>
      </c>
      <c r="BH266" s="163">
        <v>0</v>
      </c>
      <c r="BI266" s="14">
        <v>1</v>
      </c>
      <c r="BJ266" s="163">
        <v>0</v>
      </c>
      <c r="BK266" s="26">
        <v>0</v>
      </c>
      <c r="BL266" s="14">
        <v>0</v>
      </c>
      <c r="BM266" s="163">
        <v>0</v>
      </c>
      <c r="BN266" s="26">
        <v>0</v>
      </c>
      <c r="BO266" s="14">
        <v>0</v>
      </c>
      <c r="BP266" s="12">
        <v>126</v>
      </c>
      <c r="BQ266" s="163">
        <v>1</v>
      </c>
      <c r="BR266" s="14"/>
      <c r="BU266" s="26"/>
      <c r="BV266" s="14">
        <v>0</v>
      </c>
      <c r="BW266" s="209"/>
      <c r="BX266" s="3"/>
      <c r="BY266" s="3"/>
      <c r="BZ266" s="40"/>
      <c r="CA266" s="209"/>
      <c r="CB266" s="3"/>
      <c r="CC266" s="3"/>
      <c r="CD266" s="3"/>
      <c r="CE266" s="209"/>
      <c r="CF266" s="3"/>
      <c r="CG266" s="3"/>
      <c r="CH266" s="40"/>
      <c r="CI266" s="209"/>
      <c r="CJ266" s="3"/>
      <c r="CK266" s="3"/>
      <c r="CL266" s="209"/>
      <c r="CM266" s="3"/>
      <c r="CN266" s="3"/>
      <c r="CO266" s="3"/>
      <c r="CP266" s="40"/>
      <c r="CQ266" s="209"/>
      <c r="CR266" s="40"/>
      <c r="CS266" s="3"/>
      <c r="CT266" s="3"/>
    </row>
    <row r="267" spans="1:98">
      <c r="A267" s="42" t="s">
        <v>319</v>
      </c>
      <c r="B267" s="173" t="s">
        <v>125</v>
      </c>
      <c r="C267" s="12"/>
      <c r="D267" s="14" t="s">
        <v>377</v>
      </c>
      <c r="E267" s="12"/>
      <c r="F267" s="12">
        <v>7</v>
      </c>
      <c r="G267" s="14">
        <v>0</v>
      </c>
      <c r="H267" s="163">
        <v>1</v>
      </c>
      <c r="I267" s="163">
        <v>1</v>
      </c>
      <c r="J267" s="12">
        <v>11</v>
      </c>
      <c r="K267" s="14">
        <v>348</v>
      </c>
      <c r="L267" s="26">
        <v>1569</v>
      </c>
      <c r="M267" s="14">
        <v>192</v>
      </c>
      <c r="N267" s="163">
        <v>924</v>
      </c>
      <c r="O267" s="14">
        <v>0</v>
      </c>
      <c r="P267" s="26">
        <v>0</v>
      </c>
      <c r="Q267" s="12">
        <v>2351</v>
      </c>
      <c r="R267" s="209">
        <v>1.2653390742734123</v>
      </c>
      <c r="S267" s="14">
        <v>1</v>
      </c>
      <c r="T267" s="163">
        <v>1</v>
      </c>
      <c r="U267" s="163">
        <v>0</v>
      </c>
      <c r="V267" s="26">
        <v>0</v>
      </c>
      <c r="W267" s="14">
        <v>1100</v>
      </c>
      <c r="X267" s="14">
        <v>1</v>
      </c>
      <c r="Y267" s="163">
        <v>0</v>
      </c>
      <c r="Z267" s="163">
        <v>0</v>
      </c>
      <c r="AA267" s="26">
        <v>0</v>
      </c>
      <c r="AB267" s="12">
        <v>1000</v>
      </c>
      <c r="AC267" s="14">
        <v>0</v>
      </c>
      <c r="AD267" s="14">
        <v>0</v>
      </c>
      <c r="AE267" s="163">
        <v>1</v>
      </c>
      <c r="AF267" s="163">
        <v>1</v>
      </c>
      <c r="AG267" s="26">
        <v>0</v>
      </c>
      <c r="AH267" s="14">
        <v>110</v>
      </c>
      <c r="AI267" s="14">
        <v>0</v>
      </c>
      <c r="AJ267" s="163">
        <v>0</v>
      </c>
      <c r="AK267" s="163">
        <v>0</v>
      </c>
      <c r="AL267" s="26">
        <v>0</v>
      </c>
      <c r="AM267" s="12">
        <v>0</v>
      </c>
      <c r="AN267" s="14">
        <v>0</v>
      </c>
      <c r="AO267" s="163">
        <v>0</v>
      </c>
      <c r="AP267" s="163">
        <v>0</v>
      </c>
      <c r="AQ267" s="163">
        <v>0</v>
      </c>
      <c r="AR267" s="163">
        <v>0</v>
      </c>
      <c r="AS267" s="14">
        <v>1</v>
      </c>
      <c r="AT267" s="163">
        <v>0</v>
      </c>
      <c r="AU267" s="163">
        <v>0</v>
      </c>
      <c r="AV267" s="163">
        <v>0</v>
      </c>
      <c r="AW267" s="26">
        <v>0</v>
      </c>
      <c r="AX267" s="14">
        <v>1</v>
      </c>
      <c r="AY267" s="14">
        <v>0</v>
      </c>
      <c r="AZ267" s="163">
        <v>0</v>
      </c>
      <c r="BA267" s="163">
        <v>0</v>
      </c>
      <c r="BB267" s="26">
        <v>1</v>
      </c>
      <c r="BC267" s="12">
        <v>1</v>
      </c>
      <c r="BD267" s="14">
        <v>0</v>
      </c>
      <c r="BE267" s="163">
        <v>0</v>
      </c>
      <c r="BF267" s="163">
        <v>0</v>
      </c>
      <c r="BG267" s="163">
        <v>0</v>
      </c>
      <c r="BH267" s="163">
        <v>0</v>
      </c>
      <c r="BI267" s="14">
        <v>1</v>
      </c>
      <c r="BJ267" s="163">
        <v>1</v>
      </c>
      <c r="BK267" s="26">
        <v>0</v>
      </c>
      <c r="BL267" s="14">
        <v>0</v>
      </c>
      <c r="BM267" s="163">
        <v>0</v>
      </c>
      <c r="BN267" s="26">
        <v>0</v>
      </c>
      <c r="BO267" s="14">
        <v>0</v>
      </c>
      <c r="BP267" s="12">
        <v>160</v>
      </c>
      <c r="BQ267" s="163">
        <v>2</v>
      </c>
      <c r="BR267" s="14"/>
      <c r="BU267" s="26"/>
      <c r="BV267" s="14">
        <v>0</v>
      </c>
      <c r="BW267" s="209"/>
      <c r="BX267" s="3"/>
      <c r="BY267" s="3"/>
      <c r="BZ267" s="40"/>
      <c r="CA267" s="209"/>
      <c r="CB267" s="3"/>
      <c r="CC267" s="3"/>
      <c r="CD267" s="3"/>
      <c r="CE267" s="209"/>
      <c r="CF267" s="3"/>
      <c r="CG267" s="3"/>
      <c r="CH267" s="40"/>
      <c r="CI267" s="209"/>
      <c r="CJ267" s="3"/>
      <c r="CK267" s="3"/>
      <c r="CL267" s="209"/>
      <c r="CM267" s="3"/>
      <c r="CN267" s="3"/>
      <c r="CO267" s="3"/>
      <c r="CP267" s="40"/>
      <c r="CQ267" s="209"/>
      <c r="CR267" s="40"/>
      <c r="CS267" s="3"/>
      <c r="CT267" s="3"/>
    </row>
    <row r="268" spans="1:98">
      <c r="A268" s="42" t="s">
        <v>319</v>
      </c>
      <c r="B268" s="173" t="s">
        <v>125</v>
      </c>
      <c r="C268" s="12"/>
      <c r="D268" s="14" t="s">
        <v>204</v>
      </c>
      <c r="E268" s="12"/>
      <c r="F268" s="12">
        <v>2</v>
      </c>
      <c r="G268" s="14">
        <v>0</v>
      </c>
      <c r="H268" s="163">
        <v>0</v>
      </c>
      <c r="I268" s="163">
        <v>1</v>
      </c>
      <c r="J268" s="12">
        <v>1</v>
      </c>
      <c r="K268" s="14">
        <v>0</v>
      </c>
      <c r="L268" s="26">
        <v>1022</v>
      </c>
      <c r="M268" s="14">
        <v>0</v>
      </c>
      <c r="N268" s="163">
        <v>617</v>
      </c>
      <c r="O268" s="14">
        <v>0</v>
      </c>
      <c r="P268" s="26">
        <v>0</v>
      </c>
      <c r="Q268" s="12">
        <v>1227</v>
      </c>
      <c r="R268" s="209">
        <v>1.4103448275862069</v>
      </c>
      <c r="S268" s="14">
        <v>1</v>
      </c>
      <c r="T268" s="163">
        <v>1</v>
      </c>
      <c r="U268" s="163">
        <v>0</v>
      </c>
      <c r="V268" s="26">
        <v>0</v>
      </c>
      <c r="W268" s="14">
        <v>1100</v>
      </c>
      <c r="X268" s="14">
        <v>1</v>
      </c>
      <c r="Y268" s="163">
        <v>0</v>
      </c>
      <c r="Z268" s="163">
        <v>0</v>
      </c>
      <c r="AA268" s="26">
        <v>0</v>
      </c>
      <c r="AB268" s="12">
        <v>1000</v>
      </c>
      <c r="AC268" s="14">
        <v>1</v>
      </c>
      <c r="AD268" s="14">
        <v>0</v>
      </c>
      <c r="AE268" s="163">
        <v>1</v>
      </c>
      <c r="AF268" s="163">
        <v>0</v>
      </c>
      <c r="AG268" s="26">
        <v>0</v>
      </c>
      <c r="AH268" s="14">
        <v>100</v>
      </c>
      <c r="AI268" s="14">
        <v>0</v>
      </c>
      <c r="AJ268" s="163">
        <v>0</v>
      </c>
      <c r="AK268" s="163">
        <v>0</v>
      </c>
      <c r="AL268" s="26">
        <v>0</v>
      </c>
      <c r="AM268" s="12">
        <v>0</v>
      </c>
      <c r="AN268" s="14">
        <v>0</v>
      </c>
      <c r="AO268" s="163">
        <v>0</v>
      </c>
      <c r="AP268" s="163">
        <v>0</v>
      </c>
      <c r="AQ268" s="163">
        <v>0</v>
      </c>
      <c r="AR268" s="163">
        <v>0</v>
      </c>
      <c r="AS268" s="14">
        <v>1</v>
      </c>
      <c r="AT268" s="163">
        <v>0</v>
      </c>
      <c r="AU268" s="163">
        <v>0</v>
      </c>
      <c r="AV268" s="163">
        <v>0</v>
      </c>
      <c r="AW268" s="26">
        <v>0</v>
      </c>
      <c r="AX268" s="14">
        <v>1</v>
      </c>
      <c r="AY268" s="14">
        <v>1</v>
      </c>
      <c r="AZ268" s="163">
        <v>0</v>
      </c>
      <c r="BA268" s="163">
        <v>0</v>
      </c>
      <c r="BB268" s="26">
        <v>0</v>
      </c>
      <c r="BC268" s="12">
        <v>1</v>
      </c>
      <c r="BD268" s="14">
        <v>0</v>
      </c>
      <c r="BE268" s="163">
        <v>0</v>
      </c>
      <c r="BF268" s="163">
        <v>0</v>
      </c>
      <c r="BG268" s="163">
        <v>0</v>
      </c>
      <c r="BH268" s="163">
        <v>0</v>
      </c>
      <c r="BI268" s="14">
        <v>1</v>
      </c>
      <c r="BJ268" s="163">
        <v>1</v>
      </c>
      <c r="BK268" s="26">
        <v>0</v>
      </c>
      <c r="BL268" s="14">
        <v>0</v>
      </c>
      <c r="BM268" s="163">
        <v>0</v>
      </c>
      <c r="BN268" s="26">
        <v>0</v>
      </c>
      <c r="BO268" s="14">
        <v>0</v>
      </c>
      <c r="BP268" s="12">
        <v>117</v>
      </c>
      <c r="BQ268" s="163">
        <v>2</v>
      </c>
      <c r="BR268" s="14"/>
      <c r="BU268" s="26"/>
      <c r="BV268" s="14">
        <v>0</v>
      </c>
      <c r="BW268" s="209"/>
      <c r="BX268" s="3"/>
      <c r="BY268" s="3"/>
      <c r="BZ268" s="40"/>
      <c r="CA268" s="209"/>
      <c r="CB268" s="3"/>
      <c r="CC268" s="3"/>
      <c r="CD268" s="3"/>
      <c r="CE268" s="209"/>
      <c r="CF268" s="3"/>
      <c r="CG268" s="3"/>
      <c r="CH268" s="40"/>
      <c r="CI268" s="209"/>
      <c r="CJ268" s="3"/>
      <c r="CK268" s="3"/>
      <c r="CL268" s="209"/>
      <c r="CM268" s="3"/>
      <c r="CN268" s="3"/>
      <c r="CO268" s="3"/>
      <c r="CP268" s="40"/>
      <c r="CQ268" s="209"/>
      <c r="CR268" s="40"/>
      <c r="CS268" s="3"/>
      <c r="CT268" s="3"/>
    </row>
    <row r="269" spans="1:98">
      <c r="A269" s="42" t="s">
        <v>319</v>
      </c>
      <c r="B269" s="173" t="s">
        <v>125</v>
      </c>
      <c r="C269" s="12"/>
      <c r="D269" s="14" t="s">
        <v>378</v>
      </c>
      <c r="E269" s="12"/>
      <c r="F269" s="12">
        <v>15</v>
      </c>
      <c r="G269" s="14">
        <v>0</v>
      </c>
      <c r="H269" s="163">
        <v>1</v>
      </c>
      <c r="I269" s="163">
        <v>1</v>
      </c>
      <c r="J269" s="12">
        <v>11</v>
      </c>
      <c r="K269" s="14">
        <v>156</v>
      </c>
      <c r="L269" s="26">
        <v>1357</v>
      </c>
      <c r="M269" s="14">
        <v>273</v>
      </c>
      <c r="N269" s="163">
        <v>3263</v>
      </c>
      <c r="O269" s="14">
        <v>0</v>
      </c>
      <c r="P269" s="26">
        <v>0</v>
      </c>
      <c r="Q269" s="12">
        <v>3879</v>
      </c>
      <c r="R269" s="209">
        <v>1.6305170239596469</v>
      </c>
      <c r="S269" s="14">
        <v>1</v>
      </c>
      <c r="T269" s="163">
        <v>1</v>
      </c>
      <c r="U269" s="163">
        <v>0</v>
      </c>
      <c r="V269" s="26">
        <v>0</v>
      </c>
      <c r="W269" s="14">
        <v>1100</v>
      </c>
      <c r="X269" s="14">
        <v>1</v>
      </c>
      <c r="Y269" s="163">
        <v>0</v>
      </c>
      <c r="Z269" s="163">
        <v>1</v>
      </c>
      <c r="AA269" s="26">
        <v>0</v>
      </c>
      <c r="AB269" s="12">
        <v>1010</v>
      </c>
      <c r="AC269" s="14">
        <v>0</v>
      </c>
      <c r="AD269" s="14">
        <v>0</v>
      </c>
      <c r="AE269" s="163">
        <v>1</v>
      </c>
      <c r="AF269" s="163">
        <v>1</v>
      </c>
      <c r="AG269" s="26">
        <v>0</v>
      </c>
      <c r="AH269" s="14">
        <v>110</v>
      </c>
      <c r="AI269" s="14">
        <v>0</v>
      </c>
      <c r="AJ269" s="163">
        <v>0</v>
      </c>
      <c r="AK269" s="163">
        <v>0</v>
      </c>
      <c r="AL269" s="26">
        <v>0</v>
      </c>
      <c r="AM269" s="12">
        <v>0</v>
      </c>
      <c r="AN269" s="14">
        <v>0</v>
      </c>
      <c r="AO269" s="163">
        <v>0</v>
      </c>
      <c r="AP269" s="163">
        <v>0</v>
      </c>
      <c r="AQ269" s="163">
        <v>0</v>
      </c>
      <c r="AR269" s="163">
        <v>0</v>
      </c>
      <c r="AS269" s="14">
        <v>1</v>
      </c>
      <c r="AT269" s="163">
        <v>1</v>
      </c>
      <c r="AU269" s="163">
        <v>0</v>
      </c>
      <c r="AV269" s="163">
        <v>1</v>
      </c>
      <c r="AW269" s="26">
        <v>0</v>
      </c>
      <c r="AX269" s="14">
        <v>3</v>
      </c>
      <c r="AY269" s="14">
        <v>1</v>
      </c>
      <c r="AZ269" s="163">
        <v>0</v>
      </c>
      <c r="BA269" s="163">
        <v>0</v>
      </c>
      <c r="BB269" s="26">
        <v>0</v>
      </c>
      <c r="BC269" s="12">
        <v>1</v>
      </c>
      <c r="BD269" s="14">
        <v>0</v>
      </c>
      <c r="BE269" s="163">
        <v>0</v>
      </c>
      <c r="BF269" s="163">
        <v>0</v>
      </c>
      <c r="BG269" s="163">
        <v>0</v>
      </c>
      <c r="BH269" s="163">
        <v>0</v>
      </c>
      <c r="BI269" s="14">
        <v>1</v>
      </c>
      <c r="BJ269" s="163">
        <v>0</v>
      </c>
      <c r="BK269" s="26">
        <v>0</v>
      </c>
      <c r="BL269" s="14">
        <v>0</v>
      </c>
      <c r="BM269" s="163">
        <v>0</v>
      </c>
      <c r="BN269" s="26">
        <v>0</v>
      </c>
      <c r="BO269" s="14">
        <v>0</v>
      </c>
      <c r="BP269" s="12">
        <v>118</v>
      </c>
      <c r="BQ269" s="163">
        <v>1</v>
      </c>
      <c r="BR269" s="14"/>
      <c r="BU269" s="26"/>
      <c r="BV269" s="14">
        <v>0</v>
      </c>
      <c r="BW269" s="209">
        <v>64.77</v>
      </c>
      <c r="BX269" s="3">
        <v>68.290000000000006</v>
      </c>
      <c r="BY269" s="3"/>
      <c r="BZ269" s="40"/>
      <c r="CA269" s="209"/>
      <c r="CB269" s="3"/>
      <c r="CC269" s="3"/>
      <c r="CD269" s="3"/>
      <c r="CE269" s="209">
        <v>67.59</v>
      </c>
      <c r="CF269" s="3"/>
      <c r="CG269" s="3"/>
      <c r="CH269" s="40"/>
      <c r="CI269" s="209"/>
      <c r="CJ269" s="3"/>
      <c r="CK269" s="3"/>
      <c r="CL269" s="209">
        <v>84</v>
      </c>
      <c r="CM269" s="3"/>
      <c r="CN269" s="3"/>
      <c r="CO269" s="3"/>
      <c r="CP269" s="40"/>
      <c r="CQ269" s="209"/>
      <c r="CR269" s="40"/>
      <c r="CS269" s="3"/>
      <c r="CT269" s="3"/>
    </row>
    <row r="270" spans="1:98">
      <c r="A270" s="42" t="s">
        <v>319</v>
      </c>
      <c r="B270" s="173" t="s">
        <v>125</v>
      </c>
      <c r="C270" s="12"/>
      <c r="D270" s="14" t="s">
        <v>199</v>
      </c>
      <c r="E270" s="12"/>
      <c r="F270" s="12">
        <v>10</v>
      </c>
      <c r="G270" s="14">
        <v>1</v>
      </c>
      <c r="H270" s="163">
        <v>1</v>
      </c>
      <c r="I270" s="163">
        <v>1</v>
      </c>
      <c r="J270" s="12">
        <v>111</v>
      </c>
      <c r="K270" s="14">
        <v>275</v>
      </c>
      <c r="L270" s="26">
        <v>3026</v>
      </c>
      <c r="M270" s="14">
        <v>0</v>
      </c>
      <c r="N270" s="163">
        <v>591</v>
      </c>
      <c r="O270" s="14">
        <v>0</v>
      </c>
      <c r="P270" s="26">
        <v>0</v>
      </c>
      <c r="Q270" s="12">
        <v>3026</v>
      </c>
      <c r="R270" s="209">
        <v>1.8633004926108374</v>
      </c>
      <c r="S270" s="14">
        <v>1</v>
      </c>
      <c r="T270" s="163">
        <v>1</v>
      </c>
      <c r="U270" s="163">
        <v>0</v>
      </c>
      <c r="V270" s="26">
        <v>0</v>
      </c>
      <c r="W270" s="14">
        <v>1100</v>
      </c>
      <c r="X270" s="14">
        <v>1</v>
      </c>
      <c r="Y270" s="163">
        <v>0</v>
      </c>
      <c r="Z270" s="163">
        <v>0</v>
      </c>
      <c r="AA270" s="26">
        <v>0</v>
      </c>
      <c r="AB270" s="12">
        <v>1000</v>
      </c>
      <c r="AC270" s="14">
        <v>0</v>
      </c>
      <c r="AD270" s="14">
        <v>0</v>
      </c>
      <c r="AE270" s="163">
        <v>1</v>
      </c>
      <c r="AF270" s="163">
        <v>0</v>
      </c>
      <c r="AG270" s="26">
        <v>0</v>
      </c>
      <c r="AH270" s="14">
        <v>100</v>
      </c>
      <c r="AI270" s="14">
        <v>0</v>
      </c>
      <c r="AJ270" s="163">
        <v>0</v>
      </c>
      <c r="AK270" s="163">
        <v>0</v>
      </c>
      <c r="AL270" s="26">
        <v>0</v>
      </c>
      <c r="AM270" s="12">
        <v>0</v>
      </c>
      <c r="AN270" s="14">
        <v>0</v>
      </c>
      <c r="AO270" s="163">
        <v>0</v>
      </c>
      <c r="AP270" s="163">
        <v>0</v>
      </c>
      <c r="AQ270" s="163">
        <v>0</v>
      </c>
      <c r="AR270" s="163">
        <v>0</v>
      </c>
      <c r="AS270" s="14">
        <v>1</v>
      </c>
      <c r="AT270" s="163">
        <v>0</v>
      </c>
      <c r="AU270" s="163">
        <v>0</v>
      </c>
      <c r="AV270" s="163">
        <v>0</v>
      </c>
      <c r="AW270" s="26">
        <v>0</v>
      </c>
      <c r="AX270" s="14">
        <v>1</v>
      </c>
      <c r="AY270" s="14">
        <v>0</v>
      </c>
      <c r="AZ270" s="163">
        <v>1</v>
      </c>
      <c r="BA270" s="163">
        <v>0</v>
      </c>
      <c r="BB270" s="26">
        <v>0</v>
      </c>
      <c r="BC270" s="12">
        <v>1</v>
      </c>
      <c r="BD270" s="14">
        <v>0</v>
      </c>
      <c r="BE270" s="163">
        <v>0</v>
      </c>
      <c r="BF270" s="163">
        <v>0</v>
      </c>
      <c r="BG270" s="163">
        <v>0</v>
      </c>
      <c r="BH270" s="163">
        <v>0</v>
      </c>
      <c r="BI270" s="14">
        <v>1</v>
      </c>
      <c r="BJ270" s="163">
        <v>0</v>
      </c>
      <c r="BK270" s="26">
        <v>0</v>
      </c>
      <c r="BL270" s="14">
        <v>0</v>
      </c>
      <c r="BM270" s="163">
        <v>0</v>
      </c>
      <c r="BN270" s="26">
        <v>0</v>
      </c>
      <c r="BO270" s="14">
        <v>0</v>
      </c>
      <c r="BP270" s="12">
        <v>123</v>
      </c>
      <c r="BQ270" s="163">
        <v>1</v>
      </c>
      <c r="BR270" s="14"/>
      <c r="BU270" s="26"/>
      <c r="BV270" s="14">
        <v>0</v>
      </c>
      <c r="BW270" s="209"/>
      <c r="BX270" s="3"/>
      <c r="BY270" s="3"/>
      <c r="BZ270" s="40"/>
      <c r="CA270" s="209"/>
      <c r="CB270" s="3"/>
      <c r="CC270" s="3"/>
      <c r="CD270" s="3"/>
      <c r="CE270" s="209"/>
      <c r="CF270" s="3"/>
      <c r="CG270" s="3"/>
      <c r="CH270" s="40"/>
      <c r="CI270" s="209"/>
      <c r="CJ270" s="3"/>
      <c r="CK270" s="3"/>
      <c r="CL270" s="209"/>
      <c r="CM270" s="3"/>
      <c r="CN270" s="3"/>
      <c r="CO270" s="3"/>
      <c r="CP270" s="40"/>
      <c r="CQ270" s="209"/>
      <c r="CR270" s="40"/>
      <c r="CS270" s="3"/>
      <c r="CT270" s="3"/>
    </row>
    <row r="271" spans="1:98">
      <c r="A271" s="42" t="s">
        <v>319</v>
      </c>
      <c r="B271" s="173" t="s">
        <v>125</v>
      </c>
      <c r="C271" s="12"/>
      <c r="D271" s="14" t="s">
        <v>261</v>
      </c>
      <c r="E271" s="12"/>
      <c r="F271" s="12">
        <v>4</v>
      </c>
      <c r="G271" s="14">
        <v>0</v>
      </c>
      <c r="H271" s="163">
        <v>0</v>
      </c>
      <c r="I271" s="163">
        <v>1</v>
      </c>
      <c r="J271" s="12">
        <v>1</v>
      </c>
      <c r="K271" s="14">
        <v>516</v>
      </c>
      <c r="L271" s="26">
        <v>550</v>
      </c>
      <c r="M271" s="14">
        <v>0</v>
      </c>
      <c r="N271" s="163">
        <v>1013</v>
      </c>
      <c r="O271" s="14">
        <v>0</v>
      </c>
      <c r="P271" s="26">
        <v>0</v>
      </c>
      <c r="Q271" s="12">
        <v>1178</v>
      </c>
      <c r="R271" s="209">
        <v>1.3074361820199778</v>
      </c>
      <c r="S271" s="14">
        <v>1</v>
      </c>
      <c r="T271" s="163">
        <v>1</v>
      </c>
      <c r="U271" s="163">
        <v>0</v>
      </c>
      <c r="V271" s="26">
        <v>0</v>
      </c>
      <c r="W271" s="14">
        <v>1100</v>
      </c>
      <c r="X271" s="14">
        <v>1</v>
      </c>
      <c r="Y271" s="163">
        <v>0</v>
      </c>
      <c r="Z271" s="163">
        <v>0</v>
      </c>
      <c r="AA271" s="26">
        <v>0</v>
      </c>
      <c r="AB271" s="12">
        <v>1000</v>
      </c>
      <c r="AC271" s="14">
        <v>1</v>
      </c>
      <c r="AD271" s="14">
        <v>0</v>
      </c>
      <c r="AE271" s="163">
        <v>0</v>
      </c>
      <c r="AF271" s="163">
        <v>1</v>
      </c>
      <c r="AG271" s="26">
        <v>0</v>
      </c>
      <c r="AH271" s="14">
        <v>10</v>
      </c>
      <c r="AI271" s="14">
        <v>0</v>
      </c>
      <c r="AJ271" s="163">
        <v>0</v>
      </c>
      <c r="AK271" s="163">
        <v>0</v>
      </c>
      <c r="AL271" s="26">
        <v>0</v>
      </c>
      <c r="AM271" s="12">
        <v>0</v>
      </c>
      <c r="AN271" s="14">
        <v>0</v>
      </c>
      <c r="AO271" s="163">
        <v>0</v>
      </c>
      <c r="AP271" s="163">
        <v>0</v>
      </c>
      <c r="AQ271" s="163">
        <v>0</v>
      </c>
      <c r="AR271" s="163">
        <v>0</v>
      </c>
      <c r="AS271" s="14">
        <v>1</v>
      </c>
      <c r="AT271" s="163">
        <v>0</v>
      </c>
      <c r="AU271" s="163">
        <v>0</v>
      </c>
      <c r="AV271" s="163">
        <v>1</v>
      </c>
      <c r="AW271" s="26">
        <v>0</v>
      </c>
      <c r="AX271" s="14">
        <v>2</v>
      </c>
      <c r="AY271" s="14">
        <v>0</v>
      </c>
      <c r="AZ271" s="163">
        <v>0</v>
      </c>
      <c r="BA271" s="163">
        <v>1</v>
      </c>
      <c r="BB271" s="26">
        <v>0</v>
      </c>
      <c r="BC271" s="12">
        <v>1</v>
      </c>
      <c r="BD271" s="14">
        <v>0</v>
      </c>
      <c r="BE271" s="163">
        <v>0</v>
      </c>
      <c r="BF271" s="163">
        <v>0</v>
      </c>
      <c r="BG271" s="163">
        <v>0</v>
      </c>
      <c r="BH271" s="163">
        <v>0</v>
      </c>
      <c r="BI271" s="14">
        <v>1</v>
      </c>
      <c r="BJ271" s="163">
        <v>1</v>
      </c>
      <c r="BK271" s="26">
        <v>0</v>
      </c>
      <c r="BL271" s="14">
        <v>0</v>
      </c>
      <c r="BM271" s="163">
        <v>0</v>
      </c>
      <c r="BN271" s="26">
        <v>0</v>
      </c>
      <c r="BO271" s="14">
        <v>0</v>
      </c>
      <c r="BP271" s="12">
        <v>117</v>
      </c>
      <c r="BQ271" s="163">
        <v>2</v>
      </c>
      <c r="BR271" s="14"/>
      <c r="BU271" s="26"/>
      <c r="BV271" s="14">
        <v>0</v>
      </c>
      <c r="BW271" s="209"/>
      <c r="BX271" s="3"/>
      <c r="BY271" s="3"/>
      <c r="BZ271" s="40"/>
      <c r="CA271" s="209"/>
      <c r="CB271" s="3"/>
      <c r="CC271" s="3"/>
      <c r="CD271" s="3"/>
      <c r="CE271" s="209"/>
      <c r="CF271" s="3"/>
      <c r="CG271" s="3"/>
      <c r="CH271" s="40"/>
      <c r="CI271" s="209"/>
      <c r="CJ271" s="3"/>
      <c r="CK271" s="3"/>
      <c r="CL271" s="209"/>
      <c r="CM271" s="3"/>
      <c r="CN271" s="3"/>
      <c r="CO271" s="3"/>
      <c r="CP271" s="40"/>
      <c r="CQ271" s="209"/>
      <c r="CR271" s="40"/>
      <c r="CS271" s="3"/>
      <c r="CT271" s="3"/>
    </row>
    <row r="272" spans="1:98">
      <c r="A272" s="42" t="s">
        <v>319</v>
      </c>
      <c r="B272" s="173" t="s">
        <v>125</v>
      </c>
      <c r="C272" s="12"/>
      <c r="D272" s="14" t="s">
        <v>379</v>
      </c>
      <c r="E272" s="12"/>
      <c r="F272" s="12">
        <v>59</v>
      </c>
      <c r="G272" s="14">
        <v>1</v>
      </c>
      <c r="H272" s="163">
        <v>1</v>
      </c>
      <c r="I272" s="163">
        <v>1</v>
      </c>
      <c r="J272" s="12">
        <v>111</v>
      </c>
      <c r="K272" s="14">
        <v>261</v>
      </c>
      <c r="L272" s="26">
        <v>2043</v>
      </c>
      <c r="M272" s="14">
        <v>280</v>
      </c>
      <c r="N272" s="163">
        <v>954</v>
      </c>
      <c r="O272" s="14">
        <v>0</v>
      </c>
      <c r="P272" s="26">
        <v>0</v>
      </c>
      <c r="Q272" s="12">
        <v>5363</v>
      </c>
      <c r="R272" s="209">
        <v>2.5441176470588234</v>
      </c>
      <c r="S272" s="14">
        <v>1</v>
      </c>
      <c r="T272" s="163">
        <v>1</v>
      </c>
      <c r="U272" s="163">
        <v>0</v>
      </c>
      <c r="V272" s="26">
        <v>0</v>
      </c>
      <c r="W272" s="14">
        <v>1100</v>
      </c>
      <c r="X272" s="14">
        <v>1</v>
      </c>
      <c r="Y272" s="163">
        <v>0</v>
      </c>
      <c r="Z272" s="163">
        <v>0</v>
      </c>
      <c r="AA272" s="26">
        <v>0</v>
      </c>
      <c r="AB272" s="12">
        <v>1000</v>
      </c>
      <c r="AC272" s="14">
        <v>0</v>
      </c>
      <c r="AD272" s="14">
        <v>0</v>
      </c>
      <c r="AE272" s="163">
        <v>1</v>
      </c>
      <c r="AF272" s="163">
        <v>0</v>
      </c>
      <c r="AG272" s="26">
        <v>1</v>
      </c>
      <c r="AH272" s="14">
        <v>101</v>
      </c>
      <c r="AI272" s="14">
        <v>0</v>
      </c>
      <c r="AJ272" s="163">
        <v>0</v>
      </c>
      <c r="AK272" s="163">
        <v>0</v>
      </c>
      <c r="AL272" s="26">
        <v>0</v>
      </c>
      <c r="AM272" s="12">
        <v>0</v>
      </c>
      <c r="AN272" s="14">
        <v>0</v>
      </c>
      <c r="AO272" s="163">
        <v>0</v>
      </c>
      <c r="AP272" s="163">
        <v>0</v>
      </c>
      <c r="AQ272" s="163">
        <v>0</v>
      </c>
      <c r="AR272" s="163">
        <v>0</v>
      </c>
      <c r="AS272" s="14">
        <v>1</v>
      </c>
      <c r="AT272" s="163">
        <v>0</v>
      </c>
      <c r="AU272" s="163">
        <v>0</v>
      </c>
      <c r="AV272" s="163">
        <v>0</v>
      </c>
      <c r="AW272" s="26">
        <v>0</v>
      </c>
      <c r="AX272" s="14">
        <v>1</v>
      </c>
      <c r="AY272" s="14">
        <v>0</v>
      </c>
      <c r="AZ272" s="163">
        <v>0</v>
      </c>
      <c r="BA272" s="163">
        <v>1</v>
      </c>
      <c r="BB272" s="26">
        <v>0</v>
      </c>
      <c r="BC272" s="12">
        <v>1</v>
      </c>
      <c r="BD272" s="14">
        <v>0</v>
      </c>
      <c r="BE272" s="163">
        <v>0</v>
      </c>
      <c r="BF272" s="163">
        <v>0</v>
      </c>
      <c r="BG272" s="163">
        <v>0</v>
      </c>
      <c r="BH272" s="163">
        <v>0</v>
      </c>
      <c r="BI272" s="14">
        <v>1</v>
      </c>
      <c r="BJ272" s="163">
        <v>1</v>
      </c>
      <c r="BK272" s="26">
        <v>0</v>
      </c>
      <c r="BL272" s="14">
        <v>1</v>
      </c>
      <c r="BM272" s="163">
        <v>0</v>
      </c>
      <c r="BN272" s="26">
        <v>0</v>
      </c>
      <c r="BO272" s="14">
        <v>1</v>
      </c>
      <c r="BP272" s="12">
        <v>154</v>
      </c>
      <c r="BQ272" s="163">
        <v>1</v>
      </c>
      <c r="BR272" s="14"/>
      <c r="BU272" s="26"/>
      <c r="BV272" s="14">
        <v>0</v>
      </c>
      <c r="BW272" s="209">
        <v>67.64</v>
      </c>
      <c r="BX272" s="3">
        <v>68.11</v>
      </c>
      <c r="BY272" s="3">
        <v>66.84</v>
      </c>
      <c r="BZ272" s="40"/>
      <c r="CA272" s="209">
        <v>67.91</v>
      </c>
      <c r="CB272" s="3"/>
      <c r="CC272" s="3"/>
      <c r="CD272" s="3"/>
      <c r="CE272" s="209">
        <v>65.31</v>
      </c>
      <c r="CF272" s="3">
        <v>69.73</v>
      </c>
      <c r="CG272" s="3">
        <v>68.34</v>
      </c>
      <c r="CH272" s="40"/>
      <c r="CI272" s="209"/>
      <c r="CJ272" s="3"/>
      <c r="CK272" s="3"/>
      <c r="CL272" s="209">
        <v>85</v>
      </c>
      <c r="CM272" s="3">
        <v>85</v>
      </c>
      <c r="CN272" s="3"/>
      <c r="CO272" s="3"/>
      <c r="CP272" s="40"/>
      <c r="CQ272" s="209">
        <v>85</v>
      </c>
      <c r="CR272" s="40"/>
      <c r="CS272" s="3"/>
      <c r="CT272" s="3"/>
    </row>
    <row r="273" spans="1:98" ht="17" thickBot="1">
      <c r="A273" s="42" t="s">
        <v>319</v>
      </c>
      <c r="B273" s="173" t="s">
        <v>125</v>
      </c>
      <c r="C273" s="12"/>
      <c r="D273" s="14" t="s">
        <v>380</v>
      </c>
      <c r="E273" s="12"/>
      <c r="F273" s="12">
        <v>7</v>
      </c>
      <c r="G273" s="14">
        <v>0</v>
      </c>
      <c r="H273" s="163">
        <v>1</v>
      </c>
      <c r="I273" s="163">
        <v>1</v>
      </c>
      <c r="J273" s="12">
        <v>11</v>
      </c>
      <c r="K273" s="14">
        <v>203</v>
      </c>
      <c r="L273" s="26">
        <v>1371</v>
      </c>
      <c r="M273" s="14">
        <v>0</v>
      </c>
      <c r="N273" s="163">
        <v>0</v>
      </c>
      <c r="O273" s="14">
        <v>279</v>
      </c>
      <c r="P273" s="26">
        <v>961</v>
      </c>
      <c r="Q273" s="12">
        <v>1520</v>
      </c>
      <c r="R273" s="209">
        <v>1.4601344860710854</v>
      </c>
      <c r="S273" s="14">
        <v>1</v>
      </c>
      <c r="T273" s="163">
        <v>0</v>
      </c>
      <c r="U273" s="163">
        <v>1</v>
      </c>
      <c r="V273" s="26">
        <v>0</v>
      </c>
      <c r="W273" s="14">
        <v>1010</v>
      </c>
      <c r="X273" s="14">
        <v>1</v>
      </c>
      <c r="Y273" s="163">
        <v>0</v>
      </c>
      <c r="Z273" s="163">
        <v>0</v>
      </c>
      <c r="AA273" s="26">
        <v>1</v>
      </c>
      <c r="AB273" s="12">
        <v>1001</v>
      </c>
      <c r="AC273" s="14">
        <v>0</v>
      </c>
      <c r="AD273" s="14">
        <v>0</v>
      </c>
      <c r="AE273" s="163">
        <v>0</v>
      </c>
      <c r="AF273" s="163">
        <v>0</v>
      </c>
      <c r="AG273" s="26">
        <v>0</v>
      </c>
      <c r="AH273" s="14">
        <v>0</v>
      </c>
      <c r="AI273" s="14">
        <v>0</v>
      </c>
      <c r="AJ273" s="163">
        <v>0</v>
      </c>
      <c r="AK273" s="163">
        <v>1</v>
      </c>
      <c r="AL273" s="26">
        <v>0</v>
      </c>
      <c r="AM273" s="12">
        <v>10</v>
      </c>
      <c r="AN273" s="14">
        <v>0</v>
      </c>
      <c r="AO273" s="163">
        <v>0</v>
      </c>
      <c r="AP273" s="163">
        <v>0</v>
      </c>
      <c r="AQ273" s="163">
        <v>0</v>
      </c>
      <c r="AR273" s="163">
        <v>0</v>
      </c>
      <c r="AS273" s="14">
        <v>1</v>
      </c>
      <c r="AT273" s="163">
        <v>1</v>
      </c>
      <c r="AU273" s="163">
        <v>0</v>
      </c>
      <c r="AV273" s="163">
        <v>0</v>
      </c>
      <c r="AW273" s="26">
        <v>0</v>
      </c>
      <c r="AX273" s="14">
        <v>2</v>
      </c>
      <c r="AY273" s="14">
        <v>0</v>
      </c>
      <c r="AZ273" s="163">
        <v>0</v>
      </c>
      <c r="BA273" s="163">
        <v>0</v>
      </c>
      <c r="BB273" s="26">
        <v>0</v>
      </c>
      <c r="BC273" s="12">
        <v>0</v>
      </c>
      <c r="BD273" s="14">
        <v>0</v>
      </c>
      <c r="BE273" s="163">
        <v>1</v>
      </c>
      <c r="BF273" s="163">
        <v>0</v>
      </c>
      <c r="BG273" s="163">
        <v>0</v>
      </c>
      <c r="BH273" s="163">
        <v>0</v>
      </c>
      <c r="BI273" s="14">
        <v>1</v>
      </c>
      <c r="BJ273" s="163">
        <v>0</v>
      </c>
      <c r="BK273" s="26">
        <v>0</v>
      </c>
      <c r="BL273" s="14">
        <v>0</v>
      </c>
      <c r="BM273" s="163">
        <v>0</v>
      </c>
      <c r="BN273" s="26">
        <v>0</v>
      </c>
      <c r="BO273" s="14">
        <v>0</v>
      </c>
      <c r="BP273" s="12">
        <v>163</v>
      </c>
      <c r="BQ273" s="163">
        <v>2</v>
      </c>
      <c r="BR273" s="14"/>
      <c r="BU273" s="26"/>
      <c r="BV273" s="14">
        <v>0</v>
      </c>
      <c r="BW273" s="209">
        <v>68.510000000000005</v>
      </c>
      <c r="BX273" s="3">
        <v>65.290000000000006</v>
      </c>
      <c r="BY273" s="3"/>
      <c r="BZ273" s="40"/>
      <c r="CA273" s="209"/>
      <c r="CB273" s="3"/>
      <c r="CC273" s="3"/>
      <c r="CD273" s="3"/>
      <c r="CE273" s="209">
        <v>65.849999999999994</v>
      </c>
      <c r="CF273" s="3"/>
      <c r="CG273" s="3"/>
      <c r="CH273" s="40"/>
      <c r="CI273" s="209"/>
      <c r="CJ273" s="3"/>
      <c r="CK273" s="3"/>
      <c r="CL273" s="209"/>
      <c r="CM273" s="3"/>
      <c r="CN273" s="3"/>
      <c r="CO273" s="3"/>
      <c r="CP273" s="40"/>
      <c r="CQ273" s="209"/>
      <c r="CR273" s="40"/>
      <c r="CS273" s="3"/>
      <c r="CT273" s="3"/>
    </row>
    <row r="274" spans="1:98">
      <c r="A274" s="87" t="s">
        <v>327</v>
      </c>
      <c r="B274" s="7" t="s">
        <v>184</v>
      </c>
      <c r="C274" s="9"/>
      <c r="D274" s="11" t="s">
        <v>132</v>
      </c>
      <c r="E274" s="9"/>
      <c r="F274" s="9">
        <v>4</v>
      </c>
      <c r="G274" s="11">
        <v>1</v>
      </c>
      <c r="H274" s="8">
        <v>0</v>
      </c>
      <c r="I274" s="8">
        <v>1</v>
      </c>
      <c r="J274" s="9">
        <v>101</v>
      </c>
      <c r="K274" s="11">
        <v>0</v>
      </c>
      <c r="L274" s="41">
        <v>69</v>
      </c>
      <c r="M274" s="11">
        <v>140</v>
      </c>
      <c r="N274" s="8">
        <v>350</v>
      </c>
      <c r="O274" s="11">
        <v>0</v>
      </c>
      <c r="P274" s="41">
        <v>182</v>
      </c>
      <c r="Q274" s="9">
        <v>585</v>
      </c>
      <c r="R274" s="208">
        <v>2.4788135593220337</v>
      </c>
      <c r="S274" s="11">
        <v>1</v>
      </c>
      <c r="T274" s="8">
        <v>1</v>
      </c>
      <c r="U274" s="8">
        <v>1</v>
      </c>
      <c r="V274" s="41">
        <v>0</v>
      </c>
      <c r="W274" s="11">
        <v>1110</v>
      </c>
      <c r="X274" s="11">
        <v>0</v>
      </c>
      <c r="Y274" s="8">
        <v>0</v>
      </c>
      <c r="Z274" s="8">
        <v>0</v>
      </c>
      <c r="AA274" s="41">
        <v>1</v>
      </c>
      <c r="AB274" s="9">
        <v>1</v>
      </c>
      <c r="AC274" s="11">
        <v>0</v>
      </c>
      <c r="AD274" s="11">
        <v>0</v>
      </c>
      <c r="AE274" s="8">
        <v>0</v>
      </c>
      <c r="AF274" s="8">
        <v>0</v>
      </c>
      <c r="AG274" s="41">
        <v>1</v>
      </c>
      <c r="AH274" s="11">
        <v>1</v>
      </c>
      <c r="AI274" s="11">
        <v>0</v>
      </c>
      <c r="AJ274" s="8">
        <v>0</v>
      </c>
      <c r="AK274" s="8">
        <v>1</v>
      </c>
      <c r="AL274" s="41">
        <v>0</v>
      </c>
      <c r="AM274" s="9">
        <v>10</v>
      </c>
      <c r="AN274" s="11">
        <v>0</v>
      </c>
      <c r="AO274" s="8">
        <v>0</v>
      </c>
      <c r="AP274" s="8">
        <v>0</v>
      </c>
      <c r="AQ274" s="8">
        <v>0</v>
      </c>
      <c r="AR274" s="8">
        <v>0</v>
      </c>
      <c r="AS274" s="11">
        <v>0</v>
      </c>
      <c r="AT274" s="8">
        <v>0</v>
      </c>
      <c r="AU274" s="8">
        <v>0</v>
      </c>
      <c r="AV274" s="8">
        <v>0</v>
      </c>
      <c r="AW274" s="41">
        <v>0</v>
      </c>
      <c r="AX274" s="11">
        <v>0</v>
      </c>
      <c r="AY274" s="11">
        <v>1</v>
      </c>
      <c r="AZ274" s="8">
        <v>0</v>
      </c>
      <c r="BA274" s="8">
        <v>0</v>
      </c>
      <c r="BB274" s="41">
        <v>0</v>
      </c>
      <c r="BC274" s="9">
        <v>1</v>
      </c>
      <c r="BD274" s="11">
        <v>0</v>
      </c>
      <c r="BE274" s="8">
        <v>0</v>
      </c>
      <c r="BF274" s="8">
        <v>0</v>
      </c>
      <c r="BG274" s="8">
        <v>0</v>
      </c>
      <c r="BH274" s="8">
        <v>1</v>
      </c>
      <c r="BI274" s="11">
        <v>0</v>
      </c>
      <c r="BJ274" s="8">
        <v>0</v>
      </c>
      <c r="BK274" s="41">
        <v>0</v>
      </c>
      <c r="BL274" s="11">
        <v>0</v>
      </c>
      <c r="BM274" s="8">
        <v>0</v>
      </c>
      <c r="BN274" s="41">
        <v>0</v>
      </c>
      <c r="BO274" s="11">
        <v>0</v>
      </c>
      <c r="BP274" s="9">
        <v>99</v>
      </c>
      <c r="BQ274" s="8">
        <v>2</v>
      </c>
      <c r="BR274" s="11"/>
      <c r="BS274" s="8"/>
      <c r="BT274" s="8"/>
      <c r="BU274" s="41"/>
      <c r="BV274" s="11">
        <v>0</v>
      </c>
      <c r="BW274" s="208"/>
      <c r="BX274" s="54"/>
      <c r="BY274" s="54"/>
      <c r="BZ274" s="10"/>
      <c r="CA274" s="208"/>
      <c r="CB274" s="54"/>
      <c r="CC274" s="54"/>
      <c r="CD274" s="54"/>
      <c r="CE274" s="208"/>
      <c r="CF274" s="54"/>
      <c r="CG274" s="54"/>
      <c r="CH274" s="10"/>
      <c r="CI274" s="208"/>
      <c r="CJ274" s="54"/>
      <c r="CK274" s="54"/>
      <c r="CL274" s="208">
        <v>84.826701813507626</v>
      </c>
      <c r="CM274" s="54"/>
      <c r="CN274" s="54"/>
      <c r="CO274" s="54"/>
      <c r="CP274" s="10"/>
      <c r="CQ274" s="208">
        <v>84.279303550666512</v>
      </c>
      <c r="CR274" s="10"/>
      <c r="CS274" s="3"/>
      <c r="CT274" s="3"/>
    </row>
    <row r="275" spans="1:98">
      <c r="A275" s="42" t="s">
        <v>327</v>
      </c>
      <c r="B275" s="173" t="s">
        <v>184</v>
      </c>
      <c r="C275" s="12"/>
      <c r="D275" s="14" t="s">
        <v>167</v>
      </c>
      <c r="E275" s="12"/>
      <c r="F275" s="12">
        <v>12</v>
      </c>
      <c r="G275" s="14">
        <v>0</v>
      </c>
      <c r="H275" s="163">
        <v>1</v>
      </c>
      <c r="I275" s="163">
        <v>1</v>
      </c>
      <c r="J275" s="12">
        <v>11</v>
      </c>
      <c r="K275" s="14">
        <v>71</v>
      </c>
      <c r="L275" s="26">
        <v>491</v>
      </c>
      <c r="M275" s="14">
        <v>0</v>
      </c>
      <c r="N275" s="163">
        <v>493</v>
      </c>
      <c r="O275" s="14">
        <v>358</v>
      </c>
      <c r="P275" s="26">
        <v>518</v>
      </c>
      <c r="Q275" s="12">
        <v>1042</v>
      </c>
      <c r="R275" s="209">
        <v>1.0276134122287968</v>
      </c>
      <c r="S275" s="14">
        <v>1</v>
      </c>
      <c r="T275" s="163">
        <v>1</v>
      </c>
      <c r="U275" s="163">
        <v>1</v>
      </c>
      <c r="V275" s="26">
        <v>0</v>
      </c>
      <c r="W275" s="14">
        <v>1110</v>
      </c>
      <c r="X275" s="14">
        <v>1</v>
      </c>
      <c r="Y275" s="163">
        <v>0</v>
      </c>
      <c r="Z275" s="163">
        <v>1</v>
      </c>
      <c r="AA275" s="26">
        <v>0</v>
      </c>
      <c r="AB275" s="12">
        <v>1010</v>
      </c>
      <c r="AC275" s="14">
        <v>0</v>
      </c>
      <c r="AD275" s="14">
        <v>0</v>
      </c>
      <c r="AE275" s="163">
        <v>0</v>
      </c>
      <c r="AF275" s="163">
        <v>1</v>
      </c>
      <c r="AG275" s="26">
        <v>0</v>
      </c>
      <c r="AH275" s="14">
        <v>10</v>
      </c>
      <c r="AI275" s="14">
        <v>0</v>
      </c>
      <c r="AJ275" s="163">
        <v>0</v>
      </c>
      <c r="AK275" s="163">
        <v>1</v>
      </c>
      <c r="AL275" s="26">
        <v>0</v>
      </c>
      <c r="AM275" s="12">
        <v>10</v>
      </c>
      <c r="AN275" s="14">
        <v>0</v>
      </c>
      <c r="AO275" s="163">
        <v>0</v>
      </c>
      <c r="AP275" s="163">
        <v>0</v>
      </c>
      <c r="AQ275" s="163">
        <v>0</v>
      </c>
      <c r="AR275" s="163">
        <v>0</v>
      </c>
      <c r="AS275" s="14">
        <v>1</v>
      </c>
      <c r="AT275" s="163">
        <v>0</v>
      </c>
      <c r="AU275" s="163">
        <v>0</v>
      </c>
      <c r="AV275" s="163">
        <v>0</v>
      </c>
      <c r="AW275" s="26">
        <v>0</v>
      </c>
      <c r="AX275" s="14">
        <v>1</v>
      </c>
      <c r="AY275" s="14">
        <v>0</v>
      </c>
      <c r="AZ275" s="163">
        <v>0</v>
      </c>
      <c r="BA275" s="163">
        <v>0</v>
      </c>
      <c r="BB275" s="26">
        <v>1</v>
      </c>
      <c r="BC275" s="12">
        <v>1</v>
      </c>
      <c r="BD275" s="14">
        <v>1</v>
      </c>
      <c r="BE275" s="163">
        <v>1</v>
      </c>
      <c r="BF275" s="163">
        <v>0</v>
      </c>
      <c r="BG275" s="163">
        <v>0</v>
      </c>
      <c r="BH275" s="163">
        <v>0</v>
      </c>
      <c r="BI275" s="14">
        <v>0</v>
      </c>
      <c r="BJ275" s="163">
        <v>0</v>
      </c>
      <c r="BK275" s="26">
        <v>0</v>
      </c>
      <c r="BL275" s="14">
        <v>0</v>
      </c>
      <c r="BM275" s="163">
        <v>0</v>
      </c>
      <c r="BN275" s="26">
        <v>0</v>
      </c>
      <c r="BO275" s="14">
        <v>0</v>
      </c>
      <c r="BP275" s="12">
        <v>102</v>
      </c>
      <c r="BQ275" s="163">
        <v>2</v>
      </c>
      <c r="BR275" s="14"/>
      <c r="BU275" s="26"/>
      <c r="BV275" s="14">
        <v>0</v>
      </c>
      <c r="BW275" s="209">
        <v>66.849999999999994</v>
      </c>
      <c r="BX275" s="3">
        <v>66.819999999999993</v>
      </c>
      <c r="BY275" s="3"/>
      <c r="BZ275" s="40"/>
      <c r="CA275" s="209"/>
      <c r="CB275" s="3"/>
      <c r="CC275" s="3"/>
      <c r="CD275" s="3"/>
      <c r="CE275" s="209">
        <v>66.790000000000006</v>
      </c>
      <c r="CF275" s="3">
        <v>65.61</v>
      </c>
      <c r="CG275" s="3"/>
      <c r="CH275" s="40"/>
      <c r="CI275" s="209"/>
      <c r="CJ275" s="3"/>
      <c r="CK275" s="3"/>
      <c r="CL275" s="209">
        <v>84.701972077508543</v>
      </c>
      <c r="CM275" s="3">
        <v>84.827874979799958</v>
      </c>
      <c r="CN275" s="3"/>
      <c r="CO275" s="3"/>
      <c r="CP275" s="40"/>
      <c r="CQ275" s="209">
        <v>84.529733919438854</v>
      </c>
      <c r="CR275" s="40">
        <v>84.551848049383963</v>
      </c>
      <c r="CS275" s="3"/>
      <c r="CT275" s="3"/>
    </row>
    <row r="276" spans="1:98">
      <c r="A276" s="42" t="s">
        <v>327</v>
      </c>
      <c r="B276" s="173" t="s">
        <v>184</v>
      </c>
      <c r="C276" s="12"/>
      <c r="D276" s="14" t="s">
        <v>168</v>
      </c>
      <c r="E276" s="12"/>
      <c r="F276" s="12">
        <v>18</v>
      </c>
      <c r="G276" s="14">
        <v>1</v>
      </c>
      <c r="H276" s="163">
        <v>0</v>
      </c>
      <c r="I276" s="163">
        <v>1</v>
      </c>
      <c r="J276" s="12">
        <v>101</v>
      </c>
      <c r="K276" s="14">
        <v>102</v>
      </c>
      <c r="L276" s="26">
        <v>1260</v>
      </c>
      <c r="M276" s="14">
        <v>188</v>
      </c>
      <c r="N276" s="163">
        <v>416</v>
      </c>
      <c r="O276" s="14">
        <v>0</v>
      </c>
      <c r="P276" s="26">
        <v>0</v>
      </c>
      <c r="Q276" s="12">
        <v>2409</v>
      </c>
      <c r="R276" s="209">
        <v>2.2409302325581395</v>
      </c>
      <c r="S276" s="14">
        <v>1</v>
      </c>
      <c r="T276" s="163">
        <v>1</v>
      </c>
      <c r="U276" s="163">
        <v>1</v>
      </c>
      <c r="V276" s="26">
        <v>0</v>
      </c>
      <c r="W276" s="14">
        <v>1110</v>
      </c>
      <c r="X276" s="14">
        <v>1</v>
      </c>
      <c r="Y276" s="163">
        <v>1</v>
      </c>
      <c r="Z276" s="163">
        <v>1</v>
      </c>
      <c r="AA276" s="26">
        <v>0</v>
      </c>
      <c r="AB276" s="12">
        <v>1110</v>
      </c>
      <c r="AC276" s="14">
        <v>0</v>
      </c>
      <c r="AD276" s="14">
        <v>0</v>
      </c>
      <c r="AE276" s="163">
        <v>0</v>
      </c>
      <c r="AF276" s="163">
        <v>1</v>
      </c>
      <c r="AG276" s="26">
        <v>0</v>
      </c>
      <c r="AH276" s="14">
        <v>10</v>
      </c>
      <c r="AI276" s="14">
        <v>0</v>
      </c>
      <c r="AJ276" s="163">
        <v>0</v>
      </c>
      <c r="AK276" s="163">
        <v>1</v>
      </c>
      <c r="AL276" s="26">
        <v>0</v>
      </c>
      <c r="AM276" s="12">
        <v>10</v>
      </c>
      <c r="AN276" s="14">
        <v>0</v>
      </c>
      <c r="AO276" s="163">
        <v>0</v>
      </c>
      <c r="AP276" s="163">
        <v>0</v>
      </c>
      <c r="AQ276" s="163">
        <v>0</v>
      </c>
      <c r="AR276" s="163">
        <v>0</v>
      </c>
      <c r="AS276" s="14">
        <v>1</v>
      </c>
      <c r="AT276" s="163">
        <v>0</v>
      </c>
      <c r="AU276" s="163">
        <v>0</v>
      </c>
      <c r="AV276" s="163">
        <v>0</v>
      </c>
      <c r="AW276" s="26">
        <v>0</v>
      </c>
      <c r="AX276" s="14">
        <v>1</v>
      </c>
      <c r="AY276" s="14">
        <v>0</v>
      </c>
      <c r="AZ276" s="163">
        <v>0</v>
      </c>
      <c r="BA276" s="163">
        <v>0</v>
      </c>
      <c r="BB276" s="26">
        <v>0</v>
      </c>
      <c r="BC276" s="12">
        <v>0</v>
      </c>
      <c r="BD276" s="14">
        <v>0</v>
      </c>
      <c r="BE276" s="163">
        <v>1</v>
      </c>
      <c r="BF276" s="163">
        <v>0</v>
      </c>
      <c r="BG276" s="163">
        <v>0</v>
      </c>
      <c r="BH276" s="163">
        <v>0</v>
      </c>
      <c r="BI276" s="14">
        <v>1</v>
      </c>
      <c r="BJ276" s="163">
        <v>1</v>
      </c>
      <c r="BK276" s="26">
        <v>0</v>
      </c>
      <c r="BL276" s="14">
        <v>0</v>
      </c>
      <c r="BM276" s="163">
        <v>0</v>
      </c>
      <c r="BN276" s="26">
        <v>0</v>
      </c>
      <c r="BO276" s="14">
        <v>1</v>
      </c>
      <c r="BP276" s="12">
        <v>113</v>
      </c>
      <c r="BQ276" s="163">
        <v>1</v>
      </c>
      <c r="BR276" s="14"/>
      <c r="BU276" s="26"/>
      <c r="BV276" s="14">
        <v>0</v>
      </c>
      <c r="BW276" s="209"/>
      <c r="BX276" s="3"/>
      <c r="BY276" s="3"/>
      <c r="BZ276" s="40"/>
      <c r="CA276" s="209"/>
      <c r="CB276" s="3"/>
      <c r="CC276" s="3"/>
      <c r="CD276" s="3"/>
      <c r="CE276" s="209"/>
      <c r="CF276" s="3"/>
      <c r="CG276" s="3"/>
      <c r="CH276" s="40"/>
      <c r="CI276" s="209"/>
      <c r="CJ276" s="3"/>
      <c r="CK276" s="3"/>
      <c r="CL276" s="209">
        <v>84.69000877245557</v>
      </c>
      <c r="CM276" s="3">
        <v>84.658057246785873</v>
      </c>
      <c r="CN276" s="3"/>
      <c r="CO276" s="3"/>
      <c r="CP276" s="40"/>
      <c r="CQ276" s="209">
        <v>84.626016243395711</v>
      </c>
      <c r="CR276" s="40"/>
      <c r="CS276" s="3"/>
      <c r="CT276" s="3"/>
    </row>
    <row r="277" spans="1:98">
      <c r="A277" s="42" t="s">
        <v>327</v>
      </c>
      <c r="B277" s="173" t="s">
        <v>184</v>
      </c>
      <c r="C277" s="12"/>
      <c r="D277" s="14" t="s">
        <v>199</v>
      </c>
      <c r="E277" s="12"/>
      <c r="F277" s="12">
        <v>19</v>
      </c>
      <c r="G277" s="14">
        <v>0</v>
      </c>
      <c r="H277" s="163">
        <v>0</v>
      </c>
      <c r="I277" s="163">
        <v>1</v>
      </c>
      <c r="J277" s="12">
        <v>1</v>
      </c>
      <c r="K277" s="14">
        <v>13</v>
      </c>
      <c r="L277" s="26">
        <v>364</v>
      </c>
      <c r="M277" s="14">
        <v>89</v>
      </c>
      <c r="N277" s="163">
        <v>654</v>
      </c>
      <c r="O277" s="14">
        <v>0</v>
      </c>
      <c r="P277" s="26">
        <v>0</v>
      </c>
      <c r="Q277" s="12">
        <v>1050</v>
      </c>
      <c r="R277" s="209">
        <v>1.6304347826086956</v>
      </c>
      <c r="S277" s="14">
        <v>1</v>
      </c>
      <c r="T277" s="163">
        <v>1</v>
      </c>
      <c r="U277" s="163">
        <v>0</v>
      </c>
      <c r="V277" s="26">
        <v>0</v>
      </c>
      <c r="W277" s="14">
        <v>1100</v>
      </c>
      <c r="X277" s="14">
        <v>1</v>
      </c>
      <c r="Y277" s="163">
        <v>1</v>
      </c>
      <c r="Z277" s="163">
        <v>0</v>
      </c>
      <c r="AA277" s="26">
        <v>0</v>
      </c>
      <c r="AB277" s="12">
        <v>1100</v>
      </c>
      <c r="AC277" s="14">
        <v>0</v>
      </c>
      <c r="AD277" s="14">
        <v>0</v>
      </c>
      <c r="AE277" s="163">
        <v>0</v>
      </c>
      <c r="AF277" s="163">
        <v>1</v>
      </c>
      <c r="AG277" s="26">
        <v>0</v>
      </c>
      <c r="AH277" s="14">
        <v>10</v>
      </c>
      <c r="AI277" s="14">
        <v>0</v>
      </c>
      <c r="AJ277" s="163">
        <v>0</v>
      </c>
      <c r="AK277" s="163">
        <v>0</v>
      </c>
      <c r="AL277" s="26">
        <v>0</v>
      </c>
      <c r="AM277" s="12">
        <v>0</v>
      </c>
      <c r="AN277" s="14">
        <v>0</v>
      </c>
      <c r="AO277" s="163">
        <v>0</v>
      </c>
      <c r="AP277" s="163">
        <v>0</v>
      </c>
      <c r="AQ277" s="163">
        <v>0</v>
      </c>
      <c r="AR277" s="163">
        <v>0</v>
      </c>
      <c r="AS277" s="14">
        <v>1</v>
      </c>
      <c r="AT277" s="163">
        <v>1</v>
      </c>
      <c r="AU277" s="163">
        <v>0</v>
      </c>
      <c r="AV277" s="163">
        <v>0</v>
      </c>
      <c r="AW277" s="26">
        <v>0</v>
      </c>
      <c r="AX277" s="14">
        <v>2</v>
      </c>
      <c r="AY277" s="14">
        <v>0</v>
      </c>
      <c r="AZ277" s="163">
        <v>0</v>
      </c>
      <c r="BA277" s="163">
        <v>0</v>
      </c>
      <c r="BB277" s="26">
        <v>0</v>
      </c>
      <c r="BC277" s="12">
        <v>0</v>
      </c>
      <c r="BD277" s="14">
        <v>0</v>
      </c>
      <c r="BE277" s="163">
        <v>0</v>
      </c>
      <c r="BF277" s="163">
        <v>0</v>
      </c>
      <c r="BG277" s="163">
        <v>0</v>
      </c>
      <c r="BH277" s="163">
        <v>0</v>
      </c>
      <c r="BI277" s="14">
        <v>1</v>
      </c>
      <c r="BJ277" s="163">
        <v>1</v>
      </c>
      <c r="BK277" s="26">
        <v>0</v>
      </c>
      <c r="BL277" s="14">
        <v>0</v>
      </c>
      <c r="BM277" s="163">
        <v>0</v>
      </c>
      <c r="BN277" s="26">
        <v>0</v>
      </c>
      <c r="BO277" s="14">
        <v>0</v>
      </c>
      <c r="BP277" s="12">
        <v>92</v>
      </c>
      <c r="BQ277" s="163">
        <v>2</v>
      </c>
      <c r="BR277" s="14"/>
      <c r="BU277" s="26"/>
      <c r="BV277" s="14">
        <v>0</v>
      </c>
      <c r="BW277" s="209"/>
      <c r="BX277" s="3"/>
      <c r="BY277" s="3"/>
      <c r="BZ277" s="40"/>
      <c r="CA277" s="209"/>
      <c r="CB277" s="3"/>
      <c r="CC277" s="3"/>
      <c r="CD277" s="3"/>
      <c r="CE277" s="209"/>
      <c r="CF277" s="3"/>
      <c r="CG277" s="3"/>
      <c r="CH277" s="40"/>
      <c r="CI277" s="209"/>
      <c r="CJ277" s="3"/>
      <c r="CK277" s="3"/>
      <c r="CL277" s="209">
        <v>85.282658171440204</v>
      </c>
      <c r="CM277" s="3"/>
      <c r="CN277" s="3"/>
      <c r="CO277" s="3"/>
      <c r="CP277" s="40"/>
      <c r="CQ277" s="209">
        <v>85.228754610703646</v>
      </c>
      <c r="CR277" s="40"/>
      <c r="CS277" s="3"/>
      <c r="CT277" s="3"/>
    </row>
    <row r="278" spans="1:98">
      <c r="A278" s="42" t="s">
        <v>327</v>
      </c>
      <c r="B278" s="173" t="s">
        <v>184</v>
      </c>
      <c r="C278" s="12"/>
      <c r="D278" s="14" t="s">
        <v>206</v>
      </c>
      <c r="E278" s="12"/>
      <c r="F278" s="12">
        <v>26</v>
      </c>
      <c r="G278" s="14">
        <v>1</v>
      </c>
      <c r="H278" s="163">
        <v>1</v>
      </c>
      <c r="I278" s="163">
        <v>1</v>
      </c>
      <c r="J278" s="12">
        <v>111</v>
      </c>
      <c r="K278" s="14">
        <v>98</v>
      </c>
      <c r="L278" s="26">
        <v>1949</v>
      </c>
      <c r="M278" s="14">
        <v>120</v>
      </c>
      <c r="N278" s="163">
        <v>784</v>
      </c>
      <c r="O278" s="14">
        <v>470</v>
      </c>
      <c r="P278" s="26">
        <v>519</v>
      </c>
      <c r="Q278" s="12">
        <v>2693</v>
      </c>
      <c r="R278" s="209">
        <v>1.7647444298820445</v>
      </c>
      <c r="S278" s="14">
        <v>1</v>
      </c>
      <c r="T278" s="163">
        <v>1</v>
      </c>
      <c r="U278" s="163">
        <v>1</v>
      </c>
      <c r="V278" s="26">
        <v>1</v>
      </c>
      <c r="W278" s="14">
        <v>1111</v>
      </c>
      <c r="X278" s="14">
        <v>1</v>
      </c>
      <c r="Y278" s="163">
        <v>0</v>
      </c>
      <c r="Z278" s="163">
        <v>1</v>
      </c>
      <c r="AA278" s="26">
        <v>0</v>
      </c>
      <c r="AB278" s="12">
        <v>1010</v>
      </c>
      <c r="AC278" s="14">
        <v>0</v>
      </c>
      <c r="AD278" s="14">
        <v>0</v>
      </c>
      <c r="AE278" s="163">
        <v>0</v>
      </c>
      <c r="AF278" s="163">
        <v>1</v>
      </c>
      <c r="AG278" s="26">
        <v>0</v>
      </c>
      <c r="AH278" s="14">
        <v>10</v>
      </c>
      <c r="AI278" s="14">
        <v>0</v>
      </c>
      <c r="AJ278" s="163">
        <v>0</v>
      </c>
      <c r="AK278" s="163">
        <v>1</v>
      </c>
      <c r="AL278" s="26">
        <v>0</v>
      </c>
      <c r="AM278" s="12">
        <v>10</v>
      </c>
      <c r="AN278" s="14">
        <v>0</v>
      </c>
      <c r="AO278" s="163">
        <v>0</v>
      </c>
      <c r="AP278" s="163">
        <v>0</v>
      </c>
      <c r="AQ278" s="163">
        <v>0</v>
      </c>
      <c r="AR278" s="163">
        <v>1</v>
      </c>
      <c r="AS278" s="14">
        <v>1</v>
      </c>
      <c r="AT278" s="163">
        <v>0</v>
      </c>
      <c r="AU278" s="163">
        <v>0</v>
      </c>
      <c r="AV278" s="163">
        <v>0</v>
      </c>
      <c r="AW278" s="26">
        <v>0</v>
      </c>
      <c r="AX278" s="14">
        <v>1</v>
      </c>
      <c r="AY278" s="14">
        <v>0</v>
      </c>
      <c r="AZ278" s="163">
        <v>0</v>
      </c>
      <c r="BA278" s="163">
        <v>1</v>
      </c>
      <c r="BB278" s="26">
        <v>0</v>
      </c>
      <c r="BC278" s="12">
        <v>1</v>
      </c>
      <c r="BD278" s="14">
        <v>0</v>
      </c>
      <c r="BE278" s="163">
        <v>1</v>
      </c>
      <c r="BF278" s="163">
        <v>0</v>
      </c>
      <c r="BG278" s="163">
        <v>0</v>
      </c>
      <c r="BH278" s="163">
        <v>0</v>
      </c>
      <c r="BI278" s="14">
        <v>0</v>
      </c>
      <c r="BJ278" s="163">
        <v>1</v>
      </c>
      <c r="BK278" s="26">
        <v>0</v>
      </c>
      <c r="BL278" s="14">
        <v>0</v>
      </c>
      <c r="BM278" s="163">
        <v>0</v>
      </c>
      <c r="BN278" s="26">
        <v>0</v>
      </c>
      <c r="BO278" s="14">
        <v>0</v>
      </c>
      <c r="BP278" s="12">
        <v>123</v>
      </c>
      <c r="BQ278" s="163">
        <v>2</v>
      </c>
      <c r="BR278" s="14"/>
      <c r="BU278" s="26"/>
      <c r="BV278" s="14">
        <v>0</v>
      </c>
      <c r="BW278" s="209"/>
      <c r="BX278" s="3"/>
      <c r="BY278" s="3"/>
      <c r="BZ278" s="40"/>
      <c r="CA278" s="209"/>
      <c r="CB278" s="3"/>
      <c r="CC278" s="3"/>
      <c r="CD278" s="3"/>
      <c r="CE278" s="209"/>
      <c r="CF278" s="3"/>
      <c r="CG278" s="3"/>
      <c r="CH278" s="40"/>
      <c r="CI278" s="209"/>
      <c r="CJ278" s="3"/>
      <c r="CK278" s="3"/>
      <c r="CL278" s="209">
        <v>84.978788930766939</v>
      </c>
      <c r="CM278" s="3">
        <v>85.10329319102668</v>
      </c>
      <c r="CN278" s="3"/>
      <c r="CO278" s="3"/>
      <c r="CP278" s="40"/>
      <c r="CQ278" s="209">
        <v>84.896688155697589</v>
      </c>
      <c r="CR278" s="40">
        <v>84.89035450230844</v>
      </c>
      <c r="CS278" s="3"/>
      <c r="CT278" s="3"/>
    </row>
    <row r="279" spans="1:98" ht="17" thickBot="1">
      <c r="A279" s="55" t="s">
        <v>327</v>
      </c>
      <c r="B279" s="47" t="s">
        <v>184</v>
      </c>
      <c r="C279" s="33"/>
      <c r="D279" s="34" t="s">
        <v>395</v>
      </c>
      <c r="E279" s="33"/>
      <c r="F279" s="33">
        <v>18</v>
      </c>
      <c r="G279" s="34">
        <v>0</v>
      </c>
      <c r="H279" s="36">
        <v>1</v>
      </c>
      <c r="I279" s="36">
        <v>1</v>
      </c>
      <c r="J279" s="33">
        <v>11</v>
      </c>
      <c r="K279" s="34">
        <v>231</v>
      </c>
      <c r="L279" s="35">
        <v>4421</v>
      </c>
      <c r="M279" s="34">
        <v>212</v>
      </c>
      <c r="N279" s="36">
        <v>755</v>
      </c>
      <c r="O279" s="34">
        <v>0</v>
      </c>
      <c r="P279" s="35">
        <v>0</v>
      </c>
      <c r="Q279" s="33">
        <v>4785</v>
      </c>
      <c r="R279" s="210">
        <v>1.5870646766169154</v>
      </c>
      <c r="S279" s="34">
        <v>1</v>
      </c>
      <c r="T279" s="36">
        <v>1</v>
      </c>
      <c r="U279" s="36">
        <v>0</v>
      </c>
      <c r="V279" s="35">
        <v>1</v>
      </c>
      <c r="W279" s="34">
        <v>1101</v>
      </c>
      <c r="X279" s="34">
        <v>1</v>
      </c>
      <c r="Y279" s="36">
        <v>0</v>
      </c>
      <c r="Z279" s="36">
        <v>1</v>
      </c>
      <c r="AA279" s="35">
        <v>0</v>
      </c>
      <c r="AB279" s="33">
        <v>1010</v>
      </c>
      <c r="AC279" s="34">
        <v>0</v>
      </c>
      <c r="AD279" s="34">
        <v>0</v>
      </c>
      <c r="AE279" s="36">
        <v>0</v>
      </c>
      <c r="AF279" s="36">
        <v>1</v>
      </c>
      <c r="AG279" s="35">
        <v>0</v>
      </c>
      <c r="AH279" s="34">
        <v>10</v>
      </c>
      <c r="AI279" s="34">
        <v>0</v>
      </c>
      <c r="AJ279" s="36">
        <v>0</v>
      </c>
      <c r="AK279" s="36">
        <v>0</v>
      </c>
      <c r="AL279" s="35">
        <v>0</v>
      </c>
      <c r="AM279" s="33">
        <v>0</v>
      </c>
      <c r="AN279" s="34">
        <v>0</v>
      </c>
      <c r="AO279" s="36">
        <v>0</v>
      </c>
      <c r="AP279" s="36">
        <v>0</v>
      </c>
      <c r="AQ279" s="36">
        <v>0</v>
      </c>
      <c r="AR279" s="36">
        <v>1</v>
      </c>
      <c r="AS279" s="34">
        <v>1</v>
      </c>
      <c r="AT279" s="36">
        <v>0</v>
      </c>
      <c r="AU279" s="36">
        <v>0</v>
      </c>
      <c r="AV279" s="36">
        <v>1</v>
      </c>
      <c r="AW279" s="35">
        <v>0</v>
      </c>
      <c r="AX279" s="34">
        <v>2</v>
      </c>
      <c r="AY279" s="34">
        <v>0</v>
      </c>
      <c r="AZ279" s="36">
        <v>0</v>
      </c>
      <c r="BA279" s="36">
        <v>0</v>
      </c>
      <c r="BB279" s="35">
        <v>0</v>
      </c>
      <c r="BC279" s="33">
        <v>0</v>
      </c>
      <c r="BD279" s="34">
        <v>0</v>
      </c>
      <c r="BE279" s="36">
        <v>0</v>
      </c>
      <c r="BF279" s="36">
        <v>0</v>
      </c>
      <c r="BG279" s="36">
        <v>0</v>
      </c>
      <c r="BH279" s="36">
        <v>0</v>
      </c>
      <c r="BI279" s="34">
        <v>1</v>
      </c>
      <c r="BJ279" s="36">
        <v>1</v>
      </c>
      <c r="BK279" s="35">
        <v>0</v>
      </c>
      <c r="BL279" s="34">
        <v>0</v>
      </c>
      <c r="BM279" s="36">
        <v>0</v>
      </c>
      <c r="BN279" s="35">
        <v>0</v>
      </c>
      <c r="BO279" s="34">
        <v>1</v>
      </c>
      <c r="BP279" s="33">
        <v>122</v>
      </c>
      <c r="BQ279" s="36">
        <v>2</v>
      </c>
      <c r="BR279" s="34"/>
      <c r="BS279" s="36"/>
      <c r="BT279" s="36"/>
      <c r="BU279" s="35"/>
      <c r="BV279" s="34">
        <v>0</v>
      </c>
      <c r="BW279" s="210">
        <v>69.25</v>
      </c>
      <c r="BX279" s="51">
        <v>69.709999999999994</v>
      </c>
      <c r="BY279" s="51">
        <v>67.069999999999993</v>
      </c>
      <c r="BZ279" s="48"/>
      <c r="CA279" s="210">
        <v>69.13</v>
      </c>
      <c r="CB279" s="51"/>
      <c r="CC279" s="51"/>
      <c r="CD279" s="51"/>
      <c r="CE279" s="210">
        <v>73.48</v>
      </c>
      <c r="CF279" s="51">
        <v>71.19</v>
      </c>
      <c r="CG279" s="51">
        <v>74.69</v>
      </c>
      <c r="CH279" s="48"/>
      <c r="CI279" s="210"/>
      <c r="CJ279" s="51"/>
      <c r="CK279" s="51"/>
      <c r="CL279" s="210">
        <v>85.435340162812082</v>
      </c>
      <c r="CM279" s="51"/>
      <c r="CN279" s="51"/>
      <c r="CO279" s="51"/>
      <c r="CP279" s="48"/>
      <c r="CQ279" s="210">
        <v>85.440467963046146</v>
      </c>
      <c r="CR279" s="48"/>
      <c r="CS279" s="3"/>
      <c r="CT279" s="3"/>
    </row>
    <row r="280" spans="1:98">
      <c r="A280" s="87" t="s">
        <v>327</v>
      </c>
      <c r="B280" s="7" t="s">
        <v>185</v>
      </c>
      <c r="C280" s="9"/>
      <c r="D280" s="11" t="s">
        <v>132</v>
      </c>
      <c r="E280" s="9"/>
      <c r="F280" s="9">
        <v>22</v>
      </c>
      <c r="G280" s="11">
        <v>1</v>
      </c>
      <c r="H280" s="8">
        <v>1</v>
      </c>
      <c r="I280" s="8">
        <v>1</v>
      </c>
      <c r="J280" s="9">
        <v>111</v>
      </c>
      <c r="K280" s="11">
        <v>63</v>
      </c>
      <c r="L280" s="41">
        <v>1185</v>
      </c>
      <c r="M280" s="11">
        <v>399</v>
      </c>
      <c r="N280" s="8">
        <v>1294</v>
      </c>
      <c r="O280" s="11">
        <v>0</v>
      </c>
      <c r="P280" s="41">
        <v>644</v>
      </c>
      <c r="Q280" s="9">
        <v>4297</v>
      </c>
      <c r="R280" s="208">
        <v>2.866577718478986</v>
      </c>
      <c r="S280" s="11">
        <v>1</v>
      </c>
      <c r="T280" s="8">
        <v>1</v>
      </c>
      <c r="U280" s="8">
        <v>1</v>
      </c>
      <c r="V280" s="41">
        <v>0</v>
      </c>
      <c r="W280" s="11">
        <v>1110</v>
      </c>
      <c r="X280" s="11">
        <v>1</v>
      </c>
      <c r="Y280" s="8">
        <v>0</v>
      </c>
      <c r="Z280" s="8">
        <v>1</v>
      </c>
      <c r="AA280" s="41">
        <v>0</v>
      </c>
      <c r="AB280" s="9">
        <v>1010</v>
      </c>
      <c r="AC280" s="11">
        <v>0</v>
      </c>
      <c r="AD280" s="11">
        <v>0</v>
      </c>
      <c r="AE280" s="8">
        <v>0</v>
      </c>
      <c r="AF280" s="8">
        <v>1</v>
      </c>
      <c r="AG280" s="41">
        <v>0</v>
      </c>
      <c r="AH280" s="11">
        <v>10</v>
      </c>
      <c r="AI280" s="11">
        <v>0</v>
      </c>
      <c r="AJ280" s="8">
        <v>0</v>
      </c>
      <c r="AK280" s="8">
        <v>1</v>
      </c>
      <c r="AL280" s="41">
        <v>0</v>
      </c>
      <c r="AM280" s="9">
        <v>10</v>
      </c>
      <c r="AN280" s="11">
        <v>0</v>
      </c>
      <c r="AO280" s="8">
        <v>0</v>
      </c>
      <c r="AP280" s="8">
        <v>0</v>
      </c>
      <c r="AQ280" s="8">
        <v>0</v>
      </c>
      <c r="AR280" s="8">
        <v>0</v>
      </c>
      <c r="AS280" s="11">
        <v>1</v>
      </c>
      <c r="AT280" s="8">
        <v>0</v>
      </c>
      <c r="AU280" s="8">
        <v>0</v>
      </c>
      <c r="AV280" s="8">
        <v>0</v>
      </c>
      <c r="AW280" s="41">
        <v>0</v>
      </c>
      <c r="AX280" s="11">
        <v>1</v>
      </c>
      <c r="AY280" s="11">
        <v>0</v>
      </c>
      <c r="AZ280" s="8">
        <v>0</v>
      </c>
      <c r="BA280" s="8">
        <v>0</v>
      </c>
      <c r="BB280" s="41">
        <v>0</v>
      </c>
      <c r="BC280" s="9">
        <v>0</v>
      </c>
      <c r="BD280" s="11">
        <v>0</v>
      </c>
      <c r="BE280" s="8">
        <v>1</v>
      </c>
      <c r="BF280" s="8">
        <v>0</v>
      </c>
      <c r="BG280" s="8">
        <v>0</v>
      </c>
      <c r="BH280" s="8">
        <v>0</v>
      </c>
      <c r="BI280" s="11">
        <v>1</v>
      </c>
      <c r="BJ280" s="8">
        <v>0</v>
      </c>
      <c r="BK280" s="41">
        <v>0</v>
      </c>
      <c r="BL280" s="11">
        <v>1</v>
      </c>
      <c r="BM280" s="8">
        <v>0</v>
      </c>
      <c r="BN280" s="41">
        <v>0</v>
      </c>
      <c r="BO280" s="11">
        <v>1</v>
      </c>
      <c r="BP280" s="9">
        <v>110</v>
      </c>
      <c r="BQ280" s="8">
        <v>1</v>
      </c>
      <c r="BR280" s="11"/>
      <c r="BS280" s="8"/>
      <c r="BT280" s="8"/>
      <c r="BU280" s="41"/>
      <c r="BV280" s="11">
        <v>0</v>
      </c>
      <c r="BW280" s="208"/>
      <c r="BX280" s="54"/>
      <c r="BY280" s="54"/>
      <c r="BZ280" s="10"/>
      <c r="CA280" s="208"/>
      <c r="CB280" s="54"/>
      <c r="CC280" s="54"/>
      <c r="CD280" s="54"/>
      <c r="CE280" s="208"/>
      <c r="CF280" s="54"/>
      <c r="CG280" s="54"/>
      <c r="CH280" s="10"/>
      <c r="CI280" s="208"/>
      <c r="CJ280" s="54"/>
      <c r="CK280" s="54"/>
      <c r="CL280" s="208">
        <v>85.006846258503941</v>
      </c>
      <c r="CM280" s="54"/>
      <c r="CN280" s="54"/>
      <c r="CO280" s="54"/>
      <c r="CP280" s="10"/>
      <c r="CQ280" s="208">
        <v>85.136220948646198</v>
      </c>
      <c r="CR280" s="10"/>
      <c r="CS280" s="3"/>
      <c r="CT280" s="3"/>
    </row>
    <row r="281" spans="1:98" ht="17" thickBot="1">
      <c r="A281" s="55" t="s">
        <v>327</v>
      </c>
      <c r="B281" s="47" t="s">
        <v>185</v>
      </c>
      <c r="C281" s="33"/>
      <c r="D281" s="34" t="s">
        <v>167</v>
      </c>
      <c r="E281" s="33"/>
      <c r="F281" s="33">
        <v>12</v>
      </c>
      <c r="G281" s="34">
        <v>1</v>
      </c>
      <c r="H281" s="36">
        <v>1</v>
      </c>
      <c r="I281" s="36">
        <v>1</v>
      </c>
      <c r="J281" s="33">
        <v>111</v>
      </c>
      <c r="K281" s="34">
        <v>107</v>
      </c>
      <c r="L281" s="35">
        <v>2137</v>
      </c>
      <c r="M281" s="34">
        <v>0</v>
      </c>
      <c r="N281" s="36">
        <v>953</v>
      </c>
      <c r="O281" s="34">
        <v>0</v>
      </c>
      <c r="P281" s="35">
        <v>0</v>
      </c>
      <c r="Q281" s="33">
        <v>2583</v>
      </c>
      <c r="R281" s="210">
        <v>1.6750972762645915</v>
      </c>
      <c r="S281" s="34">
        <v>1</v>
      </c>
      <c r="T281" s="36">
        <v>1</v>
      </c>
      <c r="U281" s="36">
        <v>0</v>
      </c>
      <c r="V281" s="35">
        <v>0</v>
      </c>
      <c r="W281" s="34">
        <v>1100</v>
      </c>
      <c r="X281" s="34">
        <v>1</v>
      </c>
      <c r="Y281" s="36">
        <v>0</v>
      </c>
      <c r="Z281" s="36">
        <v>1</v>
      </c>
      <c r="AA281" s="35">
        <v>0</v>
      </c>
      <c r="AB281" s="33">
        <v>1010</v>
      </c>
      <c r="AC281" s="34">
        <v>0</v>
      </c>
      <c r="AD281" s="34">
        <v>0</v>
      </c>
      <c r="AE281" s="36">
        <v>0</v>
      </c>
      <c r="AF281" s="36">
        <v>1</v>
      </c>
      <c r="AG281" s="35">
        <v>0</v>
      </c>
      <c r="AH281" s="34">
        <v>10</v>
      </c>
      <c r="AI281" s="34">
        <v>0</v>
      </c>
      <c r="AJ281" s="36">
        <v>0</v>
      </c>
      <c r="AK281" s="36">
        <v>0</v>
      </c>
      <c r="AL281" s="35">
        <v>0</v>
      </c>
      <c r="AM281" s="33">
        <v>0</v>
      </c>
      <c r="AN281" s="34">
        <v>0</v>
      </c>
      <c r="AO281" s="36">
        <v>0</v>
      </c>
      <c r="AP281" s="36">
        <v>0</v>
      </c>
      <c r="AQ281" s="36">
        <v>0</v>
      </c>
      <c r="AR281" s="36">
        <v>0</v>
      </c>
      <c r="AS281" s="34">
        <v>1</v>
      </c>
      <c r="AT281" s="36">
        <v>0</v>
      </c>
      <c r="AU281" s="36">
        <v>0</v>
      </c>
      <c r="AV281" s="36">
        <v>0</v>
      </c>
      <c r="AW281" s="35">
        <v>0</v>
      </c>
      <c r="AX281" s="34">
        <v>1</v>
      </c>
      <c r="AY281" s="34">
        <v>0</v>
      </c>
      <c r="AZ281" s="36">
        <v>0</v>
      </c>
      <c r="BA281" s="36">
        <v>0</v>
      </c>
      <c r="BB281" s="35">
        <v>0</v>
      </c>
      <c r="BC281" s="33">
        <v>0</v>
      </c>
      <c r="BD281" s="34">
        <v>0</v>
      </c>
      <c r="BE281" s="36">
        <v>0</v>
      </c>
      <c r="BF281" s="36">
        <v>0</v>
      </c>
      <c r="BG281" s="36">
        <v>0</v>
      </c>
      <c r="BH281" s="36">
        <v>0</v>
      </c>
      <c r="BI281" s="34">
        <v>0</v>
      </c>
      <c r="BJ281" s="36">
        <v>0</v>
      </c>
      <c r="BK281" s="35">
        <v>0</v>
      </c>
      <c r="BL281" s="34">
        <v>0</v>
      </c>
      <c r="BM281" s="36">
        <v>0</v>
      </c>
      <c r="BN281" s="35">
        <v>0</v>
      </c>
      <c r="BO281" s="34">
        <v>1</v>
      </c>
      <c r="BP281" s="33">
        <v>96</v>
      </c>
      <c r="BQ281" s="36">
        <v>1</v>
      </c>
      <c r="BR281" s="34"/>
      <c r="BS281" s="36"/>
      <c r="BT281" s="36"/>
      <c r="BU281" s="35"/>
      <c r="BV281" s="34">
        <v>0</v>
      </c>
      <c r="BW281" s="210"/>
      <c r="BX281" s="51"/>
      <c r="BY281" s="51"/>
      <c r="BZ281" s="48"/>
      <c r="CA281" s="210"/>
      <c r="CB281" s="51"/>
      <c r="CC281" s="51"/>
      <c r="CD281" s="51"/>
      <c r="CE281" s="210"/>
      <c r="CF281" s="51"/>
      <c r="CG281" s="51"/>
      <c r="CH281" s="48"/>
      <c r="CI281" s="210"/>
      <c r="CJ281" s="51"/>
      <c r="CK281" s="51"/>
      <c r="CL281" s="210">
        <v>84.794448673900177</v>
      </c>
      <c r="CM281" s="51"/>
      <c r="CN281" s="51"/>
      <c r="CO281" s="51"/>
      <c r="CP281" s="48"/>
      <c r="CQ281" s="210">
        <v>84.891586164681115</v>
      </c>
      <c r="CR281" s="48"/>
      <c r="CS281" s="3"/>
      <c r="CT281" s="3"/>
    </row>
    <row r="282" spans="1:98">
      <c r="A282" s="87" t="s">
        <v>327</v>
      </c>
      <c r="B282" s="7" t="s">
        <v>186</v>
      </c>
      <c r="C282" s="9"/>
      <c r="D282" s="11" t="s">
        <v>132</v>
      </c>
      <c r="E282" s="9"/>
      <c r="F282" s="9">
        <v>3</v>
      </c>
      <c r="G282" s="11">
        <v>0</v>
      </c>
      <c r="H282" s="8">
        <v>0</v>
      </c>
      <c r="I282" s="8">
        <v>1</v>
      </c>
      <c r="J282" s="9">
        <v>1</v>
      </c>
      <c r="K282" s="11">
        <v>0</v>
      </c>
      <c r="L282" s="41">
        <v>505</v>
      </c>
      <c r="M282" s="11">
        <v>270</v>
      </c>
      <c r="N282" s="8">
        <v>502</v>
      </c>
      <c r="O282" s="11">
        <v>0</v>
      </c>
      <c r="P282" s="41">
        <v>0</v>
      </c>
      <c r="Q282" s="9">
        <v>762</v>
      </c>
      <c r="R282" s="208">
        <v>1.2574257425742574</v>
      </c>
      <c r="S282" s="11">
        <v>1</v>
      </c>
      <c r="T282" s="8">
        <v>1</v>
      </c>
      <c r="U282" s="8">
        <v>0</v>
      </c>
      <c r="V282" s="41">
        <v>0</v>
      </c>
      <c r="W282" s="11">
        <v>1100</v>
      </c>
      <c r="X282" s="11">
        <v>1</v>
      </c>
      <c r="Y282" s="8">
        <v>0</v>
      </c>
      <c r="Z282" s="8">
        <v>0</v>
      </c>
      <c r="AA282" s="41">
        <v>0</v>
      </c>
      <c r="AB282" s="9">
        <v>1000</v>
      </c>
      <c r="AC282" s="11">
        <v>1</v>
      </c>
      <c r="AD282" s="11">
        <v>0</v>
      </c>
      <c r="AE282" s="8">
        <v>1</v>
      </c>
      <c r="AF282" s="8">
        <v>1</v>
      </c>
      <c r="AG282" s="41">
        <v>0</v>
      </c>
      <c r="AH282" s="11">
        <v>110</v>
      </c>
      <c r="AI282" s="11">
        <v>0</v>
      </c>
      <c r="AJ282" s="8">
        <v>0</v>
      </c>
      <c r="AK282" s="8">
        <v>0</v>
      </c>
      <c r="AL282" s="41">
        <v>0</v>
      </c>
      <c r="AM282" s="9">
        <v>0</v>
      </c>
      <c r="AN282" s="11">
        <v>0</v>
      </c>
      <c r="AO282" s="8">
        <v>0</v>
      </c>
      <c r="AP282" s="8">
        <v>0</v>
      </c>
      <c r="AQ282" s="8">
        <v>0</v>
      </c>
      <c r="AR282" s="8">
        <v>0</v>
      </c>
      <c r="AS282" s="11">
        <v>1</v>
      </c>
      <c r="AT282" s="8">
        <v>1</v>
      </c>
      <c r="AU282" s="8">
        <v>0</v>
      </c>
      <c r="AV282" s="8">
        <v>0</v>
      </c>
      <c r="AW282" s="41">
        <v>0</v>
      </c>
      <c r="AX282" s="11">
        <v>2</v>
      </c>
      <c r="AY282" s="11">
        <v>0</v>
      </c>
      <c r="AZ282" s="8">
        <v>0</v>
      </c>
      <c r="BA282" s="8">
        <v>0</v>
      </c>
      <c r="BB282" s="41">
        <v>1</v>
      </c>
      <c r="BC282" s="9">
        <v>1</v>
      </c>
      <c r="BD282" s="11">
        <v>0</v>
      </c>
      <c r="BE282" s="8">
        <v>0</v>
      </c>
      <c r="BF282" s="8">
        <v>0</v>
      </c>
      <c r="BG282" s="8">
        <v>0</v>
      </c>
      <c r="BH282" s="8">
        <v>0</v>
      </c>
      <c r="BI282" s="11">
        <v>1</v>
      </c>
      <c r="BJ282" s="8">
        <v>1</v>
      </c>
      <c r="BK282" s="41">
        <v>0</v>
      </c>
      <c r="BL282" s="11">
        <v>0</v>
      </c>
      <c r="BM282" s="8">
        <v>0</v>
      </c>
      <c r="BN282" s="41">
        <v>0</v>
      </c>
      <c r="BO282" s="11">
        <v>0</v>
      </c>
      <c r="BP282" s="9">
        <v>76</v>
      </c>
      <c r="BQ282" s="8">
        <v>2</v>
      </c>
      <c r="BR282" s="11"/>
      <c r="BS282" s="8"/>
      <c r="BT282" s="8"/>
      <c r="BU282" s="41"/>
      <c r="BV282" s="11">
        <v>0</v>
      </c>
      <c r="BW282" s="208"/>
      <c r="BX282" s="54"/>
      <c r="BY282" s="54"/>
      <c r="BZ282" s="10"/>
      <c r="CA282" s="208"/>
      <c r="CB282" s="54"/>
      <c r="CC282" s="54"/>
      <c r="CD282" s="54"/>
      <c r="CE282" s="208"/>
      <c r="CF282" s="54"/>
      <c r="CG282" s="54"/>
      <c r="CH282" s="10"/>
      <c r="CI282" s="208"/>
      <c r="CJ282" s="54"/>
      <c r="CK282" s="54"/>
      <c r="CL282" s="208"/>
      <c r="CM282" s="54"/>
      <c r="CN282" s="54"/>
      <c r="CO282" s="54"/>
      <c r="CP282" s="10"/>
      <c r="CQ282" s="208"/>
      <c r="CR282" s="10"/>
      <c r="CS282" s="3"/>
      <c r="CT282" s="3"/>
    </row>
    <row r="283" spans="1:98">
      <c r="A283" s="42" t="s">
        <v>327</v>
      </c>
      <c r="B283" s="173" t="s">
        <v>186</v>
      </c>
      <c r="C283" s="12"/>
      <c r="D283" s="14" t="s">
        <v>167</v>
      </c>
      <c r="E283" s="12"/>
      <c r="F283" s="12">
        <v>6</v>
      </c>
      <c r="G283" s="14">
        <v>1</v>
      </c>
      <c r="H283" s="163">
        <v>1</v>
      </c>
      <c r="I283" s="163">
        <v>0</v>
      </c>
      <c r="J283" s="12">
        <v>110</v>
      </c>
      <c r="K283" s="14">
        <v>217</v>
      </c>
      <c r="L283" s="26">
        <v>1328</v>
      </c>
      <c r="M283" s="14">
        <v>418</v>
      </c>
      <c r="N283" s="163">
        <v>872</v>
      </c>
      <c r="O283" s="14">
        <v>0</v>
      </c>
      <c r="P283" s="26">
        <v>0</v>
      </c>
      <c r="Q283" s="12">
        <v>2669</v>
      </c>
      <c r="R283" s="209">
        <v>3.2548780487804878</v>
      </c>
      <c r="S283" s="14">
        <v>1</v>
      </c>
      <c r="T283" s="163">
        <v>1</v>
      </c>
      <c r="U283" s="163">
        <v>0</v>
      </c>
      <c r="V283" s="26">
        <v>0</v>
      </c>
      <c r="W283" s="14">
        <v>1100</v>
      </c>
      <c r="X283" s="14">
        <v>1</v>
      </c>
      <c r="Y283" s="163">
        <v>0</v>
      </c>
      <c r="Z283" s="163">
        <v>0</v>
      </c>
      <c r="AA283" s="26">
        <v>0</v>
      </c>
      <c r="AB283" s="12">
        <v>1000</v>
      </c>
      <c r="AC283" s="14">
        <v>1</v>
      </c>
      <c r="AD283" s="14">
        <v>0</v>
      </c>
      <c r="AE283" s="163">
        <v>1</v>
      </c>
      <c r="AF283" s="163">
        <v>1</v>
      </c>
      <c r="AG283" s="26">
        <v>0</v>
      </c>
      <c r="AH283" s="14">
        <v>110</v>
      </c>
      <c r="AI283" s="14">
        <v>0</v>
      </c>
      <c r="AJ283" s="163">
        <v>0</v>
      </c>
      <c r="AK283" s="163">
        <v>0</v>
      </c>
      <c r="AL283" s="26">
        <v>0</v>
      </c>
      <c r="AM283" s="12">
        <v>0</v>
      </c>
      <c r="AN283" s="14">
        <v>0</v>
      </c>
      <c r="AO283" s="163">
        <v>0</v>
      </c>
      <c r="AP283" s="163">
        <v>0</v>
      </c>
      <c r="AQ283" s="163">
        <v>0</v>
      </c>
      <c r="AR283" s="163">
        <v>0</v>
      </c>
      <c r="AS283" s="14">
        <v>1</v>
      </c>
      <c r="AT283" s="163">
        <v>1</v>
      </c>
      <c r="AU283" s="163">
        <v>0</v>
      </c>
      <c r="AV283" s="163">
        <v>1</v>
      </c>
      <c r="AW283" s="26">
        <v>0</v>
      </c>
      <c r="AX283" s="14">
        <v>3</v>
      </c>
      <c r="AY283" s="14">
        <v>0</v>
      </c>
      <c r="AZ283" s="163">
        <v>0</v>
      </c>
      <c r="BA283" s="163">
        <v>0</v>
      </c>
      <c r="BB283" s="26">
        <v>0</v>
      </c>
      <c r="BC283" s="12">
        <v>0</v>
      </c>
      <c r="BD283" s="14">
        <v>0</v>
      </c>
      <c r="BE283" s="163">
        <v>0</v>
      </c>
      <c r="BF283" s="163">
        <v>0</v>
      </c>
      <c r="BG283" s="163">
        <v>0</v>
      </c>
      <c r="BH283" s="163">
        <v>0</v>
      </c>
      <c r="BI283" s="14">
        <v>1</v>
      </c>
      <c r="BJ283" s="163">
        <v>1</v>
      </c>
      <c r="BK283" s="26">
        <v>0</v>
      </c>
      <c r="BL283" s="14">
        <v>0</v>
      </c>
      <c r="BM283" s="163">
        <v>0</v>
      </c>
      <c r="BN283" s="26">
        <v>0</v>
      </c>
      <c r="BO283" s="14">
        <v>0</v>
      </c>
      <c r="BP283" s="12">
        <v>131</v>
      </c>
      <c r="BQ283" s="163">
        <v>2</v>
      </c>
      <c r="BR283" s="14"/>
      <c r="BU283" s="26"/>
      <c r="BV283" s="14">
        <v>0</v>
      </c>
      <c r="BW283" s="209"/>
      <c r="BX283" s="3"/>
      <c r="BY283" s="3"/>
      <c r="BZ283" s="40"/>
      <c r="CA283" s="209"/>
      <c r="CB283" s="3"/>
      <c r="CC283" s="3"/>
      <c r="CD283" s="3"/>
      <c r="CE283" s="209"/>
      <c r="CF283" s="3"/>
      <c r="CG283" s="3"/>
      <c r="CH283" s="40"/>
      <c r="CI283" s="209"/>
      <c r="CJ283" s="3"/>
      <c r="CK283" s="3"/>
      <c r="CL283" s="209"/>
      <c r="CM283" s="3"/>
      <c r="CN283" s="3"/>
      <c r="CO283" s="3"/>
      <c r="CP283" s="40"/>
      <c r="CQ283" s="209"/>
      <c r="CR283" s="40"/>
      <c r="CS283" s="3"/>
      <c r="CT283" s="3"/>
    </row>
    <row r="284" spans="1:98" ht="17" thickBot="1">
      <c r="A284" s="55" t="s">
        <v>327</v>
      </c>
      <c r="B284" s="47" t="s">
        <v>186</v>
      </c>
      <c r="C284" s="33"/>
      <c r="D284" s="34" t="s">
        <v>168</v>
      </c>
      <c r="E284" s="33"/>
      <c r="F284" s="33">
        <v>5</v>
      </c>
      <c r="G284" s="34">
        <v>0</v>
      </c>
      <c r="H284" s="36">
        <v>0</v>
      </c>
      <c r="I284" s="36">
        <v>1</v>
      </c>
      <c r="J284" s="33">
        <v>1</v>
      </c>
      <c r="K284" s="34">
        <v>102</v>
      </c>
      <c r="L284" s="35">
        <v>473</v>
      </c>
      <c r="M284" s="34">
        <v>0</v>
      </c>
      <c r="N284" s="36">
        <v>0</v>
      </c>
      <c r="O284" s="34">
        <v>0</v>
      </c>
      <c r="P284" s="35">
        <v>116</v>
      </c>
      <c r="Q284" s="33">
        <v>736</v>
      </c>
      <c r="R284" s="210">
        <v>2.591549295774648</v>
      </c>
      <c r="S284" s="34">
        <v>1</v>
      </c>
      <c r="T284" s="36">
        <v>0</v>
      </c>
      <c r="U284" s="36">
        <v>0</v>
      </c>
      <c r="V284" s="35">
        <v>0</v>
      </c>
      <c r="W284" s="34">
        <v>1000</v>
      </c>
      <c r="X284" s="34">
        <v>1</v>
      </c>
      <c r="Y284" s="36">
        <v>1</v>
      </c>
      <c r="Z284" s="36">
        <v>0</v>
      </c>
      <c r="AA284" s="35">
        <v>0</v>
      </c>
      <c r="AB284" s="33">
        <v>1100</v>
      </c>
      <c r="AC284" s="34">
        <v>0</v>
      </c>
      <c r="AD284" s="34">
        <v>0</v>
      </c>
      <c r="AE284" s="36">
        <v>0</v>
      </c>
      <c r="AF284" s="36">
        <v>0</v>
      </c>
      <c r="AG284" s="35">
        <v>0</v>
      </c>
      <c r="AH284" s="34">
        <v>0</v>
      </c>
      <c r="AI284" s="34">
        <v>0</v>
      </c>
      <c r="AJ284" s="36">
        <v>0</v>
      </c>
      <c r="AK284" s="36">
        <v>0</v>
      </c>
      <c r="AL284" s="35">
        <v>1</v>
      </c>
      <c r="AM284" s="33">
        <v>1</v>
      </c>
      <c r="AN284" s="34">
        <v>0</v>
      </c>
      <c r="AO284" s="36">
        <v>0</v>
      </c>
      <c r="AP284" s="36">
        <v>0</v>
      </c>
      <c r="AQ284" s="36">
        <v>0</v>
      </c>
      <c r="AR284" s="36">
        <v>0</v>
      </c>
      <c r="AS284" s="34">
        <v>0</v>
      </c>
      <c r="AT284" s="36">
        <v>1</v>
      </c>
      <c r="AU284" s="36">
        <v>1</v>
      </c>
      <c r="AV284" s="36">
        <v>1</v>
      </c>
      <c r="AW284" s="35">
        <v>0</v>
      </c>
      <c r="AX284" s="34">
        <v>3</v>
      </c>
      <c r="AY284" s="34">
        <v>0</v>
      </c>
      <c r="AZ284" s="36">
        <v>0</v>
      </c>
      <c r="BA284" s="36">
        <v>0</v>
      </c>
      <c r="BB284" s="35">
        <v>0</v>
      </c>
      <c r="BC284" s="33">
        <v>0</v>
      </c>
      <c r="BD284" s="34">
        <v>0</v>
      </c>
      <c r="BE284" s="36">
        <v>2</v>
      </c>
      <c r="BF284" s="36">
        <v>0</v>
      </c>
      <c r="BG284" s="36">
        <v>0</v>
      </c>
      <c r="BH284" s="36">
        <v>0</v>
      </c>
      <c r="BI284" s="34">
        <v>1</v>
      </c>
      <c r="BJ284" s="36">
        <v>0</v>
      </c>
      <c r="BK284" s="35">
        <v>0</v>
      </c>
      <c r="BL284" s="34">
        <v>0</v>
      </c>
      <c r="BM284" s="36">
        <v>0</v>
      </c>
      <c r="BN284" s="35">
        <v>0</v>
      </c>
      <c r="BO284" s="34">
        <v>1</v>
      </c>
      <c r="BP284" s="33">
        <v>115</v>
      </c>
      <c r="BQ284" s="36">
        <v>2</v>
      </c>
      <c r="BR284" s="34">
        <v>0</v>
      </c>
      <c r="BS284" s="36">
        <v>0</v>
      </c>
      <c r="BT284" s="36">
        <v>0</v>
      </c>
      <c r="BU284" s="35">
        <v>0</v>
      </c>
      <c r="BV284" s="34">
        <v>0</v>
      </c>
      <c r="BW284" s="210"/>
      <c r="BX284" s="51"/>
      <c r="BY284" s="51"/>
      <c r="BZ284" s="48"/>
      <c r="CA284" s="210"/>
      <c r="CB284" s="51"/>
      <c r="CC284" s="51"/>
      <c r="CD284" s="51"/>
      <c r="CE284" s="210"/>
      <c r="CF284" s="51"/>
      <c r="CG284" s="51"/>
      <c r="CH284" s="48"/>
      <c r="CI284" s="210"/>
      <c r="CJ284" s="51"/>
      <c r="CK284" s="51"/>
      <c r="CL284" s="210"/>
      <c r="CM284" s="51"/>
      <c r="CN284" s="51"/>
      <c r="CO284" s="51"/>
      <c r="CP284" s="48"/>
      <c r="CQ284" s="210"/>
      <c r="CR284" s="48"/>
      <c r="CS284" s="3"/>
      <c r="CT284" s="3"/>
    </row>
    <row r="285" spans="1:98">
      <c r="A285" s="87" t="s">
        <v>322</v>
      </c>
      <c r="B285" s="7" t="s">
        <v>188</v>
      </c>
      <c r="C285" s="9"/>
      <c r="D285" s="11" t="s">
        <v>376</v>
      </c>
      <c r="E285" s="9"/>
      <c r="F285" s="9">
        <v>4</v>
      </c>
      <c r="G285" s="11">
        <v>1</v>
      </c>
      <c r="H285" s="8">
        <v>0</v>
      </c>
      <c r="I285" s="8">
        <v>1</v>
      </c>
      <c r="J285" s="9">
        <v>101</v>
      </c>
      <c r="K285" s="11">
        <v>1211</v>
      </c>
      <c r="L285" s="41">
        <v>1277</v>
      </c>
      <c r="M285" s="11">
        <v>490</v>
      </c>
      <c r="N285" s="8">
        <v>563</v>
      </c>
      <c r="O285" s="11">
        <v>0</v>
      </c>
      <c r="P285" s="41">
        <v>0</v>
      </c>
      <c r="Q285" s="9">
        <v>2362</v>
      </c>
      <c r="R285" s="208">
        <v>3.0320924261874196</v>
      </c>
      <c r="S285" s="11">
        <v>1</v>
      </c>
      <c r="T285" s="8">
        <v>1</v>
      </c>
      <c r="U285" s="8">
        <v>0</v>
      </c>
      <c r="V285" s="41">
        <v>0</v>
      </c>
      <c r="W285" s="11">
        <v>1100</v>
      </c>
      <c r="X285" s="11">
        <v>1</v>
      </c>
      <c r="Y285" s="8">
        <v>0</v>
      </c>
      <c r="Z285" s="8">
        <v>0</v>
      </c>
      <c r="AA285" s="41">
        <v>1</v>
      </c>
      <c r="AB285" s="9">
        <v>1001</v>
      </c>
      <c r="AC285" s="11">
        <v>0</v>
      </c>
      <c r="AD285" s="11">
        <v>0</v>
      </c>
      <c r="AE285" s="8">
        <v>0</v>
      </c>
      <c r="AF285" s="8">
        <v>1</v>
      </c>
      <c r="AG285" s="41">
        <v>0</v>
      </c>
      <c r="AH285" s="11">
        <v>10</v>
      </c>
      <c r="AI285" s="11">
        <v>0</v>
      </c>
      <c r="AJ285" s="8">
        <v>0</v>
      </c>
      <c r="AK285" s="8">
        <v>0</v>
      </c>
      <c r="AL285" s="41">
        <v>0</v>
      </c>
      <c r="AM285" s="9">
        <v>0</v>
      </c>
      <c r="AN285" s="11">
        <v>0</v>
      </c>
      <c r="AO285" s="8">
        <v>0</v>
      </c>
      <c r="AP285" s="8">
        <v>0</v>
      </c>
      <c r="AQ285" s="8">
        <v>0</v>
      </c>
      <c r="AR285" s="8">
        <v>0</v>
      </c>
      <c r="AS285" s="11">
        <v>1</v>
      </c>
      <c r="AT285" s="8">
        <v>0</v>
      </c>
      <c r="AU285" s="8">
        <v>0</v>
      </c>
      <c r="AV285" s="8">
        <v>1</v>
      </c>
      <c r="AW285" s="41">
        <v>0</v>
      </c>
      <c r="AX285" s="11">
        <v>2</v>
      </c>
      <c r="AY285" s="11">
        <v>0</v>
      </c>
      <c r="AZ285" s="8">
        <v>0</v>
      </c>
      <c r="BA285" s="8">
        <v>0</v>
      </c>
      <c r="BB285" s="41">
        <v>0</v>
      </c>
      <c r="BC285" s="9">
        <v>0</v>
      </c>
      <c r="BD285" s="11">
        <v>0</v>
      </c>
      <c r="BE285" s="8">
        <v>0</v>
      </c>
      <c r="BF285" s="8">
        <v>0</v>
      </c>
      <c r="BG285" s="8">
        <v>0</v>
      </c>
      <c r="BH285" s="8">
        <v>0</v>
      </c>
      <c r="BI285" s="11">
        <v>1</v>
      </c>
      <c r="BJ285" s="8">
        <v>1</v>
      </c>
      <c r="BK285" s="41">
        <v>0</v>
      </c>
      <c r="BL285" s="11">
        <v>0</v>
      </c>
      <c r="BM285" s="8">
        <v>0</v>
      </c>
      <c r="BN285" s="41">
        <v>0</v>
      </c>
      <c r="BO285" s="11">
        <v>0</v>
      </c>
      <c r="BP285" s="9">
        <v>141</v>
      </c>
      <c r="BQ285" s="8">
        <v>2</v>
      </c>
      <c r="BR285" s="11">
        <v>0</v>
      </c>
      <c r="BS285" s="8">
        <v>0</v>
      </c>
      <c r="BT285" s="8">
        <v>0</v>
      </c>
      <c r="BU285" s="41">
        <v>0</v>
      </c>
      <c r="BV285" s="11">
        <v>0</v>
      </c>
      <c r="BW285" s="208"/>
      <c r="BX285" s="54"/>
      <c r="BY285" s="54"/>
      <c r="BZ285" s="10"/>
      <c r="CA285" s="208"/>
      <c r="CB285" s="54"/>
      <c r="CC285" s="54"/>
      <c r="CD285" s="54"/>
      <c r="CE285" s="208"/>
      <c r="CF285" s="54"/>
      <c r="CG285" s="54"/>
      <c r="CH285" s="10"/>
      <c r="CI285" s="208"/>
      <c r="CJ285" s="54"/>
      <c r="CK285" s="54"/>
      <c r="CL285" s="208"/>
      <c r="CM285" s="54"/>
      <c r="CN285" s="54"/>
      <c r="CO285" s="54"/>
      <c r="CP285" s="10"/>
      <c r="CQ285" s="208"/>
      <c r="CR285" s="10"/>
      <c r="CS285" s="3"/>
      <c r="CT285" s="3"/>
    </row>
    <row r="286" spans="1:98">
      <c r="A286" s="42" t="s">
        <v>322</v>
      </c>
      <c r="B286" s="173" t="s">
        <v>188</v>
      </c>
      <c r="C286" s="12"/>
      <c r="D286" s="14" t="s">
        <v>382</v>
      </c>
      <c r="E286" s="12"/>
      <c r="F286" s="12">
        <v>5</v>
      </c>
      <c r="G286" s="14">
        <v>1</v>
      </c>
      <c r="H286" s="163">
        <v>0</v>
      </c>
      <c r="I286" s="163">
        <v>1</v>
      </c>
      <c r="J286" s="12">
        <v>101</v>
      </c>
      <c r="K286" s="14">
        <v>269</v>
      </c>
      <c r="L286" s="26">
        <v>1235</v>
      </c>
      <c r="M286" s="14">
        <v>508</v>
      </c>
      <c r="N286" s="163">
        <v>797</v>
      </c>
      <c r="O286" s="14">
        <v>0</v>
      </c>
      <c r="P286" s="26">
        <v>0</v>
      </c>
      <c r="Q286" s="12">
        <v>2226</v>
      </c>
      <c r="R286" s="209">
        <v>1.4106463878326996</v>
      </c>
      <c r="S286" s="14">
        <v>1</v>
      </c>
      <c r="T286" s="163">
        <v>1</v>
      </c>
      <c r="U286" s="163">
        <v>0</v>
      </c>
      <c r="V286" s="26">
        <v>0</v>
      </c>
      <c r="W286" s="14">
        <v>1100</v>
      </c>
      <c r="X286" s="14">
        <v>1</v>
      </c>
      <c r="Y286" s="163">
        <v>0</v>
      </c>
      <c r="Z286" s="163">
        <v>0</v>
      </c>
      <c r="AA286" s="26">
        <v>0</v>
      </c>
      <c r="AB286" s="12">
        <v>1000</v>
      </c>
      <c r="AC286" s="14"/>
      <c r="AD286" s="14">
        <v>0</v>
      </c>
      <c r="AE286" s="163">
        <v>1</v>
      </c>
      <c r="AF286" s="163">
        <v>0</v>
      </c>
      <c r="AG286" s="26">
        <v>0</v>
      </c>
      <c r="AH286" s="14">
        <v>100</v>
      </c>
      <c r="AI286" s="14">
        <v>0</v>
      </c>
      <c r="AJ286" s="163">
        <v>0</v>
      </c>
      <c r="AK286" s="163">
        <v>0</v>
      </c>
      <c r="AL286" s="26">
        <v>0</v>
      </c>
      <c r="AM286" s="12">
        <v>0</v>
      </c>
      <c r="AN286" s="14">
        <v>0</v>
      </c>
      <c r="AO286" s="163">
        <v>0</v>
      </c>
      <c r="AP286" s="163">
        <v>0</v>
      </c>
      <c r="AQ286" s="163">
        <v>0</v>
      </c>
      <c r="AR286" s="163">
        <v>0</v>
      </c>
      <c r="AS286" s="14">
        <v>1</v>
      </c>
      <c r="AT286" s="163">
        <v>0</v>
      </c>
      <c r="AU286" s="163">
        <v>0</v>
      </c>
      <c r="AV286" s="163">
        <v>0</v>
      </c>
      <c r="AW286" s="26">
        <v>0</v>
      </c>
      <c r="AX286" s="14">
        <v>1</v>
      </c>
      <c r="AY286" s="14">
        <v>0</v>
      </c>
      <c r="AZ286" s="163">
        <v>0</v>
      </c>
      <c r="BA286" s="163">
        <v>0</v>
      </c>
      <c r="BB286" s="26">
        <v>0</v>
      </c>
      <c r="BC286" s="12">
        <v>0</v>
      </c>
      <c r="BD286" s="14">
        <v>0</v>
      </c>
      <c r="BE286" s="163">
        <v>0</v>
      </c>
      <c r="BF286" s="163">
        <v>0</v>
      </c>
      <c r="BG286" s="163">
        <v>0</v>
      </c>
      <c r="BH286" s="163">
        <v>0</v>
      </c>
      <c r="BI286" s="14">
        <v>1</v>
      </c>
      <c r="BJ286" s="163">
        <v>0</v>
      </c>
      <c r="BK286" s="26">
        <v>0</v>
      </c>
      <c r="BL286" s="14">
        <v>0</v>
      </c>
      <c r="BM286" s="163">
        <v>0</v>
      </c>
      <c r="BN286" s="26">
        <v>0</v>
      </c>
      <c r="BO286" s="14">
        <v>0</v>
      </c>
      <c r="BP286" s="12">
        <v>140</v>
      </c>
      <c r="BQ286" s="163">
        <v>2</v>
      </c>
      <c r="BR286" s="14">
        <v>0</v>
      </c>
      <c r="BS286" s="163">
        <v>0</v>
      </c>
      <c r="BT286" s="163">
        <v>0</v>
      </c>
      <c r="BU286" s="26">
        <v>1</v>
      </c>
      <c r="BV286" s="14">
        <v>1</v>
      </c>
      <c r="BW286" s="209"/>
      <c r="BX286" s="3"/>
      <c r="BY286" s="3"/>
      <c r="BZ286" s="40"/>
      <c r="CA286" s="209"/>
      <c r="CB286" s="3"/>
      <c r="CC286" s="3"/>
      <c r="CD286" s="3"/>
      <c r="CE286" s="209"/>
      <c r="CF286" s="3"/>
      <c r="CG286" s="3"/>
      <c r="CH286" s="40"/>
      <c r="CI286" s="209"/>
      <c r="CJ286" s="3"/>
      <c r="CK286" s="3"/>
      <c r="CL286" s="209"/>
      <c r="CM286" s="3"/>
      <c r="CN286" s="3"/>
      <c r="CO286" s="3"/>
      <c r="CP286" s="40"/>
      <c r="CQ286" s="209"/>
      <c r="CR286" s="40"/>
      <c r="CS286" s="3"/>
      <c r="CT286" s="3"/>
    </row>
    <row r="287" spans="1:98">
      <c r="A287" s="42" t="s">
        <v>322</v>
      </c>
      <c r="B287" s="173" t="s">
        <v>188</v>
      </c>
      <c r="C287" s="12"/>
      <c r="D287" s="14" t="s">
        <v>383</v>
      </c>
      <c r="E287" s="12"/>
      <c r="F287" s="12">
        <v>2</v>
      </c>
      <c r="G287" s="14">
        <v>0</v>
      </c>
      <c r="H287" s="163">
        <v>0</v>
      </c>
      <c r="I287" s="163">
        <v>1</v>
      </c>
      <c r="J287" s="12">
        <v>1</v>
      </c>
      <c r="K287" s="14">
        <v>0</v>
      </c>
      <c r="L287" s="26">
        <v>100</v>
      </c>
      <c r="M287" s="14">
        <v>0</v>
      </c>
      <c r="N287" s="163">
        <v>809</v>
      </c>
      <c r="O287" s="14">
        <v>0</v>
      </c>
      <c r="P287" s="26">
        <v>0</v>
      </c>
      <c r="Q287" s="12">
        <v>1669</v>
      </c>
      <c r="R287" s="209">
        <v>3.2470817120622568</v>
      </c>
      <c r="S287" s="14">
        <v>1</v>
      </c>
      <c r="T287" s="163">
        <v>1</v>
      </c>
      <c r="U287" s="163">
        <v>0</v>
      </c>
      <c r="V287" s="26">
        <v>0</v>
      </c>
      <c r="W287" s="14">
        <v>1100</v>
      </c>
      <c r="X287" s="14">
        <v>1</v>
      </c>
      <c r="Y287" s="163">
        <v>0</v>
      </c>
      <c r="Z287" s="163">
        <v>0</v>
      </c>
      <c r="AA287" s="26">
        <v>0</v>
      </c>
      <c r="AB287" s="12">
        <v>1000</v>
      </c>
      <c r="AC287" s="14">
        <v>1</v>
      </c>
      <c r="AD287" s="14">
        <v>0</v>
      </c>
      <c r="AE287" s="163">
        <v>1</v>
      </c>
      <c r="AF287" s="163">
        <v>0</v>
      </c>
      <c r="AG287" s="26">
        <v>0</v>
      </c>
      <c r="AH287" s="14">
        <v>100</v>
      </c>
      <c r="AI287" s="14">
        <v>0</v>
      </c>
      <c r="AJ287" s="163">
        <v>0</v>
      </c>
      <c r="AK287" s="163">
        <v>0</v>
      </c>
      <c r="AL287" s="26">
        <v>0</v>
      </c>
      <c r="AM287" s="12">
        <v>0</v>
      </c>
      <c r="AN287" s="14">
        <v>0</v>
      </c>
      <c r="AO287" s="163">
        <v>0</v>
      </c>
      <c r="AP287" s="163">
        <v>0</v>
      </c>
      <c r="AQ287" s="163">
        <v>0</v>
      </c>
      <c r="AR287" s="163">
        <v>0</v>
      </c>
      <c r="AS287" s="14">
        <v>1</v>
      </c>
      <c r="AT287" s="163">
        <v>0</v>
      </c>
      <c r="AU287" s="163">
        <v>0</v>
      </c>
      <c r="AV287" s="163">
        <v>1</v>
      </c>
      <c r="AW287" s="26">
        <v>0</v>
      </c>
      <c r="AX287" s="14">
        <v>2</v>
      </c>
      <c r="AY287" s="14">
        <v>0</v>
      </c>
      <c r="AZ287" s="163">
        <v>0</v>
      </c>
      <c r="BA287" s="163">
        <v>0</v>
      </c>
      <c r="BB287" s="26">
        <v>0</v>
      </c>
      <c r="BC287" s="12">
        <v>0</v>
      </c>
      <c r="BD287" s="14">
        <v>0</v>
      </c>
      <c r="BE287" s="163">
        <v>0</v>
      </c>
      <c r="BF287" s="163">
        <v>0</v>
      </c>
      <c r="BG287" s="163">
        <v>0</v>
      </c>
      <c r="BH287" s="163">
        <v>0</v>
      </c>
      <c r="BI287" s="14">
        <v>1</v>
      </c>
      <c r="BJ287" s="163">
        <v>1</v>
      </c>
      <c r="BK287" s="26">
        <v>0</v>
      </c>
      <c r="BL287" s="14">
        <v>0</v>
      </c>
      <c r="BM287" s="163">
        <v>0</v>
      </c>
      <c r="BN287" s="26">
        <v>0</v>
      </c>
      <c r="BO287" s="14">
        <v>0</v>
      </c>
      <c r="BP287" s="12">
        <v>220</v>
      </c>
      <c r="BQ287" s="163">
        <v>2</v>
      </c>
      <c r="BR287" s="14">
        <v>1</v>
      </c>
      <c r="BS287" s="163">
        <v>0</v>
      </c>
      <c r="BT287" s="163">
        <v>0</v>
      </c>
      <c r="BU287" s="26">
        <v>0</v>
      </c>
      <c r="BV287" s="14">
        <v>1000</v>
      </c>
      <c r="BW287" s="209"/>
      <c r="BX287" s="3"/>
      <c r="BY287" s="3"/>
      <c r="BZ287" s="40"/>
      <c r="CA287" s="209"/>
      <c r="CB287" s="3"/>
      <c r="CC287" s="3"/>
      <c r="CD287" s="3"/>
      <c r="CE287" s="209"/>
      <c r="CF287" s="3"/>
      <c r="CG287" s="3"/>
      <c r="CH287" s="40"/>
      <c r="CI287" s="209"/>
      <c r="CJ287" s="3"/>
      <c r="CK287" s="3"/>
      <c r="CL287" s="209"/>
      <c r="CM287" s="3"/>
      <c r="CN287" s="3"/>
      <c r="CO287" s="3"/>
      <c r="CP287" s="40"/>
      <c r="CQ287" s="209"/>
      <c r="CR287" s="40"/>
      <c r="CS287" s="3"/>
      <c r="CT287" s="3"/>
    </row>
    <row r="288" spans="1:98">
      <c r="A288" s="42" t="s">
        <v>322</v>
      </c>
      <c r="B288" s="173" t="s">
        <v>188</v>
      </c>
      <c r="C288" s="12"/>
      <c r="D288" s="14" t="s">
        <v>201</v>
      </c>
      <c r="E288" s="12" t="s">
        <v>0</v>
      </c>
      <c r="F288" s="12">
        <v>4</v>
      </c>
      <c r="G288" s="14">
        <v>1</v>
      </c>
      <c r="H288" s="163">
        <v>0</v>
      </c>
      <c r="I288" s="163">
        <v>1</v>
      </c>
      <c r="J288" s="12">
        <v>101</v>
      </c>
      <c r="K288" s="14">
        <v>208</v>
      </c>
      <c r="L288" s="26">
        <v>919</v>
      </c>
      <c r="M288" s="14">
        <v>0</v>
      </c>
      <c r="N288" s="163">
        <v>506</v>
      </c>
      <c r="O288" s="14">
        <v>0</v>
      </c>
      <c r="P288" s="26">
        <v>0</v>
      </c>
      <c r="Q288" s="12">
        <v>969</v>
      </c>
      <c r="R288" s="209">
        <v>1.0671806167400881</v>
      </c>
      <c r="S288" s="14">
        <v>1</v>
      </c>
      <c r="T288" s="163">
        <v>1</v>
      </c>
      <c r="U288" s="163">
        <v>0</v>
      </c>
      <c r="V288" s="26">
        <v>0</v>
      </c>
      <c r="W288" s="14">
        <v>1100</v>
      </c>
      <c r="X288" s="14">
        <v>0</v>
      </c>
      <c r="Y288" s="163">
        <v>1</v>
      </c>
      <c r="Z288" s="163">
        <v>0</v>
      </c>
      <c r="AA288" s="26">
        <v>0</v>
      </c>
      <c r="AB288" s="12">
        <v>100</v>
      </c>
      <c r="AC288" s="14">
        <v>0</v>
      </c>
      <c r="AD288" s="14">
        <v>0</v>
      </c>
      <c r="AE288" s="163">
        <v>1</v>
      </c>
      <c r="AF288" s="163">
        <v>0</v>
      </c>
      <c r="AG288" s="26">
        <v>0</v>
      </c>
      <c r="AH288" s="14">
        <v>100</v>
      </c>
      <c r="AI288" s="14">
        <v>0</v>
      </c>
      <c r="AJ288" s="163">
        <v>0</v>
      </c>
      <c r="AK288" s="163">
        <v>0</v>
      </c>
      <c r="AL288" s="26">
        <v>0</v>
      </c>
      <c r="AM288" s="12">
        <v>0</v>
      </c>
      <c r="AN288" s="14">
        <v>0</v>
      </c>
      <c r="AO288" s="163">
        <v>0</v>
      </c>
      <c r="AP288" s="163">
        <v>0</v>
      </c>
      <c r="AQ288" s="163">
        <v>0</v>
      </c>
      <c r="AR288" s="163">
        <v>0</v>
      </c>
      <c r="AS288" s="14">
        <v>0</v>
      </c>
      <c r="AT288" s="163">
        <v>1</v>
      </c>
      <c r="AU288" s="163">
        <v>0</v>
      </c>
      <c r="AV288" s="163">
        <v>1</v>
      </c>
      <c r="AW288" s="26">
        <v>0</v>
      </c>
      <c r="AX288" s="14">
        <v>2</v>
      </c>
      <c r="AY288" s="14">
        <v>0</v>
      </c>
      <c r="AZ288" s="163">
        <v>0</v>
      </c>
      <c r="BA288" s="163">
        <v>0</v>
      </c>
      <c r="BB288" s="26">
        <v>1</v>
      </c>
      <c r="BC288" s="12">
        <v>1</v>
      </c>
      <c r="BD288" s="14">
        <v>0</v>
      </c>
      <c r="BE288" s="163">
        <v>0</v>
      </c>
      <c r="BF288" s="163">
        <v>0</v>
      </c>
      <c r="BG288" s="163">
        <v>0</v>
      </c>
      <c r="BH288" s="163">
        <v>0</v>
      </c>
      <c r="BI288" s="14">
        <v>1</v>
      </c>
      <c r="BJ288" s="163">
        <v>0</v>
      </c>
      <c r="BK288" s="26">
        <v>0</v>
      </c>
      <c r="BL288" s="14">
        <v>0</v>
      </c>
      <c r="BM288" s="163">
        <v>0</v>
      </c>
      <c r="BN288" s="26">
        <v>0</v>
      </c>
      <c r="BO288" s="14">
        <v>0</v>
      </c>
      <c r="BP288" s="12">
        <v>119</v>
      </c>
      <c r="BQ288" s="163">
        <v>1</v>
      </c>
      <c r="BR288" s="14">
        <v>0</v>
      </c>
      <c r="BS288" s="163">
        <v>0</v>
      </c>
      <c r="BT288" s="163">
        <v>0</v>
      </c>
      <c r="BU288" s="26">
        <v>0</v>
      </c>
      <c r="BV288" s="14">
        <v>0</v>
      </c>
      <c r="BW288" s="209"/>
      <c r="BX288" s="3"/>
      <c r="BY288" s="3"/>
      <c r="BZ288" s="40"/>
      <c r="CA288" s="209"/>
      <c r="CB288" s="3"/>
      <c r="CC288" s="3"/>
      <c r="CD288" s="3"/>
      <c r="CE288" s="209"/>
      <c r="CF288" s="3"/>
      <c r="CG288" s="3"/>
      <c r="CH288" s="40"/>
      <c r="CI288" s="209"/>
      <c r="CJ288" s="3"/>
      <c r="CK288" s="3"/>
      <c r="CL288" s="209"/>
      <c r="CM288" s="3"/>
      <c r="CN288" s="3"/>
      <c r="CO288" s="3"/>
      <c r="CP288" s="40"/>
      <c r="CQ288" s="209"/>
      <c r="CR288" s="40"/>
      <c r="CS288" s="3"/>
      <c r="CT288" s="3"/>
    </row>
    <row r="289" spans="1:98">
      <c r="A289" s="42" t="s">
        <v>322</v>
      </c>
      <c r="B289" s="173" t="s">
        <v>188</v>
      </c>
      <c r="C289" s="12"/>
      <c r="D289" s="14" t="s">
        <v>210</v>
      </c>
      <c r="E289" s="12"/>
      <c r="F289" s="12">
        <v>3</v>
      </c>
      <c r="G289" s="14">
        <v>0</v>
      </c>
      <c r="H289" s="163">
        <v>0</v>
      </c>
      <c r="I289" s="163">
        <v>1</v>
      </c>
      <c r="J289" s="12">
        <v>1</v>
      </c>
      <c r="K289" s="14">
        <v>0</v>
      </c>
      <c r="L289" s="26">
        <v>1777</v>
      </c>
      <c r="M289" s="14">
        <v>1035</v>
      </c>
      <c r="N289" s="163">
        <v>1197</v>
      </c>
      <c r="O289" s="14">
        <v>0</v>
      </c>
      <c r="P289" s="26">
        <v>0</v>
      </c>
      <c r="Q289" s="12">
        <v>1870</v>
      </c>
      <c r="R289" s="209">
        <v>1.052335396736072</v>
      </c>
      <c r="S289" s="14">
        <v>1</v>
      </c>
      <c r="T289" s="163">
        <v>1</v>
      </c>
      <c r="U289" s="163">
        <v>0</v>
      </c>
      <c r="V289" s="26">
        <v>0</v>
      </c>
      <c r="W289" s="14">
        <v>1100</v>
      </c>
      <c r="X289" s="14">
        <v>0</v>
      </c>
      <c r="Y289" s="163">
        <v>1</v>
      </c>
      <c r="Z289" s="163">
        <v>0</v>
      </c>
      <c r="AA289" s="26">
        <v>0</v>
      </c>
      <c r="AB289" s="12">
        <v>100</v>
      </c>
      <c r="AC289" s="14"/>
      <c r="AD289" s="14">
        <v>0</v>
      </c>
      <c r="AE289" s="163">
        <v>1</v>
      </c>
      <c r="AF289" s="163">
        <v>0</v>
      </c>
      <c r="AG289" s="26">
        <v>0</v>
      </c>
      <c r="AH289" s="14">
        <v>100</v>
      </c>
      <c r="AI289" s="14">
        <v>0</v>
      </c>
      <c r="AJ289" s="163">
        <v>0</v>
      </c>
      <c r="AK289" s="163">
        <v>0</v>
      </c>
      <c r="AL289" s="26">
        <v>0</v>
      </c>
      <c r="AM289" s="12">
        <v>0</v>
      </c>
      <c r="AN289" s="14">
        <v>0</v>
      </c>
      <c r="AO289" s="163">
        <v>0</v>
      </c>
      <c r="AP289" s="163">
        <v>0</v>
      </c>
      <c r="AQ289" s="163">
        <v>0</v>
      </c>
      <c r="AR289" s="163">
        <v>0</v>
      </c>
      <c r="AS289" s="14">
        <v>0</v>
      </c>
      <c r="AT289" s="163">
        <v>1</v>
      </c>
      <c r="AU289" s="163">
        <v>0</v>
      </c>
      <c r="AV289" s="163">
        <v>1</v>
      </c>
      <c r="AW289" s="26">
        <v>0</v>
      </c>
      <c r="AX289" s="14">
        <v>2</v>
      </c>
      <c r="AY289" s="14">
        <v>0</v>
      </c>
      <c r="AZ289" s="163">
        <v>0</v>
      </c>
      <c r="BA289" s="163">
        <v>0</v>
      </c>
      <c r="BB289" s="26">
        <v>0</v>
      </c>
      <c r="BC289" s="12">
        <v>0</v>
      </c>
      <c r="BD289" s="14">
        <v>0</v>
      </c>
      <c r="BE289" s="163">
        <v>0</v>
      </c>
      <c r="BF289" s="163">
        <v>0</v>
      </c>
      <c r="BG289" s="163">
        <v>0</v>
      </c>
      <c r="BH289" s="163">
        <v>0</v>
      </c>
      <c r="BI289" s="14">
        <v>1</v>
      </c>
      <c r="BJ289" s="163">
        <v>1</v>
      </c>
      <c r="BK289" s="26">
        <v>0</v>
      </c>
      <c r="BL289" s="14">
        <v>0</v>
      </c>
      <c r="BM289" s="163">
        <v>0</v>
      </c>
      <c r="BN289" s="26">
        <v>0</v>
      </c>
      <c r="BO289" s="14">
        <v>0</v>
      </c>
      <c r="BP289" s="12"/>
      <c r="BQ289" s="163">
        <v>2</v>
      </c>
      <c r="BR289" s="14">
        <v>0</v>
      </c>
      <c r="BS289" s="163">
        <v>0</v>
      </c>
      <c r="BT289" s="163">
        <v>0</v>
      </c>
      <c r="BU289" s="26">
        <v>0</v>
      </c>
      <c r="BV289" s="14">
        <v>0</v>
      </c>
      <c r="BW289" s="209"/>
      <c r="BX289" s="3"/>
      <c r="BY289" s="3"/>
      <c r="BZ289" s="40"/>
      <c r="CA289" s="209"/>
      <c r="CB289" s="3"/>
      <c r="CC289" s="3"/>
      <c r="CD289" s="3"/>
      <c r="CE289" s="209"/>
      <c r="CF289" s="3"/>
      <c r="CG289" s="3"/>
      <c r="CH289" s="40"/>
      <c r="CI289" s="209"/>
      <c r="CJ289" s="3"/>
      <c r="CK289" s="3"/>
      <c r="CL289" s="209">
        <v>79.780235360719146</v>
      </c>
      <c r="CM289" s="3"/>
      <c r="CN289" s="3"/>
      <c r="CO289" s="3"/>
      <c r="CP289" s="40"/>
      <c r="CQ289" s="209"/>
      <c r="CR289" s="40"/>
      <c r="CS289" s="3"/>
      <c r="CT289" s="3"/>
    </row>
    <row r="290" spans="1:98">
      <c r="A290" s="42" t="s">
        <v>322</v>
      </c>
      <c r="B290" s="173" t="s">
        <v>188</v>
      </c>
      <c r="C290" s="12"/>
      <c r="D290" s="14" t="s">
        <v>211</v>
      </c>
      <c r="E290" s="12"/>
      <c r="F290" s="12">
        <v>10</v>
      </c>
      <c r="G290" s="14">
        <v>1</v>
      </c>
      <c r="H290" s="163">
        <v>0</v>
      </c>
      <c r="I290" s="163">
        <v>1</v>
      </c>
      <c r="J290" s="12">
        <v>101</v>
      </c>
      <c r="K290" s="14">
        <v>316</v>
      </c>
      <c r="L290" s="26">
        <v>834</v>
      </c>
      <c r="M290" s="14">
        <v>292</v>
      </c>
      <c r="N290" s="163">
        <v>748</v>
      </c>
      <c r="O290" s="14">
        <v>0</v>
      </c>
      <c r="P290" s="26">
        <v>0</v>
      </c>
      <c r="Q290" s="12">
        <v>1699</v>
      </c>
      <c r="R290" s="209">
        <v>1.1765927977839334</v>
      </c>
      <c r="S290" s="14">
        <v>1</v>
      </c>
      <c r="T290" s="163">
        <v>1</v>
      </c>
      <c r="U290" s="163">
        <v>0</v>
      </c>
      <c r="V290" s="26">
        <v>0</v>
      </c>
      <c r="W290" s="14">
        <v>1100</v>
      </c>
      <c r="X290" s="14">
        <v>1</v>
      </c>
      <c r="Y290" s="163">
        <v>1</v>
      </c>
      <c r="Z290" s="163">
        <v>0</v>
      </c>
      <c r="AA290" s="26">
        <v>0</v>
      </c>
      <c r="AB290" s="12">
        <v>1100</v>
      </c>
      <c r="AC290" s="14">
        <v>1</v>
      </c>
      <c r="AD290" s="14">
        <v>1</v>
      </c>
      <c r="AE290" s="163">
        <v>1</v>
      </c>
      <c r="AF290" s="163">
        <v>1</v>
      </c>
      <c r="AG290" s="26">
        <v>0</v>
      </c>
      <c r="AH290" s="14">
        <v>1110</v>
      </c>
      <c r="AI290" s="14">
        <v>0</v>
      </c>
      <c r="AJ290" s="163">
        <v>0</v>
      </c>
      <c r="AK290" s="163">
        <v>0</v>
      </c>
      <c r="AL290" s="26">
        <v>0</v>
      </c>
      <c r="AM290" s="12">
        <v>0</v>
      </c>
      <c r="AN290" s="14">
        <v>0</v>
      </c>
      <c r="AO290" s="163">
        <v>0</v>
      </c>
      <c r="AP290" s="163">
        <v>0</v>
      </c>
      <c r="AQ290" s="163">
        <v>0</v>
      </c>
      <c r="AR290" s="163">
        <v>0</v>
      </c>
      <c r="AS290" s="14">
        <v>1</v>
      </c>
      <c r="AT290" s="163">
        <v>0</v>
      </c>
      <c r="AU290" s="163">
        <v>0</v>
      </c>
      <c r="AV290" s="163">
        <v>1</v>
      </c>
      <c r="AW290" s="26">
        <v>0</v>
      </c>
      <c r="AX290" s="14">
        <v>2</v>
      </c>
      <c r="AY290" s="14">
        <v>0</v>
      </c>
      <c r="AZ290" s="163">
        <v>0</v>
      </c>
      <c r="BA290" s="163">
        <v>0</v>
      </c>
      <c r="BB290" s="26">
        <v>1</v>
      </c>
      <c r="BC290" s="12">
        <v>1</v>
      </c>
      <c r="BD290" s="14">
        <v>0</v>
      </c>
      <c r="BE290" s="163">
        <v>0</v>
      </c>
      <c r="BF290" s="163">
        <v>0</v>
      </c>
      <c r="BG290" s="163">
        <v>0</v>
      </c>
      <c r="BH290" s="163">
        <v>0</v>
      </c>
      <c r="BI290" s="14">
        <v>1</v>
      </c>
      <c r="BJ290" s="163">
        <v>1</v>
      </c>
      <c r="BK290" s="26">
        <v>0</v>
      </c>
      <c r="BL290" s="14">
        <v>0</v>
      </c>
      <c r="BM290" s="163">
        <v>0</v>
      </c>
      <c r="BN290" s="26">
        <v>0</v>
      </c>
      <c r="BO290" s="14">
        <v>0</v>
      </c>
      <c r="BP290" s="12">
        <v>135</v>
      </c>
      <c r="BQ290" s="163">
        <v>1</v>
      </c>
      <c r="BR290" s="14">
        <v>0</v>
      </c>
      <c r="BS290" s="163">
        <v>0</v>
      </c>
      <c r="BT290" s="163">
        <v>0</v>
      </c>
      <c r="BU290" s="26">
        <v>0</v>
      </c>
      <c r="BV290" s="14">
        <v>0</v>
      </c>
      <c r="BW290" s="209"/>
      <c r="BX290" s="3"/>
      <c r="BY290" s="3"/>
      <c r="BZ290" s="40"/>
      <c r="CA290" s="209"/>
      <c r="CB290" s="3"/>
      <c r="CC290" s="3"/>
      <c r="CD290" s="3"/>
      <c r="CE290" s="209"/>
      <c r="CF290" s="3"/>
      <c r="CG290" s="3"/>
      <c r="CH290" s="40"/>
      <c r="CI290" s="209"/>
      <c r="CJ290" s="3"/>
      <c r="CK290" s="3"/>
      <c r="CL290" s="209"/>
      <c r="CM290" s="3"/>
      <c r="CN290" s="3"/>
      <c r="CO290" s="3"/>
      <c r="CP290" s="40"/>
      <c r="CQ290" s="209"/>
      <c r="CR290" s="40"/>
      <c r="CS290" s="3"/>
      <c r="CT290" s="3"/>
    </row>
    <row r="291" spans="1:98">
      <c r="A291" s="42" t="s">
        <v>322</v>
      </c>
      <c r="B291" s="173" t="s">
        <v>188</v>
      </c>
      <c r="C291" s="12"/>
      <c r="D291" s="14" t="s">
        <v>202</v>
      </c>
      <c r="E291" s="12"/>
      <c r="F291" s="12">
        <v>3</v>
      </c>
      <c r="G291" s="14">
        <v>0</v>
      </c>
      <c r="H291" s="163">
        <v>0</v>
      </c>
      <c r="I291" s="163">
        <v>1</v>
      </c>
      <c r="J291" s="12">
        <v>1</v>
      </c>
      <c r="K291" s="14">
        <v>390</v>
      </c>
      <c r="L291" s="26">
        <v>1097</v>
      </c>
      <c r="M291" s="14">
        <v>0</v>
      </c>
      <c r="N291" s="163">
        <v>513</v>
      </c>
      <c r="O291" s="14">
        <v>0</v>
      </c>
      <c r="P291" s="26">
        <v>0</v>
      </c>
      <c r="Q291" s="12">
        <v>1097</v>
      </c>
      <c r="R291" s="209">
        <v>1.4118404118404118</v>
      </c>
      <c r="S291" s="14">
        <v>1</v>
      </c>
      <c r="T291" s="163">
        <v>1</v>
      </c>
      <c r="U291" s="163">
        <v>0</v>
      </c>
      <c r="V291" s="26">
        <v>0</v>
      </c>
      <c r="W291" s="14">
        <v>1100</v>
      </c>
      <c r="X291" s="14">
        <v>1</v>
      </c>
      <c r="Y291" s="163">
        <v>0</v>
      </c>
      <c r="Z291" s="163">
        <v>0</v>
      </c>
      <c r="AA291" s="26">
        <v>0</v>
      </c>
      <c r="AB291" s="12">
        <v>1000</v>
      </c>
      <c r="AC291" s="14">
        <v>1</v>
      </c>
      <c r="AD291" s="14">
        <v>0</v>
      </c>
      <c r="AE291" s="163">
        <v>0</v>
      </c>
      <c r="AF291" s="163">
        <v>1</v>
      </c>
      <c r="AG291" s="26">
        <v>0</v>
      </c>
      <c r="AH291" s="14">
        <v>10</v>
      </c>
      <c r="AI291" s="14">
        <v>0</v>
      </c>
      <c r="AJ291" s="163">
        <v>0</v>
      </c>
      <c r="AK291" s="163">
        <v>0</v>
      </c>
      <c r="AL291" s="26">
        <v>0</v>
      </c>
      <c r="AM291" s="12">
        <v>0</v>
      </c>
      <c r="AN291" s="14">
        <v>0</v>
      </c>
      <c r="AO291" s="163">
        <v>0</v>
      </c>
      <c r="AP291" s="163">
        <v>0</v>
      </c>
      <c r="AQ291" s="163">
        <v>0</v>
      </c>
      <c r="AR291" s="163">
        <v>0</v>
      </c>
      <c r="AS291" s="14">
        <v>1</v>
      </c>
      <c r="AT291" s="163">
        <v>1</v>
      </c>
      <c r="AU291" s="163">
        <v>0</v>
      </c>
      <c r="AV291" s="163">
        <v>1</v>
      </c>
      <c r="AW291" s="26">
        <v>0</v>
      </c>
      <c r="AX291" s="14">
        <v>3</v>
      </c>
      <c r="AY291" s="14">
        <v>0</v>
      </c>
      <c r="AZ291" s="163">
        <v>0</v>
      </c>
      <c r="BA291" s="163">
        <v>0</v>
      </c>
      <c r="BB291" s="26">
        <v>0</v>
      </c>
      <c r="BC291" s="12">
        <v>0</v>
      </c>
      <c r="BD291" s="14">
        <v>0</v>
      </c>
      <c r="BE291" s="163">
        <v>0</v>
      </c>
      <c r="BF291" s="163">
        <v>0</v>
      </c>
      <c r="BG291" s="163">
        <v>0</v>
      </c>
      <c r="BH291" s="163">
        <v>0</v>
      </c>
      <c r="BI291" s="14">
        <v>1</v>
      </c>
      <c r="BJ291" s="163">
        <v>1</v>
      </c>
      <c r="BK291" s="26">
        <v>0</v>
      </c>
      <c r="BL291" s="14">
        <v>1</v>
      </c>
      <c r="BM291" s="163">
        <v>0</v>
      </c>
      <c r="BN291" s="26">
        <v>0</v>
      </c>
      <c r="BO291" s="14">
        <v>0</v>
      </c>
      <c r="BP291" s="12">
        <v>120</v>
      </c>
      <c r="BQ291" s="163">
        <v>2</v>
      </c>
      <c r="BR291" s="14">
        <v>0</v>
      </c>
      <c r="BS291" s="163">
        <v>0</v>
      </c>
      <c r="BT291" s="163">
        <v>0</v>
      </c>
      <c r="BU291" s="26">
        <v>0</v>
      </c>
      <c r="BV291" s="14">
        <v>0</v>
      </c>
      <c r="BW291" s="209"/>
      <c r="BX291" s="3"/>
      <c r="BY291" s="3"/>
      <c r="BZ291" s="40"/>
      <c r="CA291" s="209"/>
      <c r="CB291" s="3"/>
      <c r="CC291" s="3"/>
      <c r="CD291" s="3"/>
      <c r="CE291" s="209"/>
      <c r="CF291" s="3"/>
      <c r="CG291" s="3"/>
      <c r="CH291" s="40"/>
      <c r="CI291" s="209"/>
      <c r="CJ291" s="3"/>
      <c r="CK291" s="3"/>
      <c r="CL291" s="209"/>
      <c r="CM291" s="3"/>
      <c r="CN291" s="3"/>
      <c r="CO291" s="3"/>
      <c r="CP291" s="40"/>
      <c r="CQ291" s="209"/>
      <c r="CR291" s="40"/>
      <c r="CS291" s="3"/>
      <c r="CT291" s="3"/>
    </row>
    <row r="292" spans="1:98">
      <c r="A292" s="42" t="s">
        <v>322</v>
      </c>
      <c r="B292" s="173" t="s">
        <v>188</v>
      </c>
      <c r="C292" s="12"/>
      <c r="D292" s="14" t="s">
        <v>394</v>
      </c>
      <c r="E292" s="12"/>
      <c r="F292" s="12">
        <v>7</v>
      </c>
      <c r="G292" s="14">
        <v>0</v>
      </c>
      <c r="H292" s="163">
        <v>0</v>
      </c>
      <c r="I292" s="163">
        <v>1</v>
      </c>
      <c r="J292" s="12">
        <v>1</v>
      </c>
      <c r="K292" s="14">
        <v>642</v>
      </c>
      <c r="L292" s="26">
        <v>1776</v>
      </c>
      <c r="M292" s="14">
        <v>566</v>
      </c>
      <c r="N292" s="163">
        <v>814</v>
      </c>
      <c r="O292" s="14">
        <v>0</v>
      </c>
      <c r="P292" s="26">
        <v>0</v>
      </c>
      <c r="Q292" s="12">
        <v>3442</v>
      </c>
      <c r="R292" s="209">
        <v>2.8282662284305671</v>
      </c>
      <c r="S292" s="14">
        <v>1</v>
      </c>
      <c r="T292" s="163">
        <v>1</v>
      </c>
      <c r="U292" s="163">
        <v>0</v>
      </c>
      <c r="V292" s="26">
        <v>0</v>
      </c>
      <c r="W292" s="14">
        <v>1100</v>
      </c>
      <c r="X292" s="14">
        <v>1</v>
      </c>
      <c r="Y292" s="163">
        <v>0</v>
      </c>
      <c r="Z292" s="163">
        <v>0</v>
      </c>
      <c r="AA292" s="26">
        <v>1</v>
      </c>
      <c r="AB292" s="12">
        <v>1001</v>
      </c>
      <c r="AC292" s="14">
        <v>0</v>
      </c>
      <c r="AD292" s="14">
        <v>0</v>
      </c>
      <c r="AE292" s="163">
        <v>0</v>
      </c>
      <c r="AF292" s="163">
        <v>1</v>
      </c>
      <c r="AG292" s="26">
        <v>0</v>
      </c>
      <c r="AH292" s="14">
        <v>10</v>
      </c>
      <c r="AI292" s="14">
        <v>0</v>
      </c>
      <c r="AJ292" s="163">
        <v>0</v>
      </c>
      <c r="AK292" s="163">
        <v>0</v>
      </c>
      <c r="AL292" s="26">
        <v>0</v>
      </c>
      <c r="AM292" s="12">
        <v>0</v>
      </c>
      <c r="AN292" s="14">
        <v>0</v>
      </c>
      <c r="AO292" s="163">
        <v>0</v>
      </c>
      <c r="AP292" s="163">
        <v>0</v>
      </c>
      <c r="AQ292" s="163">
        <v>0</v>
      </c>
      <c r="AR292" s="163">
        <v>0</v>
      </c>
      <c r="AS292" s="14">
        <v>1</v>
      </c>
      <c r="AT292" s="163">
        <v>1</v>
      </c>
      <c r="AU292" s="163">
        <v>0</v>
      </c>
      <c r="AV292" s="163">
        <v>1</v>
      </c>
      <c r="AW292" s="26">
        <v>0</v>
      </c>
      <c r="AX292" s="14">
        <v>3</v>
      </c>
      <c r="AY292" s="14">
        <v>0</v>
      </c>
      <c r="AZ292" s="163">
        <v>0</v>
      </c>
      <c r="BA292" s="163">
        <v>0</v>
      </c>
      <c r="BB292" s="26">
        <v>1</v>
      </c>
      <c r="BC292" s="12">
        <v>1</v>
      </c>
      <c r="BD292" s="14">
        <v>0</v>
      </c>
      <c r="BE292" s="163">
        <v>0</v>
      </c>
      <c r="BF292" s="163">
        <v>0</v>
      </c>
      <c r="BG292" s="163">
        <v>0</v>
      </c>
      <c r="BH292" s="163">
        <v>0</v>
      </c>
      <c r="BI292" s="14">
        <v>1</v>
      </c>
      <c r="BJ292" s="163">
        <v>1</v>
      </c>
      <c r="BK292" s="26">
        <v>0</v>
      </c>
      <c r="BL292" s="14">
        <v>1</v>
      </c>
      <c r="BM292" s="163">
        <v>0</v>
      </c>
      <c r="BN292" s="26">
        <v>0</v>
      </c>
      <c r="BO292" s="14">
        <v>0</v>
      </c>
      <c r="BP292" s="12">
        <v>121</v>
      </c>
      <c r="BQ292" s="163">
        <v>2</v>
      </c>
      <c r="BR292" s="14">
        <v>0</v>
      </c>
      <c r="BS292" s="163">
        <v>0</v>
      </c>
      <c r="BT292" s="163">
        <v>0</v>
      </c>
      <c r="BU292" s="26">
        <v>0</v>
      </c>
      <c r="BV292" s="14">
        <v>0</v>
      </c>
      <c r="BW292" s="209"/>
      <c r="BX292" s="3"/>
      <c r="BY292" s="3"/>
      <c r="BZ292" s="40"/>
      <c r="CA292" s="209"/>
      <c r="CB292" s="3"/>
      <c r="CC292" s="3"/>
      <c r="CD292" s="3"/>
      <c r="CE292" s="209"/>
      <c r="CF292" s="3"/>
      <c r="CG292" s="3"/>
      <c r="CH292" s="40"/>
      <c r="CI292" s="209"/>
      <c r="CJ292" s="3"/>
      <c r="CK292" s="3"/>
      <c r="CL292" s="209"/>
      <c r="CM292" s="3"/>
      <c r="CN292" s="3"/>
      <c r="CO292" s="3"/>
      <c r="CP292" s="40"/>
      <c r="CQ292" s="209"/>
      <c r="CR292" s="40"/>
      <c r="CS292" s="3"/>
      <c r="CT292" s="3"/>
    </row>
    <row r="293" spans="1:98">
      <c r="A293" s="42" t="s">
        <v>322</v>
      </c>
      <c r="B293" s="173" t="s">
        <v>188</v>
      </c>
      <c r="C293" s="12"/>
      <c r="D293" s="14" t="s">
        <v>377</v>
      </c>
      <c r="E293" s="12"/>
      <c r="F293" s="12">
        <v>3</v>
      </c>
      <c r="G293" s="14">
        <v>1</v>
      </c>
      <c r="H293" s="163">
        <v>0</v>
      </c>
      <c r="I293" s="163">
        <v>1</v>
      </c>
      <c r="J293" s="12">
        <v>101</v>
      </c>
      <c r="K293" s="14">
        <v>511</v>
      </c>
      <c r="L293" s="26">
        <v>784</v>
      </c>
      <c r="M293" s="14">
        <v>0</v>
      </c>
      <c r="N293" s="163">
        <v>425</v>
      </c>
      <c r="O293" s="14">
        <v>0</v>
      </c>
      <c r="P293" s="26">
        <v>0</v>
      </c>
      <c r="Q293" s="12">
        <v>951</v>
      </c>
      <c r="R293" s="209">
        <v>1.2130102040816326</v>
      </c>
      <c r="S293" s="14">
        <v>1</v>
      </c>
      <c r="T293" s="163">
        <v>1</v>
      </c>
      <c r="U293" s="163">
        <v>0</v>
      </c>
      <c r="V293" s="26">
        <v>0</v>
      </c>
      <c r="W293" s="14">
        <v>1100</v>
      </c>
      <c r="X293" s="14">
        <v>1</v>
      </c>
      <c r="Y293" s="163">
        <v>0</v>
      </c>
      <c r="Z293" s="163">
        <v>0</v>
      </c>
      <c r="AA293" s="26">
        <v>0</v>
      </c>
      <c r="AB293" s="12">
        <v>1000</v>
      </c>
      <c r="AC293" s="14">
        <v>1</v>
      </c>
      <c r="AD293" s="14">
        <v>0</v>
      </c>
      <c r="AE293" s="163">
        <v>1</v>
      </c>
      <c r="AF293" s="163">
        <v>0</v>
      </c>
      <c r="AG293" s="26">
        <v>0</v>
      </c>
      <c r="AH293" s="14">
        <v>100</v>
      </c>
      <c r="AI293" s="14">
        <v>0</v>
      </c>
      <c r="AJ293" s="163">
        <v>0</v>
      </c>
      <c r="AK293" s="163">
        <v>0</v>
      </c>
      <c r="AL293" s="26">
        <v>0</v>
      </c>
      <c r="AM293" s="12">
        <v>0</v>
      </c>
      <c r="AN293" s="14">
        <v>0</v>
      </c>
      <c r="AO293" s="163">
        <v>0</v>
      </c>
      <c r="AP293" s="163">
        <v>0</v>
      </c>
      <c r="AQ293" s="163">
        <v>0</v>
      </c>
      <c r="AR293" s="163">
        <v>0</v>
      </c>
      <c r="AS293" s="14">
        <v>1</v>
      </c>
      <c r="AT293" s="163">
        <v>1</v>
      </c>
      <c r="AU293" s="163">
        <v>0</v>
      </c>
      <c r="AV293" s="163">
        <v>1</v>
      </c>
      <c r="AW293" s="26">
        <v>0</v>
      </c>
      <c r="AX293" s="14">
        <v>3</v>
      </c>
      <c r="AY293" s="14">
        <v>0</v>
      </c>
      <c r="AZ293" s="163">
        <v>0</v>
      </c>
      <c r="BA293" s="163">
        <v>0</v>
      </c>
      <c r="BB293" s="26">
        <v>0</v>
      </c>
      <c r="BC293" s="12">
        <v>0</v>
      </c>
      <c r="BD293" s="14">
        <v>0</v>
      </c>
      <c r="BE293" s="163">
        <v>0</v>
      </c>
      <c r="BF293" s="163">
        <v>0</v>
      </c>
      <c r="BG293" s="163">
        <v>0</v>
      </c>
      <c r="BH293" s="163">
        <v>0</v>
      </c>
      <c r="BI293" s="14">
        <v>1</v>
      </c>
      <c r="BJ293" s="163">
        <v>1</v>
      </c>
      <c r="BK293" s="26">
        <v>0</v>
      </c>
      <c r="BL293" s="14">
        <v>0</v>
      </c>
      <c r="BM293" s="163">
        <v>0</v>
      </c>
      <c r="BN293" s="26">
        <v>0</v>
      </c>
      <c r="BO293" s="14">
        <v>0</v>
      </c>
      <c r="BP293" s="12">
        <v>107</v>
      </c>
      <c r="BQ293" s="163">
        <v>1</v>
      </c>
      <c r="BR293" s="14">
        <v>0</v>
      </c>
      <c r="BS293" s="163">
        <v>0</v>
      </c>
      <c r="BT293" s="163">
        <v>0</v>
      </c>
      <c r="BU293" s="26">
        <v>0</v>
      </c>
      <c r="BV293" s="14">
        <v>0</v>
      </c>
      <c r="BW293" s="209"/>
      <c r="BX293" s="3"/>
      <c r="BY293" s="3"/>
      <c r="BZ293" s="40"/>
      <c r="CA293" s="209"/>
      <c r="CB293" s="3"/>
      <c r="CC293" s="3"/>
      <c r="CD293" s="3"/>
      <c r="CE293" s="209"/>
      <c r="CF293" s="3"/>
      <c r="CG293" s="3"/>
      <c r="CH293" s="40"/>
      <c r="CI293" s="209"/>
      <c r="CJ293" s="3"/>
      <c r="CK293" s="3"/>
      <c r="CL293" s="209"/>
      <c r="CM293" s="3"/>
      <c r="CN293" s="3"/>
      <c r="CO293" s="3"/>
      <c r="CP293" s="40"/>
      <c r="CQ293" s="209"/>
      <c r="CR293" s="40"/>
      <c r="CS293" s="3"/>
      <c r="CT293" s="3"/>
    </row>
    <row r="294" spans="1:98">
      <c r="A294" s="42" t="s">
        <v>322</v>
      </c>
      <c r="B294" s="173" t="s">
        <v>188</v>
      </c>
      <c r="C294" s="12"/>
      <c r="D294" s="14" t="s">
        <v>208</v>
      </c>
      <c r="E294" s="12"/>
      <c r="F294" s="12">
        <v>6</v>
      </c>
      <c r="G294" s="14">
        <v>0</v>
      </c>
      <c r="H294" s="163">
        <v>0</v>
      </c>
      <c r="I294" s="163">
        <v>1</v>
      </c>
      <c r="J294" s="12">
        <v>1</v>
      </c>
      <c r="K294" s="14">
        <v>408</v>
      </c>
      <c r="L294" s="26">
        <v>946</v>
      </c>
      <c r="M294" s="14">
        <v>152</v>
      </c>
      <c r="N294" s="163">
        <v>414</v>
      </c>
      <c r="O294" s="14">
        <v>0</v>
      </c>
      <c r="P294" s="26">
        <v>0</v>
      </c>
      <c r="Q294" s="12">
        <v>1424</v>
      </c>
      <c r="R294" s="209">
        <v>2.0518731988472623</v>
      </c>
      <c r="S294" s="14">
        <v>1</v>
      </c>
      <c r="T294" s="163">
        <v>1</v>
      </c>
      <c r="U294" s="163">
        <v>0</v>
      </c>
      <c r="V294" s="26">
        <v>0</v>
      </c>
      <c r="W294" s="14">
        <v>1100</v>
      </c>
      <c r="X294" s="14">
        <v>0</v>
      </c>
      <c r="Y294" s="163">
        <v>1</v>
      </c>
      <c r="Z294" s="163">
        <v>0</v>
      </c>
      <c r="AA294" s="26">
        <v>0</v>
      </c>
      <c r="AB294" s="12">
        <v>100</v>
      </c>
      <c r="AC294" s="14">
        <v>1</v>
      </c>
      <c r="AD294" s="14">
        <v>0</v>
      </c>
      <c r="AE294" s="163">
        <v>1</v>
      </c>
      <c r="AF294" s="163">
        <v>1</v>
      </c>
      <c r="AG294" s="26">
        <v>0</v>
      </c>
      <c r="AH294" s="14">
        <v>110</v>
      </c>
      <c r="AI294" s="14">
        <v>0</v>
      </c>
      <c r="AJ294" s="163">
        <v>0</v>
      </c>
      <c r="AK294" s="163">
        <v>0</v>
      </c>
      <c r="AL294" s="26">
        <v>0</v>
      </c>
      <c r="AM294" s="12">
        <v>0</v>
      </c>
      <c r="AN294" s="14">
        <v>0</v>
      </c>
      <c r="AO294" s="163">
        <v>0</v>
      </c>
      <c r="AP294" s="163">
        <v>0</v>
      </c>
      <c r="AQ294" s="163">
        <v>0</v>
      </c>
      <c r="AR294" s="163">
        <v>0</v>
      </c>
      <c r="AS294" s="14">
        <v>0</v>
      </c>
      <c r="AT294" s="163">
        <v>1</v>
      </c>
      <c r="AU294" s="163">
        <v>0</v>
      </c>
      <c r="AV294" s="163">
        <v>1</v>
      </c>
      <c r="AW294" s="26">
        <v>0</v>
      </c>
      <c r="AX294" s="14">
        <v>2</v>
      </c>
      <c r="AY294" s="14">
        <v>0</v>
      </c>
      <c r="AZ294" s="163">
        <v>0</v>
      </c>
      <c r="BA294" s="163">
        <v>0</v>
      </c>
      <c r="BB294" s="26">
        <v>1</v>
      </c>
      <c r="BC294" s="12">
        <v>1</v>
      </c>
      <c r="BD294" s="14">
        <v>0</v>
      </c>
      <c r="BE294" s="163">
        <v>0</v>
      </c>
      <c r="BF294" s="163">
        <v>0</v>
      </c>
      <c r="BG294" s="163">
        <v>0</v>
      </c>
      <c r="BH294" s="163">
        <v>0</v>
      </c>
      <c r="BI294" s="14">
        <v>1</v>
      </c>
      <c r="BJ294" s="163">
        <v>1</v>
      </c>
      <c r="BK294" s="26">
        <v>0</v>
      </c>
      <c r="BL294" s="14">
        <v>0</v>
      </c>
      <c r="BM294" s="163">
        <v>0</v>
      </c>
      <c r="BN294" s="26">
        <v>0</v>
      </c>
      <c r="BO294" s="14">
        <v>0</v>
      </c>
      <c r="BP294" s="12">
        <v>97</v>
      </c>
      <c r="BQ294" s="163">
        <v>1</v>
      </c>
      <c r="BR294" s="14">
        <v>0</v>
      </c>
      <c r="BS294" s="163">
        <v>0</v>
      </c>
      <c r="BT294" s="163">
        <v>0</v>
      </c>
      <c r="BU294" s="26">
        <v>0</v>
      </c>
      <c r="BV294" s="14">
        <v>0</v>
      </c>
      <c r="BW294" s="209"/>
      <c r="BX294" s="3"/>
      <c r="BY294" s="3"/>
      <c r="BZ294" s="40"/>
      <c r="CA294" s="209"/>
      <c r="CB294" s="3"/>
      <c r="CC294" s="3"/>
      <c r="CD294" s="3"/>
      <c r="CE294" s="209"/>
      <c r="CF294" s="3"/>
      <c r="CG294" s="3"/>
      <c r="CH294" s="40"/>
      <c r="CI294" s="209"/>
      <c r="CJ294" s="3"/>
      <c r="CK294" s="3"/>
      <c r="CL294" s="209"/>
      <c r="CM294" s="3"/>
      <c r="CN294" s="3"/>
      <c r="CO294" s="3"/>
      <c r="CP294" s="40"/>
      <c r="CQ294" s="209"/>
      <c r="CR294" s="40"/>
      <c r="CS294" s="3"/>
      <c r="CT294" s="3"/>
    </row>
    <row r="295" spans="1:98">
      <c r="A295" s="42" t="s">
        <v>322</v>
      </c>
      <c r="B295" s="173" t="s">
        <v>188</v>
      </c>
      <c r="C295" s="12"/>
      <c r="D295" s="14" t="s">
        <v>203</v>
      </c>
      <c r="E295" s="12"/>
      <c r="F295" s="12">
        <v>5</v>
      </c>
      <c r="G295" s="14">
        <v>0</v>
      </c>
      <c r="H295" s="163">
        <v>0</v>
      </c>
      <c r="I295" s="163">
        <v>1</v>
      </c>
      <c r="J295" s="12">
        <v>1</v>
      </c>
      <c r="K295" s="14">
        <v>862</v>
      </c>
      <c r="L295" s="26">
        <v>1639</v>
      </c>
      <c r="M295" s="14">
        <v>299</v>
      </c>
      <c r="N295" s="163">
        <v>473</v>
      </c>
      <c r="O295" s="14">
        <v>0</v>
      </c>
      <c r="P295" s="26">
        <v>0</v>
      </c>
      <c r="Q295" s="12">
        <v>1733</v>
      </c>
      <c r="R295" s="209">
        <v>2.0011547344110854</v>
      </c>
      <c r="S295" s="14">
        <v>1</v>
      </c>
      <c r="T295" s="163">
        <v>1</v>
      </c>
      <c r="U295" s="163">
        <v>0</v>
      </c>
      <c r="V295" s="26">
        <v>0</v>
      </c>
      <c r="W295" s="14">
        <v>1100</v>
      </c>
      <c r="X295" s="14">
        <v>1</v>
      </c>
      <c r="Y295" s="163">
        <v>0</v>
      </c>
      <c r="Z295" s="163">
        <v>1</v>
      </c>
      <c r="AA295" s="26">
        <v>0</v>
      </c>
      <c r="AB295" s="12">
        <v>1010</v>
      </c>
      <c r="AC295" s="14">
        <v>1</v>
      </c>
      <c r="AD295" s="14">
        <v>0</v>
      </c>
      <c r="AE295" s="163">
        <v>1</v>
      </c>
      <c r="AF295" s="163">
        <v>0</v>
      </c>
      <c r="AG295" s="26">
        <v>1</v>
      </c>
      <c r="AH295" s="14">
        <v>101</v>
      </c>
      <c r="AI295" s="14">
        <v>0</v>
      </c>
      <c r="AJ295" s="163">
        <v>0</v>
      </c>
      <c r="AK295" s="163">
        <v>0</v>
      </c>
      <c r="AL295" s="26">
        <v>0</v>
      </c>
      <c r="AM295" s="12">
        <v>0</v>
      </c>
      <c r="AN295" s="14">
        <v>0</v>
      </c>
      <c r="AO295" s="163">
        <v>0</v>
      </c>
      <c r="AP295" s="163">
        <v>0</v>
      </c>
      <c r="AQ295" s="163">
        <v>0</v>
      </c>
      <c r="AR295" s="163">
        <v>0</v>
      </c>
      <c r="AS295" s="14">
        <v>0</v>
      </c>
      <c r="AT295" s="163">
        <v>1</v>
      </c>
      <c r="AU295" s="163">
        <v>0</v>
      </c>
      <c r="AV295" s="163">
        <v>1</v>
      </c>
      <c r="AW295" s="26">
        <v>0</v>
      </c>
      <c r="AX295" s="14">
        <v>2</v>
      </c>
      <c r="AY295" s="14">
        <v>0</v>
      </c>
      <c r="AZ295" s="163">
        <v>0</v>
      </c>
      <c r="BA295" s="163">
        <v>0</v>
      </c>
      <c r="BB295" s="26">
        <v>0</v>
      </c>
      <c r="BC295" s="12">
        <v>0</v>
      </c>
      <c r="BD295" s="14">
        <v>0</v>
      </c>
      <c r="BE295" s="163">
        <v>0</v>
      </c>
      <c r="BF295" s="163">
        <v>0</v>
      </c>
      <c r="BG295" s="163">
        <v>0</v>
      </c>
      <c r="BH295" s="163">
        <v>0</v>
      </c>
      <c r="BI295" s="14">
        <v>1</v>
      </c>
      <c r="BJ295" s="163">
        <v>1</v>
      </c>
      <c r="BK295" s="26">
        <v>0</v>
      </c>
      <c r="BL295" s="14">
        <v>0</v>
      </c>
      <c r="BM295" s="163">
        <v>0</v>
      </c>
      <c r="BN295" s="26">
        <v>0</v>
      </c>
      <c r="BO295" s="14">
        <v>0</v>
      </c>
      <c r="BP295" s="12">
        <v>117</v>
      </c>
      <c r="BQ295" s="163">
        <v>2</v>
      </c>
      <c r="BR295" s="14">
        <v>0</v>
      </c>
      <c r="BS295" s="163">
        <v>0</v>
      </c>
      <c r="BT295" s="163">
        <v>0</v>
      </c>
      <c r="BU295" s="26">
        <v>0</v>
      </c>
      <c r="BV295" s="14">
        <v>0</v>
      </c>
      <c r="BW295" s="209"/>
      <c r="BX295" s="3"/>
      <c r="BY295" s="3"/>
      <c r="BZ295" s="40"/>
      <c r="CA295" s="209"/>
      <c r="CB295" s="3"/>
      <c r="CC295" s="3"/>
      <c r="CD295" s="3"/>
      <c r="CE295" s="209"/>
      <c r="CF295" s="3"/>
      <c r="CG295" s="3"/>
      <c r="CH295" s="40"/>
      <c r="CI295" s="209"/>
      <c r="CJ295" s="3"/>
      <c r="CK295" s="3"/>
      <c r="CL295" s="209"/>
      <c r="CM295" s="3"/>
      <c r="CN295" s="3"/>
      <c r="CO295" s="3"/>
      <c r="CP295" s="40"/>
      <c r="CQ295" s="209"/>
      <c r="CR295" s="40"/>
      <c r="CS295" s="3"/>
      <c r="CT295" s="3"/>
    </row>
    <row r="296" spans="1:98">
      <c r="A296" s="42" t="s">
        <v>322</v>
      </c>
      <c r="B296" s="173" t="s">
        <v>188</v>
      </c>
      <c r="C296" s="12"/>
      <c r="D296" s="14" t="s">
        <v>204</v>
      </c>
      <c r="E296" s="12"/>
      <c r="F296" s="12">
        <v>10</v>
      </c>
      <c r="G296" s="14">
        <v>0</v>
      </c>
      <c r="H296" s="163">
        <v>0</v>
      </c>
      <c r="I296" s="163">
        <v>1</v>
      </c>
      <c r="J296" s="12">
        <v>1</v>
      </c>
      <c r="K296" s="14">
        <v>292</v>
      </c>
      <c r="L296" s="26">
        <v>1951</v>
      </c>
      <c r="M296" s="14">
        <v>455</v>
      </c>
      <c r="N296" s="163">
        <v>1435</v>
      </c>
      <c r="O296" s="14">
        <v>0</v>
      </c>
      <c r="P296" s="26">
        <v>0</v>
      </c>
      <c r="Q296" s="12">
        <v>2742</v>
      </c>
      <c r="R296" s="209">
        <v>1.2612695492180312</v>
      </c>
      <c r="S296" s="14">
        <v>1</v>
      </c>
      <c r="T296" s="163">
        <v>1</v>
      </c>
      <c r="U296" s="163">
        <v>0</v>
      </c>
      <c r="V296" s="26">
        <v>0</v>
      </c>
      <c r="W296" s="14">
        <v>1100</v>
      </c>
      <c r="X296" s="14">
        <v>0</v>
      </c>
      <c r="Y296" s="163">
        <v>1</v>
      </c>
      <c r="Z296" s="163">
        <v>0</v>
      </c>
      <c r="AA296" s="26">
        <v>0</v>
      </c>
      <c r="AB296" s="12">
        <v>100</v>
      </c>
      <c r="AC296" s="14">
        <v>1</v>
      </c>
      <c r="AD296" s="14">
        <v>0</v>
      </c>
      <c r="AE296" s="163">
        <v>1</v>
      </c>
      <c r="AF296" s="163">
        <v>1</v>
      </c>
      <c r="AG296" s="26">
        <v>0</v>
      </c>
      <c r="AH296" s="14">
        <v>110</v>
      </c>
      <c r="AI296" s="14">
        <v>0</v>
      </c>
      <c r="AJ296" s="163">
        <v>0</v>
      </c>
      <c r="AK296" s="163">
        <v>0</v>
      </c>
      <c r="AL296" s="26">
        <v>0</v>
      </c>
      <c r="AM296" s="12">
        <v>0</v>
      </c>
      <c r="AN296" s="14">
        <v>0</v>
      </c>
      <c r="AO296" s="163">
        <v>0</v>
      </c>
      <c r="AP296" s="163">
        <v>0</v>
      </c>
      <c r="AQ296" s="163">
        <v>0</v>
      </c>
      <c r="AR296" s="163">
        <v>0</v>
      </c>
      <c r="AS296" s="14">
        <v>1</v>
      </c>
      <c r="AT296" s="163">
        <v>1</v>
      </c>
      <c r="AU296" s="163">
        <v>0</v>
      </c>
      <c r="AV296" s="163">
        <v>1</v>
      </c>
      <c r="AW296" s="26">
        <v>0</v>
      </c>
      <c r="AX296" s="14">
        <v>3</v>
      </c>
      <c r="AY296" s="14">
        <v>0</v>
      </c>
      <c r="AZ296" s="163">
        <v>0</v>
      </c>
      <c r="BA296" s="163">
        <v>0</v>
      </c>
      <c r="BB296" s="26">
        <v>0</v>
      </c>
      <c r="BC296" s="12">
        <v>0</v>
      </c>
      <c r="BD296" s="14">
        <v>0</v>
      </c>
      <c r="BE296" s="163">
        <v>0</v>
      </c>
      <c r="BF296" s="163">
        <v>0</v>
      </c>
      <c r="BG296" s="163">
        <v>0</v>
      </c>
      <c r="BH296" s="163">
        <v>0</v>
      </c>
      <c r="BI296" s="14">
        <v>1</v>
      </c>
      <c r="BJ296" s="163">
        <v>1</v>
      </c>
      <c r="BK296" s="26">
        <v>0</v>
      </c>
      <c r="BL296" s="14">
        <v>0</v>
      </c>
      <c r="BM296" s="163">
        <v>0</v>
      </c>
      <c r="BN296" s="26">
        <v>0</v>
      </c>
      <c r="BO296" s="14">
        <v>0</v>
      </c>
      <c r="BP296" s="12">
        <v>122</v>
      </c>
      <c r="BQ296" s="163">
        <v>1</v>
      </c>
      <c r="BR296" s="14">
        <v>0</v>
      </c>
      <c r="BS296" s="163">
        <v>0</v>
      </c>
      <c r="BT296" s="163">
        <v>0</v>
      </c>
      <c r="BU296" s="26">
        <v>0</v>
      </c>
      <c r="BV296" s="14">
        <v>0</v>
      </c>
      <c r="BW296" s="209"/>
      <c r="BX296" s="3"/>
      <c r="BY296" s="3"/>
      <c r="BZ296" s="40"/>
      <c r="CA296" s="209"/>
      <c r="CB296" s="3"/>
      <c r="CC296" s="3"/>
      <c r="CD296" s="3"/>
      <c r="CE296" s="209"/>
      <c r="CF296" s="3"/>
      <c r="CG296" s="3"/>
      <c r="CH296" s="40"/>
      <c r="CI296" s="209"/>
      <c r="CJ296" s="3"/>
      <c r="CK296" s="3"/>
      <c r="CL296" s="209">
        <v>79.910295872212217</v>
      </c>
      <c r="CM296" s="3"/>
      <c r="CN296" s="3"/>
      <c r="CO296" s="3"/>
      <c r="CP296" s="40"/>
      <c r="CQ296" s="209">
        <v>80.077311926686406</v>
      </c>
      <c r="CR296" s="40"/>
      <c r="CS296" s="3"/>
      <c r="CT296" s="3"/>
    </row>
    <row r="297" spans="1:98">
      <c r="A297" s="42" t="s">
        <v>322</v>
      </c>
      <c r="B297" s="173" t="s">
        <v>188</v>
      </c>
      <c r="C297" s="12"/>
      <c r="D297" s="14" t="s">
        <v>129</v>
      </c>
      <c r="E297" s="12"/>
      <c r="F297" s="12">
        <v>4</v>
      </c>
      <c r="G297" s="14">
        <v>0</v>
      </c>
      <c r="H297" s="163">
        <v>0</v>
      </c>
      <c r="I297" s="163">
        <v>1</v>
      </c>
      <c r="J297" s="12">
        <v>1</v>
      </c>
      <c r="K297" s="14">
        <v>1197</v>
      </c>
      <c r="L297" s="26">
        <v>1775</v>
      </c>
      <c r="M297" s="14">
        <v>599</v>
      </c>
      <c r="N297" s="163">
        <v>827</v>
      </c>
      <c r="O297" s="14">
        <v>0</v>
      </c>
      <c r="P297" s="26">
        <v>0</v>
      </c>
      <c r="Q297" s="12">
        <v>1979</v>
      </c>
      <c r="R297" s="209">
        <v>1.1149295774647887</v>
      </c>
      <c r="S297" s="14">
        <v>1</v>
      </c>
      <c r="T297" s="163">
        <v>1</v>
      </c>
      <c r="U297" s="163">
        <v>0</v>
      </c>
      <c r="V297" s="26">
        <v>0</v>
      </c>
      <c r="W297" s="14">
        <v>1100</v>
      </c>
      <c r="X297" s="14">
        <v>1</v>
      </c>
      <c r="Y297" s="163">
        <v>0</v>
      </c>
      <c r="Z297" s="163">
        <v>0</v>
      </c>
      <c r="AA297" s="26">
        <v>1</v>
      </c>
      <c r="AB297" s="12">
        <v>1001</v>
      </c>
      <c r="AC297" s="14">
        <v>1</v>
      </c>
      <c r="AD297" s="14">
        <v>0</v>
      </c>
      <c r="AE297" s="163">
        <v>1</v>
      </c>
      <c r="AF297" s="163">
        <v>0</v>
      </c>
      <c r="AG297" s="26">
        <v>0</v>
      </c>
      <c r="AH297" s="14">
        <v>100</v>
      </c>
      <c r="AI297" s="14">
        <v>0</v>
      </c>
      <c r="AJ297" s="163">
        <v>0</v>
      </c>
      <c r="AK297" s="163">
        <v>0</v>
      </c>
      <c r="AL297" s="26">
        <v>0</v>
      </c>
      <c r="AM297" s="12">
        <v>0</v>
      </c>
      <c r="AN297" s="14">
        <v>0</v>
      </c>
      <c r="AO297" s="163">
        <v>0</v>
      </c>
      <c r="AP297" s="163">
        <v>0</v>
      </c>
      <c r="AQ297" s="163">
        <v>0</v>
      </c>
      <c r="AR297" s="163">
        <v>0</v>
      </c>
      <c r="AS297" s="14">
        <v>1</v>
      </c>
      <c r="AT297" s="163">
        <v>1</v>
      </c>
      <c r="AU297" s="163">
        <v>0</v>
      </c>
      <c r="AV297" s="163">
        <v>0</v>
      </c>
      <c r="AW297" s="26">
        <v>0</v>
      </c>
      <c r="AX297" s="14">
        <v>2</v>
      </c>
      <c r="AY297" s="14">
        <v>0</v>
      </c>
      <c r="AZ297" s="163">
        <v>0</v>
      </c>
      <c r="BA297" s="163">
        <v>0</v>
      </c>
      <c r="BB297" s="26">
        <v>0</v>
      </c>
      <c r="BC297" s="12">
        <v>0</v>
      </c>
      <c r="BD297" s="14">
        <v>1</v>
      </c>
      <c r="BE297" s="163">
        <v>0</v>
      </c>
      <c r="BF297" s="163">
        <v>0</v>
      </c>
      <c r="BG297" s="163">
        <v>0</v>
      </c>
      <c r="BH297" s="163">
        <v>0</v>
      </c>
      <c r="BI297" s="14">
        <v>1</v>
      </c>
      <c r="BJ297" s="163">
        <v>1</v>
      </c>
      <c r="BK297" s="26">
        <v>0</v>
      </c>
      <c r="BL297" s="14">
        <v>1</v>
      </c>
      <c r="BM297" s="163">
        <v>0</v>
      </c>
      <c r="BN297" s="26">
        <v>0</v>
      </c>
      <c r="BO297" s="14">
        <v>0</v>
      </c>
      <c r="BP297" s="12">
        <v>120</v>
      </c>
      <c r="BQ297" s="163">
        <v>2</v>
      </c>
      <c r="BR297" s="14">
        <v>0</v>
      </c>
      <c r="BS297" s="163">
        <v>0</v>
      </c>
      <c r="BT297" s="163">
        <v>0</v>
      </c>
      <c r="BU297" s="26">
        <v>0</v>
      </c>
      <c r="BV297" s="14">
        <v>0</v>
      </c>
      <c r="BW297" s="209"/>
      <c r="BX297" s="3"/>
      <c r="BY297" s="3"/>
      <c r="BZ297" s="40"/>
      <c r="CA297" s="209"/>
      <c r="CB297" s="3"/>
      <c r="CC297" s="3"/>
      <c r="CD297" s="3"/>
      <c r="CE297" s="209"/>
      <c r="CF297" s="3"/>
      <c r="CG297" s="3"/>
      <c r="CH297" s="40"/>
      <c r="CI297" s="209"/>
      <c r="CJ297" s="3"/>
      <c r="CK297" s="3"/>
      <c r="CL297" s="209"/>
      <c r="CM297" s="3"/>
      <c r="CN297" s="3"/>
      <c r="CO297" s="3"/>
      <c r="CP297" s="40"/>
      <c r="CQ297" s="209"/>
      <c r="CR297" s="40"/>
      <c r="CS297" s="3"/>
      <c r="CT297" s="3"/>
    </row>
    <row r="298" spans="1:98">
      <c r="A298" s="42" t="s">
        <v>322</v>
      </c>
      <c r="B298" s="173" t="s">
        <v>188</v>
      </c>
      <c r="C298" s="12"/>
      <c r="D298" s="14" t="s">
        <v>378</v>
      </c>
      <c r="E298" s="12"/>
      <c r="F298" s="12">
        <v>4</v>
      </c>
      <c r="G298" s="14">
        <v>0</v>
      </c>
      <c r="H298" s="163">
        <v>0</v>
      </c>
      <c r="I298" s="163">
        <v>1</v>
      </c>
      <c r="J298" s="12">
        <v>1</v>
      </c>
      <c r="K298" s="14">
        <v>0</v>
      </c>
      <c r="L298" s="26">
        <v>1945</v>
      </c>
      <c r="M298" s="14">
        <v>236</v>
      </c>
      <c r="N298" s="163">
        <v>676</v>
      </c>
      <c r="O298" s="14">
        <v>0</v>
      </c>
      <c r="P298" s="26">
        <v>0</v>
      </c>
      <c r="Q298" s="12">
        <v>1945</v>
      </c>
      <c r="R298" s="209">
        <v>1.6539115646258504</v>
      </c>
      <c r="S298" s="14">
        <v>1</v>
      </c>
      <c r="T298" s="163">
        <v>1</v>
      </c>
      <c r="U298" s="163">
        <v>0</v>
      </c>
      <c r="V298" s="26">
        <v>0</v>
      </c>
      <c r="W298" s="14">
        <v>1100</v>
      </c>
      <c r="X298" s="14">
        <v>0</v>
      </c>
      <c r="Y298" s="163">
        <v>1</v>
      </c>
      <c r="Z298" s="163">
        <v>0</v>
      </c>
      <c r="AA298" s="26">
        <v>0</v>
      </c>
      <c r="AB298" s="12">
        <v>100</v>
      </c>
      <c r="AC298" s="14">
        <v>1</v>
      </c>
      <c r="AD298" s="14">
        <v>1</v>
      </c>
      <c r="AE298" s="163">
        <v>1</v>
      </c>
      <c r="AF298" s="163">
        <v>0</v>
      </c>
      <c r="AG298" s="26">
        <v>0</v>
      </c>
      <c r="AH298" s="14">
        <v>1100</v>
      </c>
      <c r="AI298" s="14">
        <v>0</v>
      </c>
      <c r="AJ298" s="163">
        <v>0</v>
      </c>
      <c r="AK298" s="163">
        <v>0</v>
      </c>
      <c r="AL298" s="26">
        <v>0</v>
      </c>
      <c r="AM298" s="12">
        <v>0</v>
      </c>
      <c r="AN298" s="14">
        <v>0</v>
      </c>
      <c r="AO298" s="163">
        <v>0</v>
      </c>
      <c r="AP298" s="163">
        <v>0</v>
      </c>
      <c r="AQ298" s="163">
        <v>0</v>
      </c>
      <c r="AR298" s="163">
        <v>0</v>
      </c>
      <c r="AS298" s="14">
        <v>0</v>
      </c>
      <c r="AT298" s="163">
        <v>1</v>
      </c>
      <c r="AU298" s="163">
        <v>0</v>
      </c>
      <c r="AV298" s="163">
        <v>1</v>
      </c>
      <c r="AW298" s="26">
        <v>0</v>
      </c>
      <c r="AX298" s="14">
        <v>2</v>
      </c>
      <c r="AY298" s="14">
        <v>0</v>
      </c>
      <c r="AZ298" s="163">
        <v>0</v>
      </c>
      <c r="BA298" s="163">
        <v>0</v>
      </c>
      <c r="BB298" s="26">
        <v>1</v>
      </c>
      <c r="BC298" s="12">
        <v>1</v>
      </c>
      <c r="BD298" s="14">
        <v>0</v>
      </c>
      <c r="BE298" s="163">
        <v>0</v>
      </c>
      <c r="BF298" s="163">
        <v>0</v>
      </c>
      <c r="BG298" s="163">
        <v>0</v>
      </c>
      <c r="BH298" s="163">
        <v>0</v>
      </c>
      <c r="BI298" s="14">
        <v>1</v>
      </c>
      <c r="BJ298" s="163">
        <v>1</v>
      </c>
      <c r="BK298" s="26">
        <v>0</v>
      </c>
      <c r="BL298" s="14">
        <v>0</v>
      </c>
      <c r="BM298" s="163">
        <v>0</v>
      </c>
      <c r="BN298" s="26">
        <v>0</v>
      </c>
      <c r="BO298" s="14">
        <v>0</v>
      </c>
      <c r="BP298" s="12">
        <v>130</v>
      </c>
      <c r="BQ298" s="163">
        <v>2</v>
      </c>
      <c r="BR298" s="14">
        <v>0</v>
      </c>
      <c r="BS298" s="163">
        <v>0</v>
      </c>
      <c r="BT298" s="163">
        <v>0</v>
      </c>
      <c r="BU298" s="26">
        <v>0</v>
      </c>
      <c r="BV298" s="14">
        <v>0</v>
      </c>
      <c r="BW298" s="209"/>
      <c r="BX298" s="3"/>
      <c r="BY298" s="3"/>
      <c r="BZ298" s="40"/>
      <c r="CA298" s="209"/>
      <c r="CB298" s="3"/>
      <c r="CC298" s="3"/>
      <c r="CD298" s="3"/>
      <c r="CE298" s="209"/>
      <c r="CF298" s="3"/>
      <c r="CG298" s="3"/>
      <c r="CH298" s="40"/>
      <c r="CI298" s="209"/>
      <c r="CJ298" s="3"/>
      <c r="CK298" s="3"/>
      <c r="CL298" s="209"/>
      <c r="CM298" s="3"/>
      <c r="CN298" s="3"/>
      <c r="CO298" s="3"/>
      <c r="CP298" s="40"/>
      <c r="CQ298" s="209"/>
      <c r="CR298" s="40"/>
      <c r="CS298" s="3"/>
      <c r="CT298" s="3"/>
    </row>
    <row r="299" spans="1:98">
      <c r="A299" s="42" t="s">
        <v>322</v>
      </c>
      <c r="B299" s="173" t="s">
        <v>188</v>
      </c>
      <c r="C299" s="12"/>
      <c r="D299" s="14" t="s">
        <v>176</v>
      </c>
      <c r="E299" s="12" t="s">
        <v>0</v>
      </c>
      <c r="F299" s="12">
        <v>9</v>
      </c>
      <c r="G299" s="14">
        <v>1</v>
      </c>
      <c r="H299" s="163">
        <v>0</v>
      </c>
      <c r="I299" s="163">
        <v>1</v>
      </c>
      <c r="J299" s="12">
        <v>101</v>
      </c>
      <c r="K299" s="14">
        <v>252</v>
      </c>
      <c r="L299" s="26">
        <v>901</v>
      </c>
      <c r="M299" s="14">
        <v>510</v>
      </c>
      <c r="N299" s="163">
        <v>1465</v>
      </c>
      <c r="O299" s="14">
        <v>0</v>
      </c>
      <c r="P299" s="26">
        <v>0</v>
      </c>
      <c r="Q299" s="12">
        <v>2710</v>
      </c>
      <c r="R299" s="209">
        <v>1.2185251798561152</v>
      </c>
      <c r="S299" s="14">
        <v>1</v>
      </c>
      <c r="T299" s="163">
        <v>1</v>
      </c>
      <c r="U299" s="163">
        <v>0</v>
      </c>
      <c r="V299" s="26">
        <v>0</v>
      </c>
      <c r="W299" s="14">
        <v>1100</v>
      </c>
      <c r="X299" s="14">
        <v>1</v>
      </c>
      <c r="Y299" s="163">
        <v>1</v>
      </c>
      <c r="Z299" s="163">
        <v>0</v>
      </c>
      <c r="AA299" s="26">
        <v>0</v>
      </c>
      <c r="AB299" s="12">
        <v>1100</v>
      </c>
      <c r="AC299" s="14">
        <v>0</v>
      </c>
      <c r="AD299" s="14">
        <v>0</v>
      </c>
      <c r="AE299" s="163">
        <v>1</v>
      </c>
      <c r="AF299" s="163">
        <v>0</v>
      </c>
      <c r="AG299" s="26">
        <v>0</v>
      </c>
      <c r="AH299" s="14">
        <v>100</v>
      </c>
      <c r="AI299" s="14">
        <v>0</v>
      </c>
      <c r="AJ299" s="163">
        <v>0</v>
      </c>
      <c r="AK299" s="163">
        <v>0</v>
      </c>
      <c r="AL299" s="26">
        <v>0</v>
      </c>
      <c r="AM299" s="12">
        <v>0</v>
      </c>
      <c r="AN299" s="14">
        <v>0</v>
      </c>
      <c r="AO299" s="163">
        <v>0</v>
      </c>
      <c r="AP299" s="163">
        <v>0</v>
      </c>
      <c r="AQ299" s="163">
        <v>0</v>
      </c>
      <c r="AR299" s="163">
        <v>0</v>
      </c>
      <c r="AS299" s="14">
        <v>1</v>
      </c>
      <c r="AT299" s="163">
        <v>0</v>
      </c>
      <c r="AU299" s="163">
        <v>0</v>
      </c>
      <c r="AV299" s="163">
        <v>1</v>
      </c>
      <c r="AW299" s="26">
        <v>0</v>
      </c>
      <c r="AX299" s="14">
        <v>2</v>
      </c>
      <c r="AY299" s="14">
        <v>0</v>
      </c>
      <c r="AZ299" s="163">
        <v>0</v>
      </c>
      <c r="BA299" s="163">
        <v>0</v>
      </c>
      <c r="BB299" s="26">
        <v>0</v>
      </c>
      <c r="BC299" s="12">
        <v>0</v>
      </c>
      <c r="BD299" s="14">
        <v>0</v>
      </c>
      <c r="BE299" s="163">
        <v>0</v>
      </c>
      <c r="BF299" s="163">
        <v>0</v>
      </c>
      <c r="BG299" s="163">
        <v>0</v>
      </c>
      <c r="BH299" s="163">
        <v>0</v>
      </c>
      <c r="BI299" s="14">
        <v>1</v>
      </c>
      <c r="BJ299" s="163">
        <v>1</v>
      </c>
      <c r="BK299" s="26">
        <v>0</v>
      </c>
      <c r="BL299" s="14">
        <v>0</v>
      </c>
      <c r="BM299" s="163">
        <v>0</v>
      </c>
      <c r="BN299" s="26">
        <v>0</v>
      </c>
      <c r="BO299" s="14">
        <v>0</v>
      </c>
      <c r="BP299" s="12">
        <v>127</v>
      </c>
      <c r="BQ299" s="163">
        <v>1</v>
      </c>
      <c r="BR299" s="14">
        <v>0</v>
      </c>
      <c r="BS299" s="163">
        <v>0</v>
      </c>
      <c r="BT299" s="163">
        <v>0</v>
      </c>
      <c r="BU299" s="26">
        <v>0</v>
      </c>
      <c r="BV299" s="14">
        <v>0</v>
      </c>
      <c r="BW299" s="209"/>
      <c r="BX299" s="3"/>
      <c r="BY299" s="3"/>
      <c r="BZ299" s="40"/>
      <c r="CA299" s="209"/>
      <c r="CB299" s="3"/>
      <c r="CC299" s="3"/>
      <c r="CD299" s="3"/>
      <c r="CE299" s="209"/>
      <c r="CF299" s="3"/>
      <c r="CG299" s="3"/>
      <c r="CH299" s="40"/>
      <c r="CI299" s="209"/>
      <c r="CJ299" s="3"/>
      <c r="CK299" s="3"/>
      <c r="CL299" s="209"/>
      <c r="CM299" s="3"/>
      <c r="CN299" s="3"/>
      <c r="CO299" s="3"/>
      <c r="CP299" s="40"/>
      <c r="CQ299" s="209"/>
      <c r="CR299" s="40"/>
      <c r="CS299" s="3"/>
      <c r="CT299" s="3"/>
    </row>
    <row r="300" spans="1:98">
      <c r="A300" s="42" t="s">
        <v>322</v>
      </c>
      <c r="B300" s="173" t="s">
        <v>188</v>
      </c>
      <c r="C300" s="12"/>
      <c r="D300" s="14" t="s">
        <v>176</v>
      </c>
      <c r="E300" s="12" t="s">
        <v>1</v>
      </c>
      <c r="F300" s="12">
        <v>7</v>
      </c>
      <c r="G300" s="14">
        <v>1</v>
      </c>
      <c r="H300" s="163">
        <v>0</v>
      </c>
      <c r="I300" s="163">
        <v>1</v>
      </c>
      <c r="J300" s="12">
        <v>101</v>
      </c>
      <c r="K300" s="14">
        <v>250</v>
      </c>
      <c r="L300" s="26">
        <v>778</v>
      </c>
      <c r="M300" s="14">
        <v>248</v>
      </c>
      <c r="N300" s="163">
        <v>773</v>
      </c>
      <c r="O300" s="14">
        <v>0</v>
      </c>
      <c r="P300" s="26">
        <v>0</v>
      </c>
      <c r="Q300" s="12">
        <v>1984</v>
      </c>
      <c r="R300" s="209">
        <v>1.7480176211453744</v>
      </c>
      <c r="S300" s="14">
        <v>1</v>
      </c>
      <c r="T300" s="163">
        <v>1</v>
      </c>
      <c r="U300" s="163">
        <v>0</v>
      </c>
      <c r="V300" s="26">
        <v>0</v>
      </c>
      <c r="W300" s="14">
        <v>1100</v>
      </c>
      <c r="X300" s="14">
        <v>1</v>
      </c>
      <c r="Y300" s="163">
        <v>0</v>
      </c>
      <c r="Z300" s="163">
        <v>0</v>
      </c>
      <c r="AA300" s="26">
        <v>0</v>
      </c>
      <c r="AB300" s="12">
        <v>1000</v>
      </c>
      <c r="AC300" s="14">
        <v>0</v>
      </c>
      <c r="AD300" s="14">
        <v>0</v>
      </c>
      <c r="AE300" s="163">
        <v>1</v>
      </c>
      <c r="AF300" s="163">
        <v>1</v>
      </c>
      <c r="AG300" s="26">
        <v>0</v>
      </c>
      <c r="AH300" s="14">
        <v>110</v>
      </c>
      <c r="AI300" s="14">
        <v>0</v>
      </c>
      <c r="AJ300" s="163">
        <v>0</v>
      </c>
      <c r="AK300" s="163">
        <v>0</v>
      </c>
      <c r="AL300" s="26">
        <v>0</v>
      </c>
      <c r="AM300" s="12">
        <v>0</v>
      </c>
      <c r="AN300" s="14">
        <v>0</v>
      </c>
      <c r="AO300" s="163">
        <v>0</v>
      </c>
      <c r="AP300" s="163">
        <v>0</v>
      </c>
      <c r="AQ300" s="163">
        <v>0</v>
      </c>
      <c r="AR300" s="163">
        <v>0</v>
      </c>
      <c r="AS300" s="14">
        <v>1</v>
      </c>
      <c r="AT300" s="163">
        <v>0</v>
      </c>
      <c r="AU300" s="163">
        <v>0</v>
      </c>
      <c r="AV300" s="163">
        <v>0</v>
      </c>
      <c r="AW300" s="26">
        <v>0</v>
      </c>
      <c r="AX300" s="14">
        <v>1</v>
      </c>
      <c r="AY300" s="14">
        <v>0</v>
      </c>
      <c r="AZ300" s="163">
        <v>0</v>
      </c>
      <c r="BA300" s="163">
        <v>1</v>
      </c>
      <c r="BB300" s="26">
        <v>0</v>
      </c>
      <c r="BC300" s="12">
        <v>1</v>
      </c>
      <c r="BD300" s="14">
        <v>0</v>
      </c>
      <c r="BE300" s="163">
        <v>0</v>
      </c>
      <c r="BF300" s="163">
        <v>0</v>
      </c>
      <c r="BG300" s="163">
        <v>0</v>
      </c>
      <c r="BH300" s="163">
        <v>0</v>
      </c>
      <c r="BI300" s="14">
        <v>1</v>
      </c>
      <c r="BJ300" s="163">
        <v>1</v>
      </c>
      <c r="BK300" s="26">
        <v>0</v>
      </c>
      <c r="BL300" s="14">
        <v>0</v>
      </c>
      <c r="BM300" s="163">
        <v>0</v>
      </c>
      <c r="BN300" s="26">
        <v>0</v>
      </c>
      <c r="BO300" s="14">
        <v>0</v>
      </c>
      <c r="BP300" s="12">
        <v>127</v>
      </c>
      <c r="BQ300" s="163">
        <v>1</v>
      </c>
      <c r="BR300" s="14">
        <v>0</v>
      </c>
      <c r="BS300" s="163">
        <v>0</v>
      </c>
      <c r="BT300" s="163">
        <v>0</v>
      </c>
      <c r="BU300" s="26">
        <v>0</v>
      </c>
      <c r="BV300" s="14">
        <v>0</v>
      </c>
      <c r="BW300" s="209"/>
      <c r="BX300" s="3"/>
      <c r="BY300" s="3"/>
      <c r="BZ300" s="40"/>
      <c r="CA300" s="209"/>
      <c r="CB300" s="3"/>
      <c r="CC300" s="3"/>
      <c r="CD300" s="3"/>
      <c r="CE300" s="209"/>
      <c r="CF300" s="3"/>
      <c r="CG300" s="3"/>
      <c r="CH300" s="40"/>
      <c r="CI300" s="209"/>
      <c r="CJ300" s="3"/>
      <c r="CK300" s="3"/>
      <c r="CL300" s="209"/>
      <c r="CM300" s="3"/>
      <c r="CN300" s="3"/>
      <c r="CO300" s="3"/>
      <c r="CP300" s="40"/>
      <c r="CQ300" s="209"/>
      <c r="CR300" s="40"/>
      <c r="CS300" s="3"/>
      <c r="CT300" s="3"/>
    </row>
    <row r="301" spans="1:98">
      <c r="A301" s="42" t="s">
        <v>322</v>
      </c>
      <c r="B301" s="173" t="s">
        <v>188</v>
      </c>
      <c r="C301" s="12"/>
      <c r="D301" s="14" t="s">
        <v>177</v>
      </c>
      <c r="E301" s="12"/>
      <c r="F301" s="12">
        <v>12</v>
      </c>
      <c r="G301" s="14">
        <v>1</v>
      </c>
      <c r="H301" s="163">
        <v>0</v>
      </c>
      <c r="I301" s="163">
        <v>1</v>
      </c>
      <c r="J301" s="12">
        <v>101</v>
      </c>
      <c r="K301" s="14">
        <v>688</v>
      </c>
      <c r="L301" s="26">
        <v>2480</v>
      </c>
      <c r="M301" s="14">
        <v>212</v>
      </c>
      <c r="N301" s="163">
        <v>1264</v>
      </c>
      <c r="O301" s="14">
        <v>0</v>
      </c>
      <c r="P301" s="26">
        <v>0</v>
      </c>
      <c r="Q301" s="12">
        <v>4452</v>
      </c>
      <c r="R301" s="209">
        <v>2.0872011251758087</v>
      </c>
      <c r="S301" s="14">
        <v>1</v>
      </c>
      <c r="T301" s="163">
        <v>1</v>
      </c>
      <c r="U301" s="163">
        <v>0</v>
      </c>
      <c r="V301" s="26">
        <v>0</v>
      </c>
      <c r="W301" s="14">
        <v>1100</v>
      </c>
      <c r="X301" s="14">
        <v>1</v>
      </c>
      <c r="Y301" s="163">
        <v>1</v>
      </c>
      <c r="Z301" s="163">
        <v>0</v>
      </c>
      <c r="AA301" s="26">
        <v>0</v>
      </c>
      <c r="AB301" s="12">
        <v>1100</v>
      </c>
      <c r="AC301" s="14">
        <v>1</v>
      </c>
      <c r="AD301" s="14">
        <v>0</v>
      </c>
      <c r="AE301" s="163">
        <v>1</v>
      </c>
      <c r="AF301" s="163">
        <v>1</v>
      </c>
      <c r="AG301" s="26">
        <v>0</v>
      </c>
      <c r="AH301" s="14">
        <v>110</v>
      </c>
      <c r="AI301" s="14">
        <v>0</v>
      </c>
      <c r="AJ301" s="163">
        <v>0</v>
      </c>
      <c r="AK301" s="163">
        <v>0</v>
      </c>
      <c r="AL301" s="26">
        <v>0</v>
      </c>
      <c r="AM301" s="12">
        <v>0</v>
      </c>
      <c r="AN301" s="14">
        <v>0</v>
      </c>
      <c r="AO301" s="163">
        <v>0</v>
      </c>
      <c r="AP301" s="163">
        <v>0</v>
      </c>
      <c r="AQ301" s="163">
        <v>0</v>
      </c>
      <c r="AR301" s="163">
        <v>0</v>
      </c>
      <c r="AS301" s="14">
        <v>1</v>
      </c>
      <c r="AT301" s="163">
        <v>1</v>
      </c>
      <c r="AU301" s="163">
        <v>0</v>
      </c>
      <c r="AV301" s="163">
        <v>1</v>
      </c>
      <c r="AW301" s="26">
        <v>0</v>
      </c>
      <c r="AX301" s="14">
        <v>3</v>
      </c>
      <c r="AY301" s="14">
        <v>0</v>
      </c>
      <c r="AZ301" s="163">
        <v>0</v>
      </c>
      <c r="BA301" s="163">
        <v>1</v>
      </c>
      <c r="BB301" s="26">
        <v>1</v>
      </c>
      <c r="BC301" s="12">
        <v>2</v>
      </c>
      <c r="BD301" s="14">
        <v>0</v>
      </c>
      <c r="BE301" s="163">
        <v>0</v>
      </c>
      <c r="BF301" s="163">
        <v>0</v>
      </c>
      <c r="BG301" s="163">
        <v>0</v>
      </c>
      <c r="BH301" s="163">
        <v>0</v>
      </c>
      <c r="BI301" s="14">
        <v>1</v>
      </c>
      <c r="BJ301" s="163">
        <v>1</v>
      </c>
      <c r="BK301" s="26">
        <v>0</v>
      </c>
      <c r="BL301" s="14">
        <v>0</v>
      </c>
      <c r="BM301" s="163">
        <v>0</v>
      </c>
      <c r="BN301" s="26">
        <v>0</v>
      </c>
      <c r="BO301" s="14">
        <v>0</v>
      </c>
      <c r="BP301" s="12">
        <v>150</v>
      </c>
      <c r="BQ301" s="163">
        <v>1</v>
      </c>
      <c r="BR301" s="14">
        <v>0</v>
      </c>
      <c r="BS301" s="163">
        <v>0</v>
      </c>
      <c r="BT301" s="163">
        <v>0</v>
      </c>
      <c r="BU301" s="26">
        <v>0</v>
      </c>
      <c r="BV301" s="14">
        <v>0</v>
      </c>
      <c r="BW301" s="209"/>
      <c r="BX301" s="3"/>
      <c r="BY301" s="3"/>
      <c r="BZ301" s="40"/>
      <c r="CA301" s="209"/>
      <c r="CB301" s="3"/>
      <c r="CC301" s="3"/>
      <c r="CD301" s="3"/>
      <c r="CE301" s="209"/>
      <c r="CF301" s="3"/>
      <c r="CG301" s="3"/>
      <c r="CH301" s="40"/>
      <c r="CI301" s="209"/>
      <c r="CJ301" s="3"/>
      <c r="CK301" s="3"/>
      <c r="CL301" s="209"/>
      <c r="CM301" s="3"/>
      <c r="CN301" s="3"/>
      <c r="CO301" s="3"/>
      <c r="CP301" s="40"/>
      <c r="CQ301" s="209"/>
      <c r="CR301" s="40"/>
      <c r="CS301" s="3"/>
      <c r="CT301" s="3"/>
    </row>
    <row r="302" spans="1:98">
      <c r="A302" s="42" t="s">
        <v>322</v>
      </c>
      <c r="B302" s="173" t="s">
        <v>188</v>
      </c>
      <c r="C302" s="12"/>
      <c r="D302" s="14" t="s">
        <v>405</v>
      </c>
      <c r="E302" s="12"/>
      <c r="F302" s="12">
        <v>1</v>
      </c>
      <c r="G302" s="14">
        <v>0</v>
      </c>
      <c r="H302" s="163">
        <v>0</v>
      </c>
      <c r="I302" s="163">
        <v>1</v>
      </c>
      <c r="J302" s="12">
        <v>1</v>
      </c>
      <c r="K302" s="14">
        <v>506</v>
      </c>
      <c r="L302" s="26">
        <v>2442</v>
      </c>
      <c r="M302" s="14">
        <v>152</v>
      </c>
      <c r="N302" s="163">
        <v>503</v>
      </c>
      <c r="O302" s="14">
        <v>0</v>
      </c>
      <c r="P302" s="26">
        <v>0</v>
      </c>
      <c r="Q302" s="12">
        <v>3833</v>
      </c>
      <c r="R302" s="209">
        <v>1.5871635610766046</v>
      </c>
      <c r="S302" s="14">
        <v>1</v>
      </c>
      <c r="T302" s="163">
        <v>1</v>
      </c>
      <c r="U302" s="163">
        <v>0</v>
      </c>
      <c r="V302" s="26">
        <v>0</v>
      </c>
      <c r="W302" s="14">
        <v>1100</v>
      </c>
      <c r="X302" s="14">
        <v>1</v>
      </c>
      <c r="Y302" s="163">
        <v>1</v>
      </c>
      <c r="Z302" s="163">
        <v>0</v>
      </c>
      <c r="AA302" s="26">
        <v>0</v>
      </c>
      <c r="AB302" s="12">
        <v>1100</v>
      </c>
      <c r="AC302" s="14">
        <v>1</v>
      </c>
      <c r="AD302" s="14">
        <v>0</v>
      </c>
      <c r="AE302" s="163">
        <v>0</v>
      </c>
      <c r="AF302" s="163">
        <v>1</v>
      </c>
      <c r="AG302" s="26">
        <v>0</v>
      </c>
      <c r="AH302" s="14">
        <v>10</v>
      </c>
      <c r="AI302" s="14">
        <v>0</v>
      </c>
      <c r="AJ302" s="163">
        <v>0</v>
      </c>
      <c r="AK302" s="163">
        <v>0</v>
      </c>
      <c r="AL302" s="26">
        <v>0</v>
      </c>
      <c r="AM302" s="12">
        <v>0</v>
      </c>
      <c r="AN302" s="14">
        <v>0</v>
      </c>
      <c r="AO302" s="163">
        <v>0</v>
      </c>
      <c r="AP302" s="163">
        <v>0</v>
      </c>
      <c r="AQ302" s="163">
        <v>0</v>
      </c>
      <c r="AR302" s="163">
        <v>0</v>
      </c>
      <c r="AS302" s="14">
        <v>1</v>
      </c>
      <c r="AT302" s="163">
        <v>0</v>
      </c>
      <c r="AU302" s="163">
        <v>0</v>
      </c>
      <c r="AV302" s="163">
        <v>1</v>
      </c>
      <c r="AW302" s="26">
        <v>0</v>
      </c>
      <c r="AX302" s="14">
        <v>2</v>
      </c>
      <c r="AY302" s="14">
        <v>0</v>
      </c>
      <c r="AZ302" s="163">
        <v>0</v>
      </c>
      <c r="BA302" s="163">
        <v>0</v>
      </c>
      <c r="BB302" s="26">
        <v>1</v>
      </c>
      <c r="BC302" s="12">
        <v>1</v>
      </c>
      <c r="BD302" s="14">
        <v>0</v>
      </c>
      <c r="BE302" s="163">
        <v>0</v>
      </c>
      <c r="BF302" s="163">
        <v>0</v>
      </c>
      <c r="BG302" s="163">
        <v>0</v>
      </c>
      <c r="BH302" s="163">
        <v>0</v>
      </c>
      <c r="BI302" s="14">
        <v>1</v>
      </c>
      <c r="BJ302" s="163">
        <v>1</v>
      </c>
      <c r="BK302" s="26">
        <v>0</v>
      </c>
      <c r="BL302" s="14">
        <v>0</v>
      </c>
      <c r="BM302" s="163">
        <v>0</v>
      </c>
      <c r="BN302" s="26">
        <v>0</v>
      </c>
      <c r="BO302" s="14">
        <v>0</v>
      </c>
      <c r="BP302" s="12">
        <v>131</v>
      </c>
      <c r="BQ302" s="163">
        <v>1</v>
      </c>
      <c r="BR302" s="14">
        <v>0</v>
      </c>
      <c r="BS302" s="163">
        <v>0</v>
      </c>
      <c r="BT302" s="163">
        <v>0</v>
      </c>
      <c r="BU302" s="26">
        <v>0</v>
      </c>
      <c r="BV302" s="14">
        <v>0</v>
      </c>
      <c r="BW302" s="209"/>
      <c r="BX302" s="3"/>
      <c r="BY302" s="3"/>
      <c r="BZ302" s="40"/>
      <c r="CA302" s="209"/>
      <c r="CB302" s="3"/>
      <c r="CC302" s="3"/>
      <c r="CD302" s="3"/>
      <c r="CE302" s="209"/>
      <c r="CF302" s="3"/>
      <c r="CG302" s="3"/>
      <c r="CH302" s="40"/>
      <c r="CI302" s="209"/>
      <c r="CJ302" s="3"/>
      <c r="CK302" s="3"/>
      <c r="CL302" s="209"/>
      <c r="CM302" s="3"/>
      <c r="CN302" s="3"/>
      <c r="CO302" s="3"/>
      <c r="CP302" s="40"/>
      <c r="CQ302" s="209"/>
      <c r="CR302" s="40"/>
      <c r="CS302" s="3"/>
      <c r="CT302" s="3"/>
    </row>
    <row r="303" spans="1:98">
      <c r="A303" s="42" t="s">
        <v>322</v>
      </c>
      <c r="B303" s="173" t="s">
        <v>188</v>
      </c>
      <c r="C303" s="12"/>
      <c r="D303" s="14" t="s">
        <v>178</v>
      </c>
      <c r="E303" s="12"/>
      <c r="F303" s="12">
        <v>15</v>
      </c>
      <c r="G303" s="14">
        <v>0</v>
      </c>
      <c r="H303" s="163">
        <v>1</v>
      </c>
      <c r="I303" s="163">
        <v>1</v>
      </c>
      <c r="J303" s="12">
        <v>11</v>
      </c>
      <c r="K303" s="14">
        <v>371</v>
      </c>
      <c r="L303" s="26">
        <v>1797</v>
      </c>
      <c r="M303" s="14">
        <v>152</v>
      </c>
      <c r="N303" s="163">
        <v>1485</v>
      </c>
      <c r="O303" s="14">
        <v>0</v>
      </c>
      <c r="P303" s="26">
        <v>0</v>
      </c>
      <c r="Q303" s="12">
        <v>3057</v>
      </c>
      <c r="R303" s="209">
        <v>1.2356507679870654</v>
      </c>
      <c r="S303" s="14">
        <v>1</v>
      </c>
      <c r="T303" s="163">
        <v>1</v>
      </c>
      <c r="U303" s="163">
        <v>0</v>
      </c>
      <c r="V303" s="26">
        <v>0</v>
      </c>
      <c r="W303" s="14">
        <v>1100</v>
      </c>
      <c r="X303" s="14">
        <v>0</v>
      </c>
      <c r="Y303" s="163">
        <v>1</v>
      </c>
      <c r="Z303" s="163">
        <v>0</v>
      </c>
      <c r="AA303" s="26">
        <v>0</v>
      </c>
      <c r="AB303" s="12">
        <v>100</v>
      </c>
      <c r="AC303" s="14">
        <v>1</v>
      </c>
      <c r="AD303" s="14">
        <v>0</v>
      </c>
      <c r="AE303" s="163">
        <v>1</v>
      </c>
      <c r="AF303" s="163">
        <v>1</v>
      </c>
      <c r="AG303" s="26">
        <v>0</v>
      </c>
      <c r="AH303" s="14">
        <v>110</v>
      </c>
      <c r="AI303" s="14">
        <v>0</v>
      </c>
      <c r="AJ303" s="163">
        <v>0</v>
      </c>
      <c r="AK303" s="163">
        <v>0</v>
      </c>
      <c r="AL303" s="26">
        <v>0</v>
      </c>
      <c r="AM303" s="12">
        <v>0</v>
      </c>
      <c r="AN303" s="14">
        <v>0</v>
      </c>
      <c r="AO303" s="163">
        <v>0</v>
      </c>
      <c r="AP303" s="163">
        <v>0</v>
      </c>
      <c r="AQ303" s="163">
        <v>0</v>
      </c>
      <c r="AR303" s="163">
        <v>0</v>
      </c>
      <c r="AS303" s="14">
        <v>1</v>
      </c>
      <c r="AT303" s="163">
        <v>1</v>
      </c>
      <c r="AU303" s="163">
        <v>0</v>
      </c>
      <c r="AV303" s="163">
        <v>1</v>
      </c>
      <c r="AW303" s="26">
        <v>0</v>
      </c>
      <c r="AX303" s="14">
        <v>3</v>
      </c>
      <c r="AY303" s="14">
        <v>0</v>
      </c>
      <c r="AZ303" s="163">
        <v>0</v>
      </c>
      <c r="BA303" s="163">
        <v>0</v>
      </c>
      <c r="BB303" s="26">
        <v>1</v>
      </c>
      <c r="BC303" s="12">
        <v>1</v>
      </c>
      <c r="BD303" s="14">
        <v>0</v>
      </c>
      <c r="BE303" s="163">
        <v>0</v>
      </c>
      <c r="BF303" s="163">
        <v>0</v>
      </c>
      <c r="BG303" s="163">
        <v>0</v>
      </c>
      <c r="BH303" s="163">
        <v>0</v>
      </c>
      <c r="BI303" s="14">
        <v>1</v>
      </c>
      <c r="BJ303" s="163">
        <v>1</v>
      </c>
      <c r="BK303" s="26">
        <v>0</v>
      </c>
      <c r="BL303" s="14">
        <v>0</v>
      </c>
      <c r="BM303" s="163">
        <v>0</v>
      </c>
      <c r="BN303" s="26">
        <v>0</v>
      </c>
      <c r="BO303" s="14">
        <v>0</v>
      </c>
      <c r="BP303" s="12">
        <v>127</v>
      </c>
      <c r="BQ303" s="163">
        <v>1</v>
      </c>
      <c r="BR303" s="14">
        <v>0</v>
      </c>
      <c r="BS303" s="163">
        <v>0</v>
      </c>
      <c r="BT303" s="163">
        <v>0</v>
      </c>
      <c r="BU303" s="26">
        <v>0</v>
      </c>
      <c r="BV303" s="14">
        <v>0</v>
      </c>
      <c r="BW303" s="209"/>
      <c r="BX303" s="3"/>
      <c r="BY303" s="3"/>
      <c r="BZ303" s="40"/>
      <c r="CA303" s="209"/>
      <c r="CB303" s="3"/>
      <c r="CC303" s="3"/>
      <c r="CD303" s="3"/>
      <c r="CE303" s="209"/>
      <c r="CF303" s="3"/>
      <c r="CG303" s="3"/>
      <c r="CH303" s="40"/>
      <c r="CI303" s="209"/>
      <c r="CJ303" s="3"/>
      <c r="CK303" s="3"/>
      <c r="CL303" s="209"/>
      <c r="CM303" s="3"/>
      <c r="CN303" s="3"/>
      <c r="CO303" s="3"/>
      <c r="CP303" s="40"/>
      <c r="CQ303" s="209"/>
      <c r="CR303" s="40"/>
      <c r="CS303" s="3"/>
      <c r="CT303" s="3"/>
    </row>
    <row r="304" spans="1:98">
      <c r="A304" s="42" t="s">
        <v>322</v>
      </c>
      <c r="B304" s="173" t="s">
        <v>188</v>
      </c>
      <c r="C304" s="12"/>
      <c r="D304" s="14" t="s">
        <v>168</v>
      </c>
      <c r="E304" s="12"/>
      <c r="F304" s="12">
        <v>6</v>
      </c>
      <c r="G304" s="14">
        <v>0</v>
      </c>
      <c r="H304" s="163">
        <v>0</v>
      </c>
      <c r="I304" s="163">
        <v>1</v>
      </c>
      <c r="J304" s="12">
        <v>1</v>
      </c>
      <c r="K304" s="14">
        <v>466</v>
      </c>
      <c r="L304" s="26">
        <v>1422</v>
      </c>
      <c r="M304" s="14">
        <v>466</v>
      </c>
      <c r="N304" s="163">
        <v>693</v>
      </c>
      <c r="O304" s="14">
        <v>0</v>
      </c>
      <c r="P304" s="26">
        <v>0</v>
      </c>
      <c r="Q304" s="12">
        <v>2615</v>
      </c>
      <c r="R304" s="209">
        <v>3.4407894736842106</v>
      </c>
      <c r="S304" s="14">
        <v>1</v>
      </c>
      <c r="T304" s="163">
        <v>1</v>
      </c>
      <c r="U304" s="163">
        <v>0</v>
      </c>
      <c r="V304" s="26">
        <v>0</v>
      </c>
      <c r="W304" s="14">
        <v>1100</v>
      </c>
      <c r="X304" s="14">
        <v>1</v>
      </c>
      <c r="Y304" s="163">
        <v>1</v>
      </c>
      <c r="Z304" s="163">
        <v>0</v>
      </c>
      <c r="AA304" s="26">
        <v>0</v>
      </c>
      <c r="AB304" s="12">
        <v>1100</v>
      </c>
      <c r="AC304" s="14">
        <v>1</v>
      </c>
      <c r="AD304" s="14">
        <v>0</v>
      </c>
      <c r="AE304" s="163">
        <v>1</v>
      </c>
      <c r="AF304" s="163">
        <v>1</v>
      </c>
      <c r="AG304" s="26">
        <v>0</v>
      </c>
      <c r="AH304" s="14">
        <v>110</v>
      </c>
      <c r="AI304" s="14">
        <v>0</v>
      </c>
      <c r="AJ304" s="163">
        <v>0</v>
      </c>
      <c r="AK304" s="163">
        <v>0</v>
      </c>
      <c r="AL304" s="26">
        <v>0</v>
      </c>
      <c r="AM304" s="12">
        <v>0</v>
      </c>
      <c r="AN304" s="14">
        <v>0</v>
      </c>
      <c r="AO304" s="163">
        <v>0</v>
      </c>
      <c r="AP304" s="163">
        <v>0</v>
      </c>
      <c r="AQ304" s="163">
        <v>0</v>
      </c>
      <c r="AR304" s="163">
        <v>0</v>
      </c>
      <c r="AS304" s="14">
        <v>0</v>
      </c>
      <c r="AT304" s="163">
        <v>0</v>
      </c>
      <c r="AU304" s="163">
        <v>1</v>
      </c>
      <c r="AV304" s="163">
        <v>0</v>
      </c>
      <c r="AW304" s="26">
        <v>0</v>
      </c>
      <c r="AX304" s="14">
        <v>1</v>
      </c>
      <c r="AY304" s="14">
        <v>0</v>
      </c>
      <c r="AZ304" s="163">
        <v>0</v>
      </c>
      <c r="BA304" s="163">
        <v>0</v>
      </c>
      <c r="BB304" s="26">
        <v>0</v>
      </c>
      <c r="BC304" s="12">
        <v>0</v>
      </c>
      <c r="BD304" s="14">
        <v>0</v>
      </c>
      <c r="BE304" s="163">
        <v>0</v>
      </c>
      <c r="BF304" s="163">
        <v>0</v>
      </c>
      <c r="BG304" s="163">
        <v>0</v>
      </c>
      <c r="BH304" s="163">
        <v>0</v>
      </c>
      <c r="BI304" s="14">
        <v>1</v>
      </c>
      <c r="BJ304" s="163">
        <v>1</v>
      </c>
      <c r="BK304" s="26">
        <v>0</v>
      </c>
      <c r="BL304" s="14">
        <v>0</v>
      </c>
      <c r="BM304" s="163">
        <v>0</v>
      </c>
      <c r="BN304" s="26">
        <v>0</v>
      </c>
      <c r="BO304" s="14">
        <v>0</v>
      </c>
      <c r="BP304" s="12">
        <v>125</v>
      </c>
      <c r="BQ304" s="163">
        <v>2</v>
      </c>
      <c r="BR304" s="14">
        <v>0</v>
      </c>
      <c r="BS304" s="163">
        <v>0</v>
      </c>
      <c r="BT304" s="163">
        <v>0</v>
      </c>
      <c r="BU304" s="26">
        <v>0</v>
      </c>
      <c r="BV304" s="14">
        <v>0</v>
      </c>
      <c r="BW304" s="209"/>
      <c r="BX304" s="3"/>
      <c r="BY304" s="3"/>
      <c r="BZ304" s="40"/>
      <c r="CA304" s="209"/>
      <c r="CB304" s="3"/>
      <c r="CC304" s="3"/>
      <c r="CD304" s="3"/>
      <c r="CE304" s="209"/>
      <c r="CF304" s="3"/>
      <c r="CG304" s="3"/>
      <c r="CH304" s="40"/>
      <c r="CI304" s="209"/>
      <c r="CJ304" s="3"/>
      <c r="CK304" s="3"/>
      <c r="CL304" s="209"/>
      <c r="CM304" s="3"/>
      <c r="CN304" s="3"/>
      <c r="CO304" s="3"/>
      <c r="CP304" s="40"/>
      <c r="CQ304" s="209"/>
      <c r="CR304" s="40"/>
      <c r="CS304" s="3"/>
      <c r="CT304" s="3"/>
    </row>
    <row r="305" spans="1:98">
      <c r="A305" s="42" t="s">
        <v>322</v>
      </c>
      <c r="B305" s="173" t="s">
        <v>188</v>
      </c>
      <c r="C305" s="12"/>
      <c r="D305" s="14" t="s">
        <v>412</v>
      </c>
      <c r="E305" s="12"/>
      <c r="F305" s="12">
        <v>6</v>
      </c>
      <c r="G305" s="14">
        <v>1</v>
      </c>
      <c r="H305" s="163">
        <v>0</v>
      </c>
      <c r="I305" s="163">
        <v>1</v>
      </c>
      <c r="J305" s="12">
        <v>101</v>
      </c>
      <c r="K305" s="14">
        <v>286</v>
      </c>
      <c r="L305" s="26">
        <v>1354</v>
      </c>
      <c r="M305" s="14">
        <v>327</v>
      </c>
      <c r="N305" s="163">
        <v>607</v>
      </c>
      <c r="O305" s="14">
        <v>0</v>
      </c>
      <c r="P305" s="26">
        <v>0</v>
      </c>
      <c r="Q305" s="12">
        <v>1489</v>
      </c>
      <c r="R305" s="209">
        <v>1.4771825396825398</v>
      </c>
      <c r="S305" s="14">
        <v>1</v>
      </c>
      <c r="T305" s="163">
        <v>1</v>
      </c>
      <c r="U305" s="163">
        <v>0</v>
      </c>
      <c r="V305" s="26">
        <v>0</v>
      </c>
      <c r="W305" s="14">
        <v>1100</v>
      </c>
      <c r="X305" s="14">
        <v>0</v>
      </c>
      <c r="Y305" s="163">
        <v>1</v>
      </c>
      <c r="Z305" s="163">
        <v>0</v>
      </c>
      <c r="AA305" s="26">
        <v>0</v>
      </c>
      <c r="AB305" s="12">
        <v>100</v>
      </c>
      <c r="AC305" s="14">
        <v>0</v>
      </c>
      <c r="AD305" s="14">
        <v>0</v>
      </c>
      <c r="AE305" s="163">
        <v>1</v>
      </c>
      <c r="AF305" s="163">
        <v>1</v>
      </c>
      <c r="AG305" s="26">
        <v>0</v>
      </c>
      <c r="AH305" s="14">
        <v>110</v>
      </c>
      <c r="AI305" s="14">
        <v>0</v>
      </c>
      <c r="AJ305" s="163">
        <v>0</v>
      </c>
      <c r="AK305" s="163">
        <v>0</v>
      </c>
      <c r="AL305" s="26">
        <v>0</v>
      </c>
      <c r="AM305" s="12">
        <v>0</v>
      </c>
      <c r="AN305" s="14">
        <v>0</v>
      </c>
      <c r="AO305" s="163">
        <v>0</v>
      </c>
      <c r="AP305" s="163">
        <v>0</v>
      </c>
      <c r="AQ305" s="163">
        <v>0</v>
      </c>
      <c r="AR305" s="163">
        <v>0</v>
      </c>
      <c r="AS305" s="14">
        <v>0</v>
      </c>
      <c r="AT305" s="163">
        <v>0</v>
      </c>
      <c r="AU305" s="163">
        <v>1</v>
      </c>
      <c r="AV305" s="163">
        <v>1</v>
      </c>
      <c r="AW305" s="26">
        <v>0</v>
      </c>
      <c r="AX305" s="14">
        <v>2</v>
      </c>
      <c r="AY305" s="14">
        <v>0</v>
      </c>
      <c r="AZ305" s="163">
        <v>0</v>
      </c>
      <c r="BA305" s="163">
        <v>0</v>
      </c>
      <c r="BB305" s="26">
        <v>1</v>
      </c>
      <c r="BC305" s="12">
        <v>1</v>
      </c>
      <c r="BD305" s="14">
        <v>0</v>
      </c>
      <c r="BE305" s="163">
        <v>0</v>
      </c>
      <c r="BF305" s="163">
        <v>0</v>
      </c>
      <c r="BG305" s="163">
        <v>0</v>
      </c>
      <c r="BH305" s="163">
        <v>0</v>
      </c>
      <c r="BI305" s="14">
        <v>1</v>
      </c>
      <c r="BJ305" s="163">
        <v>1</v>
      </c>
      <c r="BK305" s="26">
        <v>0</v>
      </c>
      <c r="BL305" s="14">
        <v>0</v>
      </c>
      <c r="BM305" s="163">
        <v>0</v>
      </c>
      <c r="BN305" s="26">
        <v>0</v>
      </c>
      <c r="BO305" s="14">
        <v>0</v>
      </c>
      <c r="BP305" s="12">
        <v>113</v>
      </c>
      <c r="BQ305" s="163">
        <v>2</v>
      </c>
      <c r="BR305" s="14">
        <v>0</v>
      </c>
      <c r="BS305" s="163">
        <v>0</v>
      </c>
      <c r="BT305" s="163">
        <v>0</v>
      </c>
      <c r="BU305" s="26">
        <v>0</v>
      </c>
      <c r="BV305" s="14">
        <v>0</v>
      </c>
      <c r="BW305" s="209"/>
      <c r="BX305" s="3"/>
      <c r="BY305" s="3"/>
      <c r="BZ305" s="40"/>
      <c r="CA305" s="209"/>
      <c r="CB305" s="3"/>
      <c r="CC305" s="3"/>
      <c r="CD305" s="3"/>
      <c r="CE305" s="209"/>
      <c r="CF305" s="3"/>
      <c r="CG305" s="3"/>
      <c r="CH305" s="40"/>
      <c r="CI305" s="209"/>
      <c r="CJ305" s="3"/>
      <c r="CK305" s="3"/>
      <c r="CL305" s="209"/>
      <c r="CM305" s="3"/>
      <c r="CN305" s="3"/>
      <c r="CO305" s="3"/>
      <c r="CP305" s="40"/>
      <c r="CQ305" s="209"/>
      <c r="CR305" s="40"/>
      <c r="CS305" s="3"/>
      <c r="CT305" s="3"/>
    </row>
    <row r="306" spans="1:98">
      <c r="A306" s="42" t="s">
        <v>322</v>
      </c>
      <c r="B306" s="173" t="s">
        <v>188</v>
      </c>
      <c r="C306" s="12"/>
      <c r="D306" s="14" t="s">
        <v>174</v>
      </c>
      <c r="E306" s="12"/>
      <c r="F306" s="12">
        <v>4</v>
      </c>
      <c r="G306" s="14">
        <v>1</v>
      </c>
      <c r="H306" s="163">
        <v>0</v>
      </c>
      <c r="I306" s="163">
        <v>1</v>
      </c>
      <c r="J306" s="12">
        <v>101</v>
      </c>
      <c r="K306" s="14">
        <v>1633</v>
      </c>
      <c r="L306" s="26">
        <v>2500</v>
      </c>
      <c r="M306" s="14">
        <v>533</v>
      </c>
      <c r="N306" s="163">
        <v>698</v>
      </c>
      <c r="O306" s="14">
        <v>0</v>
      </c>
      <c r="P306" s="26">
        <v>0</v>
      </c>
      <c r="Q306" s="12">
        <v>2847</v>
      </c>
      <c r="R306" s="209">
        <v>2.2523734177215191</v>
      </c>
      <c r="S306" s="14">
        <v>1</v>
      </c>
      <c r="T306" s="163">
        <v>1</v>
      </c>
      <c r="U306" s="163">
        <v>0</v>
      </c>
      <c r="V306" s="26">
        <v>0</v>
      </c>
      <c r="W306" s="14">
        <v>1100</v>
      </c>
      <c r="X306" s="14">
        <v>0</v>
      </c>
      <c r="Y306" s="163">
        <v>1</v>
      </c>
      <c r="Z306" s="163">
        <v>0</v>
      </c>
      <c r="AA306" s="26">
        <v>0</v>
      </c>
      <c r="AB306" s="12">
        <v>100</v>
      </c>
      <c r="AC306" s="14">
        <v>1</v>
      </c>
      <c r="AD306" s="14">
        <v>0</v>
      </c>
      <c r="AE306" s="163">
        <v>1</v>
      </c>
      <c r="AF306" s="163">
        <v>0</v>
      </c>
      <c r="AG306" s="26">
        <v>0</v>
      </c>
      <c r="AH306" s="14">
        <v>100</v>
      </c>
      <c r="AI306" s="14">
        <v>0</v>
      </c>
      <c r="AJ306" s="163">
        <v>0</v>
      </c>
      <c r="AK306" s="163">
        <v>0</v>
      </c>
      <c r="AL306" s="26">
        <v>0</v>
      </c>
      <c r="AM306" s="12">
        <v>0</v>
      </c>
      <c r="AN306" s="14">
        <v>0</v>
      </c>
      <c r="AO306" s="163">
        <v>0</v>
      </c>
      <c r="AP306" s="163">
        <v>0</v>
      </c>
      <c r="AQ306" s="163">
        <v>0</v>
      </c>
      <c r="AR306" s="163">
        <v>0</v>
      </c>
      <c r="AS306" s="14">
        <v>1</v>
      </c>
      <c r="AT306" s="163">
        <v>1</v>
      </c>
      <c r="AU306" s="163">
        <v>0</v>
      </c>
      <c r="AV306" s="163">
        <v>0</v>
      </c>
      <c r="AW306" s="26">
        <v>0</v>
      </c>
      <c r="AX306" s="14">
        <v>2</v>
      </c>
      <c r="AY306" s="14">
        <v>0</v>
      </c>
      <c r="AZ306" s="163">
        <v>0</v>
      </c>
      <c r="BA306" s="163">
        <v>0</v>
      </c>
      <c r="BB306" s="26">
        <v>0</v>
      </c>
      <c r="BC306" s="12">
        <v>0</v>
      </c>
      <c r="BD306" s="14">
        <v>0</v>
      </c>
      <c r="BE306" s="163">
        <v>0</v>
      </c>
      <c r="BF306" s="163">
        <v>0</v>
      </c>
      <c r="BG306" s="163">
        <v>0</v>
      </c>
      <c r="BH306" s="163">
        <v>0</v>
      </c>
      <c r="BI306" s="14">
        <v>1</v>
      </c>
      <c r="BJ306" s="163">
        <v>1</v>
      </c>
      <c r="BK306" s="26">
        <v>0</v>
      </c>
      <c r="BL306" s="14">
        <v>0</v>
      </c>
      <c r="BM306" s="163">
        <v>0</v>
      </c>
      <c r="BN306" s="26">
        <v>0</v>
      </c>
      <c r="BO306" s="14">
        <v>0</v>
      </c>
      <c r="BP306" s="12">
        <v>137</v>
      </c>
      <c r="BQ306" s="163">
        <v>2</v>
      </c>
      <c r="BR306" s="14">
        <v>0</v>
      </c>
      <c r="BS306" s="163">
        <v>0</v>
      </c>
      <c r="BT306" s="163">
        <v>0</v>
      </c>
      <c r="BU306" s="26">
        <v>0</v>
      </c>
      <c r="BV306" s="14">
        <v>0</v>
      </c>
      <c r="BW306" s="209"/>
      <c r="BX306" s="3"/>
      <c r="BY306" s="3"/>
      <c r="BZ306" s="40"/>
      <c r="CA306" s="209"/>
      <c r="CB306" s="3"/>
      <c r="CC306" s="3"/>
      <c r="CD306" s="3"/>
      <c r="CE306" s="209"/>
      <c r="CF306" s="3"/>
      <c r="CG306" s="3"/>
      <c r="CH306" s="40"/>
      <c r="CI306" s="209"/>
      <c r="CJ306" s="3"/>
      <c r="CK306" s="3"/>
      <c r="CL306" s="209"/>
      <c r="CM306" s="3"/>
      <c r="CN306" s="3"/>
      <c r="CO306" s="3"/>
      <c r="CP306" s="40"/>
      <c r="CQ306" s="209"/>
      <c r="CR306" s="40"/>
      <c r="CS306" s="3"/>
      <c r="CT306" s="3"/>
    </row>
    <row r="307" spans="1:98">
      <c r="A307" s="42" t="s">
        <v>322</v>
      </c>
      <c r="B307" s="173" t="s">
        <v>188</v>
      </c>
      <c r="C307" s="12"/>
      <c r="D307" s="14" t="s">
        <v>206</v>
      </c>
      <c r="E307" s="12"/>
      <c r="F307" s="12">
        <v>19</v>
      </c>
      <c r="G307" s="14">
        <v>1</v>
      </c>
      <c r="H307" s="163">
        <v>1</v>
      </c>
      <c r="I307" s="163">
        <v>1</v>
      </c>
      <c r="J307" s="12">
        <v>111</v>
      </c>
      <c r="K307" s="14">
        <v>221</v>
      </c>
      <c r="L307" s="26">
        <v>1957</v>
      </c>
      <c r="M307" s="14">
        <v>448</v>
      </c>
      <c r="N307" s="163">
        <v>1205</v>
      </c>
      <c r="O307" s="14">
        <v>0</v>
      </c>
      <c r="P307" s="26">
        <v>0</v>
      </c>
      <c r="Q307" s="12">
        <v>2965</v>
      </c>
      <c r="R307" s="209">
        <v>1.1231060606060606</v>
      </c>
      <c r="S307" s="14">
        <v>1</v>
      </c>
      <c r="T307" s="163">
        <v>1</v>
      </c>
      <c r="U307" s="163">
        <v>0</v>
      </c>
      <c r="V307" s="26">
        <v>0</v>
      </c>
      <c r="W307" s="14">
        <v>1100</v>
      </c>
      <c r="X307" s="14">
        <v>0</v>
      </c>
      <c r="Y307" s="163">
        <v>1</v>
      </c>
      <c r="Z307" s="163">
        <v>0</v>
      </c>
      <c r="AA307" s="26">
        <v>0</v>
      </c>
      <c r="AB307" s="12">
        <v>100</v>
      </c>
      <c r="AC307" s="14">
        <v>1</v>
      </c>
      <c r="AD307" s="14">
        <v>0</v>
      </c>
      <c r="AE307" s="163">
        <v>1</v>
      </c>
      <c r="AF307" s="163">
        <v>0</v>
      </c>
      <c r="AG307" s="26">
        <v>0</v>
      </c>
      <c r="AH307" s="14">
        <v>100</v>
      </c>
      <c r="AI307" s="14">
        <v>0</v>
      </c>
      <c r="AJ307" s="163">
        <v>0</v>
      </c>
      <c r="AK307" s="163">
        <v>0</v>
      </c>
      <c r="AL307" s="26">
        <v>0</v>
      </c>
      <c r="AM307" s="12">
        <v>0</v>
      </c>
      <c r="AN307" s="14">
        <v>0</v>
      </c>
      <c r="AO307" s="163">
        <v>0</v>
      </c>
      <c r="AP307" s="163">
        <v>0</v>
      </c>
      <c r="AQ307" s="163">
        <v>0</v>
      </c>
      <c r="AR307" s="163">
        <v>0</v>
      </c>
      <c r="AS307" s="14">
        <v>1</v>
      </c>
      <c r="AT307" s="163">
        <v>0</v>
      </c>
      <c r="AU307" s="163">
        <v>0</v>
      </c>
      <c r="AV307" s="163">
        <v>1</v>
      </c>
      <c r="AW307" s="26">
        <v>0</v>
      </c>
      <c r="AX307" s="14">
        <v>2</v>
      </c>
      <c r="AY307" s="14">
        <v>0</v>
      </c>
      <c r="AZ307" s="163">
        <v>0</v>
      </c>
      <c r="BA307" s="163">
        <v>0</v>
      </c>
      <c r="BB307" s="26">
        <v>1</v>
      </c>
      <c r="BC307" s="12">
        <v>1</v>
      </c>
      <c r="BD307" s="14">
        <v>0</v>
      </c>
      <c r="BE307" s="163">
        <v>0</v>
      </c>
      <c r="BF307" s="163">
        <v>0</v>
      </c>
      <c r="BG307" s="163">
        <v>0</v>
      </c>
      <c r="BH307" s="163">
        <v>0</v>
      </c>
      <c r="BI307" s="14">
        <v>1</v>
      </c>
      <c r="BJ307" s="163">
        <v>1</v>
      </c>
      <c r="BK307" s="26">
        <v>0</v>
      </c>
      <c r="BL307" s="14">
        <v>0</v>
      </c>
      <c r="BM307" s="163">
        <v>0</v>
      </c>
      <c r="BN307" s="26">
        <v>0</v>
      </c>
      <c r="BO307" s="14">
        <v>0</v>
      </c>
      <c r="BP307" s="12">
        <v>114</v>
      </c>
      <c r="BQ307" s="163">
        <v>1</v>
      </c>
      <c r="BR307" s="14">
        <v>0</v>
      </c>
      <c r="BS307" s="163">
        <v>0</v>
      </c>
      <c r="BT307" s="163">
        <v>0</v>
      </c>
      <c r="BU307" s="26">
        <v>0</v>
      </c>
      <c r="BV307" s="14">
        <v>0</v>
      </c>
      <c r="BW307" s="209"/>
      <c r="BX307" s="3"/>
      <c r="BY307" s="3"/>
      <c r="BZ307" s="40"/>
      <c r="CA307" s="209"/>
      <c r="CB307" s="3"/>
      <c r="CC307" s="3"/>
      <c r="CD307" s="3"/>
      <c r="CE307" s="209"/>
      <c r="CF307" s="3"/>
      <c r="CG307" s="3"/>
      <c r="CH307" s="40"/>
      <c r="CI307" s="209"/>
      <c r="CJ307" s="3"/>
      <c r="CK307" s="3"/>
      <c r="CL307" s="209"/>
      <c r="CM307" s="3"/>
      <c r="CN307" s="3"/>
      <c r="CO307" s="3"/>
      <c r="CP307" s="40"/>
      <c r="CQ307" s="209"/>
      <c r="CR307" s="40"/>
      <c r="CS307" s="3"/>
      <c r="CT307" s="3"/>
    </row>
    <row r="308" spans="1:98">
      <c r="A308" s="42" t="s">
        <v>322</v>
      </c>
      <c r="B308" s="173" t="s">
        <v>188</v>
      </c>
      <c r="C308" s="12"/>
      <c r="D308" s="14" t="s">
        <v>395</v>
      </c>
      <c r="E308" s="12"/>
      <c r="F308" s="12">
        <v>7</v>
      </c>
      <c r="G308" s="14">
        <v>1</v>
      </c>
      <c r="H308" s="163">
        <v>0</v>
      </c>
      <c r="I308" s="163">
        <v>1</v>
      </c>
      <c r="J308" s="12">
        <v>101</v>
      </c>
      <c r="K308" s="14">
        <v>108</v>
      </c>
      <c r="L308" s="26">
        <v>1541</v>
      </c>
      <c r="M308" s="14">
        <v>131</v>
      </c>
      <c r="N308" s="163">
        <v>808</v>
      </c>
      <c r="O308" s="14">
        <v>0</v>
      </c>
      <c r="P308" s="26">
        <v>0</v>
      </c>
      <c r="Q308" s="12">
        <v>2509</v>
      </c>
      <c r="R308" s="209">
        <v>1.6135048231511253</v>
      </c>
      <c r="S308" s="14">
        <v>1</v>
      </c>
      <c r="T308" s="163">
        <v>1</v>
      </c>
      <c r="U308" s="163">
        <v>0</v>
      </c>
      <c r="V308" s="26">
        <v>0</v>
      </c>
      <c r="W308" s="14">
        <v>1100</v>
      </c>
      <c r="X308" s="14">
        <v>0</v>
      </c>
      <c r="Y308" s="163">
        <v>1</v>
      </c>
      <c r="Z308" s="163">
        <v>0</v>
      </c>
      <c r="AA308" s="26">
        <v>0</v>
      </c>
      <c r="AB308" s="12">
        <v>100</v>
      </c>
      <c r="AC308" s="14">
        <v>0</v>
      </c>
      <c r="AD308" s="14">
        <v>0</v>
      </c>
      <c r="AE308" s="163">
        <v>1</v>
      </c>
      <c r="AF308" s="163">
        <v>1</v>
      </c>
      <c r="AG308" s="26">
        <v>0</v>
      </c>
      <c r="AH308" s="14">
        <v>110</v>
      </c>
      <c r="AI308" s="14">
        <v>0</v>
      </c>
      <c r="AJ308" s="163">
        <v>0</v>
      </c>
      <c r="AK308" s="163">
        <v>0</v>
      </c>
      <c r="AL308" s="26">
        <v>0</v>
      </c>
      <c r="AM308" s="12">
        <v>0</v>
      </c>
      <c r="AN308" s="14">
        <v>0</v>
      </c>
      <c r="AO308" s="163">
        <v>0</v>
      </c>
      <c r="AP308" s="163">
        <v>0</v>
      </c>
      <c r="AQ308" s="163">
        <v>0</v>
      </c>
      <c r="AR308" s="163">
        <v>0</v>
      </c>
      <c r="AS308" s="14">
        <v>0</v>
      </c>
      <c r="AT308" s="163">
        <v>1</v>
      </c>
      <c r="AU308" s="163">
        <v>0</v>
      </c>
      <c r="AV308" s="163">
        <v>1</v>
      </c>
      <c r="AW308" s="26">
        <v>0</v>
      </c>
      <c r="AX308" s="14">
        <v>2</v>
      </c>
      <c r="AY308" s="14">
        <v>1</v>
      </c>
      <c r="AZ308" s="163">
        <v>0</v>
      </c>
      <c r="BA308" s="163">
        <v>0</v>
      </c>
      <c r="BB308" s="26">
        <v>0</v>
      </c>
      <c r="BC308" s="12">
        <v>1</v>
      </c>
      <c r="BD308" s="14">
        <v>0</v>
      </c>
      <c r="BE308" s="163">
        <v>0</v>
      </c>
      <c r="BF308" s="163">
        <v>0</v>
      </c>
      <c r="BG308" s="163">
        <v>0</v>
      </c>
      <c r="BH308" s="163">
        <v>0</v>
      </c>
      <c r="BI308" s="14">
        <v>1</v>
      </c>
      <c r="BJ308" s="163">
        <v>1</v>
      </c>
      <c r="BK308" s="26">
        <v>0</v>
      </c>
      <c r="BL308" s="14">
        <v>0</v>
      </c>
      <c r="BM308" s="163">
        <v>0</v>
      </c>
      <c r="BN308" s="26">
        <v>0</v>
      </c>
      <c r="BO308" s="14">
        <v>0</v>
      </c>
      <c r="BP308" s="12">
        <v>133</v>
      </c>
      <c r="BQ308" s="163">
        <v>2</v>
      </c>
      <c r="BR308" s="14">
        <v>0</v>
      </c>
      <c r="BS308" s="163">
        <v>0</v>
      </c>
      <c r="BT308" s="163">
        <v>0</v>
      </c>
      <c r="BU308" s="26">
        <v>0</v>
      </c>
      <c r="BV308" s="14">
        <v>0</v>
      </c>
      <c r="BW308" s="209"/>
      <c r="BX308" s="3"/>
      <c r="BY308" s="3"/>
      <c r="BZ308" s="40"/>
      <c r="CA308" s="209"/>
      <c r="CB308" s="3"/>
      <c r="CC308" s="3"/>
      <c r="CD308" s="3"/>
      <c r="CE308" s="209"/>
      <c r="CF308" s="3"/>
      <c r="CG308" s="3"/>
      <c r="CH308" s="40"/>
      <c r="CI308" s="209"/>
      <c r="CJ308" s="3"/>
      <c r="CK308" s="3"/>
      <c r="CL308" s="209"/>
      <c r="CM308" s="3"/>
      <c r="CN308" s="3"/>
      <c r="CO308" s="3"/>
      <c r="CP308" s="40"/>
      <c r="CQ308" s="209"/>
      <c r="CR308" s="40"/>
      <c r="CS308" s="3"/>
      <c r="CT308" s="3"/>
    </row>
    <row r="309" spans="1:98" ht="17" thickBot="1">
      <c r="A309" s="55" t="s">
        <v>322</v>
      </c>
      <c r="B309" s="47" t="s">
        <v>188</v>
      </c>
      <c r="C309" s="33"/>
      <c r="D309" s="34" t="s">
        <v>413</v>
      </c>
      <c r="E309" s="33"/>
      <c r="F309" s="33">
        <v>3</v>
      </c>
      <c r="G309" s="34">
        <v>0</v>
      </c>
      <c r="H309" s="36">
        <v>0</v>
      </c>
      <c r="I309" s="36">
        <v>1</v>
      </c>
      <c r="J309" s="33">
        <v>1</v>
      </c>
      <c r="K309" s="34">
        <v>586</v>
      </c>
      <c r="L309" s="35">
        <v>1109</v>
      </c>
      <c r="M309" s="34">
        <v>0</v>
      </c>
      <c r="N309" s="36">
        <v>749</v>
      </c>
      <c r="O309" s="34">
        <v>0</v>
      </c>
      <c r="P309" s="35">
        <v>0</v>
      </c>
      <c r="Q309" s="33">
        <v>1296</v>
      </c>
      <c r="R309" s="210">
        <v>1.2011121408711771</v>
      </c>
      <c r="S309" s="34">
        <v>1</v>
      </c>
      <c r="T309" s="36">
        <v>1</v>
      </c>
      <c r="U309" s="36">
        <v>0</v>
      </c>
      <c r="V309" s="35">
        <v>0</v>
      </c>
      <c r="W309" s="34">
        <v>1100</v>
      </c>
      <c r="X309" s="34">
        <v>0</v>
      </c>
      <c r="Y309" s="36">
        <v>0</v>
      </c>
      <c r="Z309" s="36">
        <v>0</v>
      </c>
      <c r="AA309" s="35">
        <v>1</v>
      </c>
      <c r="AB309" s="33">
        <v>1</v>
      </c>
      <c r="AC309" s="34">
        <v>1</v>
      </c>
      <c r="AD309" s="34">
        <v>0</v>
      </c>
      <c r="AE309" s="36">
        <v>1</v>
      </c>
      <c r="AF309" s="36">
        <v>0</v>
      </c>
      <c r="AG309" s="35">
        <v>0</v>
      </c>
      <c r="AH309" s="34">
        <v>100</v>
      </c>
      <c r="AI309" s="34">
        <v>0</v>
      </c>
      <c r="AJ309" s="36">
        <v>0</v>
      </c>
      <c r="AK309" s="36">
        <v>0</v>
      </c>
      <c r="AL309" s="35">
        <v>0</v>
      </c>
      <c r="AM309" s="33">
        <v>0</v>
      </c>
      <c r="AN309" s="34">
        <v>0</v>
      </c>
      <c r="AO309" s="36">
        <v>0</v>
      </c>
      <c r="AP309" s="36">
        <v>0</v>
      </c>
      <c r="AQ309" s="36">
        <v>0</v>
      </c>
      <c r="AR309" s="36">
        <v>0</v>
      </c>
      <c r="AS309" s="34">
        <v>1</v>
      </c>
      <c r="AT309" s="36">
        <v>0</v>
      </c>
      <c r="AU309" s="36">
        <v>0</v>
      </c>
      <c r="AV309" s="36">
        <v>1</v>
      </c>
      <c r="AW309" s="35">
        <v>0</v>
      </c>
      <c r="AX309" s="34">
        <v>2</v>
      </c>
      <c r="AY309" s="34">
        <v>0</v>
      </c>
      <c r="AZ309" s="36">
        <v>0</v>
      </c>
      <c r="BA309" s="36">
        <v>0</v>
      </c>
      <c r="BB309" s="35">
        <v>0</v>
      </c>
      <c r="BC309" s="33">
        <v>0</v>
      </c>
      <c r="BD309" s="34">
        <v>0</v>
      </c>
      <c r="BE309" s="36">
        <v>0</v>
      </c>
      <c r="BF309" s="36">
        <v>0</v>
      </c>
      <c r="BG309" s="36">
        <v>0</v>
      </c>
      <c r="BH309" s="36">
        <v>0</v>
      </c>
      <c r="BI309" s="34">
        <v>1</v>
      </c>
      <c r="BJ309" s="36">
        <v>1</v>
      </c>
      <c r="BK309" s="35">
        <v>0</v>
      </c>
      <c r="BL309" s="34">
        <v>0</v>
      </c>
      <c r="BM309" s="36">
        <v>0</v>
      </c>
      <c r="BN309" s="35">
        <v>0</v>
      </c>
      <c r="BO309" s="34">
        <v>0</v>
      </c>
      <c r="BP309" s="33">
        <v>143</v>
      </c>
      <c r="BQ309" s="36">
        <v>2</v>
      </c>
      <c r="BR309" s="34">
        <v>0</v>
      </c>
      <c r="BS309" s="36">
        <v>0</v>
      </c>
      <c r="BT309" s="36">
        <v>0</v>
      </c>
      <c r="BU309" s="35">
        <v>0</v>
      </c>
      <c r="BV309" s="34">
        <v>0</v>
      </c>
      <c r="BW309" s="210"/>
      <c r="BX309" s="51"/>
      <c r="BY309" s="51"/>
      <c r="BZ309" s="48"/>
      <c r="CA309" s="210"/>
      <c r="CB309" s="51"/>
      <c r="CC309" s="51"/>
      <c r="CD309" s="51"/>
      <c r="CE309" s="210"/>
      <c r="CF309" s="51"/>
      <c r="CG309" s="51"/>
      <c r="CH309" s="48"/>
      <c r="CI309" s="210"/>
      <c r="CJ309" s="51"/>
      <c r="CK309" s="51"/>
      <c r="CL309" s="210"/>
      <c r="CM309" s="51"/>
      <c r="CN309" s="51"/>
      <c r="CO309" s="51"/>
      <c r="CP309" s="48"/>
      <c r="CQ309" s="210"/>
      <c r="CR309" s="48"/>
      <c r="CS309" s="3"/>
      <c r="CT309" s="3"/>
    </row>
    <row r="310" spans="1:98">
      <c r="A310" s="87" t="s">
        <v>322</v>
      </c>
      <c r="B310" s="7" t="s">
        <v>193</v>
      </c>
      <c r="C310" s="9"/>
      <c r="D310" s="11" t="s">
        <v>132</v>
      </c>
      <c r="E310" s="9"/>
      <c r="F310" s="9">
        <v>14</v>
      </c>
      <c r="G310" s="11">
        <v>0</v>
      </c>
      <c r="H310" s="8">
        <v>0</v>
      </c>
      <c r="I310" s="8">
        <v>1</v>
      </c>
      <c r="J310" s="9">
        <v>1</v>
      </c>
      <c r="K310" s="11">
        <v>278</v>
      </c>
      <c r="L310" s="41">
        <v>1966</v>
      </c>
      <c r="M310" s="11">
        <v>308</v>
      </c>
      <c r="N310" s="8">
        <v>894</v>
      </c>
      <c r="O310" s="11">
        <v>0</v>
      </c>
      <c r="P310" s="41">
        <v>0</v>
      </c>
      <c r="Q310" s="9">
        <v>2789</v>
      </c>
      <c r="R310" s="208">
        <v>1.0402834763148079</v>
      </c>
      <c r="S310" s="11">
        <v>1</v>
      </c>
      <c r="T310" s="8">
        <v>1</v>
      </c>
      <c r="U310" s="8">
        <v>0</v>
      </c>
      <c r="V310" s="41">
        <v>0</v>
      </c>
      <c r="W310" s="11">
        <v>1100</v>
      </c>
      <c r="X310" s="11">
        <v>1</v>
      </c>
      <c r="Y310" s="8">
        <v>1</v>
      </c>
      <c r="Z310" s="8">
        <v>0</v>
      </c>
      <c r="AA310" s="41">
        <v>0</v>
      </c>
      <c r="AB310" s="9">
        <v>1100</v>
      </c>
      <c r="AC310" s="11">
        <v>1</v>
      </c>
      <c r="AD310" s="11">
        <v>0</v>
      </c>
      <c r="AE310" s="8">
        <v>1</v>
      </c>
      <c r="AF310" s="8">
        <v>1</v>
      </c>
      <c r="AG310" s="41">
        <v>0</v>
      </c>
      <c r="AH310" s="11">
        <v>110</v>
      </c>
      <c r="AI310" s="11">
        <v>0</v>
      </c>
      <c r="AJ310" s="8">
        <v>0</v>
      </c>
      <c r="AK310" s="8">
        <v>0</v>
      </c>
      <c r="AL310" s="41">
        <v>0</v>
      </c>
      <c r="AM310" s="9">
        <v>0</v>
      </c>
      <c r="AN310" s="11">
        <v>0</v>
      </c>
      <c r="AO310" s="8">
        <v>0</v>
      </c>
      <c r="AP310" s="8">
        <v>0</v>
      </c>
      <c r="AQ310" s="8">
        <v>0</v>
      </c>
      <c r="AR310" s="8">
        <v>0</v>
      </c>
      <c r="AS310" s="11">
        <v>1</v>
      </c>
      <c r="AT310" s="8">
        <v>0</v>
      </c>
      <c r="AU310" s="8">
        <v>0</v>
      </c>
      <c r="AV310" s="8">
        <v>1</v>
      </c>
      <c r="AW310" s="41">
        <v>0</v>
      </c>
      <c r="AX310" s="11">
        <v>2</v>
      </c>
      <c r="AY310" s="11">
        <v>0</v>
      </c>
      <c r="AZ310" s="8">
        <v>0</v>
      </c>
      <c r="BA310" s="8">
        <v>0</v>
      </c>
      <c r="BB310" s="41">
        <v>1</v>
      </c>
      <c r="BC310" s="9">
        <v>1</v>
      </c>
      <c r="BD310" s="11">
        <v>0</v>
      </c>
      <c r="BE310" s="8">
        <v>0</v>
      </c>
      <c r="BF310" s="8">
        <v>0</v>
      </c>
      <c r="BG310" s="8">
        <v>0</v>
      </c>
      <c r="BH310" s="8">
        <v>0</v>
      </c>
      <c r="BI310" s="11">
        <v>1</v>
      </c>
      <c r="BJ310" s="8">
        <v>1</v>
      </c>
      <c r="BK310" s="41">
        <v>0</v>
      </c>
      <c r="BL310" s="11">
        <v>0</v>
      </c>
      <c r="BM310" s="8">
        <v>0</v>
      </c>
      <c r="BN310" s="41">
        <v>0</v>
      </c>
      <c r="BO310" s="11">
        <v>0</v>
      </c>
      <c r="BP310" s="9">
        <v>134</v>
      </c>
      <c r="BQ310" s="8">
        <v>1</v>
      </c>
      <c r="BR310" s="11">
        <v>0</v>
      </c>
      <c r="BS310" s="8">
        <v>0</v>
      </c>
      <c r="BT310" s="8">
        <v>0</v>
      </c>
      <c r="BU310" s="41">
        <v>0</v>
      </c>
      <c r="BV310" s="11">
        <v>0</v>
      </c>
      <c r="BW310" s="208"/>
      <c r="BX310" s="54"/>
      <c r="BY310" s="54"/>
      <c r="BZ310" s="10"/>
      <c r="CA310" s="208"/>
      <c r="CB310" s="54"/>
      <c r="CC310" s="54"/>
      <c r="CD310" s="54"/>
      <c r="CE310" s="208"/>
      <c r="CF310" s="54"/>
      <c r="CG310" s="54"/>
      <c r="CH310" s="10"/>
      <c r="CI310" s="208"/>
      <c r="CJ310" s="54"/>
      <c r="CK310" s="54"/>
      <c r="CL310" s="208"/>
      <c r="CM310" s="54"/>
      <c r="CN310" s="54"/>
      <c r="CO310" s="54"/>
      <c r="CP310" s="10"/>
      <c r="CQ310" s="208"/>
      <c r="CR310" s="10"/>
      <c r="CS310" s="3"/>
      <c r="CT310" s="3"/>
    </row>
    <row r="311" spans="1:98">
      <c r="A311" s="42" t="s">
        <v>322</v>
      </c>
      <c r="B311" s="173" t="s">
        <v>193</v>
      </c>
      <c r="C311" s="12"/>
      <c r="D311" s="14" t="s">
        <v>381</v>
      </c>
      <c r="E311" s="12"/>
      <c r="F311" s="12">
        <v>7</v>
      </c>
      <c r="G311" s="14">
        <v>1</v>
      </c>
      <c r="H311" s="163">
        <v>0</v>
      </c>
      <c r="I311" s="163">
        <v>1</v>
      </c>
      <c r="J311" s="12">
        <v>101</v>
      </c>
      <c r="K311" s="14">
        <v>257</v>
      </c>
      <c r="L311" s="26">
        <v>1181</v>
      </c>
      <c r="M311" s="14">
        <v>0</v>
      </c>
      <c r="N311" s="163">
        <v>1170</v>
      </c>
      <c r="O311" s="14">
        <v>0</v>
      </c>
      <c r="P311" s="26">
        <v>0</v>
      </c>
      <c r="Q311" s="12">
        <v>1906</v>
      </c>
      <c r="R311" s="209">
        <v>1.6792951541850221</v>
      </c>
      <c r="S311" s="14">
        <v>1</v>
      </c>
      <c r="T311" s="163">
        <v>1</v>
      </c>
      <c r="U311" s="163">
        <v>0</v>
      </c>
      <c r="V311" s="26">
        <v>0</v>
      </c>
      <c r="W311" s="14">
        <v>1100</v>
      </c>
      <c r="X311" s="14">
        <v>1</v>
      </c>
      <c r="Y311" s="163">
        <v>1</v>
      </c>
      <c r="Z311" s="163">
        <v>0</v>
      </c>
      <c r="AA311" s="26">
        <v>0</v>
      </c>
      <c r="AB311" s="12">
        <v>1100</v>
      </c>
      <c r="AC311" s="14">
        <v>1</v>
      </c>
      <c r="AD311" s="14">
        <v>0</v>
      </c>
      <c r="AE311" s="163">
        <v>1</v>
      </c>
      <c r="AF311" s="163">
        <v>0</v>
      </c>
      <c r="AG311" s="26">
        <v>0</v>
      </c>
      <c r="AH311" s="14">
        <v>100</v>
      </c>
      <c r="AI311" s="14">
        <v>0</v>
      </c>
      <c r="AJ311" s="163">
        <v>0</v>
      </c>
      <c r="AK311" s="163">
        <v>0</v>
      </c>
      <c r="AL311" s="26">
        <v>0</v>
      </c>
      <c r="AM311" s="12">
        <v>0</v>
      </c>
      <c r="AN311" s="14">
        <v>0</v>
      </c>
      <c r="AO311" s="163">
        <v>0</v>
      </c>
      <c r="AP311" s="163">
        <v>0</v>
      </c>
      <c r="AQ311" s="163">
        <v>0</v>
      </c>
      <c r="AR311" s="163">
        <v>0</v>
      </c>
      <c r="AS311" s="14">
        <v>1</v>
      </c>
      <c r="AT311" s="163">
        <v>1</v>
      </c>
      <c r="AU311" s="163">
        <v>0</v>
      </c>
      <c r="AV311" s="163">
        <v>0</v>
      </c>
      <c r="AW311" s="26">
        <v>0</v>
      </c>
      <c r="AX311" s="14">
        <v>2</v>
      </c>
      <c r="AY311" s="14">
        <v>0</v>
      </c>
      <c r="AZ311" s="163">
        <v>0</v>
      </c>
      <c r="BA311" s="163">
        <v>1</v>
      </c>
      <c r="BB311" s="26">
        <v>0</v>
      </c>
      <c r="BC311" s="12">
        <v>1</v>
      </c>
      <c r="BD311" s="14">
        <v>0</v>
      </c>
      <c r="BE311" s="163">
        <v>0</v>
      </c>
      <c r="BF311" s="163">
        <v>0</v>
      </c>
      <c r="BG311" s="163">
        <v>0</v>
      </c>
      <c r="BH311" s="163">
        <v>0</v>
      </c>
      <c r="BI311" s="14">
        <v>1</v>
      </c>
      <c r="BJ311" s="163">
        <v>1</v>
      </c>
      <c r="BK311" s="26">
        <v>0</v>
      </c>
      <c r="BL311" s="14">
        <v>0</v>
      </c>
      <c r="BM311" s="163">
        <v>0</v>
      </c>
      <c r="BN311" s="26">
        <v>0</v>
      </c>
      <c r="BO311" s="14">
        <v>1</v>
      </c>
      <c r="BP311" s="12">
        <v>126</v>
      </c>
      <c r="BQ311" s="163">
        <v>1</v>
      </c>
      <c r="BR311" s="14">
        <v>0</v>
      </c>
      <c r="BS311" s="163">
        <v>0</v>
      </c>
      <c r="BT311" s="163">
        <v>0</v>
      </c>
      <c r="BU311" s="26">
        <v>0</v>
      </c>
      <c r="BV311" s="14">
        <v>0</v>
      </c>
      <c r="BW311" s="209"/>
      <c r="BX311" s="3"/>
      <c r="BY311" s="3"/>
      <c r="BZ311" s="40"/>
      <c r="CA311" s="209"/>
      <c r="CB311" s="3"/>
      <c r="CC311" s="3"/>
      <c r="CD311" s="3"/>
      <c r="CE311" s="209"/>
      <c r="CF311" s="3"/>
      <c r="CG311" s="3"/>
      <c r="CH311" s="40"/>
      <c r="CI311" s="209"/>
      <c r="CJ311" s="3"/>
      <c r="CK311" s="3"/>
      <c r="CL311" s="209"/>
      <c r="CM311" s="3"/>
      <c r="CN311" s="3"/>
      <c r="CO311" s="3"/>
      <c r="CP311" s="40"/>
      <c r="CQ311" s="209"/>
      <c r="CR311" s="40"/>
      <c r="CS311" s="3"/>
      <c r="CT311" s="3"/>
    </row>
    <row r="312" spans="1:98">
      <c r="A312" s="42" t="s">
        <v>322</v>
      </c>
      <c r="B312" s="173" t="s">
        <v>193</v>
      </c>
      <c r="C312" s="12"/>
      <c r="D312" s="14" t="s">
        <v>382</v>
      </c>
      <c r="E312" s="12"/>
      <c r="F312" s="12">
        <v>2</v>
      </c>
      <c r="G312" s="14">
        <v>0</v>
      </c>
      <c r="H312" s="163">
        <v>0</v>
      </c>
      <c r="I312" s="163">
        <v>1</v>
      </c>
      <c r="J312" s="12">
        <v>1</v>
      </c>
      <c r="K312" s="14">
        <v>0</v>
      </c>
      <c r="L312" s="26">
        <v>663</v>
      </c>
      <c r="M312" s="14">
        <v>0</v>
      </c>
      <c r="N312" s="163">
        <v>638</v>
      </c>
      <c r="O312" s="14">
        <v>0</v>
      </c>
      <c r="P312" s="26">
        <v>0</v>
      </c>
      <c r="Q312" s="12">
        <v>1055</v>
      </c>
      <c r="R312" s="209">
        <v>1.6934189406099518</v>
      </c>
      <c r="S312" s="14">
        <v>1</v>
      </c>
      <c r="T312" s="163">
        <v>1</v>
      </c>
      <c r="U312" s="163">
        <v>0</v>
      </c>
      <c r="V312" s="26">
        <v>0</v>
      </c>
      <c r="W312" s="14">
        <v>1100</v>
      </c>
      <c r="X312" s="14">
        <v>0</v>
      </c>
      <c r="Y312" s="163">
        <v>0</v>
      </c>
      <c r="Z312" s="163">
        <v>0</v>
      </c>
      <c r="AA312" s="26">
        <v>1</v>
      </c>
      <c r="AB312" s="12">
        <v>1</v>
      </c>
      <c r="AC312" s="14">
        <v>1</v>
      </c>
      <c r="AD312" s="14">
        <v>0</v>
      </c>
      <c r="AE312" s="163">
        <v>1</v>
      </c>
      <c r="AF312" s="163">
        <v>0</v>
      </c>
      <c r="AG312" s="26">
        <v>0</v>
      </c>
      <c r="AH312" s="14">
        <v>100</v>
      </c>
      <c r="AI312" s="14">
        <v>0</v>
      </c>
      <c r="AJ312" s="163">
        <v>0</v>
      </c>
      <c r="AK312" s="163">
        <v>0</v>
      </c>
      <c r="AL312" s="26">
        <v>0</v>
      </c>
      <c r="AM312" s="12">
        <v>0</v>
      </c>
      <c r="AN312" s="14">
        <v>0</v>
      </c>
      <c r="AO312" s="163">
        <v>0</v>
      </c>
      <c r="AP312" s="163">
        <v>0</v>
      </c>
      <c r="AQ312" s="163">
        <v>0</v>
      </c>
      <c r="AR312" s="163">
        <v>0</v>
      </c>
      <c r="AS312" s="14">
        <v>1</v>
      </c>
      <c r="AT312" s="163">
        <v>1</v>
      </c>
      <c r="AU312" s="163">
        <v>0</v>
      </c>
      <c r="AV312" s="163">
        <v>1</v>
      </c>
      <c r="AW312" s="26">
        <v>0</v>
      </c>
      <c r="AX312" s="14">
        <v>3</v>
      </c>
      <c r="AY312" s="14">
        <v>1</v>
      </c>
      <c r="AZ312" s="163">
        <v>1</v>
      </c>
      <c r="BA312" s="163">
        <v>0</v>
      </c>
      <c r="BB312" s="26">
        <v>0</v>
      </c>
      <c r="BC312" s="12">
        <v>2</v>
      </c>
      <c r="BD312" s="14">
        <v>0</v>
      </c>
      <c r="BE312" s="163">
        <v>0</v>
      </c>
      <c r="BF312" s="163">
        <v>0</v>
      </c>
      <c r="BG312" s="163">
        <v>0</v>
      </c>
      <c r="BH312" s="163">
        <v>0</v>
      </c>
      <c r="BI312" s="14">
        <v>1</v>
      </c>
      <c r="BJ312" s="163">
        <v>1</v>
      </c>
      <c r="BK312" s="26">
        <v>0</v>
      </c>
      <c r="BL312" s="14">
        <v>0</v>
      </c>
      <c r="BM312" s="163">
        <v>0</v>
      </c>
      <c r="BN312" s="26">
        <v>0</v>
      </c>
      <c r="BO312" s="14">
        <v>1</v>
      </c>
      <c r="BP312" s="12">
        <v>97</v>
      </c>
      <c r="BQ312" s="163">
        <v>0</v>
      </c>
      <c r="BR312" s="14">
        <v>0</v>
      </c>
      <c r="BS312" s="163">
        <v>0</v>
      </c>
      <c r="BT312" s="163">
        <v>0</v>
      </c>
      <c r="BU312" s="26">
        <v>0</v>
      </c>
      <c r="BV312" s="14">
        <v>0</v>
      </c>
      <c r="BW312" s="209"/>
      <c r="BX312" s="3"/>
      <c r="BY312" s="3"/>
      <c r="BZ312" s="40"/>
      <c r="CA312" s="209"/>
      <c r="CB312" s="3"/>
      <c r="CC312" s="3"/>
      <c r="CD312" s="3"/>
      <c r="CE312" s="209"/>
      <c r="CF312" s="3"/>
      <c r="CG312" s="3"/>
      <c r="CH312" s="40"/>
      <c r="CI312" s="209"/>
      <c r="CJ312" s="3"/>
      <c r="CK312" s="3"/>
      <c r="CL312" s="209"/>
      <c r="CM312" s="3"/>
      <c r="CN312" s="3"/>
      <c r="CO312" s="3"/>
      <c r="CP312" s="40"/>
      <c r="CQ312" s="209"/>
      <c r="CR312" s="40"/>
      <c r="CS312" s="3"/>
      <c r="CT312" s="3"/>
    </row>
    <row r="313" spans="1:98">
      <c r="A313" s="42" t="s">
        <v>322</v>
      </c>
      <c r="B313" s="173" t="s">
        <v>193</v>
      </c>
      <c r="C313" s="12"/>
      <c r="D313" s="14" t="s">
        <v>201</v>
      </c>
      <c r="E313" s="12"/>
      <c r="F313" s="12">
        <v>4</v>
      </c>
      <c r="G313" s="14">
        <v>0</v>
      </c>
      <c r="H313" s="163">
        <v>0</v>
      </c>
      <c r="I313" s="163">
        <v>1</v>
      </c>
      <c r="J313" s="12">
        <v>1</v>
      </c>
      <c r="K313" s="14">
        <v>280</v>
      </c>
      <c r="L313" s="26">
        <v>816</v>
      </c>
      <c r="M313" s="14">
        <v>674</v>
      </c>
      <c r="N313" s="163">
        <v>1115</v>
      </c>
      <c r="O313" s="14">
        <v>0</v>
      </c>
      <c r="P313" s="26">
        <v>0</v>
      </c>
      <c r="Q313" s="12">
        <v>2015</v>
      </c>
      <c r="R313" s="209">
        <v>1.9045368620037808</v>
      </c>
      <c r="S313" s="14">
        <v>1</v>
      </c>
      <c r="T313" s="163">
        <v>1</v>
      </c>
      <c r="U313" s="163">
        <v>0</v>
      </c>
      <c r="V313" s="26">
        <v>0</v>
      </c>
      <c r="W313" s="14">
        <v>1100</v>
      </c>
      <c r="X313" s="14">
        <v>0</v>
      </c>
      <c r="Y313" s="163">
        <v>1</v>
      </c>
      <c r="Z313" s="163">
        <v>0</v>
      </c>
      <c r="AA313" s="26">
        <v>0</v>
      </c>
      <c r="AB313" s="12">
        <v>100</v>
      </c>
      <c r="AC313" s="14">
        <v>1</v>
      </c>
      <c r="AD313" s="14">
        <v>0</v>
      </c>
      <c r="AE313" s="163">
        <v>1</v>
      </c>
      <c r="AF313" s="163">
        <v>1</v>
      </c>
      <c r="AG313" s="26">
        <v>0</v>
      </c>
      <c r="AH313" s="14">
        <v>110</v>
      </c>
      <c r="AI313" s="14">
        <v>0</v>
      </c>
      <c r="AJ313" s="163">
        <v>0</v>
      </c>
      <c r="AK313" s="163">
        <v>0</v>
      </c>
      <c r="AL313" s="26">
        <v>0</v>
      </c>
      <c r="AM313" s="12">
        <v>0</v>
      </c>
      <c r="AN313" s="14">
        <v>0</v>
      </c>
      <c r="AO313" s="163">
        <v>0</v>
      </c>
      <c r="AP313" s="163">
        <v>0</v>
      </c>
      <c r="AQ313" s="163">
        <v>0</v>
      </c>
      <c r="AR313" s="163">
        <v>0</v>
      </c>
      <c r="AS313" s="14">
        <v>1</v>
      </c>
      <c r="AT313" s="163">
        <v>0</v>
      </c>
      <c r="AU313" s="163">
        <v>0</v>
      </c>
      <c r="AV313" s="163">
        <v>1</v>
      </c>
      <c r="AW313" s="26">
        <v>0</v>
      </c>
      <c r="AX313" s="14">
        <v>2</v>
      </c>
      <c r="AY313" s="14">
        <v>0</v>
      </c>
      <c r="AZ313" s="163">
        <v>0</v>
      </c>
      <c r="BA313" s="163">
        <v>0</v>
      </c>
      <c r="BB313" s="26">
        <v>1</v>
      </c>
      <c r="BC313" s="12">
        <v>1</v>
      </c>
      <c r="BD313" s="14">
        <v>0</v>
      </c>
      <c r="BE313" s="163">
        <v>0</v>
      </c>
      <c r="BF313" s="163">
        <v>0</v>
      </c>
      <c r="BG313" s="163">
        <v>0</v>
      </c>
      <c r="BH313" s="163">
        <v>0</v>
      </c>
      <c r="BI313" s="14">
        <v>1</v>
      </c>
      <c r="BJ313" s="163">
        <v>1</v>
      </c>
      <c r="BK313" s="26">
        <v>0</v>
      </c>
      <c r="BL313" s="14">
        <v>0</v>
      </c>
      <c r="BM313" s="163">
        <v>0</v>
      </c>
      <c r="BN313" s="26">
        <v>0</v>
      </c>
      <c r="BO313" s="14">
        <v>1</v>
      </c>
      <c r="BP313" s="12">
        <v>132</v>
      </c>
      <c r="BQ313" s="163">
        <v>2</v>
      </c>
      <c r="BR313" s="14">
        <v>0</v>
      </c>
      <c r="BS313" s="163">
        <v>0</v>
      </c>
      <c r="BT313" s="163">
        <v>0</v>
      </c>
      <c r="BU313" s="26">
        <v>0</v>
      </c>
      <c r="BV313" s="14">
        <v>0</v>
      </c>
      <c r="BW313" s="209"/>
      <c r="BX313" s="3"/>
      <c r="BY313" s="3"/>
      <c r="BZ313" s="40"/>
      <c r="CA313" s="209"/>
      <c r="CB313" s="3"/>
      <c r="CC313" s="3"/>
      <c r="CD313" s="3"/>
      <c r="CE313" s="209"/>
      <c r="CF313" s="3"/>
      <c r="CG313" s="3"/>
      <c r="CH313" s="40"/>
      <c r="CI313" s="209"/>
      <c r="CJ313" s="3"/>
      <c r="CK313" s="3"/>
      <c r="CL313" s="209"/>
      <c r="CM313" s="3"/>
      <c r="CN313" s="3"/>
      <c r="CO313" s="3"/>
      <c r="CP313" s="40"/>
      <c r="CQ313" s="209"/>
      <c r="CR313" s="40"/>
      <c r="CS313" s="3"/>
      <c r="CT313" s="3"/>
    </row>
    <row r="314" spans="1:98">
      <c r="A314" s="42" t="s">
        <v>322</v>
      </c>
      <c r="B314" s="173" t="s">
        <v>193</v>
      </c>
      <c r="C314" s="12"/>
      <c r="D314" s="14" t="s">
        <v>130</v>
      </c>
      <c r="E314" s="12"/>
      <c r="F314" s="12">
        <v>7</v>
      </c>
      <c r="G314" s="14">
        <v>0</v>
      </c>
      <c r="H314" s="163">
        <v>0</v>
      </c>
      <c r="I314" s="163">
        <v>1</v>
      </c>
      <c r="J314" s="12">
        <v>1</v>
      </c>
      <c r="K314" s="14">
        <v>0</v>
      </c>
      <c r="L314" s="26">
        <v>2294</v>
      </c>
      <c r="M314" s="14">
        <v>455</v>
      </c>
      <c r="N314" s="163">
        <v>1217</v>
      </c>
      <c r="O314" s="14">
        <v>0</v>
      </c>
      <c r="P314" s="26">
        <v>0</v>
      </c>
      <c r="Q314" s="12">
        <v>2808</v>
      </c>
      <c r="R314" s="209">
        <v>1.4290076335877862</v>
      </c>
      <c r="S314" s="14">
        <v>1</v>
      </c>
      <c r="T314" s="163">
        <v>1</v>
      </c>
      <c r="U314" s="163">
        <v>0</v>
      </c>
      <c r="V314" s="26">
        <v>0</v>
      </c>
      <c r="W314" s="14">
        <v>1100</v>
      </c>
      <c r="X314" s="14">
        <v>0</v>
      </c>
      <c r="Y314" s="163">
        <v>1</v>
      </c>
      <c r="Z314" s="163">
        <v>0</v>
      </c>
      <c r="AA314" s="26">
        <v>0</v>
      </c>
      <c r="AB314" s="12">
        <v>100</v>
      </c>
      <c r="AC314" s="14">
        <v>0</v>
      </c>
      <c r="AD314" s="14">
        <v>0</v>
      </c>
      <c r="AE314" s="163">
        <v>1</v>
      </c>
      <c r="AF314" s="163">
        <v>1</v>
      </c>
      <c r="AG314" s="26">
        <v>0</v>
      </c>
      <c r="AH314" s="14">
        <v>110</v>
      </c>
      <c r="AI314" s="14">
        <v>0</v>
      </c>
      <c r="AJ314" s="163">
        <v>0</v>
      </c>
      <c r="AK314" s="163">
        <v>0</v>
      </c>
      <c r="AL314" s="26">
        <v>0</v>
      </c>
      <c r="AM314" s="12">
        <v>0</v>
      </c>
      <c r="AN314" s="14">
        <v>0</v>
      </c>
      <c r="AO314" s="163">
        <v>0</v>
      </c>
      <c r="AP314" s="163">
        <v>0</v>
      </c>
      <c r="AQ314" s="163">
        <v>0</v>
      </c>
      <c r="AR314" s="163">
        <v>0</v>
      </c>
      <c r="AS314" s="14">
        <v>1</v>
      </c>
      <c r="AT314" s="163">
        <v>0</v>
      </c>
      <c r="AU314" s="163">
        <v>0</v>
      </c>
      <c r="AV314" s="163">
        <v>0</v>
      </c>
      <c r="AW314" s="26">
        <v>0</v>
      </c>
      <c r="AX314" s="14">
        <v>1</v>
      </c>
      <c r="AY314" s="14">
        <v>0</v>
      </c>
      <c r="AZ314" s="163">
        <v>0</v>
      </c>
      <c r="BA314" s="163">
        <v>0</v>
      </c>
      <c r="BB314" s="26">
        <v>0</v>
      </c>
      <c r="BC314" s="12">
        <v>0</v>
      </c>
      <c r="BD314" s="14">
        <v>0</v>
      </c>
      <c r="BE314" s="163">
        <v>0</v>
      </c>
      <c r="BF314" s="163">
        <v>0</v>
      </c>
      <c r="BG314" s="163">
        <v>0</v>
      </c>
      <c r="BH314" s="163">
        <v>0</v>
      </c>
      <c r="BI314" s="14">
        <v>1</v>
      </c>
      <c r="BJ314" s="163">
        <v>1</v>
      </c>
      <c r="BK314" s="26">
        <v>0</v>
      </c>
      <c r="BL314" s="14">
        <v>0</v>
      </c>
      <c r="BM314" s="163">
        <v>0</v>
      </c>
      <c r="BN314" s="26">
        <v>0</v>
      </c>
      <c r="BO314" s="14">
        <v>1</v>
      </c>
      <c r="BP314" s="12">
        <v>143</v>
      </c>
      <c r="BQ314" s="163">
        <v>1</v>
      </c>
      <c r="BR314" s="14">
        <v>0</v>
      </c>
      <c r="BS314" s="163">
        <v>0</v>
      </c>
      <c r="BT314" s="163">
        <v>0</v>
      </c>
      <c r="BU314" s="26">
        <v>0</v>
      </c>
      <c r="BV314" s="14">
        <v>0</v>
      </c>
      <c r="BW314" s="209"/>
      <c r="BX314" s="3"/>
      <c r="BY314" s="3"/>
      <c r="BZ314" s="40"/>
      <c r="CA314" s="209"/>
      <c r="CB314" s="3"/>
      <c r="CC314" s="3"/>
      <c r="CD314" s="3"/>
      <c r="CE314" s="209"/>
      <c r="CF314" s="3"/>
      <c r="CG314" s="3"/>
      <c r="CH314" s="40"/>
      <c r="CI314" s="209"/>
      <c r="CJ314" s="3"/>
      <c r="CK314" s="3"/>
      <c r="CL314" s="209"/>
      <c r="CM314" s="3"/>
      <c r="CN314" s="3"/>
      <c r="CO314" s="3"/>
      <c r="CP314" s="40"/>
      <c r="CQ314" s="209"/>
      <c r="CR314" s="40"/>
      <c r="CS314" s="3"/>
      <c r="CT314" s="3"/>
    </row>
    <row r="315" spans="1:98">
      <c r="A315" s="42" t="s">
        <v>322</v>
      </c>
      <c r="B315" s="173" t="s">
        <v>193</v>
      </c>
      <c r="C315" s="12"/>
      <c r="D315" s="14" t="s">
        <v>211</v>
      </c>
      <c r="E315" s="12"/>
      <c r="F315" s="12">
        <v>5</v>
      </c>
      <c r="G315" s="14">
        <v>0</v>
      </c>
      <c r="H315" s="163">
        <v>0</v>
      </c>
      <c r="I315" s="163">
        <v>1</v>
      </c>
      <c r="J315" s="12">
        <v>1</v>
      </c>
      <c r="K315" s="14">
        <v>919</v>
      </c>
      <c r="L315" s="26">
        <v>1501</v>
      </c>
      <c r="M315" s="14">
        <v>497</v>
      </c>
      <c r="N315" s="163">
        <v>578</v>
      </c>
      <c r="O315" s="14">
        <v>1</v>
      </c>
      <c r="P315" s="26">
        <v>1</v>
      </c>
      <c r="Q315" s="12">
        <v>2463</v>
      </c>
      <c r="R315" s="209">
        <v>1.9107835531419706</v>
      </c>
      <c r="S315" s="14">
        <v>1</v>
      </c>
      <c r="T315" s="163">
        <v>1</v>
      </c>
      <c r="U315" s="163">
        <v>0</v>
      </c>
      <c r="V315" s="26">
        <v>0</v>
      </c>
      <c r="W315" s="14">
        <v>1100</v>
      </c>
      <c r="X315" s="14">
        <v>1</v>
      </c>
      <c r="Y315" s="163">
        <v>0</v>
      </c>
      <c r="Z315" s="163">
        <v>0</v>
      </c>
      <c r="AA315" s="26">
        <v>0</v>
      </c>
      <c r="AB315" s="12">
        <v>1000</v>
      </c>
      <c r="AC315" s="14">
        <v>1</v>
      </c>
      <c r="AD315" s="14">
        <v>0</v>
      </c>
      <c r="AE315" s="163">
        <v>0</v>
      </c>
      <c r="AF315" s="163">
        <v>1</v>
      </c>
      <c r="AG315" s="26">
        <v>0</v>
      </c>
      <c r="AH315" s="14">
        <v>10</v>
      </c>
      <c r="AI315" s="14">
        <v>0</v>
      </c>
      <c r="AJ315" s="163">
        <v>0</v>
      </c>
      <c r="AK315" s="163">
        <v>0</v>
      </c>
      <c r="AL315" s="26">
        <v>0</v>
      </c>
      <c r="AM315" s="12">
        <v>0</v>
      </c>
      <c r="AN315" s="14">
        <v>0</v>
      </c>
      <c r="AO315" s="163">
        <v>0</v>
      </c>
      <c r="AP315" s="163">
        <v>0</v>
      </c>
      <c r="AQ315" s="163">
        <v>0</v>
      </c>
      <c r="AR315" s="163">
        <v>0</v>
      </c>
      <c r="AS315" s="14">
        <v>1</v>
      </c>
      <c r="AT315" s="163">
        <v>0</v>
      </c>
      <c r="AU315" s="163">
        <v>0</v>
      </c>
      <c r="AV315" s="163">
        <v>0</v>
      </c>
      <c r="AW315" s="26">
        <v>0</v>
      </c>
      <c r="AX315" s="14">
        <v>1</v>
      </c>
      <c r="AY315" s="14">
        <v>1</v>
      </c>
      <c r="AZ315" s="163">
        <v>0</v>
      </c>
      <c r="BA315" s="163">
        <v>0</v>
      </c>
      <c r="BB315" s="26">
        <v>1</v>
      </c>
      <c r="BC315" s="12">
        <v>2</v>
      </c>
      <c r="BD315" s="14">
        <v>0</v>
      </c>
      <c r="BE315" s="163">
        <v>0</v>
      </c>
      <c r="BF315" s="163">
        <v>0</v>
      </c>
      <c r="BG315" s="163">
        <v>0</v>
      </c>
      <c r="BH315" s="163">
        <v>0</v>
      </c>
      <c r="BI315" s="14">
        <v>1</v>
      </c>
      <c r="BJ315" s="163">
        <v>1</v>
      </c>
      <c r="BK315" s="26">
        <v>0</v>
      </c>
      <c r="BL315" s="14">
        <v>0</v>
      </c>
      <c r="BM315" s="163">
        <v>0</v>
      </c>
      <c r="BN315" s="26">
        <v>0</v>
      </c>
      <c r="BO315" s="14">
        <v>1</v>
      </c>
      <c r="BP315" s="12">
        <v>137</v>
      </c>
      <c r="BQ315" s="163">
        <v>2</v>
      </c>
      <c r="BR315" s="14">
        <v>0</v>
      </c>
      <c r="BS315" s="163">
        <v>0</v>
      </c>
      <c r="BT315" s="163">
        <v>0</v>
      </c>
      <c r="BU315" s="26">
        <v>0</v>
      </c>
      <c r="BV315" s="14">
        <v>0</v>
      </c>
      <c r="BW315" s="209"/>
      <c r="BX315" s="3"/>
      <c r="BY315" s="3"/>
      <c r="BZ315" s="40"/>
      <c r="CA315" s="209"/>
      <c r="CB315" s="3"/>
      <c r="CC315" s="3"/>
      <c r="CD315" s="3"/>
      <c r="CE315" s="209"/>
      <c r="CF315" s="3"/>
      <c r="CG315" s="3"/>
      <c r="CH315" s="40"/>
      <c r="CI315" s="209"/>
      <c r="CJ315" s="3"/>
      <c r="CK315" s="3"/>
      <c r="CL315" s="209"/>
      <c r="CM315" s="3"/>
      <c r="CN315" s="3"/>
      <c r="CO315" s="3"/>
      <c r="CP315" s="40"/>
      <c r="CQ315" s="209"/>
      <c r="CR315" s="40"/>
      <c r="CS315" s="3"/>
      <c r="CT315" s="3"/>
    </row>
    <row r="316" spans="1:98">
      <c r="A316" s="42" t="s">
        <v>322</v>
      </c>
      <c r="B316" s="173" t="s">
        <v>193</v>
      </c>
      <c r="C316" s="12"/>
      <c r="D316" s="14" t="s">
        <v>387</v>
      </c>
      <c r="E316" s="12"/>
      <c r="F316" s="12">
        <v>5</v>
      </c>
      <c r="G316" s="14">
        <v>1</v>
      </c>
      <c r="H316" s="163">
        <v>0</v>
      </c>
      <c r="I316" s="163">
        <v>1</v>
      </c>
      <c r="J316" s="12">
        <v>101</v>
      </c>
      <c r="K316" s="14">
        <v>825</v>
      </c>
      <c r="L316" s="26">
        <v>1942</v>
      </c>
      <c r="M316" s="14">
        <v>320</v>
      </c>
      <c r="N316" s="163">
        <v>1163</v>
      </c>
      <c r="O316" s="14">
        <v>0</v>
      </c>
      <c r="P316" s="26">
        <v>0</v>
      </c>
      <c r="Q316" s="12">
        <v>2263</v>
      </c>
      <c r="R316" s="209">
        <v>1.1147783251231527</v>
      </c>
      <c r="S316" s="14">
        <v>1</v>
      </c>
      <c r="T316" s="163">
        <v>1</v>
      </c>
      <c r="U316" s="163">
        <v>0</v>
      </c>
      <c r="V316" s="26">
        <v>0</v>
      </c>
      <c r="W316" s="14">
        <v>1100</v>
      </c>
      <c r="X316" s="14">
        <v>1</v>
      </c>
      <c r="Y316" s="163">
        <v>0</v>
      </c>
      <c r="Z316" s="163">
        <v>0</v>
      </c>
      <c r="AA316" s="26">
        <v>0</v>
      </c>
      <c r="AB316" s="12">
        <v>1000</v>
      </c>
      <c r="AC316" s="14">
        <v>1</v>
      </c>
      <c r="AD316" s="14">
        <v>0</v>
      </c>
      <c r="AE316" s="163">
        <v>1</v>
      </c>
      <c r="AF316" s="163">
        <v>1</v>
      </c>
      <c r="AG316" s="26">
        <v>0</v>
      </c>
      <c r="AH316" s="14">
        <v>110</v>
      </c>
      <c r="AI316" s="14">
        <v>0</v>
      </c>
      <c r="AJ316" s="163">
        <v>0</v>
      </c>
      <c r="AK316" s="163">
        <v>0</v>
      </c>
      <c r="AL316" s="26">
        <v>0</v>
      </c>
      <c r="AM316" s="12">
        <v>0</v>
      </c>
      <c r="AN316" s="14">
        <v>0</v>
      </c>
      <c r="AO316" s="163">
        <v>0</v>
      </c>
      <c r="AP316" s="163">
        <v>0</v>
      </c>
      <c r="AQ316" s="163">
        <v>0</v>
      </c>
      <c r="AR316" s="163">
        <v>0</v>
      </c>
      <c r="AS316" s="14">
        <v>1</v>
      </c>
      <c r="AT316" s="163">
        <v>1</v>
      </c>
      <c r="AU316" s="163">
        <v>0</v>
      </c>
      <c r="AV316" s="163">
        <v>0</v>
      </c>
      <c r="AW316" s="26">
        <v>0</v>
      </c>
      <c r="AX316" s="14">
        <v>2</v>
      </c>
      <c r="AY316" s="14">
        <v>0</v>
      </c>
      <c r="AZ316" s="163">
        <v>0</v>
      </c>
      <c r="BA316" s="163">
        <v>0</v>
      </c>
      <c r="BB316" s="26">
        <v>0</v>
      </c>
      <c r="BC316" s="12">
        <v>0</v>
      </c>
      <c r="BD316" s="14">
        <v>0</v>
      </c>
      <c r="BE316" s="163">
        <v>0</v>
      </c>
      <c r="BF316" s="163">
        <v>0</v>
      </c>
      <c r="BG316" s="163">
        <v>0</v>
      </c>
      <c r="BH316" s="163">
        <v>0</v>
      </c>
      <c r="BI316" s="14">
        <v>1</v>
      </c>
      <c r="BJ316" s="163">
        <v>1</v>
      </c>
      <c r="BK316" s="26">
        <v>0</v>
      </c>
      <c r="BL316" s="14">
        <v>0</v>
      </c>
      <c r="BM316" s="163">
        <v>0</v>
      </c>
      <c r="BN316" s="26">
        <v>0</v>
      </c>
      <c r="BO316" s="14">
        <v>1</v>
      </c>
      <c r="BP316" s="12">
        <v>126</v>
      </c>
      <c r="BQ316" s="163">
        <v>1</v>
      </c>
      <c r="BR316" s="14">
        <v>0</v>
      </c>
      <c r="BS316" s="163">
        <v>0</v>
      </c>
      <c r="BT316" s="163">
        <v>0</v>
      </c>
      <c r="BU316" s="26">
        <v>0</v>
      </c>
      <c r="BV316" s="14">
        <v>0</v>
      </c>
      <c r="BW316" s="209"/>
      <c r="BX316" s="3"/>
      <c r="BY316" s="3"/>
      <c r="BZ316" s="40"/>
      <c r="CA316" s="209"/>
      <c r="CB316" s="3"/>
      <c r="CC316" s="3"/>
      <c r="CD316" s="3"/>
      <c r="CE316" s="209"/>
      <c r="CF316" s="3"/>
      <c r="CG316" s="3"/>
      <c r="CH316" s="40"/>
      <c r="CI316" s="209"/>
      <c r="CJ316" s="3"/>
      <c r="CK316" s="3"/>
      <c r="CL316" s="209"/>
      <c r="CM316" s="3"/>
      <c r="CN316" s="3"/>
      <c r="CO316" s="3"/>
      <c r="CP316" s="40"/>
      <c r="CQ316" s="209"/>
      <c r="CR316" s="40"/>
      <c r="CS316" s="3"/>
      <c r="CT316" s="3"/>
    </row>
    <row r="317" spans="1:98">
      <c r="A317" s="42" t="s">
        <v>322</v>
      </c>
      <c r="B317" s="173" t="s">
        <v>193</v>
      </c>
      <c r="C317" s="12"/>
      <c r="D317" s="14" t="s">
        <v>167</v>
      </c>
      <c r="E317" s="12"/>
      <c r="F317" s="12">
        <v>5</v>
      </c>
      <c r="G317" s="14">
        <v>0</v>
      </c>
      <c r="H317" s="163">
        <v>0</v>
      </c>
      <c r="I317" s="163">
        <v>1</v>
      </c>
      <c r="J317" s="12">
        <v>1</v>
      </c>
      <c r="K317" s="14">
        <v>511</v>
      </c>
      <c r="L317" s="26">
        <v>1036</v>
      </c>
      <c r="M317" s="14">
        <v>0</v>
      </c>
      <c r="N317" s="163">
        <v>1772</v>
      </c>
      <c r="O317" s="14">
        <v>0</v>
      </c>
      <c r="P317" s="26">
        <v>0</v>
      </c>
      <c r="Q317" s="12">
        <v>2512</v>
      </c>
      <c r="R317" s="209">
        <v>1.4305239179954441</v>
      </c>
      <c r="S317" s="14">
        <v>1</v>
      </c>
      <c r="T317" s="163">
        <v>1</v>
      </c>
      <c r="U317" s="163">
        <v>0</v>
      </c>
      <c r="V317" s="26">
        <v>0</v>
      </c>
      <c r="W317" s="14">
        <v>1100</v>
      </c>
      <c r="X317" s="14">
        <v>1</v>
      </c>
      <c r="Y317" s="163">
        <v>1</v>
      </c>
      <c r="Z317" s="163">
        <v>0</v>
      </c>
      <c r="AA317" s="26">
        <v>0</v>
      </c>
      <c r="AB317" s="12">
        <v>1100</v>
      </c>
      <c r="AC317" s="14">
        <v>1</v>
      </c>
      <c r="AD317" s="14">
        <v>0</v>
      </c>
      <c r="AE317" s="163">
        <v>1</v>
      </c>
      <c r="AF317" s="163">
        <v>0</v>
      </c>
      <c r="AG317" s="26">
        <v>0</v>
      </c>
      <c r="AH317" s="14">
        <v>100</v>
      </c>
      <c r="AI317" s="14">
        <v>0</v>
      </c>
      <c r="AJ317" s="163">
        <v>0</v>
      </c>
      <c r="AK317" s="163">
        <v>0</v>
      </c>
      <c r="AL317" s="26">
        <v>0</v>
      </c>
      <c r="AM317" s="12">
        <v>0</v>
      </c>
      <c r="AN317" s="14">
        <v>0</v>
      </c>
      <c r="AO317" s="163">
        <v>0</v>
      </c>
      <c r="AP317" s="163">
        <v>0</v>
      </c>
      <c r="AQ317" s="163">
        <v>0</v>
      </c>
      <c r="AR317" s="163">
        <v>0</v>
      </c>
      <c r="AS317" s="14">
        <v>1</v>
      </c>
      <c r="AT317" s="163">
        <v>1</v>
      </c>
      <c r="AU317" s="163">
        <v>0</v>
      </c>
      <c r="AV317" s="163">
        <v>1</v>
      </c>
      <c r="AW317" s="26">
        <v>0</v>
      </c>
      <c r="AX317" s="14">
        <v>3</v>
      </c>
      <c r="AY317" s="14">
        <v>0</v>
      </c>
      <c r="AZ317" s="163">
        <v>0</v>
      </c>
      <c r="BA317" s="163">
        <v>0</v>
      </c>
      <c r="BB317" s="26">
        <v>1</v>
      </c>
      <c r="BC317" s="12">
        <v>1</v>
      </c>
      <c r="BD317" s="14">
        <v>0</v>
      </c>
      <c r="BE317" s="163">
        <v>0</v>
      </c>
      <c r="BF317" s="163">
        <v>0</v>
      </c>
      <c r="BG317" s="163">
        <v>0</v>
      </c>
      <c r="BH317" s="163">
        <v>0</v>
      </c>
      <c r="BI317" s="14">
        <v>1</v>
      </c>
      <c r="BJ317" s="163">
        <v>1</v>
      </c>
      <c r="BK317" s="26">
        <v>0</v>
      </c>
      <c r="BL317" s="14">
        <v>0</v>
      </c>
      <c r="BM317" s="163">
        <v>0</v>
      </c>
      <c r="BN317" s="26">
        <v>0</v>
      </c>
      <c r="BO317" s="14">
        <v>0</v>
      </c>
      <c r="BP317" s="12">
        <v>133</v>
      </c>
      <c r="BQ317" s="163">
        <v>1</v>
      </c>
      <c r="BR317" s="14">
        <v>0</v>
      </c>
      <c r="BS317" s="163">
        <v>0</v>
      </c>
      <c r="BT317" s="163">
        <v>0</v>
      </c>
      <c r="BU317" s="26">
        <v>0</v>
      </c>
      <c r="BV317" s="14">
        <v>0</v>
      </c>
      <c r="BW317" s="209"/>
      <c r="BX317" s="3"/>
      <c r="BY317" s="3"/>
      <c r="BZ317" s="40"/>
      <c r="CA317" s="209"/>
      <c r="CB317" s="3"/>
      <c r="CC317" s="3"/>
      <c r="CD317" s="3"/>
      <c r="CE317" s="209"/>
      <c r="CF317" s="3"/>
      <c r="CG317" s="3"/>
      <c r="CH317" s="40"/>
      <c r="CI317" s="209"/>
      <c r="CJ317" s="3"/>
      <c r="CK317" s="3"/>
      <c r="CL317" s="209"/>
      <c r="CM317" s="3"/>
      <c r="CN317" s="3"/>
      <c r="CO317" s="3"/>
      <c r="CP317" s="40"/>
      <c r="CQ317" s="209"/>
      <c r="CR317" s="40"/>
      <c r="CS317" s="3"/>
      <c r="CT317" s="3"/>
    </row>
    <row r="318" spans="1:98">
      <c r="A318" s="42" t="s">
        <v>322</v>
      </c>
      <c r="B318" s="173" t="s">
        <v>193</v>
      </c>
      <c r="C318" s="12"/>
      <c r="D318" s="14" t="s">
        <v>203</v>
      </c>
      <c r="E318" s="12"/>
      <c r="F318" s="12">
        <v>7</v>
      </c>
      <c r="G318" s="14">
        <v>1</v>
      </c>
      <c r="H318" s="163">
        <v>0</v>
      </c>
      <c r="I318" s="163">
        <v>1</v>
      </c>
      <c r="J318" s="12">
        <v>101</v>
      </c>
      <c r="K318" s="14">
        <v>217</v>
      </c>
      <c r="L318" s="26">
        <v>1898</v>
      </c>
      <c r="M318" s="14">
        <v>0</v>
      </c>
      <c r="N318" s="163">
        <v>883</v>
      </c>
      <c r="O318" s="14">
        <v>0</v>
      </c>
      <c r="P318" s="26">
        <v>0</v>
      </c>
      <c r="Q318" s="12">
        <v>2505</v>
      </c>
      <c r="R318" s="209">
        <v>1.7791193181818181</v>
      </c>
      <c r="S318" s="14">
        <v>1</v>
      </c>
      <c r="T318" s="163">
        <v>1</v>
      </c>
      <c r="U318" s="163">
        <v>0</v>
      </c>
      <c r="V318" s="26">
        <v>0</v>
      </c>
      <c r="W318" s="14">
        <v>1100</v>
      </c>
      <c r="X318" s="14">
        <v>1</v>
      </c>
      <c r="Y318" s="163">
        <v>1</v>
      </c>
      <c r="Z318" s="163">
        <v>0</v>
      </c>
      <c r="AA318" s="26">
        <v>0</v>
      </c>
      <c r="AB318" s="12">
        <v>1100</v>
      </c>
      <c r="AC318" s="14">
        <v>1</v>
      </c>
      <c r="AD318" s="14">
        <v>0</v>
      </c>
      <c r="AE318" s="163">
        <v>1</v>
      </c>
      <c r="AF318" s="163">
        <v>0</v>
      </c>
      <c r="AG318" s="26">
        <v>0</v>
      </c>
      <c r="AH318" s="14">
        <v>100</v>
      </c>
      <c r="AI318" s="14">
        <v>0</v>
      </c>
      <c r="AJ318" s="163">
        <v>0</v>
      </c>
      <c r="AK318" s="163">
        <v>0</v>
      </c>
      <c r="AL318" s="26">
        <v>0</v>
      </c>
      <c r="AM318" s="12">
        <v>0</v>
      </c>
      <c r="AN318" s="14">
        <v>0</v>
      </c>
      <c r="AO318" s="163">
        <v>0</v>
      </c>
      <c r="AP318" s="163">
        <v>0</v>
      </c>
      <c r="AQ318" s="163">
        <v>0</v>
      </c>
      <c r="AR318" s="163">
        <v>0</v>
      </c>
      <c r="AS318" s="14">
        <v>1</v>
      </c>
      <c r="AT318" s="163">
        <v>0</v>
      </c>
      <c r="AU318" s="163">
        <v>0</v>
      </c>
      <c r="AV318" s="163">
        <v>1</v>
      </c>
      <c r="AW318" s="26">
        <v>0</v>
      </c>
      <c r="AX318" s="14">
        <v>2</v>
      </c>
      <c r="AY318" s="14">
        <v>0</v>
      </c>
      <c r="AZ318" s="163">
        <v>0</v>
      </c>
      <c r="BA318" s="163">
        <v>0</v>
      </c>
      <c r="BB318" s="26">
        <v>1</v>
      </c>
      <c r="BC318" s="12">
        <v>1</v>
      </c>
      <c r="BD318" s="14">
        <v>0</v>
      </c>
      <c r="BE318" s="163">
        <v>0</v>
      </c>
      <c r="BF318" s="163">
        <v>0</v>
      </c>
      <c r="BG318" s="163">
        <v>0</v>
      </c>
      <c r="BH318" s="163">
        <v>0</v>
      </c>
      <c r="BI318" s="14">
        <v>1</v>
      </c>
      <c r="BJ318" s="163">
        <v>1</v>
      </c>
      <c r="BK318" s="26">
        <v>0</v>
      </c>
      <c r="BL318" s="14">
        <v>0</v>
      </c>
      <c r="BM318" s="163">
        <v>0</v>
      </c>
      <c r="BN318" s="26">
        <v>0</v>
      </c>
      <c r="BO318" s="14">
        <v>1</v>
      </c>
      <c r="BP318" s="12">
        <v>117</v>
      </c>
      <c r="BQ318" s="163">
        <v>1</v>
      </c>
      <c r="BR318" s="14">
        <v>0</v>
      </c>
      <c r="BS318" s="163">
        <v>0</v>
      </c>
      <c r="BT318" s="163">
        <v>0</v>
      </c>
      <c r="BU318" s="26">
        <v>0</v>
      </c>
      <c r="BV318" s="14">
        <v>0</v>
      </c>
      <c r="BW318" s="209"/>
      <c r="BX318" s="3"/>
      <c r="BY318" s="3"/>
      <c r="BZ318" s="40"/>
      <c r="CA318" s="209"/>
      <c r="CB318" s="3"/>
      <c r="CC318" s="3"/>
      <c r="CD318" s="3"/>
      <c r="CE318" s="209"/>
      <c r="CF318" s="3"/>
      <c r="CG318" s="3"/>
      <c r="CH318" s="40"/>
      <c r="CI318" s="209"/>
      <c r="CJ318" s="3"/>
      <c r="CK318" s="3"/>
      <c r="CL318" s="209"/>
      <c r="CM318" s="3"/>
      <c r="CN318" s="3"/>
      <c r="CO318" s="3"/>
      <c r="CP318" s="40"/>
      <c r="CQ318" s="209"/>
      <c r="CR318" s="40"/>
      <c r="CS318" s="3"/>
      <c r="CT318" s="3"/>
    </row>
    <row r="319" spans="1:98">
      <c r="A319" s="42" t="s">
        <v>322</v>
      </c>
      <c r="B319" s="173" t="s">
        <v>193</v>
      </c>
      <c r="C319" s="12"/>
      <c r="D319" s="14" t="s">
        <v>204</v>
      </c>
      <c r="E319" s="12"/>
      <c r="F319" s="12">
        <v>9</v>
      </c>
      <c r="G319" s="14">
        <v>1</v>
      </c>
      <c r="H319" s="163">
        <v>0</v>
      </c>
      <c r="I319" s="163">
        <v>1</v>
      </c>
      <c r="J319" s="12">
        <v>101</v>
      </c>
      <c r="K319" s="14">
        <v>329</v>
      </c>
      <c r="L319" s="26">
        <v>1036</v>
      </c>
      <c r="M319" s="14">
        <v>330</v>
      </c>
      <c r="N319" s="163">
        <v>2397</v>
      </c>
      <c r="O319" s="14">
        <v>0</v>
      </c>
      <c r="P319" s="26">
        <v>0</v>
      </c>
      <c r="Q319" s="12">
        <v>3688</v>
      </c>
      <c r="R319" s="209">
        <v>2.5754189944134076</v>
      </c>
      <c r="S319" s="14">
        <v>1</v>
      </c>
      <c r="T319" s="163">
        <v>1</v>
      </c>
      <c r="U319" s="163">
        <v>0</v>
      </c>
      <c r="V319" s="26">
        <v>0</v>
      </c>
      <c r="W319" s="14">
        <v>1100</v>
      </c>
      <c r="X319" s="14">
        <v>1</v>
      </c>
      <c r="Y319" s="163">
        <v>0</v>
      </c>
      <c r="Z319" s="163">
        <v>1</v>
      </c>
      <c r="AA319" s="26">
        <v>0</v>
      </c>
      <c r="AB319" s="12">
        <v>1010</v>
      </c>
      <c r="AC319" s="14">
        <v>1</v>
      </c>
      <c r="AD319" s="14">
        <v>0</v>
      </c>
      <c r="AE319" s="163">
        <v>1</v>
      </c>
      <c r="AF319" s="163">
        <v>0</v>
      </c>
      <c r="AG319" s="26">
        <v>1</v>
      </c>
      <c r="AH319" s="14">
        <v>101</v>
      </c>
      <c r="AI319" s="14">
        <v>0</v>
      </c>
      <c r="AJ319" s="163">
        <v>0</v>
      </c>
      <c r="AK319" s="163">
        <v>0</v>
      </c>
      <c r="AL319" s="26">
        <v>0</v>
      </c>
      <c r="AM319" s="12">
        <v>0</v>
      </c>
      <c r="AN319" s="14">
        <v>0</v>
      </c>
      <c r="AO319" s="163">
        <v>0</v>
      </c>
      <c r="AP319" s="163">
        <v>0</v>
      </c>
      <c r="AQ319" s="163">
        <v>0</v>
      </c>
      <c r="AR319" s="163">
        <v>0</v>
      </c>
      <c r="AS319" s="14">
        <v>0</v>
      </c>
      <c r="AT319" s="163">
        <v>0</v>
      </c>
      <c r="AU319" s="163">
        <v>0</v>
      </c>
      <c r="AV319" s="163">
        <v>1</v>
      </c>
      <c r="AW319" s="26">
        <v>0</v>
      </c>
      <c r="AX319" s="14">
        <v>1</v>
      </c>
      <c r="AY319" s="14">
        <v>0</v>
      </c>
      <c r="AZ319" s="163">
        <v>0</v>
      </c>
      <c r="BA319" s="163">
        <v>0</v>
      </c>
      <c r="BB319" s="26">
        <v>1</v>
      </c>
      <c r="BC319" s="12">
        <v>1</v>
      </c>
      <c r="BD319" s="14">
        <v>0</v>
      </c>
      <c r="BE319" s="163">
        <v>0</v>
      </c>
      <c r="BF319" s="163">
        <v>0</v>
      </c>
      <c r="BG319" s="163">
        <v>0</v>
      </c>
      <c r="BH319" s="163">
        <v>0</v>
      </c>
      <c r="BI319" s="14">
        <v>1</v>
      </c>
      <c r="BJ319" s="163">
        <v>1</v>
      </c>
      <c r="BK319" s="26">
        <v>0</v>
      </c>
      <c r="BL319" s="14">
        <v>0</v>
      </c>
      <c r="BM319" s="163">
        <v>0</v>
      </c>
      <c r="BN319" s="26">
        <v>0</v>
      </c>
      <c r="BO319" s="14">
        <v>1</v>
      </c>
      <c r="BP319" s="12">
        <v>123</v>
      </c>
      <c r="BQ319" s="163">
        <v>1</v>
      </c>
      <c r="BR319" s="14">
        <v>0</v>
      </c>
      <c r="BS319" s="163">
        <v>0</v>
      </c>
      <c r="BT319" s="163">
        <v>0</v>
      </c>
      <c r="BU319" s="26">
        <v>0</v>
      </c>
      <c r="BV319" s="14">
        <v>0</v>
      </c>
      <c r="BW319" s="209"/>
      <c r="BX319" s="3"/>
      <c r="BY319" s="3"/>
      <c r="BZ319" s="40"/>
      <c r="CA319" s="209"/>
      <c r="CB319" s="3"/>
      <c r="CC319" s="3"/>
      <c r="CD319" s="3"/>
      <c r="CE319" s="209"/>
      <c r="CF319" s="3"/>
      <c r="CG319" s="3"/>
      <c r="CH319" s="40"/>
      <c r="CI319" s="209"/>
      <c r="CJ319" s="3"/>
      <c r="CK319" s="3"/>
      <c r="CL319" s="209">
        <v>79.854142108973278</v>
      </c>
      <c r="CM319" s="3"/>
      <c r="CN319" s="3"/>
      <c r="CO319" s="3"/>
      <c r="CP319" s="40"/>
      <c r="CQ319" s="209">
        <v>79.935311586327259</v>
      </c>
      <c r="CR319" s="40"/>
      <c r="CS319" s="3"/>
      <c r="CT319" s="3"/>
    </row>
    <row r="320" spans="1:98">
      <c r="A320" s="42" t="s">
        <v>322</v>
      </c>
      <c r="B320" s="173" t="s">
        <v>193</v>
      </c>
      <c r="C320" s="12"/>
      <c r="D320" s="14" t="s">
        <v>129</v>
      </c>
      <c r="E320" s="12"/>
      <c r="F320" s="12">
        <v>12</v>
      </c>
      <c r="G320" s="14">
        <v>0</v>
      </c>
      <c r="H320" s="163">
        <v>0</v>
      </c>
      <c r="I320" s="163">
        <v>1</v>
      </c>
      <c r="J320" s="12">
        <v>1</v>
      </c>
      <c r="K320" s="14">
        <v>119</v>
      </c>
      <c r="L320" s="26">
        <v>1352</v>
      </c>
      <c r="M320" s="14">
        <v>296</v>
      </c>
      <c r="N320" s="163">
        <v>782</v>
      </c>
      <c r="O320" s="14">
        <v>0</v>
      </c>
      <c r="P320" s="26">
        <v>0</v>
      </c>
      <c r="Q320" s="12">
        <v>1797</v>
      </c>
      <c r="R320" s="209">
        <v>1.3291420118343196</v>
      </c>
      <c r="S320" s="14">
        <v>1</v>
      </c>
      <c r="T320" s="163">
        <v>1</v>
      </c>
      <c r="U320" s="163">
        <v>0</v>
      </c>
      <c r="V320" s="26">
        <v>0</v>
      </c>
      <c r="W320" s="14">
        <v>1100</v>
      </c>
      <c r="X320" s="14">
        <v>1</v>
      </c>
      <c r="Y320" s="163">
        <v>1</v>
      </c>
      <c r="Z320" s="163">
        <v>0</v>
      </c>
      <c r="AA320" s="26">
        <v>0</v>
      </c>
      <c r="AB320" s="12">
        <v>1100</v>
      </c>
      <c r="AC320" s="14">
        <v>1</v>
      </c>
      <c r="AD320" s="14">
        <v>0</v>
      </c>
      <c r="AE320" s="163">
        <v>1</v>
      </c>
      <c r="AF320" s="163">
        <v>0</v>
      </c>
      <c r="AG320" s="26">
        <v>0</v>
      </c>
      <c r="AH320" s="14">
        <v>100</v>
      </c>
      <c r="AI320" s="14">
        <v>0</v>
      </c>
      <c r="AJ320" s="163">
        <v>0</v>
      </c>
      <c r="AK320" s="163">
        <v>0</v>
      </c>
      <c r="AL320" s="26">
        <v>0</v>
      </c>
      <c r="AM320" s="12">
        <v>0</v>
      </c>
      <c r="AN320" s="14">
        <v>0</v>
      </c>
      <c r="AO320" s="163">
        <v>0</v>
      </c>
      <c r="AP320" s="163">
        <v>0</v>
      </c>
      <c r="AQ320" s="163">
        <v>0</v>
      </c>
      <c r="AR320" s="163">
        <v>0</v>
      </c>
      <c r="AS320" s="14">
        <v>0</v>
      </c>
      <c r="AT320" s="163">
        <v>1</v>
      </c>
      <c r="AU320" s="163">
        <v>0</v>
      </c>
      <c r="AV320" s="163">
        <v>1</v>
      </c>
      <c r="AW320" s="26">
        <v>0</v>
      </c>
      <c r="AX320" s="14">
        <v>2</v>
      </c>
      <c r="AY320" s="14">
        <v>0</v>
      </c>
      <c r="AZ320" s="163">
        <v>0</v>
      </c>
      <c r="BA320" s="163">
        <v>0</v>
      </c>
      <c r="BB320" s="26">
        <v>1</v>
      </c>
      <c r="BC320" s="12">
        <v>1</v>
      </c>
      <c r="BD320" s="14">
        <v>0</v>
      </c>
      <c r="BE320" s="163">
        <v>0</v>
      </c>
      <c r="BF320" s="163">
        <v>0</v>
      </c>
      <c r="BG320" s="163">
        <v>0</v>
      </c>
      <c r="BH320" s="163">
        <v>0</v>
      </c>
      <c r="BI320" s="14">
        <v>1</v>
      </c>
      <c r="BJ320" s="163">
        <v>1</v>
      </c>
      <c r="BK320" s="26">
        <v>0</v>
      </c>
      <c r="BL320" s="14">
        <v>0</v>
      </c>
      <c r="BM320" s="163">
        <v>0</v>
      </c>
      <c r="BN320" s="26">
        <v>0</v>
      </c>
      <c r="BO320" s="14">
        <v>1</v>
      </c>
      <c r="BP320" s="12">
        <v>104</v>
      </c>
      <c r="BQ320" s="163">
        <v>2</v>
      </c>
      <c r="BR320" s="14">
        <v>0</v>
      </c>
      <c r="BS320" s="163">
        <v>0</v>
      </c>
      <c r="BT320" s="163">
        <v>0</v>
      </c>
      <c r="BU320" s="26">
        <v>0</v>
      </c>
      <c r="BV320" s="14">
        <v>0</v>
      </c>
      <c r="BW320" s="209"/>
      <c r="BX320" s="3"/>
      <c r="BY320" s="3"/>
      <c r="BZ320" s="40"/>
      <c r="CA320" s="209"/>
      <c r="CB320" s="3"/>
      <c r="CC320" s="3"/>
      <c r="CD320" s="3"/>
      <c r="CE320" s="209"/>
      <c r="CF320" s="3"/>
      <c r="CG320" s="3"/>
      <c r="CH320" s="40"/>
      <c r="CI320" s="209"/>
      <c r="CJ320" s="3"/>
      <c r="CK320" s="3"/>
      <c r="CL320" s="209"/>
      <c r="CM320" s="3"/>
      <c r="CN320" s="3"/>
      <c r="CO320" s="3"/>
      <c r="CP320" s="40"/>
      <c r="CQ320" s="209"/>
      <c r="CR320" s="40"/>
      <c r="CS320" s="3"/>
      <c r="CT320" s="3"/>
    </row>
    <row r="321" spans="1:98">
      <c r="A321" s="42" t="s">
        <v>322</v>
      </c>
      <c r="B321" s="173" t="s">
        <v>193</v>
      </c>
      <c r="C321" s="12"/>
      <c r="D321" s="14" t="s">
        <v>378</v>
      </c>
      <c r="E321" s="12"/>
      <c r="F321" s="12">
        <v>10</v>
      </c>
      <c r="G321" s="14">
        <v>1</v>
      </c>
      <c r="H321" s="163">
        <v>0</v>
      </c>
      <c r="I321" s="163">
        <v>1</v>
      </c>
      <c r="J321" s="12">
        <v>101</v>
      </c>
      <c r="K321" s="14">
        <v>263</v>
      </c>
      <c r="L321" s="26">
        <v>1131</v>
      </c>
      <c r="M321" s="14">
        <v>150</v>
      </c>
      <c r="N321" s="163">
        <v>1124</v>
      </c>
      <c r="O321" s="14">
        <v>0</v>
      </c>
      <c r="P321" s="26">
        <v>0</v>
      </c>
      <c r="Q321" s="12">
        <v>2768</v>
      </c>
      <c r="R321" s="209">
        <v>1.8258575197889182</v>
      </c>
      <c r="S321" s="14">
        <v>1</v>
      </c>
      <c r="T321" s="163">
        <v>1</v>
      </c>
      <c r="U321" s="163">
        <v>0</v>
      </c>
      <c r="V321" s="26">
        <v>0</v>
      </c>
      <c r="W321" s="14">
        <v>1100</v>
      </c>
      <c r="X321" s="14">
        <v>1</v>
      </c>
      <c r="Y321" s="163">
        <v>0</v>
      </c>
      <c r="Z321" s="163">
        <v>0</v>
      </c>
      <c r="AA321" s="26">
        <v>1</v>
      </c>
      <c r="AB321" s="12">
        <v>1001</v>
      </c>
      <c r="AC321" s="14">
        <v>1</v>
      </c>
      <c r="AD321" s="14">
        <v>0</v>
      </c>
      <c r="AE321" s="163">
        <v>1</v>
      </c>
      <c r="AF321" s="163">
        <v>1</v>
      </c>
      <c r="AG321" s="26">
        <v>0</v>
      </c>
      <c r="AH321" s="14">
        <v>110</v>
      </c>
      <c r="AI321" s="14">
        <v>0</v>
      </c>
      <c r="AJ321" s="163">
        <v>0</v>
      </c>
      <c r="AK321" s="163">
        <v>0</v>
      </c>
      <c r="AL321" s="26">
        <v>0</v>
      </c>
      <c r="AM321" s="12">
        <v>0</v>
      </c>
      <c r="AN321" s="14">
        <v>0</v>
      </c>
      <c r="AO321" s="163">
        <v>0</v>
      </c>
      <c r="AP321" s="163">
        <v>0</v>
      </c>
      <c r="AQ321" s="163">
        <v>0</v>
      </c>
      <c r="AR321" s="163">
        <v>0</v>
      </c>
      <c r="AS321" s="14">
        <v>1</v>
      </c>
      <c r="AT321" s="163">
        <v>1</v>
      </c>
      <c r="AU321" s="163">
        <v>0</v>
      </c>
      <c r="AV321" s="163">
        <v>1</v>
      </c>
      <c r="AW321" s="26">
        <v>0</v>
      </c>
      <c r="AX321" s="14">
        <v>3</v>
      </c>
      <c r="AY321" s="14">
        <v>0</v>
      </c>
      <c r="AZ321" s="163">
        <v>0</v>
      </c>
      <c r="BA321" s="163">
        <v>0</v>
      </c>
      <c r="BB321" s="26">
        <v>0</v>
      </c>
      <c r="BC321" s="12">
        <v>0</v>
      </c>
      <c r="BD321" s="14">
        <v>0</v>
      </c>
      <c r="BE321" s="163">
        <v>0</v>
      </c>
      <c r="BF321" s="163">
        <v>0</v>
      </c>
      <c r="BG321" s="163">
        <v>0</v>
      </c>
      <c r="BH321" s="163">
        <v>0</v>
      </c>
      <c r="BI321" s="14">
        <v>1</v>
      </c>
      <c r="BJ321" s="163">
        <v>1</v>
      </c>
      <c r="BK321" s="26">
        <v>0</v>
      </c>
      <c r="BL321" s="14">
        <v>1</v>
      </c>
      <c r="BM321" s="163">
        <v>1</v>
      </c>
      <c r="BN321" s="26">
        <v>0</v>
      </c>
      <c r="BO321" s="14">
        <v>0</v>
      </c>
      <c r="BP321" s="12">
        <v>134</v>
      </c>
      <c r="BQ321" s="163">
        <v>1</v>
      </c>
      <c r="BR321" s="14">
        <v>0</v>
      </c>
      <c r="BS321" s="163">
        <v>0</v>
      </c>
      <c r="BT321" s="163">
        <v>0</v>
      </c>
      <c r="BU321" s="26">
        <v>1</v>
      </c>
      <c r="BV321" s="14">
        <v>1</v>
      </c>
      <c r="BW321" s="209"/>
      <c r="BX321" s="3"/>
      <c r="BY321" s="3"/>
      <c r="BZ321" s="40"/>
      <c r="CA321" s="209"/>
      <c r="CB321" s="3"/>
      <c r="CC321" s="3"/>
      <c r="CD321" s="3"/>
      <c r="CE321" s="209"/>
      <c r="CF321" s="3"/>
      <c r="CG321" s="3"/>
      <c r="CH321" s="40"/>
      <c r="CI321" s="209"/>
      <c r="CJ321" s="3"/>
      <c r="CK321" s="3"/>
      <c r="CL321" s="209">
        <v>79.712729451370379</v>
      </c>
      <c r="CM321" s="3"/>
      <c r="CN321" s="3"/>
      <c r="CO321" s="3"/>
      <c r="CP321" s="40"/>
      <c r="CQ321" s="209">
        <v>79.495190568770141</v>
      </c>
      <c r="CR321" s="40"/>
      <c r="CS321" s="3"/>
      <c r="CT321" s="3"/>
    </row>
    <row r="322" spans="1:98">
      <c r="A322" s="42" t="s">
        <v>322</v>
      </c>
      <c r="B322" s="173" t="s">
        <v>193</v>
      </c>
      <c r="C322" s="12"/>
      <c r="D322" s="14" t="s">
        <v>176</v>
      </c>
      <c r="E322" s="12"/>
      <c r="F322" s="12">
        <v>5</v>
      </c>
      <c r="G322" s="14">
        <v>1</v>
      </c>
      <c r="H322" s="163">
        <v>1</v>
      </c>
      <c r="I322" s="163">
        <v>1</v>
      </c>
      <c r="J322" s="12">
        <v>111</v>
      </c>
      <c r="K322" s="14">
        <v>252</v>
      </c>
      <c r="L322" s="26">
        <v>1663</v>
      </c>
      <c r="M322" s="14">
        <v>0</v>
      </c>
      <c r="N322" s="163">
        <v>681</v>
      </c>
      <c r="O322" s="14">
        <v>0</v>
      </c>
      <c r="P322" s="26">
        <v>0</v>
      </c>
      <c r="Q322" s="12">
        <v>2170</v>
      </c>
      <c r="R322" s="209">
        <v>2.4464487034949269</v>
      </c>
      <c r="S322" s="14">
        <v>1</v>
      </c>
      <c r="T322" s="163">
        <v>1</v>
      </c>
      <c r="U322" s="163">
        <v>0</v>
      </c>
      <c r="V322" s="26">
        <v>0</v>
      </c>
      <c r="W322" s="14">
        <v>1100</v>
      </c>
      <c r="X322" s="14">
        <v>1</v>
      </c>
      <c r="Y322" s="163">
        <v>0</v>
      </c>
      <c r="Z322" s="163">
        <v>0</v>
      </c>
      <c r="AA322" s="26">
        <v>0</v>
      </c>
      <c r="AB322" s="12">
        <v>1000</v>
      </c>
      <c r="AC322" s="14">
        <v>1</v>
      </c>
      <c r="AD322" s="14">
        <v>0</v>
      </c>
      <c r="AE322" s="163">
        <v>0</v>
      </c>
      <c r="AF322" s="163">
        <v>0</v>
      </c>
      <c r="AG322" s="26">
        <v>1</v>
      </c>
      <c r="AH322" s="14">
        <v>1</v>
      </c>
      <c r="AI322" s="14">
        <v>0</v>
      </c>
      <c r="AJ322" s="163">
        <v>0</v>
      </c>
      <c r="AK322" s="163">
        <v>0</v>
      </c>
      <c r="AL322" s="26">
        <v>0</v>
      </c>
      <c r="AM322" s="12">
        <v>0</v>
      </c>
      <c r="AN322" s="14">
        <v>0</v>
      </c>
      <c r="AO322" s="163">
        <v>0</v>
      </c>
      <c r="AP322" s="163">
        <v>0</v>
      </c>
      <c r="AQ322" s="163">
        <v>0</v>
      </c>
      <c r="AR322" s="163">
        <v>0</v>
      </c>
      <c r="AS322" s="14">
        <v>1</v>
      </c>
      <c r="AT322" s="163">
        <v>0</v>
      </c>
      <c r="AU322" s="163">
        <v>0</v>
      </c>
      <c r="AV322" s="163">
        <v>1</v>
      </c>
      <c r="AW322" s="26">
        <v>0</v>
      </c>
      <c r="AX322" s="14">
        <v>2</v>
      </c>
      <c r="AY322" s="14">
        <v>0</v>
      </c>
      <c r="AZ322" s="163">
        <v>0</v>
      </c>
      <c r="BA322" s="163">
        <v>0</v>
      </c>
      <c r="BB322" s="26">
        <v>1</v>
      </c>
      <c r="BC322" s="12">
        <v>1</v>
      </c>
      <c r="BD322" s="14">
        <v>0</v>
      </c>
      <c r="BE322" s="163">
        <v>0</v>
      </c>
      <c r="BF322" s="163">
        <v>0</v>
      </c>
      <c r="BG322" s="163">
        <v>0</v>
      </c>
      <c r="BH322" s="163">
        <v>0</v>
      </c>
      <c r="BI322" s="14">
        <v>1</v>
      </c>
      <c r="BJ322" s="163">
        <v>1</v>
      </c>
      <c r="BK322" s="26">
        <v>0</v>
      </c>
      <c r="BL322" s="14">
        <v>0</v>
      </c>
      <c r="BM322" s="163">
        <v>0</v>
      </c>
      <c r="BN322" s="26">
        <v>0</v>
      </c>
      <c r="BO322" s="14">
        <v>1</v>
      </c>
      <c r="BP322" s="12">
        <v>115</v>
      </c>
      <c r="BQ322" s="163">
        <v>2</v>
      </c>
      <c r="BR322" s="14">
        <v>0</v>
      </c>
      <c r="BS322" s="163">
        <v>0</v>
      </c>
      <c r="BT322" s="163">
        <v>0</v>
      </c>
      <c r="BU322" s="26">
        <v>0</v>
      </c>
      <c r="BV322" s="14">
        <v>0</v>
      </c>
      <c r="BW322" s="209"/>
      <c r="BX322" s="3"/>
      <c r="BY322" s="3"/>
      <c r="BZ322" s="40"/>
      <c r="CA322" s="209"/>
      <c r="CB322" s="3"/>
      <c r="CC322" s="3"/>
      <c r="CD322" s="3"/>
      <c r="CE322" s="209"/>
      <c r="CF322" s="3"/>
      <c r="CG322" s="3"/>
      <c r="CH322" s="40"/>
      <c r="CI322" s="209"/>
      <c r="CJ322" s="3"/>
      <c r="CK322" s="3"/>
      <c r="CL322" s="209"/>
      <c r="CM322" s="3"/>
      <c r="CN322" s="3"/>
      <c r="CO322" s="3"/>
      <c r="CP322" s="40"/>
      <c r="CQ322" s="209"/>
      <c r="CR322" s="40"/>
      <c r="CS322" s="3"/>
      <c r="CT322" s="3"/>
    </row>
    <row r="323" spans="1:98">
      <c r="A323" s="42" t="s">
        <v>322</v>
      </c>
      <c r="B323" s="173" t="s">
        <v>193</v>
      </c>
      <c r="C323" s="12"/>
      <c r="D323" s="14" t="s">
        <v>405</v>
      </c>
      <c r="E323" s="12"/>
      <c r="F323" s="12">
        <v>9</v>
      </c>
      <c r="G323" s="14">
        <v>0</v>
      </c>
      <c r="H323" s="163">
        <v>0</v>
      </c>
      <c r="I323" s="163">
        <v>1</v>
      </c>
      <c r="J323" s="12">
        <v>1</v>
      </c>
      <c r="K323" s="14">
        <v>221</v>
      </c>
      <c r="L323" s="26">
        <v>1074</v>
      </c>
      <c r="M323" s="14">
        <v>555</v>
      </c>
      <c r="N323" s="163">
        <v>1034</v>
      </c>
      <c r="O323" s="14">
        <v>0</v>
      </c>
      <c r="P323" s="26">
        <v>0</v>
      </c>
      <c r="Q323" s="12">
        <v>1824</v>
      </c>
      <c r="R323" s="209">
        <v>1.8240000000000001</v>
      </c>
      <c r="S323" s="14">
        <v>1</v>
      </c>
      <c r="T323" s="163">
        <v>1</v>
      </c>
      <c r="U323" s="163">
        <v>0</v>
      </c>
      <c r="V323" s="26">
        <v>0</v>
      </c>
      <c r="W323" s="14">
        <v>1100</v>
      </c>
      <c r="X323" s="14">
        <v>1</v>
      </c>
      <c r="Y323" s="163">
        <v>0</v>
      </c>
      <c r="Z323" s="163">
        <v>0</v>
      </c>
      <c r="AA323" s="26">
        <v>0</v>
      </c>
      <c r="AB323" s="12">
        <v>1000</v>
      </c>
      <c r="AC323" s="14">
        <v>1</v>
      </c>
      <c r="AD323" s="14">
        <v>0</v>
      </c>
      <c r="AE323" s="163">
        <v>1</v>
      </c>
      <c r="AF323" s="163">
        <v>0</v>
      </c>
      <c r="AG323" s="26">
        <v>0</v>
      </c>
      <c r="AH323" s="14">
        <v>100</v>
      </c>
      <c r="AI323" s="14">
        <v>0</v>
      </c>
      <c r="AJ323" s="163">
        <v>0</v>
      </c>
      <c r="AK323" s="163">
        <v>0</v>
      </c>
      <c r="AL323" s="26">
        <v>0</v>
      </c>
      <c r="AM323" s="12">
        <v>0</v>
      </c>
      <c r="AN323" s="14">
        <v>0</v>
      </c>
      <c r="AO323" s="163">
        <v>0</v>
      </c>
      <c r="AP323" s="163">
        <v>0</v>
      </c>
      <c r="AQ323" s="163">
        <v>0</v>
      </c>
      <c r="AR323" s="163">
        <v>0</v>
      </c>
      <c r="AS323" s="14">
        <v>1</v>
      </c>
      <c r="AT323" s="163">
        <v>0</v>
      </c>
      <c r="AU323" s="163">
        <v>0</v>
      </c>
      <c r="AV323" s="163">
        <v>1</v>
      </c>
      <c r="AW323" s="26">
        <v>0</v>
      </c>
      <c r="AX323" s="14">
        <v>2</v>
      </c>
      <c r="AY323" s="14">
        <v>0</v>
      </c>
      <c r="AZ323" s="163">
        <v>0</v>
      </c>
      <c r="BA323" s="163">
        <v>0</v>
      </c>
      <c r="BB323" s="26">
        <v>0</v>
      </c>
      <c r="BC323" s="12">
        <v>0</v>
      </c>
      <c r="BD323" s="14">
        <v>0</v>
      </c>
      <c r="BE323" s="163">
        <v>0</v>
      </c>
      <c r="BF323" s="163">
        <v>0</v>
      </c>
      <c r="BG323" s="163">
        <v>0</v>
      </c>
      <c r="BH323" s="163">
        <v>0</v>
      </c>
      <c r="BI323" s="14">
        <v>1</v>
      </c>
      <c r="BJ323" s="163">
        <v>1</v>
      </c>
      <c r="BK323" s="26">
        <v>0</v>
      </c>
      <c r="BL323" s="14">
        <v>0</v>
      </c>
      <c r="BM323" s="163">
        <v>0</v>
      </c>
      <c r="BN323" s="26">
        <v>0</v>
      </c>
      <c r="BO323" s="14">
        <v>0</v>
      </c>
      <c r="BP323" s="12">
        <v>125</v>
      </c>
      <c r="BQ323" s="163">
        <v>1</v>
      </c>
      <c r="BR323" s="14">
        <v>0</v>
      </c>
      <c r="BS323" s="163">
        <v>0</v>
      </c>
      <c r="BT323" s="163">
        <v>0</v>
      </c>
      <c r="BU323" s="26">
        <v>0</v>
      </c>
      <c r="BV323" s="14">
        <v>0</v>
      </c>
      <c r="BW323" s="209"/>
      <c r="BX323" s="3"/>
      <c r="BY323" s="3"/>
      <c r="BZ323" s="40"/>
      <c r="CA323" s="209"/>
      <c r="CB323" s="3"/>
      <c r="CC323" s="3"/>
      <c r="CD323" s="3"/>
      <c r="CE323" s="209"/>
      <c r="CF323" s="3"/>
      <c r="CG323" s="3"/>
      <c r="CH323" s="40"/>
      <c r="CI323" s="209"/>
      <c r="CJ323" s="3"/>
      <c r="CK323" s="3"/>
      <c r="CL323" s="209"/>
      <c r="CM323" s="3"/>
      <c r="CN323" s="3"/>
      <c r="CO323" s="3"/>
      <c r="CP323" s="40"/>
      <c r="CQ323" s="209"/>
      <c r="CR323" s="40"/>
      <c r="CS323" s="3"/>
      <c r="CT323" s="3"/>
    </row>
    <row r="324" spans="1:98">
      <c r="A324" s="42" t="s">
        <v>322</v>
      </c>
      <c r="B324" s="173" t="s">
        <v>193</v>
      </c>
      <c r="C324" s="12"/>
      <c r="D324" s="14" t="s">
        <v>406</v>
      </c>
      <c r="E324" s="12"/>
      <c r="F324" s="12">
        <v>18</v>
      </c>
      <c r="G324" s="14">
        <v>0</v>
      </c>
      <c r="H324" s="163">
        <v>0</v>
      </c>
      <c r="I324" s="163">
        <v>1</v>
      </c>
      <c r="J324" s="12">
        <v>1</v>
      </c>
      <c r="K324" s="14">
        <v>183</v>
      </c>
      <c r="L324" s="26">
        <v>2640</v>
      </c>
      <c r="M324" s="14">
        <v>246</v>
      </c>
      <c r="N324" s="163">
        <v>1460</v>
      </c>
      <c r="O324" s="14">
        <v>0</v>
      </c>
      <c r="P324" s="26">
        <v>0</v>
      </c>
      <c r="Q324" s="12">
        <v>4650</v>
      </c>
      <c r="R324" s="209">
        <v>1.7428785607196402</v>
      </c>
      <c r="S324" s="14">
        <v>1</v>
      </c>
      <c r="T324" s="163">
        <v>1</v>
      </c>
      <c r="U324" s="163">
        <v>0</v>
      </c>
      <c r="V324" s="26">
        <v>0</v>
      </c>
      <c r="W324" s="14">
        <v>1100</v>
      </c>
      <c r="X324" s="14">
        <v>0</v>
      </c>
      <c r="Y324" s="163">
        <v>1</v>
      </c>
      <c r="Z324" s="163">
        <v>0</v>
      </c>
      <c r="AA324" s="26">
        <v>0</v>
      </c>
      <c r="AB324" s="12">
        <v>100</v>
      </c>
      <c r="AC324" s="14">
        <v>1</v>
      </c>
      <c r="AD324" s="14">
        <v>0</v>
      </c>
      <c r="AE324" s="163">
        <v>1</v>
      </c>
      <c r="AF324" s="163">
        <v>1</v>
      </c>
      <c r="AG324" s="26">
        <v>0</v>
      </c>
      <c r="AH324" s="14">
        <v>110</v>
      </c>
      <c r="AI324" s="14">
        <v>0</v>
      </c>
      <c r="AJ324" s="163">
        <v>0</v>
      </c>
      <c r="AK324" s="163">
        <v>0</v>
      </c>
      <c r="AL324" s="26">
        <v>0</v>
      </c>
      <c r="AM324" s="12">
        <v>0</v>
      </c>
      <c r="AN324" s="14">
        <v>0</v>
      </c>
      <c r="AO324" s="163">
        <v>0</v>
      </c>
      <c r="AP324" s="163">
        <v>0</v>
      </c>
      <c r="AQ324" s="163">
        <v>0</v>
      </c>
      <c r="AR324" s="163">
        <v>0</v>
      </c>
      <c r="AS324" s="14">
        <v>1</v>
      </c>
      <c r="AT324" s="163">
        <v>0</v>
      </c>
      <c r="AU324" s="163">
        <v>0</v>
      </c>
      <c r="AV324" s="163">
        <v>1</v>
      </c>
      <c r="AW324" s="26">
        <v>0</v>
      </c>
      <c r="AX324" s="14">
        <v>2</v>
      </c>
      <c r="AY324" s="14">
        <v>0</v>
      </c>
      <c r="AZ324" s="163">
        <v>0</v>
      </c>
      <c r="BA324" s="163">
        <v>1</v>
      </c>
      <c r="BB324" s="26">
        <v>0</v>
      </c>
      <c r="BC324" s="12">
        <v>1</v>
      </c>
      <c r="BD324" s="14">
        <v>0</v>
      </c>
      <c r="BE324" s="163">
        <v>0</v>
      </c>
      <c r="BF324" s="163">
        <v>0</v>
      </c>
      <c r="BG324" s="163">
        <v>0</v>
      </c>
      <c r="BH324" s="163">
        <v>0</v>
      </c>
      <c r="BI324" s="14">
        <v>1</v>
      </c>
      <c r="BJ324" s="163">
        <v>1</v>
      </c>
      <c r="BK324" s="26">
        <v>0</v>
      </c>
      <c r="BL324" s="14">
        <v>0</v>
      </c>
      <c r="BM324" s="163">
        <v>0</v>
      </c>
      <c r="BN324" s="26">
        <v>0</v>
      </c>
      <c r="BO324" s="14">
        <v>1</v>
      </c>
      <c r="BP324" s="12">
        <v>123</v>
      </c>
      <c r="BQ324" s="163">
        <v>1</v>
      </c>
      <c r="BR324" s="14">
        <v>0</v>
      </c>
      <c r="BS324" s="163">
        <v>0</v>
      </c>
      <c r="BT324" s="163">
        <v>0</v>
      </c>
      <c r="BU324" s="26">
        <v>0</v>
      </c>
      <c r="BV324" s="14">
        <v>0</v>
      </c>
      <c r="BW324" s="209">
        <v>61.03</v>
      </c>
      <c r="BX324" s="3">
        <v>57.42</v>
      </c>
      <c r="BY324" s="3"/>
      <c r="BZ324" s="40"/>
      <c r="CA324" s="209"/>
      <c r="CB324" s="3"/>
      <c r="CC324" s="3"/>
      <c r="CD324" s="3"/>
      <c r="CE324" s="209">
        <v>60.98</v>
      </c>
      <c r="CF324" s="3">
        <v>60.59</v>
      </c>
      <c r="CG324" s="3"/>
      <c r="CH324" s="40"/>
      <c r="CI324" s="209"/>
      <c r="CJ324" s="3"/>
      <c r="CK324" s="3"/>
      <c r="CL324" s="209">
        <v>79.827500170827392</v>
      </c>
      <c r="CM324" s="3">
        <v>79.105327296960269</v>
      </c>
      <c r="CN324" s="3"/>
      <c r="CO324" s="3"/>
      <c r="CP324" s="40"/>
      <c r="CQ324" s="209"/>
      <c r="CR324" s="40"/>
      <c r="CS324" s="3"/>
      <c r="CT324" s="3"/>
    </row>
    <row r="325" spans="1:98">
      <c r="A325" s="42" t="s">
        <v>322</v>
      </c>
      <c r="B325" s="173" t="s">
        <v>193</v>
      </c>
      <c r="C325" s="12"/>
      <c r="D325" s="14" t="s">
        <v>168</v>
      </c>
      <c r="E325" s="12" t="s">
        <v>0</v>
      </c>
      <c r="F325" s="12">
        <v>7</v>
      </c>
      <c r="G325" s="14">
        <v>0</v>
      </c>
      <c r="H325" s="163">
        <v>0</v>
      </c>
      <c r="I325" s="163">
        <v>1</v>
      </c>
      <c r="J325" s="12">
        <v>1</v>
      </c>
      <c r="K325" s="14">
        <v>1050</v>
      </c>
      <c r="L325" s="26">
        <v>4226</v>
      </c>
      <c r="M325" s="14">
        <v>196</v>
      </c>
      <c r="N325" s="163">
        <v>639</v>
      </c>
      <c r="O325" s="14">
        <v>0</v>
      </c>
      <c r="P325" s="26">
        <v>0</v>
      </c>
      <c r="Q325" s="12">
        <v>5284</v>
      </c>
      <c r="R325" s="209">
        <v>3.9491778774289985</v>
      </c>
      <c r="S325" s="14">
        <v>1</v>
      </c>
      <c r="T325" s="163">
        <v>1</v>
      </c>
      <c r="U325" s="163">
        <v>0</v>
      </c>
      <c r="V325" s="26">
        <v>0</v>
      </c>
      <c r="W325" s="14">
        <v>1100</v>
      </c>
      <c r="X325" s="14">
        <v>1</v>
      </c>
      <c r="Y325" s="163">
        <v>1</v>
      </c>
      <c r="Z325" s="163">
        <v>0</v>
      </c>
      <c r="AA325" s="26">
        <v>0</v>
      </c>
      <c r="AB325" s="12">
        <v>1100</v>
      </c>
      <c r="AC325" s="14">
        <v>0</v>
      </c>
      <c r="AD325" s="14">
        <v>0</v>
      </c>
      <c r="AE325" s="163">
        <v>0</v>
      </c>
      <c r="AF325" s="163">
        <v>1</v>
      </c>
      <c r="AG325" s="26">
        <v>0</v>
      </c>
      <c r="AH325" s="14">
        <v>10</v>
      </c>
      <c r="AI325" s="14">
        <v>0</v>
      </c>
      <c r="AJ325" s="163">
        <v>0</v>
      </c>
      <c r="AK325" s="163">
        <v>0</v>
      </c>
      <c r="AL325" s="26">
        <v>0</v>
      </c>
      <c r="AM325" s="12">
        <v>0</v>
      </c>
      <c r="AN325" s="14">
        <v>0</v>
      </c>
      <c r="AO325" s="163">
        <v>0</v>
      </c>
      <c r="AP325" s="163">
        <v>0</v>
      </c>
      <c r="AQ325" s="163">
        <v>0</v>
      </c>
      <c r="AR325" s="163">
        <v>0</v>
      </c>
      <c r="AS325" s="14">
        <v>1</v>
      </c>
      <c r="AT325" s="163">
        <v>1</v>
      </c>
      <c r="AU325" s="163">
        <v>0</v>
      </c>
      <c r="AV325" s="163">
        <v>0</v>
      </c>
      <c r="AW325" s="26">
        <v>0</v>
      </c>
      <c r="AX325" s="14">
        <v>2</v>
      </c>
      <c r="AY325" s="14">
        <v>0</v>
      </c>
      <c r="AZ325" s="163">
        <v>0</v>
      </c>
      <c r="BA325" s="163">
        <v>0</v>
      </c>
      <c r="BB325" s="26">
        <v>1</v>
      </c>
      <c r="BC325" s="12">
        <v>1</v>
      </c>
      <c r="BD325" s="14">
        <v>0</v>
      </c>
      <c r="BE325" s="163">
        <v>0</v>
      </c>
      <c r="BF325" s="163">
        <v>0</v>
      </c>
      <c r="BG325" s="163">
        <v>0</v>
      </c>
      <c r="BH325" s="163">
        <v>0</v>
      </c>
      <c r="BI325" s="14">
        <v>1</v>
      </c>
      <c r="BJ325" s="163">
        <v>1</v>
      </c>
      <c r="BK325" s="26">
        <v>0</v>
      </c>
      <c r="BL325" s="14">
        <v>0</v>
      </c>
      <c r="BM325" s="163">
        <v>0</v>
      </c>
      <c r="BN325" s="26">
        <v>0</v>
      </c>
      <c r="BO325" s="14">
        <v>0</v>
      </c>
      <c r="BP325" s="12">
        <v>141</v>
      </c>
      <c r="BQ325" s="163">
        <v>2</v>
      </c>
      <c r="BR325" s="14">
        <v>0</v>
      </c>
      <c r="BS325" s="163">
        <v>0</v>
      </c>
      <c r="BT325" s="163">
        <v>0</v>
      </c>
      <c r="BU325" s="26">
        <v>1</v>
      </c>
      <c r="BV325" s="14">
        <v>1</v>
      </c>
      <c r="BW325" s="209"/>
      <c r="BX325" s="3"/>
      <c r="BY325" s="3"/>
      <c r="BZ325" s="40"/>
      <c r="CA325" s="209"/>
      <c r="CB325" s="3"/>
      <c r="CC325" s="3"/>
      <c r="CD325" s="3"/>
      <c r="CE325" s="209"/>
      <c r="CF325" s="3"/>
      <c r="CG325" s="3"/>
      <c r="CH325" s="40"/>
      <c r="CI325" s="209"/>
      <c r="CJ325" s="3"/>
      <c r="CK325" s="3"/>
      <c r="CL325" s="209"/>
      <c r="CM325" s="3"/>
      <c r="CN325" s="3"/>
      <c r="CO325" s="3"/>
      <c r="CP325" s="40"/>
      <c r="CQ325" s="209"/>
      <c r="CR325" s="40"/>
      <c r="CS325" s="3"/>
      <c r="CT325" s="3"/>
    </row>
    <row r="326" spans="1:98">
      <c r="A326" s="42" t="s">
        <v>322</v>
      </c>
      <c r="B326" s="173" t="s">
        <v>193</v>
      </c>
      <c r="C326" s="12"/>
      <c r="D326" s="14" t="s">
        <v>168</v>
      </c>
      <c r="E326" s="12" t="s">
        <v>1</v>
      </c>
      <c r="F326" s="12">
        <v>11</v>
      </c>
      <c r="G326" s="14">
        <v>1</v>
      </c>
      <c r="H326" s="163">
        <v>0</v>
      </c>
      <c r="I326" s="163">
        <v>1</v>
      </c>
      <c r="J326" s="12">
        <v>101</v>
      </c>
      <c r="K326" s="14">
        <v>225</v>
      </c>
      <c r="L326" s="26">
        <v>3678</v>
      </c>
      <c r="M326" s="14">
        <v>306</v>
      </c>
      <c r="N326" s="163">
        <v>1576</v>
      </c>
      <c r="O326" s="14">
        <v>0</v>
      </c>
      <c r="P326" s="26">
        <v>0</v>
      </c>
      <c r="Q326" s="12">
        <v>5470</v>
      </c>
      <c r="R326" s="209">
        <v>3.200702165008777</v>
      </c>
      <c r="S326" s="14">
        <v>1</v>
      </c>
      <c r="T326" s="163">
        <v>1</v>
      </c>
      <c r="U326" s="163">
        <v>0</v>
      </c>
      <c r="V326" s="26">
        <v>0</v>
      </c>
      <c r="W326" s="14">
        <v>1100</v>
      </c>
      <c r="X326" s="14">
        <v>1</v>
      </c>
      <c r="Y326" s="163">
        <v>1</v>
      </c>
      <c r="Z326" s="163">
        <v>0</v>
      </c>
      <c r="AA326" s="26">
        <v>0</v>
      </c>
      <c r="AB326" s="12">
        <v>1100</v>
      </c>
      <c r="AC326" s="14">
        <v>1</v>
      </c>
      <c r="AD326" s="14">
        <v>0</v>
      </c>
      <c r="AE326" s="163">
        <v>1</v>
      </c>
      <c r="AF326" s="163">
        <v>0</v>
      </c>
      <c r="AG326" s="26">
        <v>1</v>
      </c>
      <c r="AH326" s="14">
        <v>101</v>
      </c>
      <c r="AI326" s="14">
        <v>0</v>
      </c>
      <c r="AJ326" s="163">
        <v>0</v>
      </c>
      <c r="AK326" s="163">
        <v>0</v>
      </c>
      <c r="AL326" s="26">
        <v>0</v>
      </c>
      <c r="AM326" s="12">
        <v>0</v>
      </c>
      <c r="AN326" s="14">
        <v>0</v>
      </c>
      <c r="AO326" s="163">
        <v>0</v>
      </c>
      <c r="AP326" s="163">
        <v>0</v>
      </c>
      <c r="AQ326" s="163">
        <v>0</v>
      </c>
      <c r="AR326" s="163">
        <v>0</v>
      </c>
      <c r="AS326" s="14">
        <v>1</v>
      </c>
      <c r="AT326" s="163">
        <v>0</v>
      </c>
      <c r="AU326" s="163">
        <v>0</v>
      </c>
      <c r="AV326" s="163">
        <v>0</v>
      </c>
      <c r="AW326" s="26">
        <v>0</v>
      </c>
      <c r="AX326" s="14">
        <v>1</v>
      </c>
      <c r="AY326" s="14">
        <v>0</v>
      </c>
      <c r="AZ326" s="163">
        <v>0</v>
      </c>
      <c r="BA326" s="163">
        <v>0</v>
      </c>
      <c r="BB326" s="26">
        <v>0</v>
      </c>
      <c r="BC326" s="12">
        <v>0</v>
      </c>
      <c r="BD326" s="14">
        <v>0</v>
      </c>
      <c r="BE326" s="163">
        <v>0</v>
      </c>
      <c r="BF326" s="163">
        <v>0</v>
      </c>
      <c r="BG326" s="163">
        <v>0</v>
      </c>
      <c r="BH326" s="163">
        <v>0</v>
      </c>
      <c r="BI326" s="14">
        <v>1</v>
      </c>
      <c r="BJ326" s="163">
        <v>1</v>
      </c>
      <c r="BK326" s="26">
        <v>0</v>
      </c>
      <c r="BL326" s="14">
        <v>0</v>
      </c>
      <c r="BM326" s="163">
        <v>0</v>
      </c>
      <c r="BN326" s="26">
        <v>0</v>
      </c>
      <c r="BO326" s="14">
        <v>0</v>
      </c>
      <c r="BP326" s="12">
        <v>141</v>
      </c>
      <c r="BQ326" s="163">
        <v>1</v>
      </c>
      <c r="BR326" s="14">
        <v>0</v>
      </c>
      <c r="BS326" s="163">
        <v>0</v>
      </c>
      <c r="BT326" s="163">
        <v>0</v>
      </c>
      <c r="BU326" s="26">
        <v>0</v>
      </c>
      <c r="BV326" s="14">
        <v>0</v>
      </c>
      <c r="BW326" s="209"/>
      <c r="BX326" s="3"/>
      <c r="BY326" s="3"/>
      <c r="BZ326" s="40"/>
      <c r="CA326" s="209"/>
      <c r="CB326" s="3"/>
      <c r="CC326" s="3"/>
      <c r="CD326" s="3"/>
      <c r="CE326" s="209"/>
      <c r="CF326" s="3"/>
      <c r="CG326" s="3"/>
      <c r="CH326" s="40"/>
      <c r="CI326" s="209"/>
      <c r="CJ326" s="3"/>
      <c r="CK326" s="3"/>
      <c r="CL326" s="209"/>
      <c r="CM326" s="3"/>
      <c r="CN326" s="3"/>
      <c r="CO326" s="3"/>
      <c r="CP326" s="40"/>
      <c r="CQ326" s="209"/>
      <c r="CR326" s="40"/>
      <c r="CS326" s="3"/>
      <c r="CT326" s="3"/>
    </row>
    <row r="327" spans="1:98">
      <c r="A327" s="42" t="s">
        <v>322</v>
      </c>
      <c r="B327" s="173" t="s">
        <v>193</v>
      </c>
      <c r="C327" s="12"/>
      <c r="D327" s="14" t="s">
        <v>414</v>
      </c>
      <c r="E327" s="12"/>
      <c r="F327" s="12">
        <v>22</v>
      </c>
      <c r="G327" s="14">
        <v>1</v>
      </c>
      <c r="H327" s="163">
        <v>0</v>
      </c>
      <c r="I327" s="163">
        <v>1</v>
      </c>
      <c r="J327" s="12">
        <v>101</v>
      </c>
      <c r="K327" s="14">
        <v>211</v>
      </c>
      <c r="L327" s="26">
        <v>5010</v>
      </c>
      <c r="M327" s="14">
        <v>292</v>
      </c>
      <c r="N327" s="163">
        <v>1743</v>
      </c>
      <c r="O327" s="14">
        <v>0</v>
      </c>
      <c r="P327" s="26">
        <v>0</v>
      </c>
      <c r="Q327" s="12">
        <v>5365</v>
      </c>
      <c r="R327" s="209">
        <v>1.3493460764587526</v>
      </c>
      <c r="S327" s="14">
        <v>1</v>
      </c>
      <c r="T327" s="163">
        <v>1</v>
      </c>
      <c r="U327" s="163">
        <v>0</v>
      </c>
      <c r="V327" s="26">
        <v>0</v>
      </c>
      <c r="W327" s="14">
        <v>1100</v>
      </c>
      <c r="X327" s="14">
        <v>1</v>
      </c>
      <c r="Y327" s="163">
        <v>1</v>
      </c>
      <c r="Z327" s="163">
        <v>0</v>
      </c>
      <c r="AA327" s="26">
        <v>0</v>
      </c>
      <c r="AB327" s="12">
        <v>1100</v>
      </c>
      <c r="AC327" s="14">
        <v>1</v>
      </c>
      <c r="AD327" s="14">
        <v>0</v>
      </c>
      <c r="AE327" s="163">
        <v>1</v>
      </c>
      <c r="AF327" s="163">
        <v>1</v>
      </c>
      <c r="AG327" s="26">
        <v>0</v>
      </c>
      <c r="AH327" s="14">
        <v>110</v>
      </c>
      <c r="AI327" s="14">
        <v>0</v>
      </c>
      <c r="AJ327" s="163">
        <v>0</v>
      </c>
      <c r="AK327" s="163">
        <v>0</v>
      </c>
      <c r="AL327" s="26">
        <v>0</v>
      </c>
      <c r="AM327" s="12">
        <v>0</v>
      </c>
      <c r="AN327" s="14">
        <v>0</v>
      </c>
      <c r="AO327" s="163">
        <v>0</v>
      </c>
      <c r="AP327" s="163">
        <v>0</v>
      </c>
      <c r="AQ327" s="163">
        <v>0</v>
      </c>
      <c r="AR327" s="163">
        <v>0</v>
      </c>
      <c r="AS327" s="14">
        <v>1</v>
      </c>
      <c r="AT327" s="163">
        <v>0</v>
      </c>
      <c r="AU327" s="163">
        <v>0</v>
      </c>
      <c r="AV327" s="163">
        <v>1</v>
      </c>
      <c r="AW327" s="26">
        <v>0</v>
      </c>
      <c r="AX327" s="14">
        <v>2</v>
      </c>
      <c r="AY327" s="14">
        <v>0</v>
      </c>
      <c r="AZ327" s="163">
        <v>0</v>
      </c>
      <c r="BA327" s="163">
        <v>0</v>
      </c>
      <c r="BB327" s="26">
        <v>1</v>
      </c>
      <c r="BC327" s="12">
        <v>1</v>
      </c>
      <c r="BD327" s="14">
        <v>0</v>
      </c>
      <c r="BE327" s="163">
        <v>0</v>
      </c>
      <c r="BF327" s="163">
        <v>0</v>
      </c>
      <c r="BG327" s="163">
        <v>0</v>
      </c>
      <c r="BH327" s="163">
        <v>0</v>
      </c>
      <c r="BI327" s="14">
        <v>1</v>
      </c>
      <c r="BJ327" s="163">
        <v>1</v>
      </c>
      <c r="BK327" s="26">
        <v>0</v>
      </c>
      <c r="BL327" s="14">
        <v>1</v>
      </c>
      <c r="BM327" s="163">
        <v>0</v>
      </c>
      <c r="BN327" s="26">
        <v>0</v>
      </c>
      <c r="BO327" s="14">
        <v>1</v>
      </c>
      <c r="BP327" s="12" t="s">
        <v>8</v>
      </c>
      <c r="BQ327" s="163">
        <v>1</v>
      </c>
      <c r="BR327" s="14">
        <v>0</v>
      </c>
      <c r="BS327" s="163">
        <v>0</v>
      </c>
      <c r="BT327" s="163">
        <v>0</v>
      </c>
      <c r="BU327" s="26">
        <v>0</v>
      </c>
      <c r="BV327" s="14">
        <v>0</v>
      </c>
      <c r="BW327" s="209"/>
      <c r="BX327" s="3"/>
      <c r="BY327" s="3"/>
      <c r="BZ327" s="40"/>
      <c r="CA327" s="209"/>
      <c r="CB327" s="3"/>
      <c r="CC327" s="3"/>
      <c r="CD327" s="3"/>
      <c r="CE327" s="209"/>
      <c r="CF327" s="3"/>
      <c r="CG327" s="3"/>
      <c r="CH327" s="40"/>
      <c r="CI327" s="209"/>
      <c r="CJ327" s="3"/>
      <c r="CK327" s="3"/>
      <c r="CL327" s="209"/>
      <c r="CM327" s="3"/>
      <c r="CN327" s="3"/>
      <c r="CO327" s="3"/>
      <c r="CP327" s="40"/>
      <c r="CQ327" s="209"/>
      <c r="CR327" s="40"/>
      <c r="CS327" s="3"/>
      <c r="CT327" s="3"/>
    </row>
    <row r="328" spans="1:98">
      <c r="A328" s="42" t="s">
        <v>322</v>
      </c>
      <c r="B328" s="173" t="s">
        <v>193</v>
      </c>
      <c r="C328" s="12"/>
      <c r="D328" s="14" t="s">
        <v>415</v>
      </c>
      <c r="E328" s="12"/>
      <c r="F328" s="12">
        <v>19</v>
      </c>
      <c r="G328" s="14">
        <v>1</v>
      </c>
      <c r="H328" s="163">
        <v>0</v>
      </c>
      <c r="I328" s="163">
        <v>1</v>
      </c>
      <c r="J328" s="12">
        <v>101</v>
      </c>
      <c r="K328" s="14">
        <v>281</v>
      </c>
      <c r="L328" s="26">
        <v>1788</v>
      </c>
      <c r="M328" s="14">
        <v>265</v>
      </c>
      <c r="N328" s="163">
        <v>805</v>
      </c>
      <c r="O328" s="14">
        <v>0</v>
      </c>
      <c r="P328" s="26">
        <v>0</v>
      </c>
      <c r="Q328" s="12">
        <v>2632</v>
      </c>
      <c r="R328" s="209">
        <v>1.2776699029126213</v>
      </c>
      <c r="S328" s="14">
        <v>1</v>
      </c>
      <c r="T328" s="163">
        <v>1</v>
      </c>
      <c r="U328" s="163">
        <v>0</v>
      </c>
      <c r="V328" s="26">
        <v>0</v>
      </c>
      <c r="W328" s="14">
        <v>1100</v>
      </c>
      <c r="X328" s="14">
        <v>1</v>
      </c>
      <c r="Y328" s="163">
        <v>1</v>
      </c>
      <c r="Z328" s="163">
        <v>0</v>
      </c>
      <c r="AA328" s="26">
        <v>0</v>
      </c>
      <c r="AB328" s="12">
        <v>1100</v>
      </c>
      <c r="AC328" s="14">
        <v>1</v>
      </c>
      <c r="AD328" s="14">
        <v>0</v>
      </c>
      <c r="AE328" s="163">
        <v>1</v>
      </c>
      <c r="AF328" s="163">
        <v>1</v>
      </c>
      <c r="AG328" s="26">
        <v>0</v>
      </c>
      <c r="AH328" s="14">
        <v>110</v>
      </c>
      <c r="AI328" s="14">
        <v>0</v>
      </c>
      <c r="AJ328" s="163">
        <v>0</v>
      </c>
      <c r="AK328" s="163">
        <v>0</v>
      </c>
      <c r="AL328" s="26">
        <v>0</v>
      </c>
      <c r="AM328" s="12">
        <v>0</v>
      </c>
      <c r="AN328" s="14">
        <v>0</v>
      </c>
      <c r="AO328" s="163">
        <v>0</v>
      </c>
      <c r="AP328" s="163">
        <v>0</v>
      </c>
      <c r="AQ328" s="163">
        <v>0</v>
      </c>
      <c r="AR328" s="163">
        <v>0</v>
      </c>
      <c r="AS328" s="14">
        <v>1</v>
      </c>
      <c r="AT328" s="163">
        <v>1</v>
      </c>
      <c r="AU328" s="163">
        <v>0</v>
      </c>
      <c r="AV328" s="163">
        <v>0</v>
      </c>
      <c r="AW328" s="26">
        <v>0</v>
      </c>
      <c r="AX328" s="14">
        <v>2</v>
      </c>
      <c r="AY328" s="14">
        <v>0</v>
      </c>
      <c r="AZ328" s="163">
        <v>0</v>
      </c>
      <c r="BA328" s="163">
        <v>0</v>
      </c>
      <c r="BB328" s="26">
        <v>1</v>
      </c>
      <c r="BC328" s="12">
        <v>1</v>
      </c>
      <c r="BD328" s="14">
        <v>0</v>
      </c>
      <c r="BE328" s="163">
        <v>0</v>
      </c>
      <c r="BF328" s="163">
        <v>0</v>
      </c>
      <c r="BG328" s="163">
        <v>0</v>
      </c>
      <c r="BH328" s="163">
        <v>0</v>
      </c>
      <c r="BI328" s="14">
        <v>1</v>
      </c>
      <c r="BJ328" s="163">
        <v>1</v>
      </c>
      <c r="BK328" s="26">
        <v>0</v>
      </c>
      <c r="BL328" s="14">
        <v>0</v>
      </c>
      <c r="BM328" s="163">
        <v>0</v>
      </c>
      <c r="BN328" s="26">
        <v>0</v>
      </c>
      <c r="BO328" s="14">
        <v>1</v>
      </c>
      <c r="BP328" s="12">
        <v>146</v>
      </c>
      <c r="BQ328" s="163">
        <v>1</v>
      </c>
      <c r="BR328" s="14">
        <v>0</v>
      </c>
      <c r="BS328" s="163">
        <v>0</v>
      </c>
      <c r="BT328" s="163">
        <v>0</v>
      </c>
      <c r="BU328" s="26">
        <v>0</v>
      </c>
      <c r="BV328" s="14">
        <v>0</v>
      </c>
      <c r="BW328" s="209"/>
      <c r="BX328" s="3"/>
      <c r="BY328" s="3"/>
      <c r="BZ328" s="40"/>
      <c r="CA328" s="209"/>
      <c r="CB328" s="3"/>
      <c r="CC328" s="3"/>
      <c r="CD328" s="3"/>
      <c r="CE328" s="209"/>
      <c r="CF328" s="3"/>
      <c r="CG328" s="3"/>
      <c r="CH328" s="40"/>
      <c r="CI328" s="209"/>
      <c r="CJ328" s="3"/>
      <c r="CK328" s="3"/>
      <c r="CL328" s="209"/>
      <c r="CM328" s="3"/>
      <c r="CN328" s="3"/>
      <c r="CO328" s="3"/>
      <c r="CP328" s="40"/>
      <c r="CQ328" s="209"/>
      <c r="CR328" s="40"/>
      <c r="CS328" s="3"/>
      <c r="CT328" s="3"/>
    </row>
    <row r="329" spans="1:98">
      <c r="A329" s="42" t="s">
        <v>322</v>
      </c>
      <c r="B329" s="173" t="s">
        <v>193</v>
      </c>
      <c r="C329" s="12"/>
      <c r="D329" s="14" t="s">
        <v>199</v>
      </c>
      <c r="E329" s="12"/>
      <c r="F329" s="12">
        <v>7</v>
      </c>
      <c r="G329" s="14">
        <v>0</v>
      </c>
      <c r="H329" s="163">
        <v>1</v>
      </c>
      <c r="I329" s="163">
        <v>1</v>
      </c>
      <c r="J329" s="12">
        <v>11</v>
      </c>
      <c r="K329" s="14">
        <v>198</v>
      </c>
      <c r="L329" s="26">
        <v>1608</v>
      </c>
      <c r="M329" s="14">
        <v>215</v>
      </c>
      <c r="N329" s="163">
        <v>533</v>
      </c>
      <c r="O329" s="14">
        <v>0</v>
      </c>
      <c r="P329" s="26">
        <v>0</v>
      </c>
      <c r="Q329" s="12">
        <v>2004</v>
      </c>
      <c r="R329" s="209">
        <v>1.836846929422548</v>
      </c>
      <c r="S329" s="14">
        <v>1</v>
      </c>
      <c r="T329" s="163">
        <v>1</v>
      </c>
      <c r="U329" s="163">
        <v>0</v>
      </c>
      <c r="V329" s="26">
        <v>0</v>
      </c>
      <c r="W329" s="14">
        <v>1100</v>
      </c>
      <c r="X329" s="14">
        <v>1</v>
      </c>
      <c r="Y329" s="163">
        <v>1</v>
      </c>
      <c r="Z329" s="163">
        <v>0</v>
      </c>
      <c r="AA329" s="26">
        <v>0</v>
      </c>
      <c r="AB329" s="12">
        <v>1100</v>
      </c>
      <c r="AC329" s="14">
        <v>1</v>
      </c>
      <c r="AD329" s="14">
        <v>0</v>
      </c>
      <c r="AE329" s="163">
        <v>1</v>
      </c>
      <c r="AF329" s="163">
        <v>1</v>
      </c>
      <c r="AG329" s="26">
        <v>0</v>
      </c>
      <c r="AH329" s="14">
        <v>110</v>
      </c>
      <c r="AI329" s="14">
        <v>0</v>
      </c>
      <c r="AJ329" s="163">
        <v>0</v>
      </c>
      <c r="AK329" s="163">
        <v>0</v>
      </c>
      <c r="AL329" s="26">
        <v>0</v>
      </c>
      <c r="AM329" s="12">
        <v>0</v>
      </c>
      <c r="AN329" s="14">
        <v>0</v>
      </c>
      <c r="AO329" s="163">
        <v>0</v>
      </c>
      <c r="AP329" s="163">
        <v>0</v>
      </c>
      <c r="AQ329" s="163">
        <v>0</v>
      </c>
      <c r="AR329" s="163">
        <v>0</v>
      </c>
      <c r="AS329" s="14">
        <v>1</v>
      </c>
      <c r="AT329" s="163">
        <v>0</v>
      </c>
      <c r="AU329" s="163">
        <v>0</v>
      </c>
      <c r="AV329" s="163">
        <v>1</v>
      </c>
      <c r="AW329" s="26">
        <v>0</v>
      </c>
      <c r="AX329" s="14">
        <v>2</v>
      </c>
      <c r="AY329" s="14">
        <v>0</v>
      </c>
      <c r="AZ329" s="163">
        <v>0</v>
      </c>
      <c r="BA329" s="163">
        <v>1</v>
      </c>
      <c r="BB329" s="26">
        <v>0</v>
      </c>
      <c r="BC329" s="12">
        <v>1</v>
      </c>
      <c r="BD329" s="14">
        <v>0</v>
      </c>
      <c r="BE329" s="163">
        <v>0</v>
      </c>
      <c r="BF329" s="163">
        <v>0</v>
      </c>
      <c r="BG329" s="163">
        <v>0</v>
      </c>
      <c r="BH329" s="163">
        <v>0</v>
      </c>
      <c r="BI329" s="14">
        <v>1</v>
      </c>
      <c r="BJ329" s="163">
        <v>1</v>
      </c>
      <c r="BK329" s="26">
        <v>0</v>
      </c>
      <c r="BL329" s="14">
        <v>0</v>
      </c>
      <c r="BM329" s="163">
        <v>0</v>
      </c>
      <c r="BN329" s="26">
        <v>0</v>
      </c>
      <c r="BO329" s="14">
        <v>0</v>
      </c>
      <c r="BP329" s="12">
        <v>105</v>
      </c>
      <c r="BQ329" s="163">
        <v>2</v>
      </c>
      <c r="BR329" s="14">
        <v>0</v>
      </c>
      <c r="BS329" s="163">
        <v>0</v>
      </c>
      <c r="BT329" s="163">
        <v>0</v>
      </c>
      <c r="BU329" s="26">
        <v>0</v>
      </c>
      <c r="BV329" s="14">
        <v>0</v>
      </c>
      <c r="BW329" s="209"/>
      <c r="BX329" s="3"/>
      <c r="BY329" s="3"/>
      <c r="BZ329" s="40"/>
      <c r="CA329" s="209"/>
      <c r="CB329" s="3"/>
      <c r="CC329" s="3"/>
      <c r="CD329" s="3"/>
      <c r="CE329" s="209"/>
      <c r="CF329" s="3"/>
      <c r="CG329" s="3"/>
      <c r="CH329" s="40"/>
      <c r="CI329" s="209"/>
      <c r="CJ329" s="3"/>
      <c r="CK329" s="3"/>
      <c r="CL329" s="209"/>
      <c r="CM329" s="3"/>
      <c r="CN329" s="3"/>
      <c r="CO329" s="3"/>
      <c r="CP329" s="40"/>
      <c r="CQ329" s="209"/>
      <c r="CR329" s="40"/>
      <c r="CS329" s="3"/>
      <c r="CT329" s="3"/>
    </row>
    <row r="330" spans="1:98">
      <c r="A330" s="42" t="s">
        <v>322</v>
      </c>
      <c r="B330" s="173" t="s">
        <v>193</v>
      </c>
      <c r="C330" s="12"/>
      <c r="D330" s="14" t="s">
        <v>174</v>
      </c>
      <c r="E330" s="12"/>
      <c r="F330" s="12">
        <v>13</v>
      </c>
      <c r="G330" s="14">
        <v>0</v>
      </c>
      <c r="H330" s="163">
        <v>1</v>
      </c>
      <c r="I330" s="163">
        <v>1</v>
      </c>
      <c r="J330" s="12">
        <v>11</v>
      </c>
      <c r="K330" s="14">
        <v>227</v>
      </c>
      <c r="L330" s="26">
        <v>2490</v>
      </c>
      <c r="M330" s="14">
        <v>223</v>
      </c>
      <c r="N330" s="163">
        <v>627</v>
      </c>
      <c r="O330" s="14">
        <v>0</v>
      </c>
      <c r="P330" s="26">
        <v>0</v>
      </c>
      <c r="Q330" s="12">
        <v>3315</v>
      </c>
      <c r="R330" s="209">
        <v>1.877123442808607</v>
      </c>
      <c r="S330" s="14">
        <v>1</v>
      </c>
      <c r="T330" s="163">
        <v>1</v>
      </c>
      <c r="U330" s="163">
        <v>0</v>
      </c>
      <c r="V330" s="26">
        <v>0</v>
      </c>
      <c r="W330" s="14">
        <v>1100</v>
      </c>
      <c r="X330" s="14">
        <v>1</v>
      </c>
      <c r="Y330" s="163">
        <v>1</v>
      </c>
      <c r="Z330" s="163">
        <v>0</v>
      </c>
      <c r="AA330" s="26">
        <v>0</v>
      </c>
      <c r="AB330" s="12">
        <v>1100</v>
      </c>
      <c r="AC330" s="14">
        <v>1</v>
      </c>
      <c r="AD330" s="14">
        <v>0</v>
      </c>
      <c r="AE330" s="163">
        <v>1</v>
      </c>
      <c r="AF330" s="163">
        <v>1</v>
      </c>
      <c r="AG330" s="26">
        <v>0</v>
      </c>
      <c r="AH330" s="14">
        <v>110</v>
      </c>
      <c r="AI330" s="14">
        <v>0</v>
      </c>
      <c r="AJ330" s="163">
        <v>0</v>
      </c>
      <c r="AK330" s="163">
        <v>0</v>
      </c>
      <c r="AL330" s="26">
        <v>0</v>
      </c>
      <c r="AM330" s="12">
        <v>0</v>
      </c>
      <c r="AN330" s="14">
        <v>0</v>
      </c>
      <c r="AO330" s="163">
        <v>0</v>
      </c>
      <c r="AP330" s="163">
        <v>0</v>
      </c>
      <c r="AQ330" s="163">
        <v>0</v>
      </c>
      <c r="AR330" s="163">
        <v>0</v>
      </c>
      <c r="AS330" s="14">
        <v>1</v>
      </c>
      <c r="AT330" s="163">
        <v>0</v>
      </c>
      <c r="AU330" s="163">
        <v>0</v>
      </c>
      <c r="AV330" s="163">
        <v>1</v>
      </c>
      <c r="AW330" s="26">
        <v>0</v>
      </c>
      <c r="AX330" s="14">
        <v>2</v>
      </c>
      <c r="AY330" s="14">
        <v>0</v>
      </c>
      <c r="AZ330" s="163">
        <v>0</v>
      </c>
      <c r="BA330" s="163">
        <v>0</v>
      </c>
      <c r="BB330" s="26">
        <v>1</v>
      </c>
      <c r="BC330" s="12">
        <v>1</v>
      </c>
      <c r="BD330" s="14">
        <v>0</v>
      </c>
      <c r="BE330" s="163">
        <v>0</v>
      </c>
      <c r="BF330" s="163">
        <v>0</v>
      </c>
      <c r="BG330" s="163">
        <v>0</v>
      </c>
      <c r="BH330" s="163">
        <v>0</v>
      </c>
      <c r="BI330" s="14">
        <v>1</v>
      </c>
      <c r="BJ330" s="163">
        <v>1</v>
      </c>
      <c r="BK330" s="26">
        <v>0</v>
      </c>
      <c r="BL330" s="14">
        <v>0</v>
      </c>
      <c r="BM330" s="163">
        <v>0</v>
      </c>
      <c r="BN330" s="26">
        <v>0</v>
      </c>
      <c r="BO330" s="14">
        <v>0</v>
      </c>
      <c r="BP330" s="12">
        <v>129</v>
      </c>
      <c r="BQ330" s="163">
        <v>2</v>
      </c>
      <c r="BR330" s="14">
        <v>0</v>
      </c>
      <c r="BS330" s="163">
        <v>0</v>
      </c>
      <c r="BT330" s="163">
        <v>0</v>
      </c>
      <c r="BU330" s="26">
        <v>0</v>
      </c>
      <c r="BV330" s="14">
        <v>0</v>
      </c>
      <c r="BW330" s="209"/>
      <c r="BX330" s="3"/>
      <c r="BY330" s="3"/>
      <c r="BZ330" s="40"/>
      <c r="CA330" s="209"/>
      <c r="CB330" s="3"/>
      <c r="CC330" s="3"/>
      <c r="CD330" s="3"/>
      <c r="CE330" s="209"/>
      <c r="CF330" s="3"/>
      <c r="CG330" s="3"/>
      <c r="CH330" s="40"/>
      <c r="CI330" s="209"/>
      <c r="CJ330" s="3"/>
      <c r="CK330" s="3"/>
      <c r="CL330" s="209"/>
      <c r="CM330" s="3"/>
      <c r="CN330" s="3"/>
      <c r="CO330" s="3"/>
      <c r="CP330" s="40"/>
      <c r="CQ330" s="209"/>
      <c r="CR330" s="40"/>
      <c r="CS330" s="3"/>
      <c r="CT330" s="3"/>
    </row>
    <row r="331" spans="1:98">
      <c r="A331" s="42" t="s">
        <v>322</v>
      </c>
      <c r="B331" s="173" t="s">
        <v>193</v>
      </c>
      <c r="C331" s="12"/>
      <c r="D331" s="14" t="s">
        <v>261</v>
      </c>
      <c r="E331" s="12"/>
      <c r="F331" s="12">
        <v>6</v>
      </c>
      <c r="G331" s="14">
        <v>1</v>
      </c>
      <c r="H331" s="163">
        <v>0</v>
      </c>
      <c r="I331" s="163">
        <v>1</v>
      </c>
      <c r="J331" s="12">
        <v>101</v>
      </c>
      <c r="K331" s="14">
        <v>873</v>
      </c>
      <c r="L331" s="26">
        <v>940</v>
      </c>
      <c r="M331" s="14">
        <v>204</v>
      </c>
      <c r="N331" s="163">
        <v>594</v>
      </c>
      <c r="O331" s="14">
        <v>0</v>
      </c>
      <c r="P331" s="26">
        <v>0</v>
      </c>
      <c r="Q331" s="12">
        <v>1716</v>
      </c>
      <c r="R331" s="209">
        <v>1.5874190564292321</v>
      </c>
      <c r="S331" s="14">
        <v>1</v>
      </c>
      <c r="T331" s="163">
        <v>1</v>
      </c>
      <c r="U331" s="163">
        <v>0</v>
      </c>
      <c r="V331" s="26">
        <v>0</v>
      </c>
      <c r="W331" s="14">
        <v>1100</v>
      </c>
      <c r="X331" s="14">
        <v>0</v>
      </c>
      <c r="Y331" s="163">
        <v>1</v>
      </c>
      <c r="Z331" s="163">
        <v>0</v>
      </c>
      <c r="AA331" s="26">
        <v>0</v>
      </c>
      <c r="AB331" s="12">
        <v>100</v>
      </c>
      <c r="AC331" s="14">
        <v>1</v>
      </c>
      <c r="AD331" s="14">
        <v>0</v>
      </c>
      <c r="AE331" s="163">
        <v>1</v>
      </c>
      <c r="AF331" s="163">
        <v>1</v>
      </c>
      <c r="AG331" s="26">
        <v>0</v>
      </c>
      <c r="AH331" s="14">
        <v>110</v>
      </c>
      <c r="AI331" s="14">
        <v>0</v>
      </c>
      <c r="AJ331" s="163">
        <v>0</v>
      </c>
      <c r="AK331" s="163">
        <v>0</v>
      </c>
      <c r="AL331" s="26">
        <v>0</v>
      </c>
      <c r="AM331" s="12">
        <v>0</v>
      </c>
      <c r="AN331" s="14">
        <v>0</v>
      </c>
      <c r="AO331" s="163">
        <v>0</v>
      </c>
      <c r="AP331" s="163">
        <v>0</v>
      </c>
      <c r="AQ331" s="163">
        <v>0</v>
      </c>
      <c r="AR331" s="163">
        <v>0</v>
      </c>
      <c r="AS331" s="14">
        <v>0</v>
      </c>
      <c r="AT331" s="163">
        <v>1</v>
      </c>
      <c r="AU331" s="163">
        <v>0</v>
      </c>
      <c r="AV331" s="163">
        <v>1</v>
      </c>
      <c r="AW331" s="26">
        <v>0</v>
      </c>
      <c r="AX331" s="14">
        <v>2</v>
      </c>
      <c r="AY331" s="14">
        <v>1</v>
      </c>
      <c r="AZ331" s="163">
        <v>0</v>
      </c>
      <c r="BA331" s="163">
        <v>0</v>
      </c>
      <c r="BB331" s="26">
        <v>1</v>
      </c>
      <c r="BC331" s="12">
        <v>2</v>
      </c>
      <c r="BD331" s="14">
        <v>0</v>
      </c>
      <c r="BE331" s="163">
        <v>0</v>
      </c>
      <c r="BF331" s="163">
        <v>0</v>
      </c>
      <c r="BG331" s="163">
        <v>0</v>
      </c>
      <c r="BH331" s="163">
        <v>0</v>
      </c>
      <c r="BI331" s="14">
        <v>1</v>
      </c>
      <c r="BJ331" s="163">
        <v>1</v>
      </c>
      <c r="BK331" s="26">
        <v>0</v>
      </c>
      <c r="BL331" s="14">
        <v>0</v>
      </c>
      <c r="BM331" s="163">
        <v>0</v>
      </c>
      <c r="BN331" s="26">
        <v>0</v>
      </c>
      <c r="BO331" s="14">
        <v>0</v>
      </c>
      <c r="BP331" s="12">
        <v>122</v>
      </c>
      <c r="BQ331" s="163">
        <v>1</v>
      </c>
      <c r="BR331" s="14">
        <v>0</v>
      </c>
      <c r="BS331" s="163">
        <v>0</v>
      </c>
      <c r="BT331" s="163">
        <v>0</v>
      </c>
      <c r="BU331" s="26">
        <v>0</v>
      </c>
      <c r="BV331" s="14">
        <v>0</v>
      </c>
      <c r="BW331" s="209"/>
      <c r="BX331" s="3"/>
      <c r="BY331" s="3"/>
      <c r="BZ331" s="40"/>
      <c r="CA331" s="209"/>
      <c r="CB331" s="3"/>
      <c r="CC331" s="3"/>
      <c r="CD331" s="3"/>
      <c r="CE331" s="209"/>
      <c r="CF331" s="3"/>
      <c r="CG331" s="3"/>
      <c r="CH331" s="40"/>
      <c r="CI331" s="209"/>
      <c r="CJ331" s="3"/>
      <c r="CK331" s="3"/>
      <c r="CL331" s="209"/>
      <c r="CM331" s="3"/>
      <c r="CN331" s="3"/>
      <c r="CO331" s="3"/>
      <c r="CP331" s="40"/>
      <c r="CQ331" s="209"/>
      <c r="CR331" s="40"/>
      <c r="CS331" s="3"/>
      <c r="CT331" s="3"/>
    </row>
    <row r="332" spans="1:98">
      <c r="A332" s="42" t="s">
        <v>322</v>
      </c>
      <c r="B332" s="173" t="s">
        <v>193</v>
      </c>
      <c r="C332" s="12"/>
      <c r="D332" s="14" t="s">
        <v>206</v>
      </c>
      <c r="E332" s="12"/>
      <c r="F332" s="12">
        <v>6</v>
      </c>
      <c r="G332" s="14">
        <v>1</v>
      </c>
      <c r="H332" s="163">
        <v>0</v>
      </c>
      <c r="I332" s="163">
        <v>1</v>
      </c>
      <c r="J332" s="12">
        <v>101</v>
      </c>
      <c r="K332" s="14">
        <v>287</v>
      </c>
      <c r="L332" s="26">
        <v>1693</v>
      </c>
      <c r="M332" s="14">
        <v>225</v>
      </c>
      <c r="N332" s="163">
        <v>359</v>
      </c>
      <c r="O332" s="14">
        <v>0</v>
      </c>
      <c r="P332" s="26">
        <v>0</v>
      </c>
      <c r="Q332" s="12">
        <v>2528</v>
      </c>
      <c r="R332" s="209">
        <v>3.4868965517241381</v>
      </c>
      <c r="S332" s="14">
        <v>1</v>
      </c>
      <c r="T332" s="163">
        <v>1</v>
      </c>
      <c r="U332" s="163">
        <v>0</v>
      </c>
      <c r="V332" s="26">
        <v>0</v>
      </c>
      <c r="W332" s="14">
        <v>1100</v>
      </c>
      <c r="X332" s="14">
        <v>1</v>
      </c>
      <c r="Y332" s="163">
        <v>0</v>
      </c>
      <c r="Z332" s="163">
        <v>0</v>
      </c>
      <c r="AA332" s="26">
        <v>0</v>
      </c>
      <c r="AB332" s="12">
        <v>1000</v>
      </c>
      <c r="AC332" s="14">
        <v>1</v>
      </c>
      <c r="AD332" s="14">
        <v>0</v>
      </c>
      <c r="AE332" s="163">
        <v>0</v>
      </c>
      <c r="AF332" s="163">
        <v>1</v>
      </c>
      <c r="AG332" s="26">
        <v>0</v>
      </c>
      <c r="AH332" s="14">
        <v>10</v>
      </c>
      <c r="AI332" s="14">
        <v>0</v>
      </c>
      <c r="AJ332" s="163">
        <v>0</v>
      </c>
      <c r="AK332" s="163">
        <v>0</v>
      </c>
      <c r="AL332" s="26">
        <v>0</v>
      </c>
      <c r="AM332" s="12">
        <v>0</v>
      </c>
      <c r="AN332" s="14">
        <v>0</v>
      </c>
      <c r="AO332" s="163">
        <v>0</v>
      </c>
      <c r="AP332" s="163">
        <v>0</v>
      </c>
      <c r="AQ332" s="163">
        <v>0</v>
      </c>
      <c r="AR332" s="163">
        <v>0</v>
      </c>
      <c r="AS332" s="14">
        <v>1</v>
      </c>
      <c r="AT332" s="163">
        <v>0</v>
      </c>
      <c r="AU332" s="163">
        <v>0</v>
      </c>
      <c r="AV332" s="163">
        <v>1</v>
      </c>
      <c r="AW332" s="26">
        <v>0</v>
      </c>
      <c r="AX332" s="14">
        <v>2</v>
      </c>
      <c r="AY332" s="14">
        <v>0</v>
      </c>
      <c r="AZ332" s="163">
        <v>1</v>
      </c>
      <c r="BA332" s="163">
        <v>0</v>
      </c>
      <c r="BB332" s="26">
        <v>1</v>
      </c>
      <c r="BC332" s="12">
        <v>2</v>
      </c>
      <c r="BD332" s="14">
        <v>0</v>
      </c>
      <c r="BE332" s="163">
        <v>0</v>
      </c>
      <c r="BF332" s="163">
        <v>0</v>
      </c>
      <c r="BG332" s="163">
        <v>0</v>
      </c>
      <c r="BH332" s="163">
        <v>0</v>
      </c>
      <c r="BI332" s="14">
        <v>1</v>
      </c>
      <c r="BJ332" s="163">
        <v>1</v>
      </c>
      <c r="BK332" s="26">
        <v>0</v>
      </c>
      <c r="BL332" s="14">
        <v>0</v>
      </c>
      <c r="BM332" s="163">
        <v>0</v>
      </c>
      <c r="BN332" s="26">
        <v>0</v>
      </c>
      <c r="BO332" s="14">
        <v>1</v>
      </c>
      <c r="BP332" s="12">
        <v>145</v>
      </c>
      <c r="BQ332" s="163">
        <v>2</v>
      </c>
      <c r="BR332" s="14">
        <v>0</v>
      </c>
      <c r="BS332" s="163">
        <v>0</v>
      </c>
      <c r="BT332" s="163">
        <v>0</v>
      </c>
      <c r="BU332" s="26">
        <v>0</v>
      </c>
      <c r="BV332" s="14">
        <v>0</v>
      </c>
      <c r="BW332" s="209"/>
      <c r="BX332" s="3"/>
      <c r="BY332" s="3"/>
      <c r="BZ332" s="40"/>
      <c r="CA332" s="209"/>
      <c r="CB332" s="3"/>
      <c r="CC332" s="3"/>
      <c r="CD332" s="3"/>
      <c r="CE332" s="209"/>
      <c r="CF332" s="3"/>
      <c r="CG332" s="3"/>
      <c r="CH332" s="40"/>
      <c r="CI332" s="209"/>
      <c r="CJ332" s="3"/>
      <c r="CK332" s="3"/>
      <c r="CL332" s="209"/>
      <c r="CM332" s="3"/>
      <c r="CN332" s="3"/>
      <c r="CO332" s="3"/>
      <c r="CP332" s="40"/>
      <c r="CQ332" s="209"/>
      <c r="CR332" s="40"/>
      <c r="CS332" s="3"/>
      <c r="CT332" s="3"/>
    </row>
    <row r="333" spans="1:98" ht="17" thickBot="1">
      <c r="A333" s="55" t="s">
        <v>322</v>
      </c>
      <c r="B333" s="47" t="s">
        <v>193</v>
      </c>
      <c r="C333" s="33"/>
      <c r="D333" s="34" t="s">
        <v>190</v>
      </c>
      <c r="E333" s="33"/>
      <c r="F333" s="33">
        <v>8</v>
      </c>
      <c r="G333" s="34">
        <v>1</v>
      </c>
      <c r="H333" s="36">
        <v>0</v>
      </c>
      <c r="I333" s="36">
        <v>1</v>
      </c>
      <c r="J333" s="33">
        <v>101</v>
      </c>
      <c r="K333" s="34">
        <v>620</v>
      </c>
      <c r="L333" s="35">
        <v>1172</v>
      </c>
      <c r="M333" s="34">
        <v>191</v>
      </c>
      <c r="N333" s="36">
        <v>747</v>
      </c>
      <c r="O333" s="34">
        <v>0</v>
      </c>
      <c r="P333" s="35">
        <v>0</v>
      </c>
      <c r="Q333" s="33">
        <v>1691</v>
      </c>
      <c r="R333" s="210">
        <v>1.3441971383147853</v>
      </c>
      <c r="S333" s="34">
        <v>1</v>
      </c>
      <c r="T333" s="36">
        <v>1</v>
      </c>
      <c r="U333" s="36">
        <v>0</v>
      </c>
      <c r="V333" s="35">
        <v>0</v>
      </c>
      <c r="W333" s="34">
        <v>1100</v>
      </c>
      <c r="X333" s="34">
        <v>1</v>
      </c>
      <c r="Y333" s="36">
        <v>1</v>
      </c>
      <c r="Z333" s="36">
        <v>0</v>
      </c>
      <c r="AA333" s="35">
        <v>0</v>
      </c>
      <c r="AB333" s="33">
        <v>1100</v>
      </c>
      <c r="AC333" s="34">
        <v>1</v>
      </c>
      <c r="AD333" s="34">
        <v>0</v>
      </c>
      <c r="AE333" s="36">
        <v>1</v>
      </c>
      <c r="AF333" s="36">
        <v>1</v>
      </c>
      <c r="AG333" s="35">
        <v>0</v>
      </c>
      <c r="AH333" s="34">
        <v>110</v>
      </c>
      <c r="AI333" s="34">
        <v>0</v>
      </c>
      <c r="AJ333" s="36">
        <v>0</v>
      </c>
      <c r="AK333" s="36">
        <v>0</v>
      </c>
      <c r="AL333" s="35">
        <v>0</v>
      </c>
      <c r="AM333" s="33">
        <v>0</v>
      </c>
      <c r="AN333" s="34">
        <v>0</v>
      </c>
      <c r="AO333" s="36">
        <v>0</v>
      </c>
      <c r="AP333" s="36">
        <v>0</v>
      </c>
      <c r="AQ333" s="36">
        <v>0</v>
      </c>
      <c r="AR333" s="36">
        <v>0</v>
      </c>
      <c r="AS333" s="34">
        <v>1</v>
      </c>
      <c r="AT333" s="36">
        <v>0</v>
      </c>
      <c r="AU333" s="36">
        <v>0</v>
      </c>
      <c r="AV333" s="36">
        <v>1</v>
      </c>
      <c r="AW333" s="35">
        <v>0</v>
      </c>
      <c r="AX333" s="34">
        <v>2</v>
      </c>
      <c r="AY333" s="34">
        <v>0</v>
      </c>
      <c r="AZ333" s="36">
        <v>0</v>
      </c>
      <c r="BA333" s="36">
        <v>0</v>
      </c>
      <c r="BB333" s="35">
        <v>1</v>
      </c>
      <c r="BC333" s="33">
        <v>1</v>
      </c>
      <c r="BD333" s="34">
        <v>0</v>
      </c>
      <c r="BE333" s="36">
        <v>0</v>
      </c>
      <c r="BF333" s="36">
        <v>0</v>
      </c>
      <c r="BG333" s="36">
        <v>0</v>
      </c>
      <c r="BH333" s="36">
        <v>0</v>
      </c>
      <c r="BI333" s="34">
        <v>1</v>
      </c>
      <c r="BJ333" s="36">
        <v>1</v>
      </c>
      <c r="BK333" s="35">
        <v>0</v>
      </c>
      <c r="BL333" s="34">
        <v>0</v>
      </c>
      <c r="BM333" s="36">
        <v>0</v>
      </c>
      <c r="BN333" s="35">
        <v>0</v>
      </c>
      <c r="BO333" s="34">
        <v>0</v>
      </c>
      <c r="BP333" s="33">
        <v>127</v>
      </c>
      <c r="BQ333" s="36">
        <v>1</v>
      </c>
      <c r="BR333" s="34">
        <v>0</v>
      </c>
      <c r="BS333" s="36">
        <v>0</v>
      </c>
      <c r="BT333" s="36">
        <v>0</v>
      </c>
      <c r="BU333" s="35">
        <v>0</v>
      </c>
      <c r="BV333" s="34">
        <v>0</v>
      </c>
      <c r="BW333" s="210"/>
      <c r="BX333" s="51"/>
      <c r="BY333" s="51"/>
      <c r="BZ333" s="48"/>
      <c r="CA333" s="210"/>
      <c r="CB333" s="51"/>
      <c r="CC333" s="51"/>
      <c r="CD333" s="51"/>
      <c r="CE333" s="210"/>
      <c r="CF333" s="51"/>
      <c r="CG333" s="51"/>
      <c r="CH333" s="48"/>
      <c r="CI333" s="210"/>
      <c r="CJ333" s="51"/>
      <c r="CK333" s="51"/>
      <c r="CL333" s="210"/>
      <c r="CM333" s="51"/>
      <c r="CN333" s="51"/>
      <c r="CO333" s="51"/>
      <c r="CP333" s="48"/>
      <c r="CQ333" s="210"/>
      <c r="CR333" s="48"/>
      <c r="CS333" s="3"/>
      <c r="CT333" s="3"/>
    </row>
    <row r="334" spans="1:98">
      <c r="A334" s="87" t="s">
        <v>322</v>
      </c>
      <c r="B334" s="7" t="s">
        <v>198</v>
      </c>
      <c r="C334" s="9"/>
      <c r="D334" s="11" t="s">
        <v>145</v>
      </c>
      <c r="E334" s="9"/>
      <c r="F334" s="9">
        <v>9</v>
      </c>
      <c r="G334" s="11">
        <v>1</v>
      </c>
      <c r="H334" s="8">
        <v>0</v>
      </c>
      <c r="I334" s="8">
        <v>1</v>
      </c>
      <c r="J334" s="9">
        <v>101</v>
      </c>
      <c r="K334" s="11">
        <v>229</v>
      </c>
      <c r="L334" s="41">
        <v>1010</v>
      </c>
      <c r="M334" s="11">
        <v>0</v>
      </c>
      <c r="N334" s="8">
        <v>934</v>
      </c>
      <c r="O334" s="11">
        <v>0</v>
      </c>
      <c r="P334" s="41">
        <v>0</v>
      </c>
      <c r="Q334" s="9">
        <v>2096</v>
      </c>
      <c r="R334" s="208">
        <v>1.0759753593429158</v>
      </c>
      <c r="S334" s="11">
        <v>1</v>
      </c>
      <c r="T334" s="8">
        <v>1</v>
      </c>
      <c r="U334" s="8">
        <v>0</v>
      </c>
      <c r="V334" s="41">
        <v>0</v>
      </c>
      <c r="W334" s="11">
        <v>1100</v>
      </c>
      <c r="X334" s="11">
        <v>1</v>
      </c>
      <c r="Y334" s="8">
        <v>0</v>
      </c>
      <c r="Z334" s="8">
        <v>0</v>
      </c>
      <c r="AA334" s="41">
        <v>1</v>
      </c>
      <c r="AB334" s="9">
        <v>1001</v>
      </c>
      <c r="AC334" s="11">
        <v>0</v>
      </c>
      <c r="AD334" s="11">
        <v>0</v>
      </c>
      <c r="AE334" s="8">
        <v>1</v>
      </c>
      <c r="AF334" s="8">
        <v>0</v>
      </c>
      <c r="AG334" s="41">
        <v>0</v>
      </c>
      <c r="AH334" s="11">
        <v>100</v>
      </c>
      <c r="AI334" s="11">
        <v>0</v>
      </c>
      <c r="AJ334" s="8">
        <v>0</v>
      </c>
      <c r="AK334" s="8">
        <v>0</v>
      </c>
      <c r="AL334" s="41">
        <v>0</v>
      </c>
      <c r="AM334" s="9">
        <v>0</v>
      </c>
      <c r="AN334" s="11">
        <v>0</v>
      </c>
      <c r="AO334" s="8">
        <v>0</v>
      </c>
      <c r="AP334" s="8">
        <v>0</v>
      </c>
      <c r="AQ334" s="8">
        <v>0</v>
      </c>
      <c r="AR334" s="8">
        <v>0</v>
      </c>
      <c r="AS334" s="11">
        <v>1</v>
      </c>
      <c r="AT334" s="8">
        <v>0</v>
      </c>
      <c r="AU334" s="8">
        <v>0</v>
      </c>
      <c r="AV334" s="8">
        <v>0</v>
      </c>
      <c r="AW334" s="41">
        <v>0</v>
      </c>
      <c r="AX334" s="11">
        <v>1</v>
      </c>
      <c r="AY334" s="11">
        <v>0</v>
      </c>
      <c r="AZ334" s="8">
        <v>0</v>
      </c>
      <c r="BA334" s="8">
        <v>0</v>
      </c>
      <c r="BB334" s="41">
        <v>1</v>
      </c>
      <c r="BC334" s="9">
        <v>1</v>
      </c>
      <c r="BD334" s="11">
        <v>0</v>
      </c>
      <c r="BE334" s="8">
        <v>0</v>
      </c>
      <c r="BF334" s="8">
        <v>0</v>
      </c>
      <c r="BG334" s="8">
        <v>0</v>
      </c>
      <c r="BH334" s="8">
        <v>0</v>
      </c>
      <c r="BI334" s="11">
        <v>1</v>
      </c>
      <c r="BJ334" s="8">
        <v>0</v>
      </c>
      <c r="BK334" s="41">
        <v>0</v>
      </c>
      <c r="BL334" s="11">
        <v>0</v>
      </c>
      <c r="BM334" s="8">
        <v>0</v>
      </c>
      <c r="BN334" s="41">
        <v>0</v>
      </c>
      <c r="BO334" s="11">
        <v>0</v>
      </c>
      <c r="BP334" s="9">
        <v>142</v>
      </c>
      <c r="BQ334" s="8">
        <v>1</v>
      </c>
      <c r="BR334" s="11">
        <v>0</v>
      </c>
      <c r="BS334" s="8">
        <v>0</v>
      </c>
      <c r="BT334" s="8">
        <v>0</v>
      </c>
      <c r="BU334" s="41">
        <v>0</v>
      </c>
      <c r="BV334" s="11">
        <v>0</v>
      </c>
      <c r="BW334" s="208"/>
      <c r="BX334" s="54"/>
      <c r="BY334" s="54"/>
      <c r="BZ334" s="10"/>
      <c r="CA334" s="208"/>
      <c r="CB334" s="54"/>
      <c r="CC334" s="54"/>
      <c r="CD334" s="54"/>
      <c r="CE334" s="208"/>
      <c r="CF334" s="54"/>
      <c r="CG334" s="54"/>
      <c r="CH334" s="10"/>
      <c r="CI334" s="208"/>
      <c r="CJ334" s="54"/>
      <c r="CK334" s="54"/>
      <c r="CL334" s="208"/>
      <c r="CM334" s="54"/>
      <c r="CN334" s="54"/>
      <c r="CO334" s="54"/>
      <c r="CP334" s="10"/>
      <c r="CQ334" s="208"/>
      <c r="CR334" s="10"/>
      <c r="CS334" s="3"/>
      <c r="CT334" s="3"/>
    </row>
    <row r="335" spans="1:98">
      <c r="A335" s="42" t="s">
        <v>322</v>
      </c>
      <c r="B335" s="173" t="s">
        <v>198</v>
      </c>
      <c r="C335" s="12"/>
      <c r="D335" s="14" t="s">
        <v>376</v>
      </c>
      <c r="E335" s="12"/>
      <c r="F335" s="12">
        <v>9</v>
      </c>
      <c r="G335" s="14">
        <v>1</v>
      </c>
      <c r="H335" s="163">
        <v>0</v>
      </c>
      <c r="I335" s="163">
        <v>1</v>
      </c>
      <c r="J335" s="12">
        <v>101</v>
      </c>
      <c r="K335" s="14">
        <v>119</v>
      </c>
      <c r="L335" s="26">
        <v>1386</v>
      </c>
      <c r="M335" s="14">
        <v>0</v>
      </c>
      <c r="N335" s="163">
        <v>558</v>
      </c>
      <c r="O335" s="14">
        <v>0</v>
      </c>
      <c r="P335" s="26">
        <v>0</v>
      </c>
      <c r="Q335" s="12">
        <v>1685</v>
      </c>
      <c r="R335" s="209">
        <v>1.1580756013745706</v>
      </c>
      <c r="S335" s="14">
        <v>1</v>
      </c>
      <c r="T335" s="163">
        <v>1</v>
      </c>
      <c r="U335" s="163">
        <v>0</v>
      </c>
      <c r="V335" s="26">
        <v>0</v>
      </c>
      <c r="W335" s="14">
        <v>1100</v>
      </c>
      <c r="X335" s="14">
        <v>1</v>
      </c>
      <c r="Y335" s="163">
        <v>0</v>
      </c>
      <c r="Z335" s="163">
        <v>0</v>
      </c>
      <c r="AA335" s="26">
        <v>0</v>
      </c>
      <c r="AB335" s="12">
        <v>1000</v>
      </c>
      <c r="AC335" s="14">
        <v>0</v>
      </c>
      <c r="AD335" s="14">
        <v>0</v>
      </c>
      <c r="AE335" s="163">
        <v>0</v>
      </c>
      <c r="AF335" s="163">
        <v>0</v>
      </c>
      <c r="AG335" s="26">
        <v>1</v>
      </c>
      <c r="AH335" s="14">
        <v>1</v>
      </c>
      <c r="AI335" s="14">
        <v>0</v>
      </c>
      <c r="AJ335" s="163">
        <v>0</v>
      </c>
      <c r="AK335" s="163">
        <v>0</v>
      </c>
      <c r="AL335" s="26">
        <v>0</v>
      </c>
      <c r="AM335" s="12">
        <v>0</v>
      </c>
      <c r="AN335" s="14">
        <v>0</v>
      </c>
      <c r="AO335" s="163">
        <v>0</v>
      </c>
      <c r="AP335" s="163">
        <v>0</v>
      </c>
      <c r="AQ335" s="163">
        <v>0</v>
      </c>
      <c r="AR335" s="163">
        <v>0</v>
      </c>
      <c r="AS335" s="14">
        <v>1</v>
      </c>
      <c r="AT335" s="163">
        <v>1</v>
      </c>
      <c r="AU335" s="163">
        <v>0</v>
      </c>
      <c r="AV335" s="163">
        <v>1</v>
      </c>
      <c r="AW335" s="26">
        <v>0</v>
      </c>
      <c r="AX335" s="14">
        <v>3</v>
      </c>
      <c r="AY335" s="14">
        <v>0</v>
      </c>
      <c r="AZ335" s="163">
        <v>0</v>
      </c>
      <c r="BA335" s="163">
        <v>0</v>
      </c>
      <c r="BB335" s="26">
        <v>0</v>
      </c>
      <c r="BC335" s="12">
        <v>0</v>
      </c>
      <c r="BD335" s="14">
        <v>0</v>
      </c>
      <c r="BE335" s="163">
        <v>0</v>
      </c>
      <c r="BF335" s="163">
        <v>0</v>
      </c>
      <c r="BG335" s="163">
        <v>0</v>
      </c>
      <c r="BH335" s="163">
        <v>0</v>
      </c>
      <c r="BI335" s="14">
        <v>1</v>
      </c>
      <c r="BJ335" s="163">
        <v>0</v>
      </c>
      <c r="BK335" s="26">
        <v>0</v>
      </c>
      <c r="BL335" s="14">
        <v>0</v>
      </c>
      <c r="BM335" s="163">
        <v>0</v>
      </c>
      <c r="BN335" s="26">
        <v>0</v>
      </c>
      <c r="BO335" s="14">
        <v>1</v>
      </c>
      <c r="BP335" s="12">
        <v>142</v>
      </c>
      <c r="BQ335" s="163">
        <v>1</v>
      </c>
      <c r="BR335" s="14">
        <v>0</v>
      </c>
      <c r="BS335" s="163">
        <v>0</v>
      </c>
      <c r="BT335" s="163">
        <v>0</v>
      </c>
      <c r="BU335" s="26">
        <v>0</v>
      </c>
      <c r="BV335" s="14">
        <v>0</v>
      </c>
      <c r="BW335" s="209"/>
      <c r="BX335" s="3"/>
      <c r="BY335" s="3"/>
      <c r="BZ335" s="40"/>
      <c r="CA335" s="209"/>
      <c r="CB335" s="3"/>
      <c r="CC335" s="3"/>
      <c r="CD335" s="3"/>
      <c r="CE335" s="209"/>
      <c r="CF335" s="3"/>
      <c r="CG335" s="3"/>
      <c r="CH335" s="40"/>
      <c r="CI335" s="209"/>
      <c r="CJ335" s="3"/>
      <c r="CK335" s="3"/>
      <c r="CL335" s="209"/>
      <c r="CM335" s="3"/>
      <c r="CN335" s="3"/>
      <c r="CO335" s="3"/>
      <c r="CP335" s="40"/>
      <c r="CQ335" s="209"/>
      <c r="CR335" s="40"/>
      <c r="CS335" s="3"/>
      <c r="CT335" s="3"/>
    </row>
    <row r="336" spans="1:98">
      <c r="A336" s="42" t="s">
        <v>322</v>
      </c>
      <c r="B336" s="173" t="s">
        <v>198</v>
      </c>
      <c r="C336" s="12"/>
      <c r="D336" s="14" t="s">
        <v>393</v>
      </c>
      <c r="E336" s="12"/>
      <c r="F336" s="12">
        <v>5</v>
      </c>
      <c r="G336" s="14">
        <v>1</v>
      </c>
      <c r="H336" s="163">
        <v>0</v>
      </c>
      <c r="I336" s="163">
        <v>1</v>
      </c>
      <c r="J336" s="12">
        <v>101</v>
      </c>
      <c r="K336" s="14">
        <v>456</v>
      </c>
      <c r="L336" s="26">
        <v>958</v>
      </c>
      <c r="M336" s="14">
        <v>498</v>
      </c>
      <c r="N336" s="163">
        <v>763</v>
      </c>
      <c r="O336" s="14">
        <v>0</v>
      </c>
      <c r="P336" s="26">
        <v>0</v>
      </c>
      <c r="Q336" s="12">
        <v>1843</v>
      </c>
      <c r="R336" s="209">
        <v>1.6166666666666667</v>
      </c>
      <c r="S336" s="14">
        <v>1</v>
      </c>
      <c r="T336" s="163">
        <v>1</v>
      </c>
      <c r="U336" s="163">
        <v>0</v>
      </c>
      <c r="V336" s="26">
        <v>0</v>
      </c>
      <c r="W336" s="14">
        <v>1100</v>
      </c>
      <c r="X336" s="14">
        <v>1</v>
      </c>
      <c r="Y336" s="163">
        <v>1</v>
      </c>
      <c r="Z336" s="163">
        <v>0</v>
      </c>
      <c r="AA336" s="26">
        <v>0</v>
      </c>
      <c r="AB336" s="12">
        <v>1100</v>
      </c>
      <c r="AC336" s="14">
        <v>1</v>
      </c>
      <c r="AD336" s="14">
        <v>0</v>
      </c>
      <c r="AE336" s="163">
        <v>1</v>
      </c>
      <c r="AF336" s="163">
        <v>0</v>
      </c>
      <c r="AG336" s="26">
        <v>0</v>
      </c>
      <c r="AH336" s="14">
        <v>100</v>
      </c>
      <c r="AI336" s="14">
        <v>0</v>
      </c>
      <c r="AJ336" s="163">
        <v>0</v>
      </c>
      <c r="AK336" s="163">
        <v>0</v>
      </c>
      <c r="AL336" s="26">
        <v>0</v>
      </c>
      <c r="AM336" s="12">
        <v>0</v>
      </c>
      <c r="AN336" s="14">
        <v>0</v>
      </c>
      <c r="AO336" s="163">
        <v>0</v>
      </c>
      <c r="AP336" s="163">
        <v>0</v>
      </c>
      <c r="AQ336" s="163">
        <v>0</v>
      </c>
      <c r="AR336" s="163">
        <v>0</v>
      </c>
      <c r="AS336" s="14">
        <v>1</v>
      </c>
      <c r="AT336" s="163">
        <v>0</v>
      </c>
      <c r="AU336" s="163">
        <v>0</v>
      </c>
      <c r="AV336" s="163">
        <v>1</v>
      </c>
      <c r="AW336" s="26">
        <v>0</v>
      </c>
      <c r="AX336" s="14">
        <v>2</v>
      </c>
      <c r="AY336" s="14">
        <v>0</v>
      </c>
      <c r="AZ336" s="163">
        <v>0</v>
      </c>
      <c r="BA336" s="163">
        <v>0</v>
      </c>
      <c r="BB336" s="26">
        <v>1</v>
      </c>
      <c r="BC336" s="12">
        <v>1</v>
      </c>
      <c r="BD336" s="14">
        <v>0</v>
      </c>
      <c r="BE336" s="163">
        <v>0</v>
      </c>
      <c r="BF336" s="163">
        <v>0</v>
      </c>
      <c r="BG336" s="163">
        <v>0</v>
      </c>
      <c r="BH336" s="163">
        <v>0</v>
      </c>
      <c r="BI336" s="14">
        <v>1</v>
      </c>
      <c r="BJ336" s="163">
        <v>1</v>
      </c>
      <c r="BK336" s="26">
        <v>0</v>
      </c>
      <c r="BL336" s="14">
        <v>0</v>
      </c>
      <c r="BM336" s="163">
        <v>0</v>
      </c>
      <c r="BN336" s="26">
        <v>0</v>
      </c>
      <c r="BO336" s="14">
        <v>0</v>
      </c>
      <c r="BP336" s="12">
        <v>140</v>
      </c>
      <c r="BQ336" s="163">
        <v>2</v>
      </c>
      <c r="BR336" s="14">
        <v>0</v>
      </c>
      <c r="BS336" s="163">
        <v>0</v>
      </c>
      <c r="BT336" s="163">
        <v>0</v>
      </c>
      <c r="BU336" s="26">
        <v>0</v>
      </c>
      <c r="BV336" s="14">
        <v>0</v>
      </c>
      <c r="BW336" s="209"/>
      <c r="BX336" s="3"/>
      <c r="BY336" s="3"/>
      <c r="BZ336" s="40"/>
      <c r="CA336" s="209"/>
      <c r="CB336" s="3"/>
      <c r="CC336" s="3"/>
      <c r="CD336" s="3"/>
      <c r="CE336" s="209"/>
      <c r="CF336" s="3"/>
      <c r="CG336" s="3"/>
      <c r="CH336" s="40"/>
      <c r="CI336" s="209"/>
      <c r="CJ336" s="3"/>
      <c r="CK336" s="3"/>
      <c r="CL336" s="209"/>
      <c r="CM336" s="3"/>
      <c r="CN336" s="3"/>
      <c r="CO336" s="3"/>
      <c r="CP336" s="40"/>
      <c r="CQ336" s="209"/>
      <c r="CR336" s="40"/>
      <c r="CS336" s="3"/>
      <c r="CT336" s="3"/>
    </row>
    <row r="337" spans="1:98">
      <c r="A337" s="42" t="s">
        <v>322</v>
      </c>
      <c r="B337" s="173" t="s">
        <v>198</v>
      </c>
      <c r="C337" s="12"/>
      <c r="D337" s="14" t="s">
        <v>131</v>
      </c>
      <c r="E337" s="12"/>
      <c r="F337" s="12">
        <v>5</v>
      </c>
      <c r="G337" s="14">
        <v>0</v>
      </c>
      <c r="H337" s="163">
        <v>0</v>
      </c>
      <c r="I337" s="163">
        <v>1</v>
      </c>
      <c r="J337" s="12">
        <v>1</v>
      </c>
      <c r="K337" s="14">
        <v>276</v>
      </c>
      <c r="L337" s="26">
        <v>1628</v>
      </c>
      <c r="M337" s="14">
        <v>427</v>
      </c>
      <c r="N337" s="163">
        <v>496</v>
      </c>
      <c r="O337" s="14">
        <v>0</v>
      </c>
      <c r="P337" s="26">
        <v>0</v>
      </c>
      <c r="Q337" s="12">
        <v>1631</v>
      </c>
      <c r="R337" s="209">
        <v>1.5652591170825336</v>
      </c>
      <c r="S337" s="14">
        <v>1</v>
      </c>
      <c r="T337" s="163">
        <v>1</v>
      </c>
      <c r="U337" s="163">
        <v>0</v>
      </c>
      <c r="V337" s="26">
        <v>0</v>
      </c>
      <c r="W337" s="14">
        <v>1100</v>
      </c>
      <c r="X337" s="14">
        <v>1</v>
      </c>
      <c r="Y337" s="163">
        <v>0</v>
      </c>
      <c r="Z337" s="163">
        <v>0</v>
      </c>
      <c r="AA337" s="26">
        <v>1</v>
      </c>
      <c r="AB337" s="12">
        <v>1001</v>
      </c>
      <c r="AC337" s="14">
        <v>1</v>
      </c>
      <c r="AD337" s="14">
        <v>0</v>
      </c>
      <c r="AE337" s="163">
        <v>1</v>
      </c>
      <c r="AF337" s="163">
        <v>1</v>
      </c>
      <c r="AG337" s="26">
        <v>0</v>
      </c>
      <c r="AH337" s="14">
        <v>110</v>
      </c>
      <c r="AI337" s="14">
        <v>0</v>
      </c>
      <c r="AJ337" s="163">
        <v>0</v>
      </c>
      <c r="AK337" s="163">
        <v>0</v>
      </c>
      <c r="AL337" s="26">
        <v>0</v>
      </c>
      <c r="AM337" s="12">
        <v>0</v>
      </c>
      <c r="AN337" s="14">
        <v>0</v>
      </c>
      <c r="AO337" s="163">
        <v>0</v>
      </c>
      <c r="AP337" s="163">
        <v>0</v>
      </c>
      <c r="AQ337" s="163">
        <v>0</v>
      </c>
      <c r="AR337" s="163">
        <v>0</v>
      </c>
      <c r="AS337" s="14">
        <v>1</v>
      </c>
      <c r="AT337" s="163">
        <v>1</v>
      </c>
      <c r="AU337" s="163">
        <v>0</v>
      </c>
      <c r="AV337" s="163">
        <v>1</v>
      </c>
      <c r="AW337" s="26">
        <v>0</v>
      </c>
      <c r="AX337" s="14">
        <v>3</v>
      </c>
      <c r="AY337" s="14">
        <v>1</v>
      </c>
      <c r="AZ337" s="163">
        <v>1</v>
      </c>
      <c r="BA337" s="163">
        <v>0</v>
      </c>
      <c r="BB337" s="26">
        <v>0</v>
      </c>
      <c r="BC337" s="12">
        <v>2</v>
      </c>
      <c r="BD337" s="14">
        <v>0</v>
      </c>
      <c r="BE337" s="163">
        <v>0</v>
      </c>
      <c r="BF337" s="163">
        <v>0</v>
      </c>
      <c r="BG337" s="163">
        <v>0</v>
      </c>
      <c r="BH337" s="163">
        <v>0</v>
      </c>
      <c r="BI337" s="14">
        <v>1</v>
      </c>
      <c r="BJ337" s="163">
        <v>1</v>
      </c>
      <c r="BK337" s="26">
        <v>0</v>
      </c>
      <c r="BL337" s="14">
        <v>0</v>
      </c>
      <c r="BM337" s="163">
        <v>0</v>
      </c>
      <c r="BN337" s="26">
        <v>0</v>
      </c>
      <c r="BO337" s="14">
        <v>0</v>
      </c>
      <c r="BP337" s="12">
        <v>115</v>
      </c>
      <c r="BQ337" s="163">
        <v>2</v>
      </c>
      <c r="BR337" s="14">
        <v>0</v>
      </c>
      <c r="BS337" s="163">
        <v>0</v>
      </c>
      <c r="BT337" s="163">
        <v>0</v>
      </c>
      <c r="BU337" s="26">
        <v>0</v>
      </c>
      <c r="BV337" s="14">
        <v>0</v>
      </c>
      <c r="BW337" s="209"/>
      <c r="BX337" s="3"/>
      <c r="BY337" s="3"/>
      <c r="BZ337" s="40"/>
      <c r="CA337" s="209"/>
      <c r="CB337" s="3"/>
      <c r="CC337" s="3"/>
      <c r="CD337" s="3"/>
      <c r="CE337" s="209"/>
      <c r="CF337" s="3"/>
      <c r="CG337" s="3"/>
      <c r="CH337" s="40"/>
      <c r="CI337" s="209"/>
      <c r="CJ337" s="3"/>
      <c r="CK337" s="3"/>
      <c r="CL337" s="209"/>
      <c r="CM337" s="3"/>
      <c r="CN337" s="3"/>
      <c r="CO337" s="3"/>
      <c r="CP337" s="40"/>
      <c r="CQ337" s="209"/>
      <c r="CR337" s="40"/>
      <c r="CS337" s="3"/>
      <c r="CT337" s="3"/>
    </row>
    <row r="338" spans="1:98">
      <c r="A338" s="42" t="s">
        <v>322</v>
      </c>
      <c r="B338" s="173" t="s">
        <v>198</v>
      </c>
      <c r="C338" s="12"/>
      <c r="D338" s="14" t="s">
        <v>130</v>
      </c>
      <c r="E338" s="12"/>
      <c r="F338" s="12">
        <v>5</v>
      </c>
      <c r="G338" s="14">
        <v>0</v>
      </c>
      <c r="H338" s="163">
        <v>0</v>
      </c>
      <c r="I338" s="163">
        <v>1</v>
      </c>
      <c r="J338" s="12">
        <v>1</v>
      </c>
      <c r="K338" s="14">
        <v>202</v>
      </c>
      <c r="L338" s="26">
        <v>937</v>
      </c>
      <c r="M338" s="14">
        <v>307</v>
      </c>
      <c r="N338" s="163">
        <v>1187</v>
      </c>
      <c r="O338" s="14">
        <v>0</v>
      </c>
      <c r="P338" s="26">
        <v>0</v>
      </c>
      <c r="Q338" s="12">
        <v>1614</v>
      </c>
      <c r="R338" s="209">
        <v>1.1223922114047289</v>
      </c>
      <c r="S338" s="14">
        <v>1</v>
      </c>
      <c r="T338" s="163">
        <v>1</v>
      </c>
      <c r="U338" s="163">
        <v>0</v>
      </c>
      <c r="V338" s="26">
        <v>0</v>
      </c>
      <c r="W338" s="14">
        <v>1100</v>
      </c>
      <c r="X338" s="14">
        <v>1</v>
      </c>
      <c r="Y338" s="163">
        <v>0</v>
      </c>
      <c r="Z338" s="163">
        <v>0</v>
      </c>
      <c r="AA338" s="26">
        <v>0</v>
      </c>
      <c r="AB338" s="12">
        <v>1000</v>
      </c>
      <c r="AC338" s="14">
        <v>0</v>
      </c>
      <c r="AD338" s="14">
        <v>0</v>
      </c>
      <c r="AE338" s="163">
        <v>1</v>
      </c>
      <c r="AF338" s="163">
        <v>1</v>
      </c>
      <c r="AG338" s="26">
        <v>0</v>
      </c>
      <c r="AH338" s="14">
        <v>110</v>
      </c>
      <c r="AI338" s="14">
        <v>0</v>
      </c>
      <c r="AJ338" s="163">
        <v>0</v>
      </c>
      <c r="AK338" s="163">
        <v>0</v>
      </c>
      <c r="AL338" s="26">
        <v>0</v>
      </c>
      <c r="AM338" s="12">
        <v>0</v>
      </c>
      <c r="AN338" s="14">
        <v>0</v>
      </c>
      <c r="AO338" s="163">
        <v>0</v>
      </c>
      <c r="AP338" s="163">
        <v>0</v>
      </c>
      <c r="AQ338" s="163">
        <v>0</v>
      </c>
      <c r="AR338" s="163">
        <v>0</v>
      </c>
      <c r="AS338" s="14">
        <v>1</v>
      </c>
      <c r="AT338" s="163">
        <v>0</v>
      </c>
      <c r="AU338" s="163">
        <v>0</v>
      </c>
      <c r="AV338" s="163">
        <v>1</v>
      </c>
      <c r="AW338" s="26">
        <v>0</v>
      </c>
      <c r="AX338" s="14">
        <v>2</v>
      </c>
      <c r="AY338" s="14">
        <v>1</v>
      </c>
      <c r="AZ338" s="163">
        <v>0</v>
      </c>
      <c r="BA338" s="163">
        <v>0</v>
      </c>
      <c r="BB338" s="26">
        <v>0</v>
      </c>
      <c r="BC338" s="12">
        <v>1</v>
      </c>
      <c r="BD338" s="14">
        <v>0</v>
      </c>
      <c r="BE338" s="163">
        <v>0</v>
      </c>
      <c r="BF338" s="163">
        <v>0</v>
      </c>
      <c r="BG338" s="163">
        <v>0</v>
      </c>
      <c r="BH338" s="163">
        <v>0</v>
      </c>
      <c r="BI338" s="14">
        <v>1</v>
      </c>
      <c r="BJ338" s="163">
        <v>1</v>
      </c>
      <c r="BK338" s="26">
        <v>0</v>
      </c>
      <c r="BL338" s="14">
        <v>0</v>
      </c>
      <c r="BM338" s="163">
        <v>0</v>
      </c>
      <c r="BN338" s="26">
        <v>0</v>
      </c>
      <c r="BO338" s="14">
        <v>0</v>
      </c>
      <c r="BP338" s="12">
        <v>142</v>
      </c>
      <c r="BQ338" s="163">
        <v>2</v>
      </c>
      <c r="BR338" s="14">
        <v>0</v>
      </c>
      <c r="BS338" s="163">
        <v>0</v>
      </c>
      <c r="BT338" s="163">
        <v>0</v>
      </c>
      <c r="BU338" s="26">
        <v>0</v>
      </c>
      <c r="BV338" s="14">
        <v>0</v>
      </c>
      <c r="BW338" s="209"/>
      <c r="BX338" s="3"/>
      <c r="BY338" s="3"/>
      <c r="BZ338" s="40"/>
      <c r="CA338" s="209"/>
      <c r="CB338" s="3"/>
      <c r="CC338" s="3"/>
      <c r="CD338" s="3"/>
      <c r="CE338" s="209"/>
      <c r="CF338" s="3"/>
      <c r="CG338" s="3"/>
      <c r="CH338" s="40"/>
      <c r="CI338" s="209"/>
      <c r="CJ338" s="3"/>
      <c r="CK338" s="3"/>
      <c r="CL338" s="209"/>
      <c r="CM338" s="3"/>
      <c r="CN338" s="3"/>
      <c r="CO338" s="3"/>
      <c r="CP338" s="40"/>
      <c r="CQ338" s="209"/>
      <c r="CR338" s="40"/>
      <c r="CS338" s="3"/>
      <c r="CT338" s="3"/>
    </row>
    <row r="339" spans="1:98">
      <c r="A339" s="42" t="s">
        <v>322</v>
      </c>
      <c r="B339" s="173" t="s">
        <v>198</v>
      </c>
      <c r="C339" s="12"/>
      <c r="D339" s="14" t="s">
        <v>394</v>
      </c>
      <c r="E339" s="12"/>
      <c r="F339" s="12"/>
      <c r="G339" s="14">
        <v>0</v>
      </c>
      <c r="H339" s="163">
        <v>0</v>
      </c>
      <c r="I339" s="163">
        <v>1</v>
      </c>
      <c r="J339" s="12">
        <v>1</v>
      </c>
      <c r="K339" s="14"/>
      <c r="L339" s="26"/>
      <c r="M339" s="14"/>
      <c r="O339" s="14"/>
      <c r="P339" s="26"/>
      <c r="Q339" s="12"/>
      <c r="R339" s="209"/>
      <c r="S339" s="14">
        <v>1</v>
      </c>
      <c r="T339" s="163">
        <v>1</v>
      </c>
      <c r="U339" s="163">
        <v>0</v>
      </c>
      <c r="V339" s="26">
        <v>0</v>
      </c>
      <c r="W339" s="14">
        <v>1100</v>
      </c>
      <c r="X339" s="14"/>
      <c r="AA339" s="26"/>
      <c r="AB339" s="12">
        <v>0</v>
      </c>
      <c r="AC339" s="14"/>
      <c r="AD339" s="14"/>
      <c r="AG339" s="26"/>
      <c r="AH339" s="14">
        <v>0</v>
      </c>
      <c r="AI339" s="14"/>
      <c r="AL339" s="26"/>
      <c r="AM339" s="12">
        <v>0</v>
      </c>
      <c r="AN339" s="14"/>
      <c r="AS339" s="14"/>
      <c r="AW339" s="26"/>
      <c r="AX339" s="14">
        <v>0</v>
      </c>
      <c r="AY339" s="14"/>
      <c r="BB339" s="26"/>
      <c r="BC339" s="12">
        <v>0</v>
      </c>
      <c r="BD339" s="14"/>
      <c r="BI339" s="14"/>
      <c r="BK339" s="26"/>
      <c r="BL339" s="14"/>
      <c r="BN339" s="26"/>
      <c r="BO339" s="14"/>
      <c r="BP339" s="12"/>
      <c r="BR339" s="14"/>
      <c r="BU339" s="26"/>
      <c r="BV339" s="14">
        <v>0</v>
      </c>
      <c r="BW339" s="209"/>
      <c r="BX339" s="3"/>
      <c r="BY339" s="3"/>
      <c r="BZ339" s="40"/>
      <c r="CA339" s="209"/>
      <c r="CB339" s="3"/>
      <c r="CC339" s="3"/>
      <c r="CD339" s="3"/>
      <c r="CE339" s="209"/>
      <c r="CF339" s="3"/>
      <c r="CG339" s="3"/>
      <c r="CH339" s="40"/>
      <c r="CI339" s="209"/>
      <c r="CJ339" s="3"/>
      <c r="CK339" s="3"/>
      <c r="CL339" s="209"/>
      <c r="CM339" s="3"/>
      <c r="CN339" s="3"/>
      <c r="CO339" s="3"/>
      <c r="CP339" s="40"/>
      <c r="CQ339" s="209"/>
      <c r="CR339" s="40"/>
      <c r="CS339" s="3"/>
      <c r="CT339" s="3"/>
    </row>
    <row r="340" spans="1:98">
      <c r="A340" s="42" t="s">
        <v>322</v>
      </c>
      <c r="B340" s="173" t="s">
        <v>198</v>
      </c>
      <c r="C340" s="12"/>
      <c r="D340" s="14" t="s">
        <v>377</v>
      </c>
      <c r="E340" s="12"/>
      <c r="F340" s="12">
        <v>4</v>
      </c>
      <c r="G340" s="14">
        <v>0</v>
      </c>
      <c r="H340" s="163">
        <v>0</v>
      </c>
      <c r="I340" s="163">
        <v>1</v>
      </c>
      <c r="J340" s="12">
        <v>1</v>
      </c>
      <c r="K340" s="14">
        <v>480</v>
      </c>
      <c r="L340" s="26">
        <v>2010</v>
      </c>
      <c r="M340" s="14">
        <v>337</v>
      </c>
      <c r="N340" s="163">
        <v>773</v>
      </c>
      <c r="O340" s="14">
        <v>0</v>
      </c>
      <c r="P340" s="26">
        <v>0</v>
      </c>
      <c r="Q340" s="12">
        <v>2010</v>
      </c>
      <c r="R340" s="209">
        <v>1.4790286975717439</v>
      </c>
      <c r="S340" s="14">
        <v>1</v>
      </c>
      <c r="T340" s="163">
        <v>1</v>
      </c>
      <c r="U340" s="163">
        <v>0</v>
      </c>
      <c r="V340" s="26">
        <v>0</v>
      </c>
      <c r="W340" s="14">
        <v>1100</v>
      </c>
      <c r="X340" s="14">
        <v>1</v>
      </c>
      <c r="Y340" s="163">
        <v>1</v>
      </c>
      <c r="Z340" s="163">
        <v>0</v>
      </c>
      <c r="AA340" s="26">
        <v>0</v>
      </c>
      <c r="AB340" s="12">
        <v>1100</v>
      </c>
      <c r="AC340" s="14">
        <v>1</v>
      </c>
      <c r="AD340" s="14">
        <v>0</v>
      </c>
      <c r="AE340" s="163">
        <v>1</v>
      </c>
      <c r="AF340" s="163">
        <v>1</v>
      </c>
      <c r="AG340" s="26">
        <v>0</v>
      </c>
      <c r="AH340" s="14">
        <v>110</v>
      </c>
      <c r="AI340" s="14">
        <v>0</v>
      </c>
      <c r="AJ340" s="163">
        <v>0</v>
      </c>
      <c r="AK340" s="163">
        <v>0</v>
      </c>
      <c r="AL340" s="26">
        <v>0</v>
      </c>
      <c r="AM340" s="12">
        <v>0</v>
      </c>
      <c r="AN340" s="14">
        <v>0</v>
      </c>
      <c r="AO340" s="163">
        <v>0</v>
      </c>
      <c r="AP340" s="163">
        <v>0</v>
      </c>
      <c r="AQ340" s="163">
        <v>0</v>
      </c>
      <c r="AR340" s="163">
        <v>0</v>
      </c>
      <c r="AS340" s="14">
        <v>1</v>
      </c>
      <c r="AT340" s="163">
        <v>0</v>
      </c>
      <c r="AU340" s="163">
        <v>0</v>
      </c>
      <c r="AV340" s="163">
        <v>1</v>
      </c>
      <c r="AW340" s="26">
        <v>0</v>
      </c>
      <c r="AX340" s="14">
        <v>2</v>
      </c>
      <c r="AY340" s="14">
        <v>0</v>
      </c>
      <c r="AZ340" s="163">
        <v>0</v>
      </c>
      <c r="BA340" s="163">
        <v>0</v>
      </c>
      <c r="BB340" s="26">
        <v>0</v>
      </c>
      <c r="BC340" s="12">
        <v>0</v>
      </c>
      <c r="BD340" s="14">
        <v>0</v>
      </c>
      <c r="BE340" s="163">
        <v>0</v>
      </c>
      <c r="BF340" s="163">
        <v>0</v>
      </c>
      <c r="BG340" s="163">
        <v>0</v>
      </c>
      <c r="BH340" s="163">
        <v>0</v>
      </c>
      <c r="BI340" s="14">
        <v>1</v>
      </c>
      <c r="BJ340" s="163">
        <v>1</v>
      </c>
      <c r="BK340" s="26">
        <v>0</v>
      </c>
      <c r="BL340" s="14">
        <v>0</v>
      </c>
      <c r="BM340" s="163">
        <v>0</v>
      </c>
      <c r="BN340" s="26">
        <v>0</v>
      </c>
      <c r="BO340" s="14">
        <v>0</v>
      </c>
      <c r="BP340" s="12">
        <v>151</v>
      </c>
      <c r="BQ340" s="163">
        <v>2</v>
      </c>
      <c r="BR340" s="14">
        <v>0</v>
      </c>
      <c r="BS340" s="163">
        <v>0</v>
      </c>
      <c r="BT340" s="163">
        <v>0</v>
      </c>
      <c r="BU340" s="26">
        <v>0</v>
      </c>
      <c r="BV340" s="14">
        <v>0</v>
      </c>
      <c r="BW340" s="209"/>
      <c r="BX340" s="3"/>
      <c r="BY340" s="3"/>
      <c r="BZ340" s="40"/>
      <c r="CA340" s="209"/>
      <c r="CB340" s="3"/>
      <c r="CC340" s="3"/>
      <c r="CD340" s="3"/>
      <c r="CE340" s="209"/>
      <c r="CF340" s="3"/>
      <c r="CG340" s="3"/>
      <c r="CH340" s="40"/>
      <c r="CI340" s="209"/>
      <c r="CJ340" s="3"/>
      <c r="CK340" s="3"/>
      <c r="CL340" s="209"/>
      <c r="CM340" s="3"/>
      <c r="CN340" s="3"/>
      <c r="CO340" s="3"/>
      <c r="CP340" s="40"/>
      <c r="CQ340" s="209"/>
      <c r="CR340" s="40"/>
      <c r="CS340" s="3"/>
      <c r="CT340" s="3"/>
    </row>
    <row r="341" spans="1:98">
      <c r="A341" s="42" t="s">
        <v>322</v>
      </c>
      <c r="B341" s="173" t="s">
        <v>198</v>
      </c>
      <c r="C341" s="12"/>
      <c r="D341" s="14" t="s">
        <v>403</v>
      </c>
      <c r="E341" s="12"/>
      <c r="F341" s="12">
        <v>10</v>
      </c>
      <c r="G341" s="14">
        <v>0</v>
      </c>
      <c r="H341" s="163">
        <v>0</v>
      </c>
      <c r="I341" s="163">
        <v>1</v>
      </c>
      <c r="J341" s="12">
        <v>1</v>
      </c>
      <c r="K341" s="14">
        <v>580</v>
      </c>
      <c r="L341" s="26">
        <v>1756</v>
      </c>
      <c r="M341" s="14">
        <v>192</v>
      </c>
      <c r="N341" s="163">
        <v>1171</v>
      </c>
      <c r="O341" s="14">
        <v>0</v>
      </c>
      <c r="P341" s="26">
        <v>0</v>
      </c>
      <c r="Q341" s="12">
        <v>3379</v>
      </c>
      <c r="R341" s="209">
        <v>2.4503263234227699</v>
      </c>
      <c r="S341" s="14">
        <v>1</v>
      </c>
      <c r="T341" s="163">
        <v>1</v>
      </c>
      <c r="U341" s="163">
        <v>0</v>
      </c>
      <c r="V341" s="26">
        <v>0</v>
      </c>
      <c r="W341" s="14">
        <v>1100</v>
      </c>
      <c r="X341" s="14">
        <v>1</v>
      </c>
      <c r="Y341" s="163">
        <v>1</v>
      </c>
      <c r="Z341" s="163">
        <v>0</v>
      </c>
      <c r="AA341" s="26">
        <v>0</v>
      </c>
      <c r="AB341" s="12">
        <v>1100</v>
      </c>
      <c r="AC341" s="14">
        <v>1</v>
      </c>
      <c r="AD341" s="14">
        <v>1</v>
      </c>
      <c r="AE341" s="163">
        <v>1</v>
      </c>
      <c r="AF341" s="163">
        <v>0</v>
      </c>
      <c r="AG341" s="26">
        <v>0</v>
      </c>
      <c r="AH341" s="14">
        <v>1100</v>
      </c>
      <c r="AI341" s="14">
        <v>0</v>
      </c>
      <c r="AJ341" s="163">
        <v>0</v>
      </c>
      <c r="AK341" s="163">
        <v>0</v>
      </c>
      <c r="AL341" s="26">
        <v>0</v>
      </c>
      <c r="AM341" s="12">
        <v>0</v>
      </c>
      <c r="AN341" s="14">
        <v>0</v>
      </c>
      <c r="AO341" s="163">
        <v>0</v>
      </c>
      <c r="AP341" s="163">
        <v>0</v>
      </c>
      <c r="AQ341" s="163">
        <v>0</v>
      </c>
      <c r="AR341" s="163">
        <v>0</v>
      </c>
      <c r="AS341" s="14">
        <v>1</v>
      </c>
      <c r="AT341" s="163">
        <v>1</v>
      </c>
      <c r="AU341" s="163">
        <v>0</v>
      </c>
      <c r="AV341" s="163">
        <v>0</v>
      </c>
      <c r="AW341" s="26">
        <v>0</v>
      </c>
      <c r="AX341" s="14">
        <v>2</v>
      </c>
      <c r="AY341" s="14">
        <v>1</v>
      </c>
      <c r="AZ341" s="163">
        <v>0</v>
      </c>
      <c r="BA341" s="163">
        <v>0</v>
      </c>
      <c r="BB341" s="26">
        <v>0</v>
      </c>
      <c r="BC341" s="12">
        <v>1</v>
      </c>
      <c r="BD341" s="14">
        <v>0</v>
      </c>
      <c r="BE341" s="163">
        <v>0</v>
      </c>
      <c r="BF341" s="163">
        <v>0</v>
      </c>
      <c r="BG341" s="163">
        <v>0</v>
      </c>
      <c r="BH341" s="163">
        <v>0</v>
      </c>
      <c r="BI341" s="14">
        <v>1</v>
      </c>
      <c r="BJ341" s="163">
        <v>1</v>
      </c>
      <c r="BK341" s="26">
        <v>0</v>
      </c>
      <c r="BL341" s="14">
        <v>0</v>
      </c>
      <c r="BM341" s="163">
        <v>0</v>
      </c>
      <c r="BN341" s="26">
        <v>0</v>
      </c>
      <c r="BO341" s="14">
        <v>0</v>
      </c>
      <c r="BP341" s="12">
        <v>156</v>
      </c>
      <c r="BQ341" s="163">
        <v>2</v>
      </c>
      <c r="BR341" s="14">
        <v>0</v>
      </c>
      <c r="BS341" s="163">
        <v>0</v>
      </c>
      <c r="BT341" s="163">
        <v>0</v>
      </c>
      <c r="BU341" s="26">
        <v>0</v>
      </c>
      <c r="BV341" s="14">
        <v>0</v>
      </c>
      <c r="BW341" s="209"/>
      <c r="BX341" s="3"/>
      <c r="BY341" s="3"/>
      <c r="BZ341" s="40"/>
      <c r="CA341" s="209"/>
      <c r="CB341" s="3"/>
      <c r="CC341" s="3"/>
      <c r="CD341" s="3"/>
      <c r="CE341" s="209"/>
      <c r="CF341" s="3"/>
      <c r="CG341" s="3"/>
      <c r="CH341" s="40"/>
      <c r="CI341" s="209"/>
      <c r="CJ341" s="3"/>
      <c r="CK341" s="3"/>
      <c r="CL341" s="209"/>
      <c r="CM341" s="3"/>
      <c r="CN341" s="3"/>
      <c r="CO341" s="3"/>
      <c r="CP341" s="40"/>
      <c r="CQ341" s="209"/>
      <c r="CR341" s="40"/>
      <c r="CS341" s="3"/>
      <c r="CT341" s="3"/>
    </row>
    <row r="342" spans="1:98">
      <c r="A342" s="42" t="s">
        <v>322</v>
      </c>
      <c r="B342" s="173" t="s">
        <v>198</v>
      </c>
      <c r="C342" s="12"/>
      <c r="D342" s="14" t="s">
        <v>195</v>
      </c>
      <c r="E342" s="12" t="s">
        <v>1</v>
      </c>
      <c r="F342" s="12">
        <v>19</v>
      </c>
      <c r="G342" s="14">
        <v>1</v>
      </c>
      <c r="H342" s="163">
        <v>1</v>
      </c>
      <c r="I342" s="163">
        <v>1</v>
      </c>
      <c r="J342" s="12">
        <v>111</v>
      </c>
      <c r="K342" s="14">
        <v>312</v>
      </c>
      <c r="L342" s="26">
        <v>2415</v>
      </c>
      <c r="M342" s="14">
        <v>222</v>
      </c>
      <c r="N342" s="163">
        <v>1350</v>
      </c>
      <c r="O342" s="14">
        <v>0</v>
      </c>
      <c r="P342" s="26">
        <v>0</v>
      </c>
      <c r="Q342" s="12">
        <v>4645</v>
      </c>
      <c r="R342" s="209">
        <v>3.6748417721518987</v>
      </c>
      <c r="S342" s="14">
        <v>1</v>
      </c>
      <c r="T342" s="163">
        <v>1</v>
      </c>
      <c r="U342" s="163">
        <v>0</v>
      </c>
      <c r="V342" s="26">
        <v>0</v>
      </c>
      <c r="W342" s="14">
        <v>1100</v>
      </c>
      <c r="X342" s="14">
        <v>1</v>
      </c>
      <c r="Y342" s="163">
        <v>1</v>
      </c>
      <c r="Z342" s="163">
        <v>0</v>
      </c>
      <c r="AA342" s="26">
        <v>1</v>
      </c>
      <c r="AB342" s="12">
        <v>1101</v>
      </c>
      <c r="AC342" s="14">
        <v>0</v>
      </c>
      <c r="AD342" s="14">
        <v>0</v>
      </c>
      <c r="AE342" s="163">
        <v>1</v>
      </c>
      <c r="AF342" s="163">
        <v>1</v>
      </c>
      <c r="AG342" s="26">
        <v>0</v>
      </c>
      <c r="AH342" s="14">
        <v>110</v>
      </c>
      <c r="AI342" s="14">
        <v>0</v>
      </c>
      <c r="AJ342" s="163">
        <v>0</v>
      </c>
      <c r="AK342" s="163">
        <v>0</v>
      </c>
      <c r="AL342" s="26">
        <v>0</v>
      </c>
      <c r="AM342" s="12">
        <v>0</v>
      </c>
      <c r="AN342" s="14">
        <v>0</v>
      </c>
      <c r="AO342" s="163">
        <v>0</v>
      </c>
      <c r="AP342" s="163">
        <v>0</v>
      </c>
      <c r="AQ342" s="163">
        <v>0</v>
      </c>
      <c r="AR342" s="163">
        <v>0</v>
      </c>
      <c r="AS342" s="14">
        <v>1</v>
      </c>
      <c r="AT342" s="163">
        <v>0</v>
      </c>
      <c r="AU342" s="163">
        <v>0</v>
      </c>
      <c r="AV342" s="163">
        <v>1</v>
      </c>
      <c r="AW342" s="26">
        <v>0</v>
      </c>
      <c r="AX342" s="14">
        <v>2</v>
      </c>
      <c r="AY342" s="14">
        <v>0</v>
      </c>
      <c r="AZ342" s="163">
        <v>0</v>
      </c>
      <c r="BA342" s="163">
        <v>0</v>
      </c>
      <c r="BB342" s="26">
        <v>0</v>
      </c>
      <c r="BC342" s="12">
        <v>0</v>
      </c>
      <c r="BD342" s="14">
        <v>0</v>
      </c>
      <c r="BE342" s="163">
        <v>0</v>
      </c>
      <c r="BF342" s="163">
        <v>0</v>
      </c>
      <c r="BG342" s="163">
        <v>0</v>
      </c>
      <c r="BH342" s="163">
        <v>0</v>
      </c>
      <c r="BI342" s="14">
        <v>1</v>
      </c>
      <c r="BJ342" s="163">
        <v>1</v>
      </c>
      <c r="BK342" s="26">
        <v>0</v>
      </c>
      <c r="BL342" s="14">
        <v>0</v>
      </c>
      <c r="BM342" s="163">
        <v>0</v>
      </c>
      <c r="BN342" s="26">
        <v>0</v>
      </c>
      <c r="BO342" s="14">
        <v>0</v>
      </c>
      <c r="BP342" s="12">
        <v>159</v>
      </c>
      <c r="BQ342" s="163">
        <v>1</v>
      </c>
      <c r="BR342" s="14">
        <v>0</v>
      </c>
      <c r="BS342" s="163">
        <v>0</v>
      </c>
      <c r="BT342" s="163">
        <v>0</v>
      </c>
      <c r="BU342" s="26">
        <v>0</v>
      </c>
      <c r="BV342" s="14">
        <v>0</v>
      </c>
      <c r="BW342" s="209"/>
      <c r="BX342" s="3"/>
      <c r="BY342" s="3"/>
      <c r="BZ342" s="40"/>
      <c r="CA342" s="209"/>
      <c r="CB342" s="3"/>
      <c r="CC342" s="3"/>
      <c r="CD342" s="3"/>
      <c r="CE342" s="209"/>
      <c r="CF342" s="3"/>
      <c r="CG342" s="3"/>
      <c r="CH342" s="40"/>
      <c r="CI342" s="209"/>
      <c r="CJ342" s="3"/>
      <c r="CK342" s="3"/>
      <c r="CL342" s="209"/>
      <c r="CM342" s="3"/>
      <c r="CN342" s="3"/>
      <c r="CO342" s="3"/>
      <c r="CP342" s="40"/>
      <c r="CQ342" s="209"/>
      <c r="CR342" s="40"/>
      <c r="CS342" s="3"/>
      <c r="CT342" s="3"/>
    </row>
    <row r="343" spans="1:98">
      <c r="A343" s="42" t="s">
        <v>322</v>
      </c>
      <c r="B343" s="173" t="s">
        <v>198</v>
      </c>
      <c r="C343" s="12"/>
      <c r="D343" s="14" t="s">
        <v>195</v>
      </c>
      <c r="E343" s="12" t="s">
        <v>0</v>
      </c>
      <c r="F343" s="12">
        <v>5</v>
      </c>
      <c r="G343" s="14">
        <v>0</v>
      </c>
      <c r="H343" s="163">
        <v>0</v>
      </c>
      <c r="I343" s="163">
        <v>1</v>
      </c>
      <c r="J343" s="12">
        <v>1</v>
      </c>
      <c r="K343" s="14">
        <v>835</v>
      </c>
      <c r="L343" s="26">
        <v>1307</v>
      </c>
      <c r="M343" s="14">
        <v>195</v>
      </c>
      <c r="N343" s="163">
        <v>376</v>
      </c>
      <c r="O343" s="14">
        <v>0</v>
      </c>
      <c r="P343" s="26">
        <v>0</v>
      </c>
      <c r="Q343" s="12">
        <v>1516</v>
      </c>
      <c r="R343" s="209">
        <v>1.2118305355715429</v>
      </c>
      <c r="S343" s="14">
        <v>1</v>
      </c>
      <c r="T343" s="163">
        <v>1</v>
      </c>
      <c r="U343" s="163">
        <v>0</v>
      </c>
      <c r="V343" s="26">
        <v>0</v>
      </c>
      <c r="W343" s="14">
        <v>1100</v>
      </c>
      <c r="X343" s="14">
        <v>1</v>
      </c>
      <c r="Y343" s="163">
        <v>0</v>
      </c>
      <c r="Z343" s="163">
        <v>0</v>
      </c>
      <c r="AA343" s="26">
        <v>0</v>
      </c>
      <c r="AB343" s="12">
        <v>1000</v>
      </c>
      <c r="AC343" s="14">
        <v>1</v>
      </c>
      <c r="AD343" s="14">
        <v>0</v>
      </c>
      <c r="AE343" s="163">
        <v>1</v>
      </c>
      <c r="AF343" s="163">
        <v>1</v>
      </c>
      <c r="AG343" s="26">
        <v>0</v>
      </c>
      <c r="AH343" s="14">
        <v>110</v>
      </c>
      <c r="AI343" s="14">
        <v>0</v>
      </c>
      <c r="AJ343" s="163">
        <v>0</v>
      </c>
      <c r="AK343" s="163">
        <v>0</v>
      </c>
      <c r="AL343" s="26">
        <v>0</v>
      </c>
      <c r="AM343" s="12">
        <v>0</v>
      </c>
      <c r="AN343" s="14">
        <v>0</v>
      </c>
      <c r="AO343" s="163">
        <v>0</v>
      </c>
      <c r="AP343" s="163">
        <v>0</v>
      </c>
      <c r="AQ343" s="163">
        <v>0</v>
      </c>
      <c r="AR343" s="163">
        <v>0</v>
      </c>
      <c r="AS343" s="14">
        <v>1</v>
      </c>
      <c r="AT343" s="163">
        <v>0</v>
      </c>
      <c r="AU343" s="163">
        <v>0</v>
      </c>
      <c r="AV343" s="163">
        <v>1</v>
      </c>
      <c r="AW343" s="26">
        <v>0</v>
      </c>
      <c r="AX343" s="14">
        <v>2</v>
      </c>
      <c r="AY343" s="14">
        <v>0</v>
      </c>
      <c r="AZ343" s="163">
        <v>0</v>
      </c>
      <c r="BA343" s="163">
        <v>0</v>
      </c>
      <c r="BB343" s="26">
        <v>1</v>
      </c>
      <c r="BC343" s="12">
        <v>1</v>
      </c>
      <c r="BD343" s="14">
        <v>0</v>
      </c>
      <c r="BE343" s="163">
        <v>0</v>
      </c>
      <c r="BF343" s="163">
        <v>0</v>
      </c>
      <c r="BG343" s="163">
        <v>0</v>
      </c>
      <c r="BH343" s="163">
        <v>0</v>
      </c>
      <c r="BI343" s="14">
        <v>1</v>
      </c>
      <c r="BJ343" s="163">
        <v>1</v>
      </c>
      <c r="BK343" s="26">
        <v>0</v>
      </c>
      <c r="BL343" s="14">
        <v>0</v>
      </c>
      <c r="BM343" s="163">
        <v>0</v>
      </c>
      <c r="BN343" s="26">
        <v>0</v>
      </c>
      <c r="BO343" s="14">
        <v>0</v>
      </c>
      <c r="BP343" s="12">
        <v>159</v>
      </c>
      <c r="BQ343" s="163">
        <v>2</v>
      </c>
      <c r="BR343" s="14">
        <v>0</v>
      </c>
      <c r="BS343" s="163">
        <v>0</v>
      </c>
      <c r="BT343" s="163">
        <v>0</v>
      </c>
      <c r="BU343" s="26">
        <v>0</v>
      </c>
      <c r="BV343" s="14">
        <v>0</v>
      </c>
      <c r="BW343" s="209"/>
      <c r="BX343" s="3"/>
      <c r="BY343" s="3"/>
      <c r="BZ343" s="40"/>
      <c r="CA343" s="209"/>
      <c r="CB343" s="3"/>
      <c r="CC343" s="3"/>
      <c r="CD343" s="3"/>
      <c r="CE343" s="209"/>
      <c r="CF343" s="3"/>
      <c r="CG343" s="3"/>
      <c r="CH343" s="40"/>
      <c r="CI343" s="209"/>
      <c r="CJ343" s="3"/>
      <c r="CK343" s="3"/>
      <c r="CL343" s="209"/>
      <c r="CM343" s="3"/>
      <c r="CN343" s="3"/>
      <c r="CO343" s="3"/>
      <c r="CP343" s="40"/>
      <c r="CQ343" s="209"/>
      <c r="CR343" s="40"/>
      <c r="CS343" s="3"/>
      <c r="CT343" s="3"/>
    </row>
    <row r="344" spans="1:98">
      <c r="A344" s="42" t="s">
        <v>322</v>
      </c>
      <c r="B344" s="173" t="s">
        <v>198</v>
      </c>
      <c r="C344" s="12"/>
      <c r="D344" s="14" t="s">
        <v>261</v>
      </c>
      <c r="E344" s="12"/>
      <c r="F344" s="12">
        <v>14</v>
      </c>
      <c r="G344" s="14">
        <v>1</v>
      </c>
      <c r="H344" s="163">
        <v>0</v>
      </c>
      <c r="I344" s="163">
        <v>1</v>
      </c>
      <c r="J344" s="12">
        <v>101</v>
      </c>
      <c r="K344" s="14">
        <v>279</v>
      </c>
      <c r="L344" s="26">
        <v>1008</v>
      </c>
      <c r="M344" s="14">
        <v>205</v>
      </c>
      <c r="N344" s="163">
        <v>849</v>
      </c>
      <c r="O344" s="14">
        <v>0</v>
      </c>
      <c r="P344" s="26">
        <v>0</v>
      </c>
      <c r="Q344" s="12">
        <v>2264</v>
      </c>
      <c r="R344" s="209">
        <v>1.8287560581583198</v>
      </c>
      <c r="S344" s="14">
        <v>1</v>
      </c>
      <c r="T344" s="163">
        <v>1</v>
      </c>
      <c r="U344" s="163">
        <v>0</v>
      </c>
      <c r="V344" s="26">
        <v>0</v>
      </c>
      <c r="W344" s="14">
        <v>1100</v>
      </c>
      <c r="X344" s="14">
        <v>1</v>
      </c>
      <c r="Y344" s="163">
        <v>0</v>
      </c>
      <c r="Z344" s="163">
        <v>0</v>
      </c>
      <c r="AA344" s="26">
        <v>0</v>
      </c>
      <c r="AB344" s="12">
        <v>1000</v>
      </c>
      <c r="AC344" s="14">
        <v>0</v>
      </c>
      <c r="AD344" s="14">
        <v>0</v>
      </c>
      <c r="AE344" s="163">
        <v>1</v>
      </c>
      <c r="AF344" s="163">
        <v>1</v>
      </c>
      <c r="AG344" s="26">
        <v>0</v>
      </c>
      <c r="AH344" s="14">
        <v>110</v>
      </c>
      <c r="AI344" s="14">
        <v>0</v>
      </c>
      <c r="AJ344" s="163">
        <v>0</v>
      </c>
      <c r="AK344" s="163">
        <v>0</v>
      </c>
      <c r="AL344" s="26">
        <v>0</v>
      </c>
      <c r="AM344" s="12">
        <v>0</v>
      </c>
      <c r="AN344" s="14">
        <v>0</v>
      </c>
      <c r="AO344" s="163">
        <v>0</v>
      </c>
      <c r="AP344" s="163">
        <v>0</v>
      </c>
      <c r="AQ344" s="163">
        <v>0</v>
      </c>
      <c r="AR344" s="163">
        <v>0</v>
      </c>
      <c r="AS344" s="14">
        <v>1</v>
      </c>
      <c r="AT344" s="163">
        <v>0</v>
      </c>
      <c r="AU344" s="163">
        <v>0</v>
      </c>
      <c r="AV344" s="163">
        <v>0</v>
      </c>
      <c r="AW344" s="26">
        <v>0</v>
      </c>
      <c r="AX344" s="14">
        <v>1</v>
      </c>
      <c r="AY344" s="14">
        <v>0</v>
      </c>
      <c r="AZ344" s="163">
        <v>1</v>
      </c>
      <c r="BA344" s="163">
        <v>0</v>
      </c>
      <c r="BB344" s="26">
        <v>0</v>
      </c>
      <c r="BC344" s="12">
        <v>1</v>
      </c>
      <c r="BD344" s="14">
        <v>0</v>
      </c>
      <c r="BE344" s="163">
        <v>0</v>
      </c>
      <c r="BF344" s="163">
        <v>0</v>
      </c>
      <c r="BG344" s="163">
        <v>0</v>
      </c>
      <c r="BH344" s="163">
        <v>0</v>
      </c>
      <c r="BI344" s="14">
        <v>1</v>
      </c>
      <c r="BJ344" s="163">
        <v>1</v>
      </c>
      <c r="BK344" s="26">
        <v>0</v>
      </c>
      <c r="BL344" s="14">
        <v>0</v>
      </c>
      <c r="BM344" s="163">
        <v>0</v>
      </c>
      <c r="BN344" s="26">
        <v>0</v>
      </c>
      <c r="BO344" s="14">
        <v>0</v>
      </c>
      <c r="BP344" s="12">
        <v>131</v>
      </c>
      <c r="BQ344" s="163">
        <v>1</v>
      </c>
      <c r="BR344" s="14">
        <v>0</v>
      </c>
      <c r="BS344" s="163">
        <v>0</v>
      </c>
      <c r="BT344" s="163">
        <v>0</v>
      </c>
      <c r="BU344" s="26">
        <v>0</v>
      </c>
      <c r="BV344" s="14">
        <v>0</v>
      </c>
      <c r="BW344" s="209"/>
      <c r="BX344" s="3"/>
      <c r="BY344" s="3"/>
      <c r="BZ344" s="40"/>
      <c r="CA344" s="209"/>
      <c r="CB344" s="3"/>
      <c r="CC344" s="3"/>
      <c r="CD344" s="3"/>
      <c r="CE344" s="209"/>
      <c r="CF344" s="3"/>
      <c r="CG344" s="3"/>
      <c r="CH344" s="40"/>
      <c r="CI344" s="209"/>
      <c r="CJ344" s="3"/>
      <c r="CK344" s="3"/>
      <c r="CL344" s="209"/>
      <c r="CM344" s="3"/>
      <c r="CN344" s="3"/>
      <c r="CO344" s="3"/>
      <c r="CP344" s="40"/>
      <c r="CQ344" s="209"/>
      <c r="CR344" s="40"/>
      <c r="CS344" s="3"/>
      <c r="CT344" s="3"/>
    </row>
    <row r="345" spans="1:98">
      <c r="A345" s="42" t="s">
        <v>322</v>
      </c>
      <c r="B345" s="173" t="s">
        <v>198</v>
      </c>
      <c r="C345" s="12"/>
      <c r="D345" s="14" t="s">
        <v>206</v>
      </c>
      <c r="E345" s="12"/>
      <c r="F345" s="12">
        <v>9</v>
      </c>
      <c r="G345" s="14">
        <v>1</v>
      </c>
      <c r="H345" s="163">
        <v>1</v>
      </c>
      <c r="I345" s="163">
        <v>1</v>
      </c>
      <c r="J345" s="12">
        <v>111</v>
      </c>
      <c r="K345" s="14">
        <v>209</v>
      </c>
      <c r="L345" s="26">
        <v>1863</v>
      </c>
      <c r="M345" s="14">
        <v>129</v>
      </c>
      <c r="N345" s="163">
        <v>530</v>
      </c>
      <c r="O345" s="14">
        <v>0</v>
      </c>
      <c r="P345" s="26">
        <v>0</v>
      </c>
      <c r="Q345" s="12">
        <v>2655</v>
      </c>
      <c r="R345" s="209">
        <v>4.0288315629742035</v>
      </c>
      <c r="S345" s="14">
        <v>1</v>
      </c>
      <c r="T345" s="163">
        <v>1</v>
      </c>
      <c r="U345" s="163">
        <v>0</v>
      </c>
      <c r="V345" s="26">
        <v>0</v>
      </c>
      <c r="W345" s="14">
        <v>1100</v>
      </c>
      <c r="X345" s="14">
        <v>1</v>
      </c>
      <c r="Y345" s="163">
        <v>1</v>
      </c>
      <c r="Z345" s="163">
        <v>0</v>
      </c>
      <c r="AA345" s="26">
        <v>0</v>
      </c>
      <c r="AB345" s="12">
        <v>1100</v>
      </c>
      <c r="AC345" s="14">
        <v>1</v>
      </c>
      <c r="AD345" s="14">
        <v>0</v>
      </c>
      <c r="AE345" s="163">
        <v>1</v>
      </c>
      <c r="AF345" s="163">
        <v>1</v>
      </c>
      <c r="AG345" s="26">
        <v>0</v>
      </c>
      <c r="AH345" s="14">
        <v>110</v>
      </c>
      <c r="AI345" s="14">
        <v>0</v>
      </c>
      <c r="AJ345" s="163">
        <v>0</v>
      </c>
      <c r="AK345" s="163">
        <v>0</v>
      </c>
      <c r="AL345" s="26">
        <v>0</v>
      </c>
      <c r="AM345" s="12">
        <v>0</v>
      </c>
      <c r="AN345" s="14">
        <v>0</v>
      </c>
      <c r="AO345" s="163">
        <v>0</v>
      </c>
      <c r="AP345" s="163">
        <v>0</v>
      </c>
      <c r="AQ345" s="163">
        <v>0</v>
      </c>
      <c r="AR345" s="163">
        <v>0</v>
      </c>
      <c r="AS345" s="14">
        <v>0</v>
      </c>
      <c r="AT345" s="163">
        <v>0</v>
      </c>
      <c r="AU345" s="163">
        <v>0</v>
      </c>
      <c r="AV345" s="163">
        <v>1</v>
      </c>
      <c r="AW345" s="26">
        <v>0</v>
      </c>
      <c r="AX345" s="14">
        <v>1</v>
      </c>
      <c r="AY345" s="14">
        <v>0</v>
      </c>
      <c r="AZ345" s="163">
        <v>0</v>
      </c>
      <c r="BA345" s="163">
        <v>0</v>
      </c>
      <c r="BB345" s="26">
        <v>1</v>
      </c>
      <c r="BC345" s="12">
        <v>1</v>
      </c>
      <c r="BD345" s="14">
        <v>0</v>
      </c>
      <c r="BE345" s="163">
        <v>0</v>
      </c>
      <c r="BF345" s="163">
        <v>0</v>
      </c>
      <c r="BG345" s="163">
        <v>0</v>
      </c>
      <c r="BH345" s="163">
        <v>0</v>
      </c>
      <c r="BI345" s="14">
        <v>1</v>
      </c>
      <c r="BJ345" s="163">
        <v>0</v>
      </c>
      <c r="BK345" s="26">
        <v>0</v>
      </c>
      <c r="BL345" s="14">
        <v>0</v>
      </c>
      <c r="BM345" s="163">
        <v>0</v>
      </c>
      <c r="BN345" s="26">
        <v>0</v>
      </c>
      <c r="BO345" s="14">
        <v>0</v>
      </c>
      <c r="BP345" s="12">
        <v>112</v>
      </c>
      <c r="BQ345" s="163">
        <v>2</v>
      </c>
      <c r="BR345" s="14">
        <v>0</v>
      </c>
      <c r="BS345" s="163">
        <v>0</v>
      </c>
      <c r="BT345" s="163">
        <v>0</v>
      </c>
      <c r="BU345" s="26">
        <v>0</v>
      </c>
      <c r="BV345" s="14">
        <v>0</v>
      </c>
      <c r="BW345" s="209"/>
      <c r="BX345" s="3"/>
      <c r="BY345" s="3"/>
      <c r="BZ345" s="40"/>
      <c r="CA345" s="209"/>
      <c r="CB345" s="3"/>
      <c r="CC345" s="3"/>
      <c r="CD345" s="3"/>
      <c r="CE345" s="209"/>
      <c r="CF345" s="3"/>
      <c r="CG345" s="3"/>
      <c r="CH345" s="40"/>
      <c r="CI345" s="209"/>
      <c r="CJ345" s="3"/>
      <c r="CK345" s="3"/>
      <c r="CL345" s="209"/>
      <c r="CM345" s="3"/>
      <c r="CN345" s="3"/>
      <c r="CO345" s="3"/>
      <c r="CP345" s="40"/>
      <c r="CQ345" s="209"/>
      <c r="CR345" s="40"/>
      <c r="CS345" s="3"/>
      <c r="CT345" s="3"/>
    </row>
    <row r="346" spans="1:98" ht="17" thickBot="1">
      <c r="A346" s="55" t="s">
        <v>322</v>
      </c>
      <c r="B346" s="47" t="s">
        <v>198</v>
      </c>
      <c r="C346" s="33"/>
      <c r="D346" s="34" t="s">
        <v>190</v>
      </c>
      <c r="E346" s="33"/>
      <c r="F346" s="33">
        <v>12</v>
      </c>
      <c r="G346" s="34">
        <v>0</v>
      </c>
      <c r="H346" s="36">
        <v>0</v>
      </c>
      <c r="I346" s="36">
        <v>1</v>
      </c>
      <c r="J346" s="33">
        <v>1</v>
      </c>
      <c r="K346" s="34">
        <v>384</v>
      </c>
      <c r="L346" s="35">
        <v>992</v>
      </c>
      <c r="M346" s="34">
        <v>135</v>
      </c>
      <c r="N346" s="36">
        <v>1314</v>
      </c>
      <c r="O346" s="34">
        <v>0</v>
      </c>
      <c r="P346" s="35">
        <v>0</v>
      </c>
      <c r="Q346" s="33">
        <v>2281</v>
      </c>
      <c r="R346" s="210">
        <v>2.011463844797178</v>
      </c>
      <c r="S346" s="34">
        <v>1</v>
      </c>
      <c r="T346" s="36">
        <v>1</v>
      </c>
      <c r="U346" s="36">
        <v>0</v>
      </c>
      <c r="V346" s="35">
        <v>0</v>
      </c>
      <c r="W346" s="34">
        <v>1100</v>
      </c>
      <c r="X346" s="34">
        <v>1</v>
      </c>
      <c r="Y346" s="36">
        <v>1</v>
      </c>
      <c r="Z346" s="36">
        <v>0</v>
      </c>
      <c r="AA346" s="35">
        <v>0</v>
      </c>
      <c r="AB346" s="33">
        <v>1100</v>
      </c>
      <c r="AC346" s="34">
        <v>1</v>
      </c>
      <c r="AD346" s="34">
        <v>0</v>
      </c>
      <c r="AE346" s="36">
        <v>1</v>
      </c>
      <c r="AF346" s="36">
        <v>1</v>
      </c>
      <c r="AG346" s="35">
        <v>0</v>
      </c>
      <c r="AH346" s="34">
        <v>110</v>
      </c>
      <c r="AI346" s="34">
        <v>0</v>
      </c>
      <c r="AJ346" s="36">
        <v>0</v>
      </c>
      <c r="AK346" s="36">
        <v>0</v>
      </c>
      <c r="AL346" s="35">
        <v>0</v>
      </c>
      <c r="AM346" s="33">
        <v>0</v>
      </c>
      <c r="AN346" s="34">
        <v>0</v>
      </c>
      <c r="AO346" s="36">
        <v>0</v>
      </c>
      <c r="AP346" s="36">
        <v>0</v>
      </c>
      <c r="AQ346" s="36">
        <v>0</v>
      </c>
      <c r="AR346" s="36">
        <v>0</v>
      </c>
      <c r="AS346" s="34">
        <v>0</v>
      </c>
      <c r="AT346" s="36">
        <v>0</v>
      </c>
      <c r="AU346" s="36">
        <v>0</v>
      </c>
      <c r="AV346" s="36">
        <v>1</v>
      </c>
      <c r="AW346" s="35">
        <v>0</v>
      </c>
      <c r="AX346" s="34">
        <v>1</v>
      </c>
      <c r="AY346" s="34">
        <v>0</v>
      </c>
      <c r="AZ346" s="36">
        <v>0</v>
      </c>
      <c r="BA346" s="36">
        <v>0</v>
      </c>
      <c r="BB346" s="35">
        <v>1</v>
      </c>
      <c r="BC346" s="33">
        <v>1</v>
      </c>
      <c r="BD346" s="34">
        <v>0</v>
      </c>
      <c r="BE346" s="36">
        <v>0</v>
      </c>
      <c r="BF346" s="36">
        <v>0</v>
      </c>
      <c r="BG346" s="36">
        <v>0</v>
      </c>
      <c r="BH346" s="36">
        <v>0</v>
      </c>
      <c r="BI346" s="34">
        <v>1</v>
      </c>
      <c r="BJ346" s="36">
        <v>1</v>
      </c>
      <c r="BK346" s="35">
        <v>0</v>
      </c>
      <c r="BL346" s="34">
        <v>0</v>
      </c>
      <c r="BM346" s="36">
        <v>0</v>
      </c>
      <c r="BN346" s="35">
        <v>0</v>
      </c>
      <c r="BO346" s="34">
        <v>0</v>
      </c>
      <c r="BP346" s="33">
        <v>145</v>
      </c>
      <c r="BQ346" s="36">
        <v>1</v>
      </c>
      <c r="BR346" s="34">
        <v>0</v>
      </c>
      <c r="BS346" s="36">
        <v>0</v>
      </c>
      <c r="BT346" s="36">
        <v>0</v>
      </c>
      <c r="BU346" s="35">
        <v>0</v>
      </c>
      <c r="BV346" s="34">
        <v>0</v>
      </c>
      <c r="BW346" s="210"/>
      <c r="BX346" s="51"/>
      <c r="BY346" s="51"/>
      <c r="BZ346" s="48"/>
      <c r="CA346" s="210"/>
      <c r="CB346" s="51"/>
      <c r="CC346" s="51"/>
      <c r="CD346" s="51"/>
      <c r="CE346" s="210"/>
      <c r="CF346" s="51"/>
      <c r="CG346" s="51"/>
      <c r="CH346" s="48"/>
      <c r="CI346" s="210"/>
      <c r="CJ346" s="51"/>
      <c r="CK346" s="51"/>
      <c r="CL346" s="210"/>
      <c r="CM346" s="51"/>
      <c r="CN346" s="51"/>
      <c r="CO346" s="51"/>
      <c r="CP346" s="48"/>
      <c r="CQ346" s="210"/>
      <c r="CR346" s="48"/>
      <c r="CS346" s="3"/>
      <c r="CT346" s="3"/>
    </row>
    <row r="347" spans="1:98">
      <c r="A347" s="87" t="s">
        <v>322</v>
      </c>
      <c r="B347" s="7" t="s">
        <v>205</v>
      </c>
      <c r="C347" s="9"/>
      <c r="D347" s="11" t="s">
        <v>132</v>
      </c>
      <c r="E347" s="9"/>
      <c r="F347" s="9">
        <v>9</v>
      </c>
      <c r="G347" s="11">
        <v>1</v>
      </c>
      <c r="H347" s="8">
        <v>0</v>
      </c>
      <c r="I347" s="8">
        <v>1</v>
      </c>
      <c r="J347" s="9">
        <v>101</v>
      </c>
      <c r="K347" s="11">
        <v>351</v>
      </c>
      <c r="L347" s="41">
        <v>1812</v>
      </c>
      <c r="M347" s="11">
        <v>200</v>
      </c>
      <c r="N347" s="8">
        <v>1184</v>
      </c>
      <c r="O347" s="11">
        <v>0</v>
      </c>
      <c r="P347" s="41">
        <v>0</v>
      </c>
      <c r="Q347" s="9">
        <v>2768</v>
      </c>
      <c r="R347" s="208">
        <v>1.1220105391163355</v>
      </c>
      <c r="S347" s="11">
        <v>1</v>
      </c>
      <c r="T347" s="8">
        <v>1</v>
      </c>
      <c r="U347" s="8">
        <v>0</v>
      </c>
      <c r="V347" s="41">
        <v>0</v>
      </c>
      <c r="W347" s="11">
        <v>1100</v>
      </c>
      <c r="X347" s="11">
        <v>1</v>
      </c>
      <c r="Y347" s="8">
        <v>1</v>
      </c>
      <c r="Z347" s="8">
        <v>0</v>
      </c>
      <c r="AA347" s="41">
        <v>0</v>
      </c>
      <c r="AB347" s="9">
        <v>1100</v>
      </c>
      <c r="AC347" s="11">
        <v>1</v>
      </c>
      <c r="AD347" s="11">
        <v>0</v>
      </c>
      <c r="AE347" s="8">
        <v>1</v>
      </c>
      <c r="AF347" s="8">
        <v>1</v>
      </c>
      <c r="AG347" s="41">
        <v>0</v>
      </c>
      <c r="AH347" s="11">
        <v>110</v>
      </c>
      <c r="AI347" s="11">
        <v>0</v>
      </c>
      <c r="AJ347" s="8">
        <v>0</v>
      </c>
      <c r="AK347" s="8">
        <v>0</v>
      </c>
      <c r="AL347" s="41">
        <v>0</v>
      </c>
      <c r="AM347" s="9">
        <v>0</v>
      </c>
      <c r="AN347" s="11">
        <v>0</v>
      </c>
      <c r="AO347" s="8">
        <v>0</v>
      </c>
      <c r="AP347" s="8">
        <v>0</v>
      </c>
      <c r="AQ347" s="8">
        <v>0</v>
      </c>
      <c r="AR347" s="8">
        <v>0</v>
      </c>
      <c r="AS347" s="11">
        <v>1</v>
      </c>
      <c r="AT347" s="8">
        <v>1</v>
      </c>
      <c r="AU347" s="8">
        <v>0</v>
      </c>
      <c r="AV347" s="8">
        <v>0</v>
      </c>
      <c r="AW347" s="41">
        <v>0</v>
      </c>
      <c r="AX347" s="11">
        <v>2</v>
      </c>
      <c r="AY347" s="11">
        <v>0</v>
      </c>
      <c r="AZ347" s="8">
        <v>0</v>
      </c>
      <c r="BA347" s="8">
        <v>0</v>
      </c>
      <c r="BB347" s="41">
        <v>1</v>
      </c>
      <c r="BC347" s="9">
        <v>1</v>
      </c>
      <c r="BD347" s="11">
        <v>0</v>
      </c>
      <c r="BE347" s="8">
        <v>0</v>
      </c>
      <c r="BF347" s="8">
        <v>0</v>
      </c>
      <c r="BG347" s="8">
        <v>0</v>
      </c>
      <c r="BH347" s="8">
        <v>0</v>
      </c>
      <c r="BI347" s="11">
        <v>1</v>
      </c>
      <c r="BJ347" s="8">
        <v>1</v>
      </c>
      <c r="BK347" s="41">
        <v>0</v>
      </c>
      <c r="BL347" s="11">
        <v>0</v>
      </c>
      <c r="BM347" s="8">
        <v>0</v>
      </c>
      <c r="BN347" s="41">
        <v>0</v>
      </c>
      <c r="BO347" s="11">
        <v>0</v>
      </c>
      <c r="BP347" s="9">
        <v>162</v>
      </c>
      <c r="BQ347" s="8">
        <v>1</v>
      </c>
      <c r="BR347" s="11">
        <v>0</v>
      </c>
      <c r="BS347" s="8">
        <v>0</v>
      </c>
      <c r="BT347" s="8">
        <v>0</v>
      </c>
      <c r="BU347" s="41">
        <v>0</v>
      </c>
      <c r="BV347" s="11">
        <v>0</v>
      </c>
      <c r="BW347" s="208"/>
      <c r="BX347" s="54"/>
      <c r="BY347" s="54"/>
      <c r="BZ347" s="10"/>
      <c r="CA347" s="208"/>
      <c r="CB347" s="54"/>
      <c r="CC347" s="54"/>
      <c r="CD347" s="54"/>
      <c r="CE347" s="208"/>
      <c r="CF347" s="54"/>
      <c r="CG347" s="54"/>
      <c r="CH347" s="10"/>
      <c r="CI347" s="208"/>
      <c r="CJ347" s="54"/>
      <c r="CK347" s="54"/>
      <c r="CL347" s="208"/>
      <c r="CM347" s="54"/>
      <c r="CN347" s="54"/>
      <c r="CO347" s="54"/>
      <c r="CP347" s="10"/>
      <c r="CQ347" s="208"/>
      <c r="CR347" s="10"/>
      <c r="CS347" s="3"/>
      <c r="CT347" s="3"/>
    </row>
    <row r="348" spans="1:98">
      <c r="A348" s="42" t="s">
        <v>322</v>
      </c>
      <c r="B348" s="173" t="s">
        <v>205</v>
      </c>
      <c r="C348" s="12"/>
      <c r="D348" s="14" t="s">
        <v>376</v>
      </c>
      <c r="E348" s="12"/>
      <c r="F348" s="12">
        <v>6</v>
      </c>
      <c r="G348" s="14">
        <v>1</v>
      </c>
      <c r="H348" s="163">
        <v>0</v>
      </c>
      <c r="I348" s="163">
        <v>1</v>
      </c>
      <c r="J348" s="12">
        <v>101</v>
      </c>
      <c r="K348" s="14">
        <v>623</v>
      </c>
      <c r="L348" s="26">
        <v>1415</v>
      </c>
      <c r="M348" s="14">
        <v>292</v>
      </c>
      <c r="N348" s="163">
        <v>403</v>
      </c>
      <c r="O348" s="14">
        <v>0</v>
      </c>
      <c r="P348" s="26">
        <v>0</v>
      </c>
      <c r="Q348" s="12">
        <v>2157</v>
      </c>
      <c r="R348" s="209">
        <v>1.3290203327171903</v>
      </c>
      <c r="S348" s="14">
        <v>1</v>
      </c>
      <c r="T348" s="163">
        <v>1</v>
      </c>
      <c r="U348" s="163">
        <v>0</v>
      </c>
      <c r="V348" s="26">
        <v>0</v>
      </c>
      <c r="W348" s="14">
        <v>1100</v>
      </c>
      <c r="X348" s="14">
        <v>1</v>
      </c>
      <c r="Y348" s="163">
        <v>0</v>
      </c>
      <c r="Z348" s="163">
        <v>0</v>
      </c>
      <c r="AA348" s="26">
        <v>1</v>
      </c>
      <c r="AB348" s="12">
        <v>1001</v>
      </c>
      <c r="AC348" s="14">
        <v>1</v>
      </c>
      <c r="AD348" s="14">
        <v>1</v>
      </c>
      <c r="AE348" s="163">
        <v>0</v>
      </c>
      <c r="AF348" s="163">
        <v>1</v>
      </c>
      <c r="AG348" s="26">
        <v>0</v>
      </c>
      <c r="AH348" s="14">
        <v>1010</v>
      </c>
      <c r="AI348" s="14">
        <v>0</v>
      </c>
      <c r="AJ348" s="163">
        <v>0</v>
      </c>
      <c r="AK348" s="163">
        <v>0</v>
      </c>
      <c r="AL348" s="26">
        <v>0</v>
      </c>
      <c r="AM348" s="12">
        <v>0</v>
      </c>
      <c r="AN348" s="14">
        <v>0</v>
      </c>
      <c r="AO348" s="163">
        <v>0</v>
      </c>
      <c r="AP348" s="163">
        <v>0</v>
      </c>
      <c r="AQ348" s="163">
        <v>0</v>
      </c>
      <c r="AR348" s="163">
        <v>0</v>
      </c>
      <c r="AS348" s="14">
        <v>0</v>
      </c>
      <c r="AT348" s="163">
        <v>0</v>
      </c>
      <c r="AU348" s="163">
        <v>0</v>
      </c>
      <c r="AV348" s="163">
        <v>1</v>
      </c>
      <c r="AW348" s="26">
        <v>0</v>
      </c>
      <c r="AX348" s="14">
        <v>1</v>
      </c>
      <c r="AY348" s="14">
        <v>0</v>
      </c>
      <c r="AZ348" s="163">
        <v>0</v>
      </c>
      <c r="BA348" s="163">
        <v>0</v>
      </c>
      <c r="BB348" s="26">
        <v>1</v>
      </c>
      <c r="BC348" s="12">
        <v>1</v>
      </c>
      <c r="BD348" s="14">
        <v>0</v>
      </c>
      <c r="BE348" s="163">
        <v>0</v>
      </c>
      <c r="BF348" s="163">
        <v>0</v>
      </c>
      <c r="BG348" s="163">
        <v>0</v>
      </c>
      <c r="BH348" s="163">
        <v>0</v>
      </c>
      <c r="BI348" s="14">
        <v>1</v>
      </c>
      <c r="BJ348" s="163">
        <v>1</v>
      </c>
      <c r="BK348" s="26">
        <v>0</v>
      </c>
      <c r="BL348" s="14">
        <v>0</v>
      </c>
      <c r="BM348" s="163">
        <v>0</v>
      </c>
      <c r="BN348" s="26">
        <v>0</v>
      </c>
      <c r="BO348" s="14">
        <v>0</v>
      </c>
      <c r="BP348" s="12">
        <v>120</v>
      </c>
      <c r="BQ348" s="163">
        <v>2</v>
      </c>
      <c r="BR348" s="14">
        <v>0</v>
      </c>
      <c r="BS348" s="163">
        <v>0</v>
      </c>
      <c r="BT348" s="163">
        <v>0</v>
      </c>
      <c r="BU348" s="26">
        <v>0</v>
      </c>
      <c r="BV348" s="14">
        <v>0</v>
      </c>
      <c r="BW348" s="209"/>
      <c r="BX348" s="3"/>
      <c r="BY348" s="3"/>
      <c r="BZ348" s="40"/>
      <c r="CA348" s="209"/>
      <c r="CB348" s="3"/>
      <c r="CC348" s="3"/>
      <c r="CD348" s="3"/>
      <c r="CE348" s="209"/>
      <c r="CF348" s="3"/>
      <c r="CG348" s="3"/>
      <c r="CH348" s="40"/>
      <c r="CI348" s="209"/>
      <c r="CJ348" s="3"/>
      <c r="CK348" s="3"/>
      <c r="CL348" s="209"/>
      <c r="CM348" s="3"/>
      <c r="CN348" s="3"/>
      <c r="CO348" s="3"/>
      <c r="CP348" s="40"/>
      <c r="CQ348" s="209"/>
      <c r="CR348" s="40"/>
      <c r="CS348" s="3"/>
      <c r="CT348" s="3"/>
    </row>
    <row r="349" spans="1:98">
      <c r="A349" s="42" t="s">
        <v>322</v>
      </c>
      <c r="B349" s="173" t="s">
        <v>205</v>
      </c>
      <c r="C349" s="12"/>
      <c r="D349" s="14" t="s">
        <v>393</v>
      </c>
      <c r="E349" s="12"/>
      <c r="F349" s="12">
        <v>8</v>
      </c>
      <c r="G349" s="14">
        <v>0</v>
      </c>
      <c r="H349" s="163">
        <v>0</v>
      </c>
      <c r="I349" s="163">
        <v>1</v>
      </c>
      <c r="J349" s="12">
        <v>1</v>
      </c>
      <c r="K349" s="14">
        <v>853</v>
      </c>
      <c r="L349" s="26">
        <v>1019</v>
      </c>
      <c r="M349" s="14">
        <v>229</v>
      </c>
      <c r="N349" s="163">
        <v>566</v>
      </c>
      <c r="O349" s="14">
        <v>0</v>
      </c>
      <c r="P349" s="26">
        <v>0</v>
      </c>
      <c r="Q349" s="12">
        <v>1783</v>
      </c>
      <c r="R349" s="209">
        <v>1.4367445608380338</v>
      </c>
      <c r="S349" s="14">
        <v>1</v>
      </c>
      <c r="T349" s="163">
        <v>1</v>
      </c>
      <c r="U349" s="163">
        <v>0</v>
      </c>
      <c r="V349" s="26">
        <v>0</v>
      </c>
      <c r="W349" s="14">
        <v>1100</v>
      </c>
      <c r="X349" s="14">
        <v>1</v>
      </c>
      <c r="Y349" s="163">
        <v>1</v>
      </c>
      <c r="Z349" s="163">
        <v>0</v>
      </c>
      <c r="AA349" s="26">
        <v>0</v>
      </c>
      <c r="AB349" s="12">
        <v>1100</v>
      </c>
      <c r="AC349" s="14">
        <v>1</v>
      </c>
      <c r="AD349" s="14">
        <v>0</v>
      </c>
      <c r="AE349" s="163">
        <v>0</v>
      </c>
      <c r="AF349" s="163">
        <v>1</v>
      </c>
      <c r="AG349" s="26">
        <v>1</v>
      </c>
      <c r="AH349" s="14">
        <v>11</v>
      </c>
      <c r="AI349" s="14">
        <v>0</v>
      </c>
      <c r="AJ349" s="163">
        <v>0</v>
      </c>
      <c r="AK349" s="163">
        <v>0</v>
      </c>
      <c r="AL349" s="26">
        <v>0</v>
      </c>
      <c r="AM349" s="12">
        <v>0</v>
      </c>
      <c r="AN349" s="14">
        <v>0</v>
      </c>
      <c r="AO349" s="163">
        <v>0</v>
      </c>
      <c r="AP349" s="163">
        <v>0</v>
      </c>
      <c r="AQ349" s="163">
        <v>0</v>
      </c>
      <c r="AR349" s="163">
        <v>0</v>
      </c>
      <c r="AS349" s="14">
        <v>0</v>
      </c>
      <c r="AT349" s="163">
        <v>1</v>
      </c>
      <c r="AU349" s="163">
        <v>0</v>
      </c>
      <c r="AV349" s="163">
        <v>0</v>
      </c>
      <c r="AW349" s="26">
        <v>0</v>
      </c>
      <c r="AX349" s="14">
        <v>1</v>
      </c>
      <c r="AY349" s="14">
        <v>0</v>
      </c>
      <c r="AZ349" s="163">
        <v>0</v>
      </c>
      <c r="BA349" s="163">
        <v>0</v>
      </c>
      <c r="BB349" s="26">
        <v>1</v>
      </c>
      <c r="BC349" s="12">
        <v>1</v>
      </c>
      <c r="BD349" s="14">
        <v>0</v>
      </c>
      <c r="BE349" s="163">
        <v>0</v>
      </c>
      <c r="BF349" s="163">
        <v>0</v>
      </c>
      <c r="BG349" s="163">
        <v>0</v>
      </c>
      <c r="BH349" s="163">
        <v>0</v>
      </c>
      <c r="BI349" s="14">
        <v>1</v>
      </c>
      <c r="BJ349" s="163">
        <v>0</v>
      </c>
      <c r="BK349" s="26">
        <v>0</v>
      </c>
      <c r="BL349" s="14">
        <v>0</v>
      </c>
      <c r="BM349" s="163">
        <v>0</v>
      </c>
      <c r="BN349" s="26">
        <v>0</v>
      </c>
      <c r="BO349" s="14">
        <v>0</v>
      </c>
      <c r="BP349" s="12">
        <v>136</v>
      </c>
      <c r="BQ349" s="163">
        <v>1</v>
      </c>
      <c r="BR349" s="14">
        <v>0</v>
      </c>
      <c r="BS349" s="163">
        <v>0</v>
      </c>
      <c r="BT349" s="163">
        <v>0</v>
      </c>
      <c r="BU349" s="26">
        <v>0</v>
      </c>
      <c r="BV349" s="14">
        <v>0</v>
      </c>
      <c r="BW349" s="209"/>
      <c r="BX349" s="3"/>
      <c r="BY349" s="3"/>
      <c r="BZ349" s="40"/>
      <c r="CA349" s="209"/>
      <c r="CB349" s="3"/>
      <c r="CC349" s="3"/>
      <c r="CD349" s="3"/>
      <c r="CE349" s="209"/>
      <c r="CF349" s="3"/>
      <c r="CG349" s="3"/>
      <c r="CH349" s="40"/>
      <c r="CI349" s="209"/>
      <c r="CJ349" s="3"/>
      <c r="CK349" s="3"/>
      <c r="CL349" s="209"/>
      <c r="CM349" s="3"/>
      <c r="CN349" s="3"/>
      <c r="CO349" s="3"/>
      <c r="CP349" s="40"/>
      <c r="CQ349" s="209"/>
      <c r="CR349" s="40"/>
      <c r="CS349" s="3"/>
      <c r="CT349" s="3"/>
    </row>
    <row r="350" spans="1:98">
      <c r="A350" s="42" t="s">
        <v>322</v>
      </c>
      <c r="B350" s="173" t="s">
        <v>205</v>
      </c>
      <c r="C350" s="12"/>
      <c r="D350" s="14" t="s">
        <v>394</v>
      </c>
      <c r="E350" s="12"/>
      <c r="F350" s="12">
        <v>6</v>
      </c>
      <c r="G350" s="14">
        <v>0</v>
      </c>
      <c r="H350" s="163">
        <v>0</v>
      </c>
      <c r="I350" s="163">
        <v>1</v>
      </c>
      <c r="J350" s="12">
        <v>1</v>
      </c>
      <c r="K350" s="14">
        <v>284</v>
      </c>
      <c r="L350" s="26">
        <v>816</v>
      </c>
      <c r="M350" s="14">
        <v>201</v>
      </c>
      <c r="N350" s="163">
        <v>875</v>
      </c>
      <c r="O350" s="14">
        <v>0</v>
      </c>
      <c r="P350" s="26">
        <v>0</v>
      </c>
      <c r="Q350" s="12">
        <v>1715</v>
      </c>
      <c r="R350" s="209">
        <v>2.3207036535859271</v>
      </c>
      <c r="S350" s="14">
        <v>1</v>
      </c>
      <c r="T350" s="163">
        <v>1</v>
      </c>
      <c r="U350" s="163">
        <v>0</v>
      </c>
      <c r="V350" s="26">
        <v>0</v>
      </c>
      <c r="W350" s="14">
        <v>1100</v>
      </c>
      <c r="X350" s="14">
        <v>0</v>
      </c>
      <c r="Y350" s="163">
        <v>0</v>
      </c>
      <c r="Z350" s="163">
        <v>0</v>
      </c>
      <c r="AA350" s="26">
        <v>1</v>
      </c>
      <c r="AB350" s="12">
        <v>1</v>
      </c>
      <c r="AC350" s="14">
        <v>1</v>
      </c>
      <c r="AD350" s="14">
        <v>0</v>
      </c>
      <c r="AE350" s="163">
        <v>1</v>
      </c>
      <c r="AF350" s="163">
        <v>1</v>
      </c>
      <c r="AG350" s="26">
        <v>0</v>
      </c>
      <c r="AH350" s="14">
        <v>110</v>
      </c>
      <c r="AI350" s="14">
        <v>0</v>
      </c>
      <c r="AJ350" s="163">
        <v>0</v>
      </c>
      <c r="AK350" s="163">
        <v>0</v>
      </c>
      <c r="AL350" s="26">
        <v>0</v>
      </c>
      <c r="AM350" s="12">
        <v>0</v>
      </c>
      <c r="AN350" s="14">
        <v>0</v>
      </c>
      <c r="AO350" s="163">
        <v>0</v>
      </c>
      <c r="AP350" s="163">
        <v>0</v>
      </c>
      <c r="AQ350" s="163">
        <v>0</v>
      </c>
      <c r="AR350" s="163">
        <v>0</v>
      </c>
      <c r="AS350" s="14">
        <v>1</v>
      </c>
      <c r="AT350" s="163">
        <v>1</v>
      </c>
      <c r="AU350" s="163">
        <v>0</v>
      </c>
      <c r="AV350" s="163">
        <v>0</v>
      </c>
      <c r="AW350" s="26">
        <v>0</v>
      </c>
      <c r="AX350" s="14">
        <v>2</v>
      </c>
      <c r="AY350" s="14">
        <v>1</v>
      </c>
      <c r="AZ350" s="163">
        <v>0</v>
      </c>
      <c r="BA350" s="163">
        <v>1</v>
      </c>
      <c r="BB350" s="26">
        <v>0</v>
      </c>
      <c r="BC350" s="12">
        <v>2</v>
      </c>
      <c r="BD350" s="14">
        <v>0</v>
      </c>
      <c r="BE350" s="163">
        <v>0</v>
      </c>
      <c r="BF350" s="163">
        <v>0</v>
      </c>
      <c r="BG350" s="163">
        <v>0</v>
      </c>
      <c r="BH350" s="163">
        <v>0</v>
      </c>
      <c r="BI350" s="14">
        <v>1</v>
      </c>
      <c r="BJ350" s="163">
        <v>1</v>
      </c>
      <c r="BK350" s="26">
        <v>0</v>
      </c>
      <c r="BL350" s="14">
        <v>0</v>
      </c>
      <c r="BM350" s="163">
        <v>0</v>
      </c>
      <c r="BN350" s="26">
        <v>0</v>
      </c>
      <c r="BO350" s="14">
        <v>0</v>
      </c>
      <c r="BP350" s="12">
        <v>128</v>
      </c>
      <c r="BQ350" s="163">
        <v>2</v>
      </c>
      <c r="BR350" s="14">
        <v>0</v>
      </c>
      <c r="BS350" s="163">
        <v>0</v>
      </c>
      <c r="BT350" s="163">
        <v>0</v>
      </c>
      <c r="BU350" s="26">
        <v>0</v>
      </c>
      <c r="BV350" s="14">
        <v>0</v>
      </c>
      <c r="BW350" s="209"/>
      <c r="BX350" s="3"/>
      <c r="BY350" s="3"/>
      <c r="BZ350" s="40"/>
      <c r="CA350" s="209"/>
      <c r="CB350" s="3"/>
      <c r="CC350" s="3"/>
      <c r="CD350" s="3"/>
      <c r="CE350" s="209"/>
      <c r="CF350" s="3"/>
      <c r="CG350" s="3"/>
      <c r="CH350" s="40"/>
      <c r="CI350" s="209"/>
      <c r="CJ350" s="3"/>
      <c r="CK350" s="3"/>
      <c r="CL350" s="209"/>
      <c r="CM350" s="3"/>
      <c r="CN350" s="3"/>
      <c r="CO350" s="3"/>
      <c r="CP350" s="40"/>
      <c r="CQ350" s="209"/>
      <c r="CR350" s="40"/>
      <c r="CS350" s="3"/>
      <c r="CT350" s="3"/>
    </row>
    <row r="351" spans="1:98">
      <c r="A351" s="42" t="s">
        <v>322</v>
      </c>
      <c r="B351" s="173" t="s">
        <v>205</v>
      </c>
      <c r="C351" s="12"/>
      <c r="D351" s="14" t="s">
        <v>203</v>
      </c>
      <c r="E351" s="12"/>
      <c r="F351" s="12">
        <v>7</v>
      </c>
      <c r="G351" s="14">
        <v>0</v>
      </c>
      <c r="H351" s="163">
        <v>1</v>
      </c>
      <c r="I351" s="163">
        <v>1</v>
      </c>
      <c r="J351" s="12">
        <v>11</v>
      </c>
      <c r="K351" s="14">
        <v>430</v>
      </c>
      <c r="L351" s="26">
        <v>1840</v>
      </c>
      <c r="M351" s="14">
        <v>0</v>
      </c>
      <c r="N351" s="163">
        <v>976</v>
      </c>
      <c r="O351" s="14">
        <v>0</v>
      </c>
      <c r="P351" s="26">
        <v>0</v>
      </c>
      <c r="Q351" s="12">
        <v>2170</v>
      </c>
      <c r="R351" s="209">
        <v>1.4409030544488712</v>
      </c>
      <c r="S351" s="14">
        <v>1</v>
      </c>
      <c r="T351" s="163">
        <v>1</v>
      </c>
      <c r="U351" s="163">
        <v>0</v>
      </c>
      <c r="V351" s="26">
        <v>0</v>
      </c>
      <c r="W351" s="14">
        <v>1100</v>
      </c>
      <c r="X351" s="14">
        <v>0</v>
      </c>
      <c r="Y351" s="163">
        <v>1</v>
      </c>
      <c r="Z351" s="163">
        <v>0</v>
      </c>
      <c r="AA351" s="26">
        <v>0</v>
      </c>
      <c r="AB351" s="12">
        <v>100</v>
      </c>
      <c r="AC351" s="14">
        <v>1</v>
      </c>
      <c r="AD351" s="14">
        <v>0</v>
      </c>
      <c r="AE351" s="163">
        <v>1</v>
      </c>
      <c r="AF351" s="163">
        <v>0</v>
      </c>
      <c r="AG351" s="26">
        <v>0</v>
      </c>
      <c r="AH351" s="14">
        <v>100</v>
      </c>
      <c r="AI351" s="14">
        <v>0</v>
      </c>
      <c r="AJ351" s="163">
        <v>0</v>
      </c>
      <c r="AK351" s="163">
        <v>0</v>
      </c>
      <c r="AL351" s="26">
        <v>0</v>
      </c>
      <c r="AM351" s="12">
        <v>0</v>
      </c>
      <c r="AN351" s="14">
        <v>0</v>
      </c>
      <c r="AO351" s="163">
        <v>0</v>
      </c>
      <c r="AP351" s="163">
        <v>0</v>
      </c>
      <c r="AQ351" s="163">
        <v>0</v>
      </c>
      <c r="AR351" s="163">
        <v>0</v>
      </c>
      <c r="AS351" s="14">
        <v>1</v>
      </c>
      <c r="AT351" s="163">
        <v>0</v>
      </c>
      <c r="AU351" s="163">
        <v>0</v>
      </c>
      <c r="AV351" s="163">
        <v>1</v>
      </c>
      <c r="AW351" s="26">
        <v>0</v>
      </c>
      <c r="AX351" s="14">
        <v>2</v>
      </c>
      <c r="AY351" s="14">
        <v>0</v>
      </c>
      <c r="AZ351" s="163">
        <v>0</v>
      </c>
      <c r="BA351" s="163">
        <v>0</v>
      </c>
      <c r="BB351" s="26">
        <v>1</v>
      </c>
      <c r="BC351" s="12">
        <v>1</v>
      </c>
      <c r="BD351" s="14">
        <v>0</v>
      </c>
      <c r="BE351" s="163">
        <v>0</v>
      </c>
      <c r="BF351" s="163">
        <v>0</v>
      </c>
      <c r="BG351" s="163">
        <v>0</v>
      </c>
      <c r="BH351" s="163">
        <v>0</v>
      </c>
      <c r="BI351" s="14">
        <v>1</v>
      </c>
      <c r="BJ351" s="163">
        <v>1</v>
      </c>
      <c r="BK351" s="26">
        <v>0</v>
      </c>
      <c r="BL351" s="14">
        <v>0</v>
      </c>
      <c r="BM351" s="163">
        <v>0</v>
      </c>
      <c r="BN351" s="26">
        <v>0</v>
      </c>
      <c r="BO351" s="14">
        <v>0</v>
      </c>
      <c r="BP351" s="12">
        <v>126</v>
      </c>
      <c r="BQ351" s="163">
        <v>1</v>
      </c>
      <c r="BR351" s="14">
        <v>0</v>
      </c>
      <c r="BS351" s="163">
        <v>0</v>
      </c>
      <c r="BT351" s="163">
        <v>0</v>
      </c>
      <c r="BU351" s="26">
        <v>0</v>
      </c>
      <c r="BV351" s="14">
        <v>0</v>
      </c>
      <c r="BW351" s="209"/>
      <c r="BX351" s="3"/>
      <c r="BY351" s="3"/>
      <c r="BZ351" s="40"/>
      <c r="CA351" s="209"/>
      <c r="CB351" s="3"/>
      <c r="CC351" s="3"/>
      <c r="CD351" s="3"/>
      <c r="CE351" s="209"/>
      <c r="CF351" s="3"/>
      <c r="CG351" s="3"/>
      <c r="CH351" s="40"/>
      <c r="CI351" s="209"/>
      <c r="CJ351" s="3"/>
      <c r="CK351" s="3"/>
      <c r="CL351" s="209"/>
      <c r="CM351" s="3"/>
      <c r="CN351" s="3"/>
      <c r="CO351" s="3"/>
      <c r="CP351" s="40"/>
      <c r="CQ351" s="209"/>
      <c r="CR351" s="40"/>
      <c r="CS351" s="3"/>
      <c r="CT351" s="3"/>
    </row>
    <row r="352" spans="1:98">
      <c r="A352" s="42" t="s">
        <v>322</v>
      </c>
      <c r="B352" s="173" t="s">
        <v>205</v>
      </c>
      <c r="C352" s="12"/>
      <c r="D352" s="14" t="s">
        <v>204</v>
      </c>
      <c r="E352" s="12"/>
      <c r="F352" s="12">
        <v>5</v>
      </c>
      <c r="G352" s="14">
        <v>0</v>
      </c>
      <c r="H352" s="163">
        <v>0</v>
      </c>
      <c r="I352" s="163">
        <v>1</v>
      </c>
      <c r="J352" s="12">
        <v>1</v>
      </c>
      <c r="K352" s="14">
        <v>913</v>
      </c>
      <c r="L352" s="26">
        <v>1096</v>
      </c>
      <c r="M352" s="14">
        <v>577</v>
      </c>
      <c r="N352" s="163">
        <v>784</v>
      </c>
      <c r="O352" s="14">
        <v>0</v>
      </c>
      <c r="P352" s="26">
        <v>0</v>
      </c>
      <c r="Q352" s="12">
        <v>2831</v>
      </c>
      <c r="R352" s="209">
        <v>2.7646484375</v>
      </c>
      <c r="S352" s="14">
        <v>1</v>
      </c>
      <c r="T352" s="163">
        <v>1</v>
      </c>
      <c r="U352" s="163">
        <v>0</v>
      </c>
      <c r="V352" s="26">
        <v>0</v>
      </c>
      <c r="W352" s="14">
        <v>1100</v>
      </c>
      <c r="X352" s="14">
        <v>1</v>
      </c>
      <c r="Y352" s="163">
        <v>0</v>
      </c>
      <c r="Z352" s="163">
        <v>0</v>
      </c>
      <c r="AA352" s="26">
        <v>1</v>
      </c>
      <c r="AB352" s="12">
        <v>1001</v>
      </c>
      <c r="AC352" s="14">
        <v>1</v>
      </c>
      <c r="AD352" s="14">
        <v>0</v>
      </c>
      <c r="AE352" s="163">
        <v>1</v>
      </c>
      <c r="AF352" s="163">
        <v>0</v>
      </c>
      <c r="AG352" s="26">
        <v>0</v>
      </c>
      <c r="AH352" s="14">
        <v>100</v>
      </c>
      <c r="AI352" s="14">
        <v>0</v>
      </c>
      <c r="AJ352" s="163">
        <v>0</v>
      </c>
      <c r="AK352" s="163">
        <v>0</v>
      </c>
      <c r="AL352" s="26">
        <v>0</v>
      </c>
      <c r="AM352" s="12">
        <v>0</v>
      </c>
      <c r="AN352" s="14">
        <v>0</v>
      </c>
      <c r="AO352" s="163">
        <v>0</v>
      </c>
      <c r="AP352" s="163">
        <v>0</v>
      </c>
      <c r="AQ352" s="163">
        <v>0</v>
      </c>
      <c r="AR352" s="163">
        <v>0</v>
      </c>
      <c r="AS352" s="14">
        <v>1</v>
      </c>
      <c r="AT352" s="163">
        <v>1</v>
      </c>
      <c r="AU352" s="163">
        <v>0</v>
      </c>
      <c r="AV352" s="163">
        <v>1</v>
      </c>
      <c r="AW352" s="26">
        <v>0</v>
      </c>
      <c r="AX352" s="14">
        <v>3</v>
      </c>
      <c r="AY352" s="14">
        <v>0</v>
      </c>
      <c r="AZ352" s="163">
        <v>1</v>
      </c>
      <c r="BA352" s="163">
        <v>0</v>
      </c>
      <c r="BB352" s="26">
        <v>1</v>
      </c>
      <c r="BC352" s="12">
        <v>2</v>
      </c>
      <c r="BD352" s="14">
        <v>0</v>
      </c>
      <c r="BE352" s="163">
        <v>0</v>
      </c>
      <c r="BF352" s="163">
        <v>0</v>
      </c>
      <c r="BG352" s="163">
        <v>0</v>
      </c>
      <c r="BH352" s="163">
        <v>0</v>
      </c>
      <c r="BI352" s="14">
        <v>1</v>
      </c>
      <c r="BJ352" s="163">
        <v>1</v>
      </c>
      <c r="BK352" s="26">
        <v>0</v>
      </c>
      <c r="BL352" s="14">
        <v>0</v>
      </c>
      <c r="BM352" s="163">
        <v>0</v>
      </c>
      <c r="BN352" s="26">
        <v>0</v>
      </c>
      <c r="BO352" s="14">
        <v>0</v>
      </c>
      <c r="BP352" s="12">
        <v>122</v>
      </c>
      <c r="BQ352" s="163">
        <v>2</v>
      </c>
      <c r="BR352" s="14">
        <v>1</v>
      </c>
      <c r="BS352" s="163">
        <v>0</v>
      </c>
      <c r="BT352" s="163">
        <v>0</v>
      </c>
      <c r="BU352" s="26">
        <v>0</v>
      </c>
      <c r="BV352" s="14">
        <v>1000</v>
      </c>
      <c r="BW352" s="209"/>
      <c r="BX352" s="3"/>
      <c r="BY352" s="3"/>
      <c r="BZ352" s="40"/>
      <c r="CA352" s="209"/>
      <c r="CB352" s="3"/>
      <c r="CC352" s="3"/>
      <c r="CD352" s="3"/>
      <c r="CE352" s="209"/>
      <c r="CF352" s="3"/>
      <c r="CG352" s="3"/>
      <c r="CH352" s="40"/>
      <c r="CI352" s="209"/>
      <c r="CJ352" s="3"/>
      <c r="CK352" s="3"/>
      <c r="CL352" s="209"/>
      <c r="CM352" s="3"/>
      <c r="CN352" s="3"/>
      <c r="CO352" s="3"/>
      <c r="CP352" s="40"/>
      <c r="CQ352" s="209"/>
      <c r="CR352" s="40"/>
      <c r="CS352" s="3"/>
      <c r="CT352" s="3"/>
    </row>
    <row r="353" spans="1:98">
      <c r="A353" s="42" t="s">
        <v>322</v>
      </c>
      <c r="B353" s="173" t="s">
        <v>205</v>
      </c>
      <c r="C353" s="12"/>
      <c r="D353" s="14" t="s">
        <v>129</v>
      </c>
      <c r="E353" s="12"/>
      <c r="F353" s="12">
        <v>22</v>
      </c>
      <c r="G353" s="14">
        <v>1</v>
      </c>
      <c r="H353" s="163">
        <v>1</v>
      </c>
      <c r="I353" s="163">
        <v>1</v>
      </c>
      <c r="J353" s="12">
        <v>111</v>
      </c>
      <c r="K353" s="14">
        <v>170</v>
      </c>
      <c r="L353" s="26">
        <v>1412</v>
      </c>
      <c r="M353" s="14">
        <v>358</v>
      </c>
      <c r="N353" s="163">
        <v>2040</v>
      </c>
      <c r="O353" s="14">
        <v>0</v>
      </c>
      <c r="P353" s="26">
        <v>0</v>
      </c>
      <c r="Q353" s="12">
        <v>3182</v>
      </c>
      <c r="R353" s="209">
        <v>1.2712744706352377</v>
      </c>
      <c r="S353" s="14">
        <v>1</v>
      </c>
      <c r="T353" s="163">
        <v>1</v>
      </c>
      <c r="U353" s="163">
        <v>0</v>
      </c>
      <c r="V353" s="26">
        <v>0</v>
      </c>
      <c r="W353" s="14">
        <v>1100</v>
      </c>
      <c r="X353" s="14">
        <v>1</v>
      </c>
      <c r="Y353" s="163">
        <v>1</v>
      </c>
      <c r="Z353" s="163">
        <v>0</v>
      </c>
      <c r="AA353" s="26">
        <v>0</v>
      </c>
      <c r="AB353" s="12">
        <v>1100</v>
      </c>
      <c r="AC353" s="14">
        <v>1</v>
      </c>
      <c r="AD353" s="14">
        <v>0</v>
      </c>
      <c r="AE353" s="163">
        <v>1</v>
      </c>
      <c r="AF353" s="163">
        <v>0</v>
      </c>
      <c r="AG353" s="26">
        <v>0</v>
      </c>
      <c r="AH353" s="14">
        <v>100</v>
      </c>
      <c r="AI353" s="14">
        <v>0</v>
      </c>
      <c r="AJ353" s="163">
        <v>0</v>
      </c>
      <c r="AK353" s="163">
        <v>0</v>
      </c>
      <c r="AL353" s="26">
        <v>0</v>
      </c>
      <c r="AM353" s="12">
        <v>0</v>
      </c>
      <c r="AN353" s="14">
        <v>0</v>
      </c>
      <c r="AO353" s="163">
        <v>0</v>
      </c>
      <c r="AP353" s="163">
        <v>0</v>
      </c>
      <c r="AQ353" s="163">
        <v>0</v>
      </c>
      <c r="AR353" s="163">
        <v>0</v>
      </c>
      <c r="AS353" s="14">
        <v>1</v>
      </c>
      <c r="AT353" s="163">
        <v>1</v>
      </c>
      <c r="AU353" s="163">
        <v>0</v>
      </c>
      <c r="AV353" s="163">
        <v>1</v>
      </c>
      <c r="AW353" s="26">
        <v>0</v>
      </c>
      <c r="AX353" s="14">
        <v>3</v>
      </c>
      <c r="AY353" s="14"/>
      <c r="BB353" s="26"/>
      <c r="BC353" s="12">
        <v>0</v>
      </c>
      <c r="BD353" s="14">
        <v>0</v>
      </c>
      <c r="BE353" s="163">
        <v>0</v>
      </c>
      <c r="BF353" s="163">
        <v>0</v>
      </c>
      <c r="BG353" s="163">
        <v>0</v>
      </c>
      <c r="BH353" s="163">
        <v>0</v>
      </c>
      <c r="BI353" s="14">
        <v>1</v>
      </c>
      <c r="BJ353" s="163">
        <v>1</v>
      </c>
      <c r="BK353" s="26">
        <v>0</v>
      </c>
      <c r="BL353" s="14">
        <v>0</v>
      </c>
      <c r="BM353" s="163">
        <v>0</v>
      </c>
      <c r="BN353" s="26">
        <v>0</v>
      </c>
      <c r="BO353" s="14">
        <v>0</v>
      </c>
      <c r="BP353" s="12">
        <v>133</v>
      </c>
      <c r="BQ353" s="163">
        <v>1</v>
      </c>
      <c r="BR353" s="14">
        <v>0</v>
      </c>
      <c r="BS353" s="163">
        <v>0</v>
      </c>
      <c r="BT353" s="163">
        <v>0</v>
      </c>
      <c r="BU353" s="26">
        <v>0</v>
      </c>
      <c r="BV353" s="14">
        <v>0</v>
      </c>
      <c r="BW353" s="209"/>
      <c r="BX353" s="3"/>
      <c r="BY353" s="3"/>
      <c r="BZ353" s="40"/>
      <c r="CA353" s="209"/>
      <c r="CB353" s="3"/>
      <c r="CC353" s="3"/>
      <c r="CD353" s="3"/>
      <c r="CE353" s="209"/>
      <c r="CF353" s="3"/>
      <c r="CG353" s="3"/>
      <c r="CH353" s="40"/>
      <c r="CI353" s="209"/>
      <c r="CJ353" s="3"/>
      <c r="CK353" s="3"/>
      <c r="CL353" s="209"/>
      <c r="CM353" s="3"/>
      <c r="CN353" s="3"/>
      <c r="CO353" s="3"/>
      <c r="CP353" s="40"/>
      <c r="CQ353" s="209"/>
      <c r="CR353" s="40"/>
      <c r="CS353" s="3"/>
      <c r="CT353" s="3"/>
    </row>
    <row r="354" spans="1:98">
      <c r="A354" s="42" t="s">
        <v>322</v>
      </c>
      <c r="B354" s="173" t="s">
        <v>205</v>
      </c>
      <c r="C354" s="12"/>
      <c r="D354" s="14" t="s">
        <v>378</v>
      </c>
      <c r="E354" s="12"/>
      <c r="F354" s="12">
        <v>8</v>
      </c>
      <c r="G354" s="14">
        <v>0</v>
      </c>
      <c r="H354" s="163">
        <v>1</v>
      </c>
      <c r="I354" s="163">
        <v>1</v>
      </c>
      <c r="J354" s="12">
        <v>11</v>
      </c>
      <c r="K354" s="14">
        <v>625</v>
      </c>
      <c r="L354" s="26">
        <v>2172</v>
      </c>
      <c r="M354" s="14">
        <v>240</v>
      </c>
      <c r="N354" s="163">
        <v>789</v>
      </c>
      <c r="O354" s="14">
        <v>0</v>
      </c>
      <c r="P354" s="26">
        <v>0</v>
      </c>
      <c r="Q354" s="12">
        <v>3832</v>
      </c>
      <c r="R354" s="209">
        <v>1.8186995728523967</v>
      </c>
      <c r="S354" s="14">
        <v>1</v>
      </c>
      <c r="T354" s="163">
        <v>1</v>
      </c>
      <c r="U354" s="163">
        <v>0</v>
      </c>
      <c r="V354" s="26">
        <v>0</v>
      </c>
      <c r="W354" s="14">
        <v>1100</v>
      </c>
      <c r="X354" s="14">
        <v>1</v>
      </c>
      <c r="Y354" s="163">
        <v>1</v>
      </c>
      <c r="Z354" s="163">
        <v>0</v>
      </c>
      <c r="AA354" s="26">
        <v>0</v>
      </c>
      <c r="AB354" s="12">
        <v>1100</v>
      </c>
      <c r="AC354" s="14">
        <v>1</v>
      </c>
      <c r="AD354" s="14">
        <v>0</v>
      </c>
      <c r="AE354" s="163">
        <v>1</v>
      </c>
      <c r="AF354" s="163">
        <v>1</v>
      </c>
      <c r="AG354" s="26">
        <v>0</v>
      </c>
      <c r="AH354" s="14">
        <v>110</v>
      </c>
      <c r="AI354" s="14">
        <v>0</v>
      </c>
      <c r="AJ354" s="163">
        <v>0</v>
      </c>
      <c r="AK354" s="163">
        <v>0</v>
      </c>
      <c r="AL354" s="26">
        <v>0</v>
      </c>
      <c r="AM354" s="12">
        <v>0</v>
      </c>
      <c r="AN354" s="14">
        <v>0</v>
      </c>
      <c r="AO354" s="163">
        <v>0</v>
      </c>
      <c r="AP354" s="163">
        <v>0</v>
      </c>
      <c r="AQ354" s="163">
        <v>0</v>
      </c>
      <c r="AR354" s="163">
        <v>0</v>
      </c>
      <c r="AS354" s="14">
        <v>1</v>
      </c>
      <c r="AT354" s="163">
        <v>0</v>
      </c>
      <c r="AU354" s="163">
        <v>0</v>
      </c>
      <c r="AV354" s="163">
        <v>1</v>
      </c>
      <c r="AW354" s="26">
        <v>0</v>
      </c>
      <c r="AX354" s="14">
        <v>2</v>
      </c>
      <c r="AY354" s="14">
        <v>0</v>
      </c>
      <c r="AZ354" s="163">
        <v>0</v>
      </c>
      <c r="BA354" s="163">
        <v>0</v>
      </c>
      <c r="BB354" s="26">
        <v>1</v>
      </c>
      <c r="BC354" s="12">
        <v>1</v>
      </c>
      <c r="BD354" s="14">
        <v>0</v>
      </c>
      <c r="BE354" s="163">
        <v>0</v>
      </c>
      <c r="BF354" s="163">
        <v>0</v>
      </c>
      <c r="BG354" s="163">
        <v>0</v>
      </c>
      <c r="BH354" s="163">
        <v>0</v>
      </c>
      <c r="BI354" s="14">
        <v>1</v>
      </c>
      <c r="BJ354" s="163">
        <v>1</v>
      </c>
      <c r="BK354" s="26">
        <v>0</v>
      </c>
      <c r="BL354" s="14">
        <v>0</v>
      </c>
      <c r="BM354" s="163">
        <v>0</v>
      </c>
      <c r="BN354" s="26">
        <v>0</v>
      </c>
      <c r="BO354" s="14">
        <v>1</v>
      </c>
      <c r="BP354" s="12">
        <v>117</v>
      </c>
      <c r="BQ354" s="163">
        <v>2</v>
      </c>
      <c r="BR354" s="14">
        <v>0</v>
      </c>
      <c r="BS354" s="163">
        <v>0</v>
      </c>
      <c r="BT354" s="163">
        <v>0</v>
      </c>
      <c r="BU354" s="26">
        <v>0</v>
      </c>
      <c r="BV354" s="14">
        <v>0</v>
      </c>
      <c r="BW354" s="209"/>
      <c r="BX354" s="3"/>
      <c r="BY354" s="3"/>
      <c r="BZ354" s="40"/>
      <c r="CA354" s="209"/>
      <c r="CB354" s="3"/>
      <c r="CC354" s="3"/>
      <c r="CD354" s="3"/>
      <c r="CE354" s="209"/>
      <c r="CF354" s="3"/>
      <c r="CG354" s="3"/>
      <c r="CH354" s="40"/>
      <c r="CI354" s="209"/>
      <c r="CJ354" s="3"/>
      <c r="CK354" s="3"/>
      <c r="CL354" s="209"/>
      <c r="CM354" s="3"/>
      <c r="CN354" s="3"/>
      <c r="CO354" s="3"/>
      <c r="CP354" s="40"/>
      <c r="CQ354" s="209"/>
      <c r="CR354" s="40"/>
      <c r="CS354" s="3"/>
      <c r="CT354" s="3"/>
    </row>
    <row r="355" spans="1:98">
      <c r="A355" s="42" t="s">
        <v>322</v>
      </c>
      <c r="B355" s="173" t="s">
        <v>205</v>
      </c>
      <c r="C355" s="12"/>
      <c r="D355" s="14" t="s">
        <v>416</v>
      </c>
      <c r="E355" s="12" t="s">
        <v>0</v>
      </c>
      <c r="F355" s="12">
        <v>7</v>
      </c>
      <c r="G355" s="14">
        <v>0</v>
      </c>
      <c r="H355" s="163">
        <v>0</v>
      </c>
      <c r="I355" s="163">
        <v>1</v>
      </c>
      <c r="J355" s="12">
        <v>1</v>
      </c>
      <c r="K355" s="14">
        <v>194</v>
      </c>
      <c r="L355" s="26">
        <v>1353</v>
      </c>
      <c r="M355" s="14">
        <v>777</v>
      </c>
      <c r="N355" s="163">
        <v>1556</v>
      </c>
      <c r="O355" s="14">
        <v>0</v>
      </c>
      <c r="P355" s="26">
        <v>0</v>
      </c>
      <c r="Q355" s="12">
        <v>2154</v>
      </c>
      <c r="R355" s="209">
        <v>1.3086269744835966</v>
      </c>
      <c r="S355" s="14">
        <v>1</v>
      </c>
      <c r="T355" s="163">
        <v>1</v>
      </c>
      <c r="U355" s="163">
        <v>0</v>
      </c>
      <c r="V355" s="26">
        <v>0</v>
      </c>
      <c r="W355" s="14">
        <v>1100</v>
      </c>
      <c r="X355" s="14">
        <v>1</v>
      </c>
      <c r="Y355" s="163">
        <v>0</v>
      </c>
      <c r="Z355" s="163">
        <v>0</v>
      </c>
      <c r="AA355" s="26">
        <v>0</v>
      </c>
      <c r="AB355" s="12">
        <v>1000</v>
      </c>
      <c r="AC355" s="14">
        <v>1</v>
      </c>
      <c r="AD355" s="14">
        <v>0</v>
      </c>
      <c r="AE355" s="163">
        <v>1</v>
      </c>
      <c r="AF355" s="163">
        <v>0</v>
      </c>
      <c r="AG355" s="26">
        <v>0</v>
      </c>
      <c r="AH355" s="14">
        <v>100</v>
      </c>
      <c r="AI355" s="14">
        <v>0</v>
      </c>
      <c r="AJ355" s="163">
        <v>0</v>
      </c>
      <c r="AK355" s="163">
        <v>0</v>
      </c>
      <c r="AL355" s="26">
        <v>0</v>
      </c>
      <c r="AM355" s="12">
        <v>0</v>
      </c>
      <c r="AN355" s="14">
        <v>0</v>
      </c>
      <c r="AO355" s="163">
        <v>0</v>
      </c>
      <c r="AP355" s="163">
        <v>0</v>
      </c>
      <c r="AQ355" s="163">
        <v>0</v>
      </c>
      <c r="AR355" s="163">
        <v>0</v>
      </c>
      <c r="AS355" s="14">
        <v>1</v>
      </c>
      <c r="AT355" s="163">
        <v>0</v>
      </c>
      <c r="AU355" s="163">
        <v>0</v>
      </c>
      <c r="AV355" s="163">
        <v>1</v>
      </c>
      <c r="AW355" s="26">
        <v>0</v>
      </c>
      <c r="AX355" s="14">
        <v>2</v>
      </c>
      <c r="AY355" s="14">
        <v>0</v>
      </c>
      <c r="AZ355" s="163">
        <v>0</v>
      </c>
      <c r="BA355" s="163">
        <v>0</v>
      </c>
      <c r="BB355" s="26">
        <v>0</v>
      </c>
      <c r="BC355" s="12">
        <v>0</v>
      </c>
      <c r="BD355" s="14">
        <v>0</v>
      </c>
      <c r="BE355" s="163">
        <v>0</v>
      </c>
      <c r="BF355" s="163">
        <v>0</v>
      </c>
      <c r="BG355" s="163">
        <v>0</v>
      </c>
      <c r="BH355" s="163">
        <v>0</v>
      </c>
      <c r="BI355" s="14">
        <v>1</v>
      </c>
      <c r="BJ355" s="163">
        <v>1</v>
      </c>
      <c r="BK355" s="26">
        <v>0</v>
      </c>
      <c r="BL355" s="14">
        <v>0</v>
      </c>
      <c r="BM355" s="163">
        <v>0</v>
      </c>
      <c r="BN355" s="26">
        <v>0</v>
      </c>
      <c r="BO355" s="14">
        <v>1</v>
      </c>
      <c r="BP355" s="12">
        <v>148</v>
      </c>
      <c r="BQ355" s="163">
        <v>1</v>
      </c>
      <c r="BR355" s="14">
        <v>0</v>
      </c>
      <c r="BS355" s="163">
        <v>0</v>
      </c>
      <c r="BT355" s="163">
        <v>0</v>
      </c>
      <c r="BU355" s="26">
        <v>0</v>
      </c>
      <c r="BV355" s="14">
        <v>0</v>
      </c>
      <c r="BW355" s="209"/>
      <c r="BX355" s="3"/>
      <c r="BY355" s="3"/>
      <c r="BZ355" s="40"/>
      <c r="CA355" s="209"/>
      <c r="CB355" s="3"/>
      <c r="CC355" s="3"/>
      <c r="CD355" s="3"/>
      <c r="CE355" s="209"/>
      <c r="CF355" s="3"/>
      <c r="CG355" s="3"/>
      <c r="CH355" s="40"/>
      <c r="CI355" s="209"/>
      <c r="CJ355" s="3"/>
      <c r="CK355" s="3"/>
      <c r="CL355" s="209"/>
      <c r="CM355" s="3"/>
      <c r="CN355" s="3"/>
      <c r="CO355" s="3"/>
      <c r="CP355" s="40"/>
      <c r="CQ355" s="209"/>
      <c r="CR355" s="40"/>
      <c r="CS355" s="3"/>
      <c r="CT355" s="3"/>
    </row>
    <row r="356" spans="1:98">
      <c r="A356" s="42" t="s">
        <v>322</v>
      </c>
      <c r="B356" s="173" t="s">
        <v>205</v>
      </c>
      <c r="C356" s="12"/>
      <c r="D356" s="14" t="s">
        <v>195</v>
      </c>
      <c r="E356" s="12" t="s">
        <v>1</v>
      </c>
      <c r="F356" s="12">
        <v>3</v>
      </c>
      <c r="G356" s="14">
        <v>1</v>
      </c>
      <c r="H356" s="163">
        <v>0</v>
      </c>
      <c r="I356" s="163">
        <v>1</v>
      </c>
      <c r="J356" s="12">
        <v>101</v>
      </c>
      <c r="K356" s="14">
        <v>937</v>
      </c>
      <c r="L356" s="26">
        <v>2229</v>
      </c>
      <c r="M356" s="14">
        <v>0</v>
      </c>
      <c r="N356" s="163">
        <v>864</v>
      </c>
      <c r="O356" s="14">
        <v>0</v>
      </c>
      <c r="P356" s="26">
        <v>0</v>
      </c>
      <c r="Q356" s="12">
        <v>2229</v>
      </c>
      <c r="R356" s="209">
        <v>1.4389928986442866</v>
      </c>
      <c r="S356" s="14">
        <v>1</v>
      </c>
      <c r="T356" s="163">
        <v>1</v>
      </c>
      <c r="U356" s="163">
        <v>0</v>
      </c>
      <c r="V356" s="26">
        <v>0</v>
      </c>
      <c r="W356" s="14">
        <v>1100</v>
      </c>
      <c r="X356" s="14">
        <v>1</v>
      </c>
      <c r="Y356" s="163">
        <v>0</v>
      </c>
      <c r="Z356" s="163">
        <v>0</v>
      </c>
      <c r="AA356" s="26">
        <v>0</v>
      </c>
      <c r="AB356" s="12">
        <v>1000</v>
      </c>
      <c r="AC356" s="14">
        <v>1</v>
      </c>
      <c r="AD356" s="14">
        <v>0</v>
      </c>
      <c r="AE356" s="163">
        <v>1</v>
      </c>
      <c r="AF356" s="163">
        <v>0</v>
      </c>
      <c r="AG356" s="26">
        <v>0</v>
      </c>
      <c r="AH356" s="14">
        <v>100</v>
      </c>
      <c r="AI356" s="14">
        <v>0</v>
      </c>
      <c r="AJ356" s="163">
        <v>0</v>
      </c>
      <c r="AK356" s="163">
        <v>0</v>
      </c>
      <c r="AL356" s="26">
        <v>0</v>
      </c>
      <c r="AM356" s="12">
        <v>0</v>
      </c>
      <c r="AN356" s="14">
        <v>0</v>
      </c>
      <c r="AO356" s="163">
        <v>0</v>
      </c>
      <c r="AP356" s="163">
        <v>0</v>
      </c>
      <c r="AQ356" s="163">
        <v>0</v>
      </c>
      <c r="AR356" s="163">
        <v>0</v>
      </c>
      <c r="AS356" s="14">
        <v>1</v>
      </c>
      <c r="AT356" s="163">
        <v>1</v>
      </c>
      <c r="AU356" s="163">
        <v>0</v>
      </c>
      <c r="AV356" s="163">
        <v>0</v>
      </c>
      <c r="AW356" s="26">
        <v>0</v>
      </c>
      <c r="AX356" s="14">
        <v>2</v>
      </c>
      <c r="AY356" s="14">
        <v>0</v>
      </c>
      <c r="AZ356" s="163">
        <v>0</v>
      </c>
      <c r="BA356" s="163">
        <v>0</v>
      </c>
      <c r="BB356" s="26">
        <v>1</v>
      </c>
      <c r="BC356" s="12">
        <v>1</v>
      </c>
      <c r="BD356" s="14">
        <v>0</v>
      </c>
      <c r="BE356" s="163">
        <v>0</v>
      </c>
      <c r="BF356" s="163">
        <v>0</v>
      </c>
      <c r="BG356" s="163">
        <v>0</v>
      </c>
      <c r="BH356" s="163">
        <v>0</v>
      </c>
      <c r="BI356" s="14">
        <v>1</v>
      </c>
      <c r="BJ356" s="163">
        <v>1</v>
      </c>
      <c r="BK356" s="26">
        <v>0</v>
      </c>
      <c r="BL356" s="14">
        <v>0</v>
      </c>
      <c r="BM356" s="163">
        <v>0</v>
      </c>
      <c r="BN356" s="26">
        <v>0</v>
      </c>
      <c r="BO356" s="14">
        <v>1</v>
      </c>
      <c r="BP356" s="12">
        <v>148</v>
      </c>
      <c r="BQ356" s="163">
        <v>2</v>
      </c>
      <c r="BR356" s="14">
        <v>0</v>
      </c>
      <c r="BS356" s="163">
        <v>0</v>
      </c>
      <c r="BT356" s="163">
        <v>0</v>
      </c>
      <c r="BU356" s="26">
        <v>0</v>
      </c>
      <c r="BV356" s="14">
        <v>0</v>
      </c>
      <c r="BW356" s="209"/>
      <c r="BX356" s="3"/>
      <c r="BY356" s="3"/>
      <c r="BZ356" s="40"/>
      <c r="CA356" s="209"/>
      <c r="CB356" s="3"/>
      <c r="CC356" s="3"/>
      <c r="CD356" s="3"/>
      <c r="CE356" s="209"/>
      <c r="CF356" s="3"/>
      <c r="CG356" s="3"/>
      <c r="CH356" s="40"/>
      <c r="CI356" s="209"/>
      <c r="CJ356" s="3"/>
      <c r="CK356" s="3"/>
      <c r="CL356" s="209"/>
      <c r="CM356" s="3"/>
      <c r="CN356" s="3"/>
      <c r="CO356" s="3"/>
      <c r="CP356" s="40"/>
      <c r="CQ356" s="209"/>
      <c r="CR356" s="40"/>
      <c r="CS356" s="3"/>
      <c r="CT356" s="3"/>
    </row>
    <row r="357" spans="1:98">
      <c r="A357" s="42" t="s">
        <v>322</v>
      </c>
      <c r="B357" s="173" t="s">
        <v>205</v>
      </c>
      <c r="C357" s="12"/>
      <c r="D357" s="14" t="s">
        <v>176</v>
      </c>
      <c r="E357" s="12"/>
      <c r="F357" s="12">
        <v>14</v>
      </c>
      <c r="G357" s="14">
        <v>1</v>
      </c>
      <c r="H357" s="163">
        <v>0</v>
      </c>
      <c r="I357" s="163">
        <v>1</v>
      </c>
      <c r="J357" s="12">
        <v>101</v>
      </c>
      <c r="K357" s="14">
        <v>498</v>
      </c>
      <c r="L357" s="26">
        <v>1410</v>
      </c>
      <c r="M357" s="14">
        <v>166</v>
      </c>
      <c r="N357" s="163">
        <v>1208</v>
      </c>
      <c r="O357" s="14">
        <v>0</v>
      </c>
      <c r="P357" s="26">
        <v>0</v>
      </c>
      <c r="Q357" s="12">
        <v>4356</v>
      </c>
      <c r="R357" s="209">
        <v>2.243048403707518</v>
      </c>
      <c r="S357" s="14">
        <v>1</v>
      </c>
      <c r="T357" s="163">
        <v>1</v>
      </c>
      <c r="U357" s="163">
        <v>0</v>
      </c>
      <c r="V357" s="26">
        <v>0</v>
      </c>
      <c r="W357" s="14">
        <v>1100</v>
      </c>
      <c r="X357" s="14">
        <v>1</v>
      </c>
      <c r="Y357" s="163">
        <v>1</v>
      </c>
      <c r="Z357" s="163">
        <v>0</v>
      </c>
      <c r="AA357" s="26">
        <v>0</v>
      </c>
      <c r="AB357" s="12">
        <v>1100</v>
      </c>
      <c r="AC357" s="14">
        <v>1</v>
      </c>
      <c r="AD357" s="14">
        <v>0</v>
      </c>
      <c r="AE357" s="163">
        <v>1</v>
      </c>
      <c r="AF357" s="163">
        <v>1</v>
      </c>
      <c r="AG357" s="26">
        <v>0</v>
      </c>
      <c r="AH357" s="14">
        <v>110</v>
      </c>
      <c r="AI357" s="14">
        <v>0</v>
      </c>
      <c r="AJ357" s="163">
        <v>0</v>
      </c>
      <c r="AK357" s="163">
        <v>0</v>
      </c>
      <c r="AL357" s="26">
        <v>0</v>
      </c>
      <c r="AM357" s="12">
        <v>0</v>
      </c>
      <c r="AN357" s="14">
        <v>0</v>
      </c>
      <c r="AO357" s="163">
        <v>0</v>
      </c>
      <c r="AP357" s="163">
        <v>0</v>
      </c>
      <c r="AQ357" s="163">
        <v>0</v>
      </c>
      <c r="AR357" s="163">
        <v>0</v>
      </c>
      <c r="AS357" s="14">
        <v>1</v>
      </c>
      <c r="AT357" s="163">
        <v>0</v>
      </c>
      <c r="AU357" s="163">
        <v>0</v>
      </c>
      <c r="AV357" s="163">
        <v>1</v>
      </c>
      <c r="AW357" s="26">
        <v>0</v>
      </c>
      <c r="AX357" s="14">
        <v>2</v>
      </c>
      <c r="AY357" s="14">
        <v>0</v>
      </c>
      <c r="AZ357" s="163">
        <v>0</v>
      </c>
      <c r="BA357" s="163">
        <v>0</v>
      </c>
      <c r="BB357" s="26">
        <v>1</v>
      </c>
      <c r="BC357" s="12">
        <v>1</v>
      </c>
      <c r="BD357" s="14">
        <v>0</v>
      </c>
      <c r="BE357" s="163">
        <v>0</v>
      </c>
      <c r="BF357" s="163">
        <v>0</v>
      </c>
      <c r="BG357" s="163">
        <v>0</v>
      </c>
      <c r="BH357" s="163">
        <v>0</v>
      </c>
      <c r="BI357" s="14">
        <v>1</v>
      </c>
      <c r="BJ357" s="163">
        <v>1</v>
      </c>
      <c r="BK357" s="26">
        <v>0</v>
      </c>
      <c r="BL357" s="14">
        <v>0</v>
      </c>
      <c r="BM357" s="163">
        <v>0</v>
      </c>
      <c r="BN357" s="26">
        <v>0</v>
      </c>
      <c r="BO357" s="14">
        <v>0</v>
      </c>
      <c r="BP357" s="12">
        <v>140</v>
      </c>
      <c r="BQ357" s="163">
        <v>1</v>
      </c>
      <c r="BR357" s="14">
        <v>0</v>
      </c>
      <c r="BS357" s="163">
        <v>0</v>
      </c>
      <c r="BT357" s="163">
        <v>0</v>
      </c>
      <c r="BU357" s="26">
        <v>0</v>
      </c>
      <c r="BV357" s="14">
        <v>0</v>
      </c>
      <c r="BW357" s="209"/>
      <c r="BX357" s="3"/>
      <c r="BY357" s="3"/>
      <c r="BZ357" s="40"/>
      <c r="CA357" s="209"/>
      <c r="CB357" s="3"/>
      <c r="CC357" s="3"/>
      <c r="CD357" s="3"/>
      <c r="CE357" s="209"/>
      <c r="CF357" s="3"/>
      <c r="CG357" s="3"/>
      <c r="CH357" s="40"/>
      <c r="CI357" s="209"/>
      <c r="CJ357" s="3"/>
      <c r="CK357" s="3"/>
      <c r="CL357" s="209"/>
      <c r="CM357" s="3"/>
      <c r="CN357" s="3"/>
      <c r="CO357" s="3"/>
      <c r="CP357" s="40"/>
      <c r="CQ357" s="209"/>
      <c r="CR357" s="40"/>
      <c r="CS357" s="3"/>
      <c r="CT357" s="3"/>
    </row>
    <row r="358" spans="1:98">
      <c r="A358" s="42" t="s">
        <v>322</v>
      </c>
      <c r="B358" s="173" t="s">
        <v>205</v>
      </c>
      <c r="C358" s="12"/>
      <c r="D358" s="14" t="s">
        <v>417</v>
      </c>
      <c r="E358" s="12"/>
      <c r="F358" s="12">
        <v>22</v>
      </c>
      <c r="G358" s="14">
        <v>1</v>
      </c>
      <c r="H358" s="163">
        <v>0</v>
      </c>
      <c r="I358" s="163">
        <v>1</v>
      </c>
      <c r="J358" s="12">
        <v>101</v>
      </c>
      <c r="K358" s="14">
        <v>216</v>
      </c>
      <c r="L358" s="26">
        <v>2461</v>
      </c>
      <c r="M358" s="14">
        <v>340</v>
      </c>
      <c r="N358" s="163">
        <v>820</v>
      </c>
      <c r="O358" s="14">
        <v>0</v>
      </c>
      <c r="P358" s="26">
        <v>0</v>
      </c>
      <c r="Q358" s="12">
        <v>4297</v>
      </c>
      <c r="R358" s="209">
        <v>1.4361631016042782</v>
      </c>
      <c r="S358" s="14">
        <v>1</v>
      </c>
      <c r="T358" s="163">
        <v>1</v>
      </c>
      <c r="U358" s="163">
        <v>0</v>
      </c>
      <c r="V358" s="26">
        <v>0</v>
      </c>
      <c r="W358" s="14">
        <v>1100</v>
      </c>
      <c r="X358" s="14">
        <v>1</v>
      </c>
      <c r="Y358" s="163">
        <v>1</v>
      </c>
      <c r="Z358" s="163">
        <v>0</v>
      </c>
      <c r="AA358" s="26">
        <v>0</v>
      </c>
      <c r="AB358" s="12">
        <v>1100</v>
      </c>
      <c r="AC358" s="14">
        <v>1</v>
      </c>
      <c r="AD358" s="14">
        <v>0</v>
      </c>
      <c r="AE358" s="163">
        <v>1</v>
      </c>
      <c r="AF358" s="163">
        <v>1</v>
      </c>
      <c r="AG358" s="26">
        <v>0</v>
      </c>
      <c r="AH358" s="14">
        <v>110</v>
      </c>
      <c r="AI358" s="14">
        <v>0</v>
      </c>
      <c r="AJ358" s="163">
        <v>0</v>
      </c>
      <c r="AK358" s="163">
        <v>0</v>
      </c>
      <c r="AL358" s="26">
        <v>0</v>
      </c>
      <c r="AM358" s="12">
        <v>0</v>
      </c>
      <c r="AN358" s="14">
        <v>0</v>
      </c>
      <c r="AO358" s="163">
        <v>0</v>
      </c>
      <c r="AP358" s="163">
        <v>0</v>
      </c>
      <c r="AQ358" s="163">
        <v>0</v>
      </c>
      <c r="AR358" s="163">
        <v>0</v>
      </c>
      <c r="AS358" s="14">
        <v>1</v>
      </c>
      <c r="AT358" s="163">
        <v>0</v>
      </c>
      <c r="AU358" s="163">
        <v>0</v>
      </c>
      <c r="AV358" s="163">
        <v>0</v>
      </c>
      <c r="AW358" s="26">
        <v>0</v>
      </c>
      <c r="AX358" s="14">
        <v>1</v>
      </c>
      <c r="AY358" s="14">
        <v>0</v>
      </c>
      <c r="AZ358" s="163">
        <v>0</v>
      </c>
      <c r="BA358" s="163">
        <v>0</v>
      </c>
      <c r="BB358" s="26">
        <v>1</v>
      </c>
      <c r="BC358" s="12">
        <v>1</v>
      </c>
      <c r="BD358" s="14">
        <v>0</v>
      </c>
      <c r="BE358" s="163">
        <v>0</v>
      </c>
      <c r="BF358" s="163">
        <v>0</v>
      </c>
      <c r="BG358" s="163">
        <v>0</v>
      </c>
      <c r="BH358" s="163">
        <v>0</v>
      </c>
      <c r="BI358" s="14">
        <v>1</v>
      </c>
      <c r="BJ358" s="163">
        <v>1</v>
      </c>
      <c r="BK358" s="26">
        <v>0</v>
      </c>
      <c r="BL358" s="14">
        <v>0</v>
      </c>
      <c r="BM358" s="163">
        <v>0</v>
      </c>
      <c r="BN358" s="26">
        <v>0</v>
      </c>
      <c r="BO358" s="14">
        <v>1</v>
      </c>
      <c r="BP358" s="12">
        <v>143</v>
      </c>
      <c r="BQ358" s="163">
        <v>2</v>
      </c>
      <c r="BR358" s="14">
        <v>0</v>
      </c>
      <c r="BS358" s="163">
        <v>0</v>
      </c>
      <c r="BT358" s="163">
        <v>0</v>
      </c>
      <c r="BU358" s="26">
        <v>1</v>
      </c>
      <c r="BV358" s="14">
        <v>1</v>
      </c>
      <c r="BW358" s="209">
        <v>59.01</v>
      </c>
      <c r="BX358" s="3">
        <v>59.43</v>
      </c>
      <c r="BY358" s="3"/>
      <c r="BZ358" s="40"/>
      <c r="CA358" s="209"/>
      <c r="CB358" s="3"/>
      <c r="CC358" s="3"/>
      <c r="CD358" s="3"/>
      <c r="CE358" s="209">
        <v>52.01</v>
      </c>
      <c r="CF358" s="3">
        <v>50.31</v>
      </c>
      <c r="CG358" s="3"/>
      <c r="CH358" s="40"/>
      <c r="CI358" s="209"/>
      <c r="CJ358" s="3"/>
      <c r="CK358" s="3"/>
      <c r="CL358" s="209">
        <v>79.543896975473317</v>
      </c>
      <c r="CM358" s="3">
        <v>79.761096317826599</v>
      </c>
      <c r="CN358" s="3"/>
      <c r="CO358" s="3"/>
      <c r="CP358" s="40"/>
      <c r="CQ358" s="209"/>
      <c r="CR358" s="40"/>
      <c r="CS358" s="3"/>
      <c r="CT358" s="3"/>
    </row>
    <row r="359" spans="1:98">
      <c r="A359" s="42" t="s">
        <v>322</v>
      </c>
      <c r="B359" s="173" t="s">
        <v>205</v>
      </c>
      <c r="C359" s="12"/>
      <c r="D359" s="14" t="s">
        <v>405</v>
      </c>
      <c r="E359" s="12"/>
      <c r="F359" s="12">
        <v>17</v>
      </c>
      <c r="G359" s="14">
        <v>1</v>
      </c>
      <c r="H359" s="163">
        <v>0</v>
      </c>
      <c r="I359" s="163">
        <v>1</v>
      </c>
      <c r="J359" s="12">
        <v>101</v>
      </c>
      <c r="K359" s="14">
        <v>348</v>
      </c>
      <c r="L359" s="26">
        <v>1992</v>
      </c>
      <c r="M359" s="14">
        <v>213</v>
      </c>
      <c r="N359" s="163">
        <v>1394</v>
      </c>
      <c r="O359" s="14">
        <v>0</v>
      </c>
      <c r="P359" s="26">
        <v>0</v>
      </c>
      <c r="Q359" s="12">
        <v>4437</v>
      </c>
      <c r="R359" s="209">
        <v>2.6192443919716646</v>
      </c>
      <c r="S359" s="14">
        <v>1</v>
      </c>
      <c r="T359" s="163">
        <v>1</v>
      </c>
      <c r="U359" s="163">
        <v>0</v>
      </c>
      <c r="V359" s="26">
        <v>0</v>
      </c>
      <c r="W359" s="14">
        <v>1100</v>
      </c>
      <c r="X359" s="14">
        <v>1</v>
      </c>
      <c r="Y359" s="163">
        <v>0</v>
      </c>
      <c r="Z359" s="163">
        <v>0</v>
      </c>
      <c r="AA359" s="26">
        <v>0</v>
      </c>
      <c r="AB359" s="12">
        <v>1000</v>
      </c>
      <c r="AC359" s="14">
        <v>1</v>
      </c>
      <c r="AD359" s="14">
        <v>0</v>
      </c>
      <c r="AE359" s="163">
        <v>1</v>
      </c>
      <c r="AF359" s="163">
        <v>0</v>
      </c>
      <c r="AG359" s="26">
        <v>0</v>
      </c>
      <c r="AH359" s="14">
        <v>100</v>
      </c>
      <c r="AI359" s="14">
        <v>0</v>
      </c>
      <c r="AJ359" s="163">
        <v>0</v>
      </c>
      <c r="AK359" s="163">
        <v>0</v>
      </c>
      <c r="AL359" s="26">
        <v>0</v>
      </c>
      <c r="AM359" s="12">
        <v>0</v>
      </c>
      <c r="AN359" s="14">
        <v>0</v>
      </c>
      <c r="AO359" s="163">
        <v>0</v>
      </c>
      <c r="AP359" s="163">
        <v>0</v>
      </c>
      <c r="AQ359" s="163">
        <v>0</v>
      </c>
      <c r="AR359" s="163">
        <v>0</v>
      </c>
      <c r="AS359" s="14">
        <v>1</v>
      </c>
      <c r="AT359" s="163">
        <v>0</v>
      </c>
      <c r="AU359" s="163">
        <v>0</v>
      </c>
      <c r="AV359" s="163">
        <v>1</v>
      </c>
      <c r="AW359" s="26">
        <v>0</v>
      </c>
      <c r="AX359" s="14">
        <v>2</v>
      </c>
      <c r="AY359" s="14">
        <v>0</v>
      </c>
      <c r="AZ359" s="163">
        <v>0</v>
      </c>
      <c r="BA359" s="163">
        <v>0</v>
      </c>
      <c r="BB359" s="26">
        <v>1</v>
      </c>
      <c r="BC359" s="12">
        <v>1</v>
      </c>
      <c r="BD359" s="14">
        <v>0</v>
      </c>
      <c r="BE359" s="163">
        <v>0</v>
      </c>
      <c r="BF359" s="163">
        <v>0</v>
      </c>
      <c r="BG359" s="163">
        <v>0</v>
      </c>
      <c r="BH359" s="163">
        <v>0</v>
      </c>
      <c r="BI359" s="14">
        <v>1</v>
      </c>
      <c r="BJ359" s="163">
        <v>1</v>
      </c>
      <c r="BK359" s="26">
        <v>0</v>
      </c>
      <c r="BL359" s="14">
        <v>0</v>
      </c>
      <c r="BM359" s="163">
        <v>0</v>
      </c>
      <c r="BN359" s="26">
        <v>0</v>
      </c>
      <c r="BO359" s="14">
        <v>0</v>
      </c>
      <c r="BP359" s="12">
        <v>140</v>
      </c>
      <c r="BQ359" s="163">
        <v>1</v>
      </c>
      <c r="BR359" s="14">
        <v>0</v>
      </c>
      <c r="BS359" s="163">
        <v>0</v>
      </c>
      <c r="BT359" s="163">
        <v>0</v>
      </c>
      <c r="BU359" s="26">
        <v>1</v>
      </c>
      <c r="BV359" s="14">
        <v>1</v>
      </c>
      <c r="BW359" s="209"/>
      <c r="BX359" s="3"/>
      <c r="BY359" s="3"/>
      <c r="BZ359" s="40"/>
      <c r="CA359" s="209"/>
      <c r="CB359" s="3"/>
      <c r="CC359" s="3"/>
      <c r="CD359" s="3"/>
      <c r="CE359" s="209"/>
      <c r="CF359" s="3"/>
      <c r="CG359" s="3"/>
      <c r="CH359" s="40"/>
      <c r="CI359" s="209"/>
      <c r="CJ359" s="3"/>
      <c r="CK359" s="3"/>
      <c r="CL359" s="209"/>
      <c r="CM359" s="3"/>
      <c r="CN359" s="3"/>
      <c r="CO359" s="3"/>
      <c r="CP359" s="40"/>
      <c r="CQ359" s="209"/>
      <c r="CR359" s="40"/>
      <c r="CS359" s="3"/>
      <c r="CT359" s="3"/>
    </row>
    <row r="360" spans="1:98">
      <c r="A360" s="42" t="s">
        <v>322</v>
      </c>
      <c r="B360" s="173" t="s">
        <v>205</v>
      </c>
      <c r="C360" s="12"/>
      <c r="D360" s="14" t="s">
        <v>178</v>
      </c>
      <c r="E360" s="12"/>
      <c r="F360" s="12">
        <v>10</v>
      </c>
      <c r="G360" s="14">
        <v>1</v>
      </c>
      <c r="H360" s="163">
        <v>0</v>
      </c>
      <c r="I360" s="163">
        <v>1</v>
      </c>
      <c r="J360" s="12">
        <v>101</v>
      </c>
      <c r="K360" s="14">
        <v>401</v>
      </c>
      <c r="L360" s="26">
        <v>1514</v>
      </c>
      <c r="M360" s="14">
        <v>1483</v>
      </c>
      <c r="N360" s="163">
        <v>2218</v>
      </c>
      <c r="O360" s="14">
        <v>0</v>
      </c>
      <c r="P360" s="26">
        <v>0</v>
      </c>
      <c r="Q360" s="12">
        <v>3217</v>
      </c>
      <c r="R360" s="209">
        <v>1.4285079928952042</v>
      </c>
      <c r="S360" s="14">
        <v>1</v>
      </c>
      <c r="T360" s="163">
        <v>1</v>
      </c>
      <c r="U360" s="163">
        <v>0</v>
      </c>
      <c r="V360" s="26">
        <v>0</v>
      </c>
      <c r="W360" s="14">
        <v>1100</v>
      </c>
      <c r="X360" s="14">
        <v>1</v>
      </c>
      <c r="Y360" s="163">
        <v>1</v>
      </c>
      <c r="Z360" s="163">
        <v>0</v>
      </c>
      <c r="AA360" s="26">
        <v>0</v>
      </c>
      <c r="AB360" s="12">
        <v>1100</v>
      </c>
      <c r="AC360" s="14">
        <v>1</v>
      </c>
      <c r="AD360" s="14">
        <v>0</v>
      </c>
      <c r="AE360" s="163">
        <v>1</v>
      </c>
      <c r="AF360" s="163">
        <v>0</v>
      </c>
      <c r="AG360" s="26">
        <v>0</v>
      </c>
      <c r="AH360" s="14">
        <v>100</v>
      </c>
      <c r="AI360" s="14">
        <v>0</v>
      </c>
      <c r="AJ360" s="163">
        <v>0</v>
      </c>
      <c r="AK360" s="163">
        <v>0</v>
      </c>
      <c r="AL360" s="26">
        <v>0</v>
      </c>
      <c r="AM360" s="12">
        <v>0</v>
      </c>
      <c r="AN360" s="14">
        <v>0</v>
      </c>
      <c r="AO360" s="163">
        <v>0</v>
      </c>
      <c r="AP360" s="163">
        <v>0</v>
      </c>
      <c r="AQ360" s="163">
        <v>0</v>
      </c>
      <c r="AR360" s="163">
        <v>0</v>
      </c>
      <c r="AS360" s="14">
        <v>1</v>
      </c>
      <c r="AT360" s="163">
        <v>0</v>
      </c>
      <c r="AU360" s="163">
        <v>0</v>
      </c>
      <c r="AV360" s="163">
        <v>1</v>
      </c>
      <c r="AW360" s="26">
        <v>0</v>
      </c>
      <c r="AX360" s="14">
        <v>2</v>
      </c>
      <c r="AY360" s="14">
        <v>1</v>
      </c>
      <c r="AZ360" s="163">
        <v>0</v>
      </c>
      <c r="BA360" s="163">
        <v>0</v>
      </c>
      <c r="BB360" s="26">
        <v>0</v>
      </c>
      <c r="BC360" s="12">
        <v>1</v>
      </c>
      <c r="BD360" s="14">
        <v>0</v>
      </c>
      <c r="BE360" s="163">
        <v>0</v>
      </c>
      <c r="BF360" s="163">
        <v>0</v>
      </c>
      <c r="BG360" s="163">
        <v>0</v>
      </c>
      <c r="BH360" s="163">
        <v>0</v>
      </c>
      <c r="BI360" s="14">
        <v>1</v>
      </c>
      <c r="BJ360" s="163">
        <v>1</v>
      </c>
      <c r="BK360" s="26">
        <v>0</v>
      </c>
      <c r="BL360" s="14">
        <v>0</v>
      </c>
      <c r="BM360" s="163">
        <v>0</v>
      </c>
      <c r="BN360" s="26">
        <v>0</v>
      </c>
      <c r="BO360" s="14">
        <v>0</v>
      </c>
      <c r="BP360" s="12">
        <v>151</v>
      </c>
      <c r="BQ360" s="163">
        <v>1</v>
      </c>
      <c r="BR360" s="14">
        <v>1</v>
      </c>
      <c r="BS360" s="163">
        <v>0</v>
      </c>
      <c r="BT360" s="163">
        <v>0</v>
      </c>
      <c r="BU360" s="26">
        <v>0</v>
      </c>
      <c r="BV360" s="14">
        <v>1000</v>
      </c>
      <c r="BW360" s="209"/>
      <c r="BX360" s="3"/>
      <c r="BY360" s="3"/>
      <c r="BZ360" s="40"/>
      <c r="CA360" s="209"/>
      <c r="CB360" s="3"/>
      <c r="CC360" s="3"/>
      <c r="CD360" s="3"/>
      <c r="CE360" s="209"/>
      <c r="CF360" s="3"/>
      <c r="CG360" s="3"/>
      <c r="CH360" s="40"/>
      <c r="CI360" s="209"/>
      <c r="CJ360" s="3"/>
      <c r="CK360" s="3"/>
      <c r="CL360" s="209">
        <v>79.361892697103926</v>
      </c>
      <c r="CM360" s="3"/>
      <c r="CN360" s="3"/>
      <c r="CO360" s="3"/>
      <c r="CP360" s="40"/>
      <c r="CQ360" s="209">
        <v>79.919655613781302</v>
      </c>
      <c r="CR360" s="40"/>
      <c r="CS360" s="3"/>
      <c r="CT360" s="3"/>
    </row>
    <row r="361" spans="1:98">
      <c r="A361" s="42" t="s">
        <v>322</v>
      </c>
      <c r="B361" s="173" t="s">
        <v>205</v>
      </c>
      <c r="C361" s="12"/>
      <c r="D361" s="14" t="s">
        <v>406</v>
      </c>
      <c r="E361" s="12" t="s">
        <v>1</v>
      </c>
      <c r="F361" s="12">
        <v>7</v>
      </c>
      <c r="G361" s="14">
        <v>0</v>
      </c>
      <c r="H361" s="163">
        <v>0</v>
      </c>
      <c r="I361" s="163">
        <v>1</v>
      </c>
      <c r="J361" s="12">
        <v>1</v>
      </c>
      <c r="K361" s="14">
        <v>745</v>
      </c>
      <c r="L361" s="26">
        <v>858</v>
      </c>
      <c r="M361" s="14">
        <v>401</v>
      </c>
      <c r="N361" s="163">
        <v>1084</v>
      </c>
      <c r="O361" s="14">
        <v>0</v>
      </c>
      <c r="P361" s="26">
        <v>0</v>
      </c>
      <c r="Q361" s="12">
        <v>2736</v>
      </c>
      <c r="R361" s="209">
        <v>1.84366576819407</v>
      </c>
      <c r="S361" s="14">
        <v>1</v>
      </c>
      <c r="T361" s="163">
        <v>1</v>
      </c>
      <c r="U361" s="163">
        <v>0</v>
      </c>
      <c r="V361" s="26">
        <v>0</v>
      </c>
      <c r="W361" s="14">
        <v>1100</v>
      </c>
      <c r="X361" s="14">
        <v>1</v>
      </c>
      <c r="Y361" s="163">
        <v>0</v>
      </c>
      <c r="Z361" s="163">
        <v>0</v>
      </c>
      <c r="AA361" s="26">
        <v>0</v>
      </c>
      <c r="AB361" s="12">
        <v>1000</v>
      </c>
      <c r="AC361" s="14">
        <v>1</v>
      </c>
      <c r="AD361" s="14">
        <v>0</v>
      </c>
      <c r="AE361" s="163">
        <v>1</v>
      </c>
      <c r="AF361" s="163">
        <v>1</v>
      </c>
      <c r="AG361" s="26">
        <v>0</v>
      </c>
      <c r="AH361" s="14">
        <v>110</v>
      </c>
      <c r="AI361" s="14">
        <v>0</v>
      </c>
      <c r="AJ361" s="163">
        <v>0</v>
      </c>
      <c r="AK361" s="163">
        <v>0</v>
      </c>
      <c r="AL361" s="26">
        <v>0</v>
      </c>
      <c r="AM361" s="12">
        <v>0</v>
      </c>
      <c r="AN361" s="14">
        <v>0</v>
      </c>
      <c r="AO361" s="163">
        <v>0</v>
      </c>
      <c r="AP361" s="163">
        <v>0</v>
      </c>
      <c r="AQ361" s="163">
        <v>0</v>
      </c>
      <c r="AR361" s="163">
        <v>0</v>
      </c>
      <c r="AS361" s="14">
        <v>1</v>
      </c>
      <c r="AT361" s="163">
        <v>0</v>
      </c>
      <c r="AU361" s="163">
        <v>0</v>
      </c>
      <c r="AV361" s="163">
        <v>1</v>
      </c>
      <c r="AW361" s="26">
        <v>0</v>
      </c>
      <c r="AX361" s="14">
        <v>2</v>
      </c>
      <c r="AY361" s="14">
        <v>0</v>
      </c>
      <c r="AZ361" s="163">
        <v>0</v>
      </c>
      <c r="BA361" s="163">
        <v>0</v>
      </c>
      <c r="BB361" s="26">
        <v>1</v>
      </c>
      <c r="BC361" s="12">
        <v>1</v>
      </c>
      <c r="BD361" s="14">
        <v>0</v>
      </c>
      <c r="BE361" s="163">
        <v>0</v>
      </c>
      <c r="BF361" s="163">
        <v>0</v>
      </c>
      <c r="BG361" s="163">
        <v>0</v>
      </c>
      <c r="BH361" s="163">
        <v>0</v>
      </c>
      <c r="BI361" s="14">
        <v>1</v>
      </c>
      <c r="BJ361" s="163">
        <v>1</v>
      </c>
      <c r="BK361" s="26">
        <v>0</v>
      </c>
      <c r="BL361" s="14">
        <v>0</v>
      </c>
      <c r="BM361" s="163">
        <v>0</v>
      </c>
      <c r="BN361" s="26">
        <v>0</v>
      </c>
      <c r="BO361" s="14">
        <v>0</v>
      </c>
      <c r="BP361" s="12">
        <v>159</v>
      </c>
      <c r="BQ361" s="163">
        <v>1</v>
      </c>
      <c r="BR361" s="14">
        <v>0</v>
      </c>
      <c r="BS361" s="163">
        <v>0</v>
      </c>
      <c r="BT361" s="163">
        <v>0</v>
      </c>
      <c r="BU361" s="26">
        <v>0</v>
      </c>
      <c r="BV361" s="14">
        <v>0</v>
      </c>
      <c r="BW361" s="209"/>
      <c r="BX361" s="3"/>
      <c r="BY361" s="3"/>
      <c r="BZ361" s="40"/>
      <c r="CA361" s="209"/>
      <c r="CB361" s="3"/>
      <c r="CC361" s="3"/>
      <c r="CD361" s="3"/>
      <c r="CE361" s="209"/>
      <c r="CF361" s="3"/>
      <c r="CG361" s="3"/>
      <c r="CH361" s="40"/>
      <c r="CI361" s="209"/>
      <c r="CJ361" s="3"/>
      <c r="CK361" s="3"/>
      <c r="CL361" s="209"/>
      <c r="CM361" s="3"/>
      <c r="CN361" s="3"/>
      <c r="CO361" s="3"/>
      <c r="CP361" s="40"/>
      <c r="CQ361" s="209"/>
      <c r="CR361" s="40"/>
      <c r="CS361" s="3"/>
      <c r="CT361" s="3"/>
    </row>
    <row r="362" spans="1:98">
      <c r="A362" s="42" t="s">
        <v>322</v>
      </c>
      <c r="B362" s="173" t="s">
        <v>205</v>
      </c>
      <c r="C362" s="12"/>
      <c r="D362" s="14" t="s">
        <v>418</v>
      </c>
      <c r="E362" s="12" t="s">
        <v>0</v>
      </c>
      <c r="F362" s="12">
        <v>5</v>
      </c>
      <c r="G362" s="14">
        <v>0</v>
      </c>
      <c r="H362" s="163">
        <v>0</v>
      </c>
      <c r="I362" s="163">
        <v>1</v>
      </c>
      <c r="J362" s="12">
        <v>1</v>
      </c>
      <c r="K362" s="14">
        <v>1696</v>
      </c>
      <c r="L362" s="26">
        <v>1994</v>
      </c>
      <c r="M362" s="14">
        <v>474</v>
      </c>
      <c r="N362" s="163">
        <v>2260</v>
      </c>
      <c r="O362" s="14">
        <v>0</v>
      </c>
      <c r="P362" s="26">
        <v>0</v>
      </c>
      <c r="Q362" s="12">
        <v>3697</v>
      </c>
      <c r="R362" s="209">
        <v>1.2129265091863517</v>
      </c>
      <c r="S362" s="14">
        <v>1</v>
      </c>
      <c r="T362" s="163">
        <v>1</v>
      </c>
      <c r="U362" s="163">
        <v>0</v>
      </c>
      <c r="V362" s="26">
        <v>0</v>
      </c>
      <c r="W362" s="14">
        <v>1100</v>
      </c>
      <c r="X362" s="14">
        <v>1</v>
      </c>
      <c r="Y362" s="163">
        <v>0</v>
      </c>
      <c r="Z362" s="163">
        <v>0</v>
      </c>
      <c r="AA362" s="26">
        <v>0</v>
      </c>
      <c r="AB362" s="12">
        <v>1000</v>
      </c>
      <c r="AC362" s="14">
        <v>1</v>
      </c>
      <c r="AD362" s="14">
        <v>0</v>
      </c>
      <c r="AE362" s="163">
        <v>1</v>
      </c>
      <c r="AF362" s="163">
        <v>1</v>
      </c>
      <c r="AG362" s="26">
        <v>0</v>
      </c>
      <c r="AH362" s="14">
        <v>110</v>
      </c>
      <c r="AI362" s="14">
        <v>0</v>
      </c>
      <c r="AJ362" s="163">
        <v>0</v>
      </c>
      <c r="AK362" s="163">
        <v>0</v>
      </c>
      <c r="AL362" s="26">
        <v>0</v>
      </c>
      <c r="AM362" s="12">
        <v>0</v>
      </c>
      <c r="AN362" s="14">
        <v>0</v>
      </c>
      <c r="AO362" s="163">
        <v>0</v>
      </c>
      <c r="AP362" s="163">
        <v>0</v>
      </c>
      <c r="AQ362" s="163">
        <v>0</v>
      </c>
      <c r="AR362" s="163">
        <v>0</v>
      </c>
      <c r="AS362" s="14">
        <v>1</v>
      </c>
      <c r="AT362" s="163">
        <v>0</v>
      </c>
      <c r="AU362" s="163">
        <v>0</v>
      </c>
      <c r="AV362" s="163">
        <v>1</v>
      </c>
      <c r="AW362" s="26">
        <v>0</v>
      </c>
      <c r="AX362" s="14">
        <v>2</v>
      </c>
      <c r="AY362" s="14">
        <v>1</v>
      </c>
      <c r="AZ362" s="163">
        <v>0</v>
      </c>
      <c r="BA362" s="163">
        <v>0</v>
      </c>
      <c r="BB362" s="26">
        <v>0</v>
      </c>
      <c r="BC362" s="12">
        <v>1</v>
      </c>
      <c r="BD362" s="14">
        <v>0</v>
      </c>
      <c r="BE362" s="163">
        <v>0</v>
      </c>
      <c r="BF362" s="163">
        <v>0</v>
      </c>
      <c r="BG362" s="163">
        <v>0</v>
      </c>
      <c r="BH362" s="163">
        <v>0</v>
      </c>
      <c r="BI362" s="14">
        <v>1</v>
      </c>
      <c r="BJ362" s="163">
        <v>1</v>
      </c>
      <c r="BK362" s="26">
        <v>0</v>
      </c>
      <c r="BL362" s="14">
        <v>0</v>
      </c>
      <c r="BM362" s="163">
        <v>1</v>
      </c>
      <c r="BN362" s="26">
        <v>0</v>
      </c>
      <c r="BO362" s="14">
        <v>0</v>
      </c>
      <c r="BP362" s="12">
        <v>159</v>
      </c>
      <c r="BQ362" s="163">
        <v>2</v>
      </c>
      <c r="BR362" s="14">
        <v>0</v>
      </c>
      <c r="BS362" s="163">
        <v>0</v>
      </c>
      <c r="BT362" s="163">
        <v>0</v>
      </c>
      <c r="BU362" s="26">
        <v>0</v>
      </c>
      <c r="BV362" s="14">
        <v>0</v>
      </c>
      <c r="BW362" s="209"/>
      <c r="BX362" s="3"/>
      <c r="BY362" s="3"/>
      <c r="BZ362" s="40"/>
      <c r="CA362" s="209"/>
      <c r="CB362" s="3"/>
      <c r="CC362" s="3"/>
      <c r="CD362" s="3"/>
      <c r="CE362" s="209"/>
      <c r="CF362" s="3"/>
      <c r="CG362" s="3"/>
      <c r="CH362" s="40"/>
      <c r="CI362" s="209"/>
      <c r="CJ362" s="3"/>
      <c r="CK362" s="3"/>
      <c r="CL362" s="209"/>
      <c r="CM362" s="3"/>
      <c r="CN362" s="3"/>
      <c r="CO362" s="3"/>
      <c r="CP362" s="40"/>
      <c r="CQ362" s="209"/>
      <c r="CR362" s="40"/>
      <c r="CS362" s="3"/>
      <c r="CT362" s="3"/>
    </row>
    <row r="363" spans="1:98">
      <c r="A363" s="42" t="s">
        <v>322</v>
      </c>
      <c r="B363" s="173" t="s">
        <v>205</v>
      </c>
      <c r="C363" s="12"/>
      <c r="D363" s="14" t="s">
        <v>174</v>
      </c>
      <c r="E363" s="12"/>
      <c r="F363" s="12">
        <v>11</v>
      </c>
      <c r="G363" s="14">
        <v>1</v>
      </c>
      <c r="H363" s="163">
        <v>0</v>
      </c>
      <c r="I363" s="163">
        <v>1</v>
      </c>
      <c r="J363" s="12">
        <v>101</v>
      </c>
      <c r="K363" s="14">
        <v>372</v>
      </c>
      <c r="L363" s="26">
        <v>986</v>
      </c>
      <c r="M363" s="14">
        <v>248</v>
      </c>
      <c r="N363" s="163">
        <v>622</v>
      </c>
      <c r="O363" s="14">
        <v>0</v>
      </c>
      <c r="P363" s="26">
        <v>0</v>
      </c>
      <c r="Q363" s="12">
        <v>2416</v>
      </c>
      <c r="R363" s="209">
        <v>1.8728682170542637</v>
      </c>
      <c r="S363" s="14">
        <v>1</v>
      </c>
      <c r="T363" s="163">
        <v>1</v>
      </c>
      <c r="U363" s="163">
        <v>0</v>
      </c>
      <c r="V363" s="26">
        <v>0</v>
      </c>
      <c r="W363" s="14">
        <v>1100</v>
      </c>
      <c r="X363" s="14">
        <v>1</v>
      </c>
      <c r="Y363" s="163">
        <v>0</v>
      </c>
      <c r="Z363" s="163">
        <v>0</v>
      </c>
      <c r="AA363" s="26">
        <v>1</v>
      </c>
      <c r="AB363" s="12">
        <v>1001</v>
      </c>
      <c r="AC363" s="14">
        <v>1</v>
      </c>
      <c r="AD363" s="14">
        <v>0</v>
      </c>
      <c r="AE363" s="163">
        <v>1</v>
      </c>
      <c r="AF363" s="163">
        <v>0</v>
      </c>
      <c r="AG363" s="26">
        <v>0</v>
      </c>
      <c r="AH363" s="14">
        <v>100</v>
      </c>
      <c r="AI363" s="14">
        <v>0</v>
      </c>
      <c r="AJ363" s="163">
        <v>0</v>
      </c>
      <c r="AK363" s="163">
        <v>0</v>
      </c>
      <c r="AL363" s="26">
        <v>0</v>
      </c>
      <c r="AM363" s="12">
        <v>0</v>
      </c>
      <c r="AN363" s="14">
        <v>0</v>
      </c>
      <c r="AO363" s="163">
        <v>0</v>
      </c>
      <c r="AP363" s="163">
        <v>0</v>
      </c>
      <c r="AQ363" s="163">
        <v>0</v>
      </c>
      <c r="AR363" s="163">
        <v>0</v>
      </c>
      <c r="AS363" s="14">
        <v>1</v>
      </c>
      <c r="AT363" s="163">
        <v>1</v>
      </c>
      <c r="AU363" s="163">
        <v>0</v>
      </c>
      <c r="AV363" s="163">
        <v>0</v>
      </c>
      <c r="AW363" s="26">
        <v>0</v>
      </c>
      <c r="AX363" s="14">
        <v>2</v>
      </c>
      <c r="AY363" s="14">
        <v>0</v>
      </c>
      <c r="AZ363" s="163">
        <v>0</v>
      </c>
      <c r="BA363" s="163">
        <v>0</v>
      </c>
      <c r="BB363" s="26">
        <v>1</v>
      </c>
      <c r="BC363" s="12">
        <v>1</v>
      </c>
      <c r="BD363" s="14">
        <v>0</v>
      </c>
      <c r="BE363" s="163">
        <v>0</v>
      </c>
      <c r="BF363" s="163">
        <v>0</v>
      </c>
      <c r="BG363" s="163">
        <v>0</v>
      </c>
      <c r="BH363" s="163">
        <v>0</v>
      </c>
      <c r="BI363" s="14">
        <v>1</v>
      </c>
      <c r="BJ363" s="163">
        <v>1</v>
      </c>
      <c r="BK363" s="26">
        <v>0</v>
      </c>
      <c r="BL363" s="14">
        <v>0</v>
      </c>
      <c r="BM363" s="163">
        <v>0</v>
      </c>
      <c r="BN363" s="26">
        <v>0</v>
      </c>
      <c r="BO363" s="14">
        <v>0</v>
      </c>
      <c r="BP363" s="12">
        <v>119</v>
      </c>
      <c r="BQ363" s="163">
        <v>1</v>
      </c>
      <c r="BR363" s="14">
        <v>0</v>
      </c>
      <c r="BS363" s="163">
        <v>0</v>
      </c>
      <c r="BT363" s="163">
        <v>0</v>
      </c>
      <c r="BU363" s="26">
        <v>1</v>
      </c>
      <c r="BV363" s="14">
        <v>1</v>
      </c>
      <c r="BW363" s="209"/>
      <c r="BX363" s="3"/>
      <c r="BY363" s="3"/>
      <c r="BZ363" s="40"/>
      <c r="CA363" s="209"/>
      <c r="CB363" s="3"/>
      <c r="CC363" s="3"/>
      <c r="CD363" s="3"/>
      <c r="CE363" s="209"/>
      <c r="CF363" s="3"/>
      <c r="CG363" s="3"/>
      <c r="CH363" s="40"/>
      <c r="CI363" s="209"/>
      <c r="CJ363" s="3"/>
      <c r="CK363" s="3"/>
      <c r="CL363" s="209"/>
      <c r="CM363" s="3"/>
      <c r="CN363" s="3"/>
      <c r="CO363" s="3"/>
      <c r="CP363" s="40"/>
      <c r="CQ363" s="209"/>
      <c r="CR363" s="40"/>
      <c r="CS363" s="3"/>
      <c r="CT363" s="3"/>
    </row>
    <row r="364" spans="1:98" ht="17" thickBot="1">
      <c r="A364" s="55" t="s">
        <v>322</v>
      </c>
      <c r="B364" s="47" t="s">
        <v>205</v>
      </c>
      <c r="C364" s="33"/>
      <c r="D364" s="34" t="s">
        <v>68</v>
      </c>
      <c r="E364" s="33"/>
      <c r="F364" s="33">
        <v>5</v>
      </c>
      <c r="G364" s="34">
        <v>0</v>
      </c>
      <c r="H364" s="36">
        <v>0</v>
      </c>
      <c r="I364" s="36">
        <v>1</v>
      </c>
      <c r="J364" s="33">
        <v>1</v>
      </c>
      <c r="K364" s="34">
        <v>1063</v>
      </c>
      <c r="L364" s="35">
        <v>1219</v>
      </c>
      <c r="M364" s="34">
        <v>229</v>
      </c>
      <c r="N364" s="36">
        <v>565</v>
      </c>
      <c r="O364" s="34">
        <v>0</v>
      </c>
      <c r="P364" s="35">
        <v>0</v>
      </c>
      <c r="Q364" s="33">
        <v>1527</v>
      </c>
      <c r="R364" s="210">
        <v>2.2488954344624448</v>
      </c>
      <c r="S364" s="34">
        <v>1</v>
      </c>
      <c r="T364" s="36">
        <v>1</v>
      </c>
      <c r="U364" s="36">
        <v>0</v>
      </c>
      <c r="V364" s="35">
        <v>0</v>
      </c>
      <c r="W364" s="34">
        <v>1100</v>
      </c>
      <c r="X364" s="34">
        <v>1</v>
      </c>
      <c r="Y364" s="36">
        <v>0</v>
      </c>
      <c r="Z364" s="36">
        <v>0</v>
      </c>
      <c r="AA364" s="35">
        <v>0</v>
      </c>
      <c r="AB364" s="33">
        <v>1000</v>
      </c>
      <c r="AC364" s="34">
        <v>1</v>
      </c>
      <c r="AD364" s="34">
        <v>1</v>
      </c>
      <c r="AE364" s="36">
        <v>1</v>
      </c>
      <c r="AF364" s="36">
        <v>0</v>
      </c>
      <c r="AG364" s="35">
        <v>0</v>
      </c>
      <c r="AH364" s="34">
        <v>1100</v>
      </c>
      <c r="AI364" s="34">
        <v>0</v>
      </c>
      <c r="AJ364" s="36">
        <v>0</v>
      </c>
      <c r="AK364" s="36">
        <v>0</v>
      </c>
      <c r="AL364" s="35">
        <v>0</v>
      </c>
      <c r="AM364" s="33">
        <v>0</v>
      </c>
      <c r="AN364" s="34">
        <v>0</v>
      </c>
      <c r="AO364" s="36">
        <v>0</v>
      </c>
      <c r="AP364" s="36">
        <v>0</v>
      </c>
      <c r="AQ364" s="36">
        <v>0</v>
      </c>
      <c r="AR364" s="36"/>
      <c r="AS364" s="34">
        <v>0</v>
      </c>
      <c r="AT364" s="36">
        <v>0</v>
      </c>
      <c r="AU364" s="36">
        <v>0</v>
      </c>
      <c r="AV364" s="36">
        <v>1</v>
      </c>
      <c r="AW364" s="35">
        <v>0</v>
      </c>
      <c r="AX364" s="34">
        <v>1</v>
      </c>
      <c r="AY364" s="34">
        <v>0</v>
      </c>
      <c r="AZ364" s="36">
        <v>0</v>
      </c>
      <c r="BA364" s="36">
        <v>1</v>
      </c>
      <c r="BB364" s="35">
        <v>1</v>
      </c>
      <c r="BC364" s="33">
        <v>2</v>
      </c>
      <c r="BD364" s="34">
        <v>0</v>
      </c>
      <c r="BE364" s="36">
        <v>0</v>
      </c>
      <c r="BF364" s="36">
        <v>0</v>
      </c>
      <c r="BG364" s="36">
        <v>0</v>
      </c>
      <c r="BH364" s="36">
        <v>0</v>
      </c>
      <c r="BI364" s="34">
        <v>1</v>
      </c>
      <c r="BJ364" s="36">
        <v>1</v>
      </c>
      <c r="BK364" s="35">
        <v>0</v>
      </c>
      <c r="BL364" s="34">
        <v>0</v>
      </c>
      <c r="BM364" s="36">
        <v>0</v>
      </c>
      <c r="BN364" s="35">
        <v>0</v>
      </c>
      <c r="BO364" s="34">
        <v>0</v>
      </c>
      <c r="BP364" s="33">
        <v>91</v>
      </c>
      <c r="BQ364" s="36">
        <v>2</v>
      </c>
      <c r="BR364" s="34">
        <v>0</v>
      </c>
      <c r="BS364" s="36">
        <v>0</v>
      </c>
      <c r="BT364" s="36">
        <v>0</v>
      </c>
      <c r="BU364" s="35">
        <v>0</v>
      </c>
      <c r="BV364" s="34">
        <v>0</v>
      </c>
      <c r="BW364" s="210"/>
      <c r="BX364" s="51"/>
      <c r="BY364" s="51"/>
      <c r="BZ364" s="48"/>
      <c r="CA364" s="210"/>
      <c r="CB364" s="51"/>
      <c r="CC364" s="51"/>
      <c r="CD364" s="51"/>
      <c r="CE364" s="210"/>
      <c r="CF364" s="51"/>
      <c r="CG364" s="51"/>
      <c r="CH364" s="48"/>
      <c r="CI364" s="210"/>
      <c r="CJ364" s="51"/>
      <c r="CK364" s="51"/>
      <c r="CL364" s="210"/>
      <c r="CM364" s="51"/>
      <c r="CN364" s="51"/>
      <c r="CO364" s="51"/>
      <c r="CP364" s="48"/>
      <c r="CQ364" s="210"/>
      <c r="CR364" s="48"/>
      <c r="CS364" s="3"/>
      <c r="CT364" s="3"/>
    </row>
    <row r="365" spans="1:98">
      <c r="A365" s="87" t="s">
        <v>322</v>
      </c>
      <c r="B365" s="7" t="s">
        <v>207</v>
      </c>
      <c r="C365" s="9"/>
      <c r="D365" s="11" t="s">
        <v>132</v>
      </c>
      <c r="E365" s="9"/>
      <c r="F365" s="9">
        <v>8</v>
      </c>
      <c r="G365" s="11">
        <v>1</v>
      </c>
      <c r="H365" s="8">
        <v>1</v>
      </c>
      <c r="I365" s="8">
        <v>1</v>
      </c>
      <c r="J365" s="9">
        <v>111</v>
      </c>
      <c r="K365" s="11">
        <v>550</v>
      </c>
      <c r="L365" s="41">
        <v>1035</v>
      </c>
      <c r="M365" s="11">
        <v>156</v>
      </c>
      <c r="N365" s="8">
        <v>954</v>
      </c>
      <c r="O365" s="11">
        <v>0</v>
      </c>
      <c r="P365" s="41">
        <v>0</v>
      </c>
      <c r="Q365" s="9">
        <v>2854</v>
      </c>
      <c r="R365" s="208">
        <v>1.2809694793536803</v>
      </c>
      <c r="S365" s="11">
        <v>1</v>
      </c>
      <c r="T365" s="8">
        <v>1</v>
      </c>
      <c r="U365" s="8">
        <v>0</v>
      </c>
      <c r="V365" s="41">
        <v>0</v>
      </c>
      <c r="W365" s="11">
        <v>1100</v>
      </c>
      <c r="X365" s="11">
        <v>1</v>
      </c>
      <c r="Y365" s="8">
        <v>1</v>
      </c>
      <c r="Z365" s="8">
        <v>0</v>
      </c>
      <c r="AA365" s="41">
        <v>0</v>
      </c>
      <c r="AB365" s="9">
        <v>1100</v>
      </c>
      <c r="AC365" s="11">
        <v>1</v>
      </c>
      <c r="AD365" s="11">
        <v>0</v>
      </c>
      <c r="AE365" s="8">
        <v>1</v>
      </c>
      <c r="AF365" s="8">
        <v>1</v>
      </c>
      <c r="AG365" s="41">
        <v>0</v>
      </c>
      <c r="AH365" s="11">
        <v>110</v>
      </c>
      <c r="AI365" s="11">
        <v>0</v>
      </c>
      <c r="AJ365" s="8">
        <v>0</v>
      </c>
      <c r="AK365" s="8">
        <v>0</v>
      </c>
      <c r="AL365" s="41">
        <v>0</v>
      </c>
      <c r="AM365" s="9">
        <v>0</v>
      </c>
      <c r="AN365" s="11">
        <v>0</v>
      </c>
      <c r="AO365" s="8">
        <v>0</v>
      </c>
      <c r="AP365" s="8">
        <v>0</v>
      </c>
      <c r="AQ365" s="8">
        <v>0</v>
      </c>
      <c r="AR365" s="8">
        <v>0</v>
      </c>
      <c r="AS365" s="11">
        <v>1</v>
      </c>
      <c r="AT365" s="8">
        <v>1</v>
      </c>
      <c r="AU365" s="8">
        <v>0</v>
      </c>
      <c r="AV365" s="8">
        <v>1</v>
      </c>
      <c r="AW365" s="41">
        <v>0</v>
      </c>
      <c r="AX365" s="11">
        <v>3</v>
      </c>
      <c r="AY365" s="11">
        <v>0</v>
      </c>
      <c r="AZ365" s="8">
        <v>0</v>
      </c>
      <c r="BA365" s="8">
        <v>0</v>
      </c>
      <c r="BB365" s="41">
        <v>1</v>
      </c>
      <c r="BC365" s="9">
        <v>1</v>
      </c>
      <c r="BD365" s="11">
        <v>0</v>
      </c>
      <c r="BE365" s="8">
        <v>0</v>
      </c>
      <c r="BF365" s="8">
        <v>0</v>
      </c>
      <c r="BG365" s="8">
        <v>0</v>
      </c>
      <c r="BH365" s="8">
        <v>0</v>
      </c>
      <c r="BI365" s="11">
        <v>1</v>
      </c>
      <c r="BJ365" s="8">
        <v>1</v>
      </c>
      <c r="BK365" s="41">
        <v>0</v>
      </c>
      <c r="BL365" s="11">
        <v>0</v>
      </c>
      <c r="BM365" s="8">
        <v>0</v>
      </c>
      <c r="BN365" s="41">
        <v>0</v>
      </c>
      <c r="BO365" s="11">
        <v>0</v>
      </c>
      <c r="BP365" s="9">
        <v>159</v>
      </c>
      <c r="BQ365" s="8">
        <v>1</v>
      </c>
      <c r="BR365" s="11">
        <v>0</v>
      </c>
      <c r="BS365" s="8">
        <v>0</v>
      </c>
      <c r="BT365" s="8">
        <v>0</v>
      </c>
      <c r="BU365" s="41">
        <v>0</v>
      </c>
      <c r="BV365" s="11">
        <v>0</v>
      </c>
      <c r="BW365" s="208"/>
      <c r="BX365" s="54"/>
      <c r="BY365" s="54"/>
      <c r="BZ365" s="10"/>
      <c r="CA365" s="208"/>
      <c r="CB365" s="54"/>
      <c r="CC365" s="54"/>
      <c r="CD365" s="54"/>
      <c r="CE365" s="208"/>
      <c r="CF365" s="54"/>
      <c r="CG365" s="54"/>
      <c r="CH365" s="10"/>
      <c r="CI365" s="208"/>
      <c r="CJ365" s="54"/>
      <c r="CK365" s="54"/>
      <c r="CL365" s="208"/>
      <c r="CM365" s="54"/>
      <c r="CN365" s="54"/>
      <c r="CO365" s="54"/>
      <c r="CP365" s="10"/>
      <c r="CQ365" s="208"/>
      <c r="CR365" s="10"/>
      <c r="CS365" s="3"/>
      <c r="CT365" s="3"/>
    </row>
    <row r="366" spans="1:98">
      <c r="A366" s="42" t="s">
        <v>322</v>
      </c>
      <c r="B366" s="173" t="s">
        <v>207</v>
      </c>
      <c r="C366" s="12"/>
      <c r="D366" s="14" t="s">
        <v>194</v>
      </c>
      <c r="E366" s="12"/>
      <c r="F366" s="12">
        <v>4</v>
      </c>
      <c r="G366" s="14">
        <v>0</v>
      </c>
      <c r="H366" s="163">
        <v>0</v>
      </c>
      <c r="I366" s="163">
        <v>1</v>
      </c>
      <c r="J366" s="12">
        <v>1</v>
      </c>
      <c r="K366" s="14">
        <v>1698</v>
      </c>
      <c r="L366" s="26">
        <v>1850</v>
      </c>
      <c r="M366" s="14">
        <v>0</v>
      </c>
      <c r="N366" s="163">
        <v>1019</v>
      </c>
      <c r="O366" s="14">
        <v>0</v>
      </c>
      <c r="P366" s="26">
        <v>0</v>
      </c>
      <c r="Q366" s="12">
        <v>3555</v>
      </c>
      <c r="R366" s="209">
        <v>4.2523923444976077</v>
      </c>
      <c r="S366" s="14">
        <v>1</v>
      </c>
      <c r="T366" s="163">
        <v>1</v>
      </c>
      <c r="U366" s="163">
        <v>0</v>
      </c>
      <c r="V366" s="26">
        <v>0</v>
      </c>
      <c r="W366" s="14">
        <v>1100</v>
      </c>
      <c r="X366" s="14">
        <v>1</v>
      </c>
      <c r="Y366" s="163">
        <v>1</v>
      </c>
      <c r="Z366" s="163">
        <v>0</v>
      </c>
      <c r="AA366" s="26">
        <v>0</v>
      </c>
      <c r="AB366" s="12">
        <v>1100</v>
      </c>
      <c r="AC366" s="14">
        <v>1</v>
      </c>
      <c r="AD366" s="14">
        <v>0</v>
      </c>
      <c r="AE366" s="163">
        <v>0</v>
      </c>
      <c r="AF366" s="163">
        <v>1</v>
      </c>
      <c r="AG366" s="26">
        <v>0</v>
      </c>
      <c r="AH366" s="14">
        <v>10</v>
      </c>
      <c r="AI366" s="14">
        <v>0</v>
      </c>
      <c r="AJ366" s="163">
        <v>0</v>
      </c>
      <c r="AK366" s="163">
        <v>0</v>
      </c>
      <c r="AL366" s="26">
        <v>0</v>
      </c>
      <c r="AM366" s="12">
        <v>0</v>
      </c>
      <c r="AN366" s="14">
        <v>0</v>
      </c>
      <c r="AO366" s="163">
        <v>0</v>
      </c>
      <c r="AP366" s="163">
        <v>0</v>
      </c>
      <c r="AQ366" s="163">
        <v>0</v>
      </c>
      <c r="AR366" s="163">
        <v>0</v>
      </c>
      <c r="AS366" s="14">
        <v>1</v>
      </c>
      <c r="AT366" s="163">
        <v>0</v>
      </c>
      <c r="AU366" s="163">
        <v>0</v>
      </c>
      <c r="AV366" s="163">
        <v>1</v>
      </c>
      <c r="AW366" s="26">
        <v>0</v>
      </c>
      <c r="AX366" s="14">
        <v>2</v>
      </c>
      <c r="AY366" s="14">
        <v>1</v>
      </c>
      <c r="AZ366" s="163">
        <v>0</v>
      </c>
      <c r="BA366" s="163">
        <v>0</v>
      </c>
      <c r="BB366" s="26">
        <v>0</v>
      </c>
      <c r="BC366" s="12">
        <v>1</v>
      </c>
      <c r="BD366" s="14">
        <v>0</v>
      </c>
      <c r="BE366" s="163">
        <v>0</v>
      </c>
      <c r="BF366" s="163">
        <v>0</v>
      </c>
      <c r="BG366" s="163">
        <v>0</v>
      </c>
      <c r="BH366" s="163">
        <v>0</v>
      </c>
      <c r="BI366" s="14">
        <v>1</v>
      </c>
      <c r="BJ366" s="163">
        <v>0</v>
      </c>
      <c r="BK366" s="26">
        <v>0</v>
      </c>
      <c r="BL366" s="14">
        <v>0</v>
      </c>
      <c r="BM366" s="163">
        <v>0</v>
      </c>
      <c r="BN366" s="26">
        <v>0</v>
      </c>
      <c r="BO366" s="14">
        <v>1</v>
      </c>
      <c r="BP366" s="12">
        <v>140</v>
      </c>
      <c r="BQ366" s="163">
        <v>2</v>
      </c>
      <c r="BR366" s="14">
        <v>1</v>
      </c>
      <c r="BS366" s="163">
        <v>0</v>
      </c>
      <c r="BT366" s="163">
        <v>0</v>
      </c>
      <c r="BU366" s="26">
        <v>0</v>
      </c>
      <c r="BV366" s="14">
        <v>1000</v>
      </c>
      <c r="BW366" s="209"/>
      <c r="BX366" s="3"/>
      <c r="BY366" s="3"/>
      <c r="BZ366" s="40"/>
      <c r="CA366" s="209"/>
      <c r="CB366" s="3"/>
      <c r="CC366" s="3"/>
      <c r="CD366" s="3"/>
      <c r="CE366" s="209"/>
      <c r="CF366" s="3"/>
      <c r="CG366" s="3"/>
      <c r="CH366" s="40"/>
      <c r="CI366" s="209"/>
      <c r="CJ366" s="3"/>
      <c r="CK366" s="3"/>
      <c r="CL366" s="209"/>
      <c r="CM366" s="3"/>
      <c r="CN366" s="3"/>
      <c r="CO366" s="3"/>
      <c r="CP366" s="40"/>
      <c r="CQ366" s="209"/>
      <c r="CR366" s="40"/>
      <c r="CS366" s="3"/>
      <c r="CT366" s="3"/>
    </row>
    <row r="367" spans="1:98">
      <c r="A367" s="42" t="s">
        <v>322</v>
      </c>
      <c r="B367" s="173" t="s">
        <v>207</v>
      </c>
      <c r="C367" s="12"/>
      <c r="D367" s="14" t="s">
        <v>393</v>
      </c>
      <c r="E367" s="12"/>
      <c r="F367" s="12">
        <v>6</v>
      </c>
      <c r="G367" s="14">
        <v>1</v>
      </c>
      <c r="H367" s="163">
        <v>0</v>
      </c>
      <c r="I367" s="163">
        <v>1</v>
      </c>
      <c r="J367" s="12">
        <v>101</v>
      </c>
      <c r="K367" s="14">
        <v>220</v>
      </c>
      <c r="L367" s="26">
        <v>780</v>
      </c>
      <c r="M367" s="14">
        <v>279</v>
      </c>
      <c r="N367" s="163">
        <v>329</v>
      </c>
      <c r="O367" s="14">
        <v>0</v>
      </c>
      <c r="P367" s="26">
        <v>0</v>
      </c>
      <c r="Q367" s="12">
        <v>1882</v>
      </c>
      <c r="R367" s="209">
        <v>2.7474452554744526</v>
      </c>
      <c r="S367" s="14">
        <v>1</v>
      </c>
      <c r="T367" s="163">
        <v>1</v>
      </c>
      <c r="U367" s="163">
        <v>0</v>
      </c>
      <c r="V367" s="26">
        <v>0</v>
      </c>
      <c r="W367" s="14">
        <v>1100</v>
      </c>
      <c r="X367" s="14">
        <v>1</v>
      </c>
      <c r="Y367" s="163">
        <v>0</v>
      </c>
      <c r="Z367" s="163">
        <v>0</v>
      </c>
      <c r="AA367" s="26">
        <v>0</v>
      </c>
      <c r="AB367" s="12">
        <v>1000</v>
      </c>
      <c r="AC367" s="14">
        <v>1</v>
      </c>
      <c r="AD367" s="14">
        <v>0</v>
      </c>
      <c r="AE367" s="163">
        <v>0</v>
      </c>
      <c r="AF367" s="163">
        <v>1</v>
      </c>
      <c r="AG367" s="26">
        <v>0</v>
      </c>
      <c r="AH367" s="14">
        <v>10</v>
      </c>
      <c r="AI367" s="14">
        <v>0</v>
      </c>
      <c r="AJ367" s="163">
        <v>0</v>
      </c>
      <c r="AK367" s="163">
        <v>0</v>
      </c>
      <c r="AL367" s="26">
        <v>0</v>
      </c>
      <c r="AM367" s="12">
        <v>0</v>
      </c>
      <c r="AN367" s="14">
        <v>0</v>
      </c>
      <c r="AO367" s="163">
        <v>0</v>
      </c>
      <c r="AP367" s="163">
        <v>0</v>
      </c>
      <c r="AQ367" s="163">
        <v>0</v>
      </c>
      <c r="AR367" s="163">
        <v>0</v>
      </c>
      <c r="AS367" s="14">
        <v>0</v>
      </c>
      <c r="AT367" s="163">
        <v>1</v>
      </c>
      <c r="AU367" s="163">
        <v>0</v>
      </c>
      <c r="AV367" s="163">
        <v>1</v>
      </c>
      <c r="AW367" s="26">
        <v>0</v>
      </c>
      <c r="AX367" s="14">
        <v>2</v>
      </c>
      <c r="AY367" s="14">
        <v>0</v>
      </c>
      <c r="AZ367" s="163">
        <v>0</v>
      </c>
      <c r="BA367" s="163">
        <v>0</v>
      </c>
      <c r="BB367" s="26">
        <v>1</v>
      </c>
      <c r="BC367" s="12">
        <v>1</v>
      </c>
      <c r="BD367" s="14">
        <v>0</v>
      </c>
      <c r="BE367" s="163">
        <v>0</v>
      </c>
      <c r="BF367" s="163">
        <v>0</v>
      </c>
      <c r="BG367" s="163">
        <v>0</v>
      </c>
      <c r="BH367" s="163">
        <v>0</v>
      </c>
      <c r="BI367" s="14">
        <v>1</v>
      </c>
      <c r="BJ367" s="163">
        <v>0</v>
      </c>
      <c r="BK367" s="26">
        <v>0</v>
      </c>
      <c r="BL367" s="14">
        <v>0</v>
      </c>
      <c r="BM367" s="163">
        <v>0</v>
      </c>
      <c r="BN367" s="26">
        <v>0</v>
      </c>
      <c r="BO367" s="14">
        <v>1</v>
      </c>
      <c r="BP367" s="12">
        <v>145</v>
      </c>
      <c r="BQ367" s="163">
        <v>2</v>
      </c>
      <c r="BR367" s="14">
        <v>0</v>
      </c>
      <c r="BS367" s="163">
        <v>0</v>
      </c>
      <c r="BT367" s="163">
        <v>0</v>
      </c>
      <c r="BU367" s="26">
        <v>0</v>
      </c>
      <c r="BV367" s="14">
        <v>0</v>
      </c>
      <c r="BW367" s="209"/>
      <c r="BX367" s="3"/>
      <c r="BY367" s="3"/>
      <c r="BZ367" s="40"/>
      <c r="CA367" s="209"/>
      <c r="CB367" s="3"/>
      <c r="CC367" s="3"/>
      <c r="CD367" s="3"/>
      <c r="CE367" s="209"/>
      <c r="CF367" s="3"/>
      <c r="CG367" s="3"/>
      <c r="CH367" s="40"/>
      <c r="CI367" s="209"/>
      <c r="CJ367" s="3"/>
      <c r="CK367" s="3"/>
      <c r="CL367" s="209"/>
      <c r="CM367" s="3"/>
      <c r="CN367" s="3"/>
      <c r="CO367" s="3"/>
      <c r="CP367" s="40"/>
      <c r="CQ367" s="209"/>
      <c r="CR367" s="40"/>
      <c r="CS367" s="3"/>
      <c r="CT367" s="3"/>
    </row>
    <row r="368" spans="1:98">
      <c r="A368" s="42" t="s">
        <v>322</v>
      </c>
      <c r="B368" s="173" t="s">
        <v>207</v>
      </c>
      <c r="C368" s="12"/>
      <c r="D368" s="14" t="s">
        <v>201</v>
      </c>
      <c r="E368" s="12"/>
      <c r="F368" s="12">
        <v>4</v>
      </c>
      <c r="G368" s="14">
        <v>0</v>
      </c>
      <c r="H368" s="163">
        <v>0</v>
      </c>
      <c r="I368" s="163">
        <v>1</v>
      </c>
      <c r="J368" s="12">
        <v>1</v>
      </c>
      <c r="K368" s="14">
        <v>0</v>
      </c>
      <c r="L368" s="26">
        <v>2038</v>
      </c>
      <c r="M368" s="14">
        <v>310</v>
      </c>
      <c r="N368" s="163">
        <v>1155</v>
      </c>
      <c r="O368" s="14">
        <v>0</v>
      </c>
      <c r="P368" s="26">
        <v>0</v>
      </c>
      <c r="Q368" s="12">
        <v>2333</v>
      </c>
      <c r="R368" s="209">
        <v>2.2584704743465633</v>
      </c>
      <c r="S368" s="14">
        <v>1</v>
      </c>
      <c r="T368" s="163">
        <v>1</v>
      </c>
      <c r="U368" s="163">
        <v>0</v>
      </c>
      <c r="V368" s="26">
        <v>0</v>
      </c>
      <c r="W368" s="14">
        <v>1100</v>
      </c>
      <c r="X368" s="14">
        <v>0</v>
      </c>
      <c r="Y368" s="163">
        <v>1</v>
      </c>
      <c r="Z368" s="163">
        <v>0</v>
      </c>
      <c r="AA368" s="26">
        <v>0</v>
      </c>
      <c r="AB368" s="12">
        <v>100</v>
      </c>
      <c r="AC368" s="14">
        <v>1</v>
      </c>
      <c r="AD368" s="14">
        <v>0</v>
      </c>
      <c r="AE368" s="163">
        <v>1</v>
      </c>
      <c r="AF368" s="163">
        <v>1</v>
      </c>
      <c r="AG368" s="26">
        <v>0</v>
      </c>
      <c r="AH368" s="14">
        <v>110</v>
      </c>
      <c r="AI368" s="14">
        <v>0</v>
      </c>
      <c r="AJ368" s="163">
        <v>0</v>
      </c>
      <c r="AK368" s="163">
        <v>0</v>
      </c>
      <c r="AL368" s="26">
        <v>0</v>
      </c>
      <c r="AM368" s="12">
        <v>0</v>
      </c>
      <c r="AN368" s="14">
        <v>0</v>
      </c>
      <c r="AO368" s="163">
        <v>0</v>
      </c>
      <c r="AP368" s="163">
        <v>0</v>
      </c>
      <c r="AQ368" s="163">
        <v>0</v>
      </c>
      <c r="AR368" s="163">
        <v>0</v>
      </c>
      <c r="AS368" s="14">
        <v>1</v>
      </c>
      <c r="AT368" s="163">
        <v>0</v>
      </c>
      <c r="AU368" s="163">
        <v>0</v>
      </c>
      <c r="AV368" s="163">
        <v>1</v>
      </c>
      <c r="AW368" s="26">
        <v>0</v>
      </c>
      <c r="AX368" s="14">
        <v>2</v>
      </c>
      <c r="AY368" s="14">
        <v>0</v>
      </c>
      <c r="AZ368" s="163">
        <v>0</v>
      </c>
      <c r="BA368" s="163">
        <v>0</v>
      </c>
      <c r="BB368" s="26">
        <v>1</v>
      </c>
      <c r="BC368" s="12">
        <v>1</v>
      </c>
      <c r="BD368" s="14">
        <v>0</v>
      </c>
      <c r="BE368" s="163">
        <v>0</v>
      </c>
      <c r="BF368" s="163">
        <v>0</v>
      </c>
      <c r="BG368" s="163">
        <v>0</v>
      </c>
      <c r="BH368" s="163">
        <v>0</v>
      </c>
      <c r="BI368" s="14">
        <v>1</v>
      </c>
      <c r="BJ368" s="163">
        <v>1</v>
      </c>
      <c r="BK368" s="26">
        <v>0</v>
      </c>
      <c r="BL368" s="14">
        <v>0</v>
      </c>
      <c r="BM368" s="163">
        <v>0</v>
      </c>
      <c r="BN368" s="26">
        <v>0</v>
      </c>
      <c r="BO368" s="14">
        <v>0</v>
      </c>
      <c r="BP368" s="12">
        <v>123</v>
      </c>
      <c r="BQ368" s="163">
        <v>2</v>
      </c>
      <c r="BR368" s="14">
        <v>0</v>
      </c>
      <c r="BS368" s="163">
        <v>0</v>
      </c>
      <c r="BT368" s="163">
        <v>0</v>
      </c>
      <c r="BU368" s="26">
        <v>0</v>
      </c>
      <c r="BV368" s="14">
        <v>0</v>
      </c>
      <c r="BW368" s="209"/>
      <c r="BX368" s="3"/>
      <c r="BY368" s="3"/>
      <c r="BZ368" s="40"/>
      <c r="CA368" s="209"/>
      <c r="CB368" s="3"/>
      <c r="CC368" s="3"/>
      <c r="CD368" s="3"/>
      <c r="CE368" s="209"/>
      <c r="CF368" s="3"/>
      <c r="CG368" s="3"/>
      <c r="CH368" s="40"/>
      <c r="CI368" s="209"/>
      <c r="CJ368" s="3"/>
      <c r="CK368" s="3"/>
      <c r="CL368" s="209"/>
      <c r="CM368" s="3"/>
      <c r="CN368" s="3"/>
      <c r="CO368" s="3"/>
      <c r="CP368" s="40"/>
      <c r="CQ368" s="209"/>
      <c r="CR368" s="40"/>
      <c r="CS368" s="3"/>
      <c r="CT368" s="3"/>
    </row>
    <row r="369" spans="1:98">
      <c r="A369" s="42" t="s">
        <v>322</v>
      </c>
      <c r="B369" s="173" t="s">
        <v>207</v>
      </c>
      <c r="C369" s="12"/>
      <c r="D369" s="14" t="s">
        <v>202</v>
      </c>
      <c r="E369" s="12"/>
      <c r="F369" s="12">
        <v>6</v>
      </c>
      <c r="G369" s="14">
        <v>0</v>
      </c>
      <c r="H369" s="163">
        <v>0</v>
      </c>
      <c r="I369" s="163">
        <v>1</v>
      </c>
      <c r="J369" s="12">
        <v>1</v>
      </c>
      <c r="K369" s="14">
        <v>410</v>
      </c>
      <c r="L369" s="26">
        <v>1585</v>
      </c>
      <c r="M369" s="14">
        <v>496</v>
      </c>
      <c r="N369" s="163">
        <v>827</v>
      </c>
      <c r="O369" s="14">
        <v>0</v>
      </c>
      <c r="P369" s="26">
        <v>0</v>
      </c>
      <c r="Q369" s="12">
        <v>3001</v>
      </c>
      <c r="R369" s="209">
        <v>2.2580887885628291</v>
      </c>
      <c r="S369" s="14">
        <v>1</v>
      </c>
      <c r="T369" s="163">
        <v>1</v>
      </c>
      <c r="U369" s="163">
        <v>0</v>
      </c>
      <c r="V369" s="26">
        <v>0</v>
      </c>
      <c r="W369" s="14">
        <v>1100</v>
      </c>
      <c r="X369" s="14">
        <v>1</v>
      </c>
      <c r="Y369" s="163">
        <v>1</v>
      </c>
      <c r="Z369" s="163">
        <v>0</v>
      </c>
      <c r="AA369" s="26">
        <v>0</v>
      </c>
      <c r="AB369" s="12">
        <v>1100</v>
      </c>
      <c r="AC369" s="14">
        <v>1</v>
      </c>
      <c r="AD369" s="14">
        <v>0</v>
      </c>
      <c r="AE369" s="163">
        <v>1</v>
      </c>
      <c r="AF369" s="163">
        <v>0</v>
      </c>
      <c r="AG369" s="26">
        <v>0</v>
      </c>
      <c r="AH369" s="14">
        <v>100</v>
      </c>
      <c r="AI369" s="14">
        <v>0</v>
      </c>
      <c r="AJ369" s="163">
        <v>0</v>
      </c>
      <c r="AK369" s="163">
        <v>0</v>
      </c>
      <c r="AL369" s="26">
        <v>0</v>
      </c>
      <c r="AM369" s="12">
        <v>0</v>
      </c>
      <c r="AN369" s="14">
        <v>0</v>
      </c>
      <c r="AO369" s="163">
        <v>0</v>
      </c>
      <c r="AP369" s="163">
        <v>0</v>
      </c>
      <c r="AQ369" s="163">
        <v>0</v>
      </c>
      <c r="AR369" s="163">
        <v>0</v>
      </c>
      <c r="AS369" s="14">
        <v>0</v>
      </c>
      <c r="AT369" s="163">
        <v>1</v>
      </c>
      <c r="AU369" s="163">
        <v>0</v>
      </c>
      <c r="AV369" s="163">
        <v>1</v>
      </c>
      <c r="AW369" s="26">
        <v>0</v>
      </c>
      <c r="AX369" s="14">
        <v>2</v>
      </c>
      <c r="AY369" s="14">
        <v>1</v>
      </c>
      <c r="AZ369" s="163">
        <v>0</v>
      </c>
      <c r="BA369" s="163">
        <v>0</v>
      </c>
      <c r="BB369" s="26">
        <v>0</v>
      </c>
      <c r="BC369" s="12">
        <v>1</v>
      </c>
      <c r="BD369" s="14">
        <v>0</v>
      </c>
      <c r="BE369" s="163">
        <v>0</v>
      </c>
      <c r="BF369" s="163">
        <v>0</v>
      </c>
      <c r="BG369" s="163">
        <v>0</v>
      </c>
      <c r="BH369" s="163">
        <v>0</v>
      </c>
      <c r="BI369" s="14">
        <v>1</v>
      </c>
      <c r="BJ369" s="163">
        <v>1</v>
      </c>
      <c r="BK369" s="26">
        <v>0</v>
      </c>
      <c r="BL369" s="14">
        <v>0</v>
      </c>
      <c r="BM369" s="163">
        <v>0</v>
      </c>
      <c r="BN369" s="26">
        <v>0</v>
      </c>
      <c r="BO369" s="14">
        <v>0</v>
      </c>
      <c r="BP369" s="12">
        <v>149</v>
      </c>
      <c r="BQ369" s="163">
        <v>1</v>
      </c>
      <c r="BR369" s="14">
        <v>0</v>
      </c>
      <c r="BS369" s="163">
        <v>0</v>
      </c>
      <c r="BT369" s="163">
        <v>0</v>
      </c>
      <c r="BU369" s="26">
        <v>0</v>
      </c>
      <c r="BV369" s="14">
        <v>0</v>
      </c>
      <c r="BW369" s="209"/>
      <c r="BX369" s="3"/>
      <c r="BY369" s="3"/>
      <c r="BZ369" s="40"/>
      <c r="CA369" s="209"/>
      <c r="CB369" s="3"/>
      <c r="CC369" s="3"/>
      <c r="CD369" s="3"/>
      <c r="CE369" s="209"/>
      <c r="CF369" s="3"/>
      <c r="CG369" s="3"/>
      <c r="CH369" s="40"/>
      <c r="CI369" s="209"/>
      <c r="CJ369" s="3"/>
      <c r="CK369" s="3"/>
      <c r="CL369" s="209"/>
      <c r="CM369" s="3"/>
      <c r="CN369" s="3"/>
      <c r="CO369" s="3"/>
      <c r="CP369" s="40"/>
      <c r="CQ369" s="209"/>
      <c r="CR369" s="40"/>
      <c r="CS369" s="3"/>
      <c r="CT369" s="3"/>
    </row>
    <row r="370" spans="1:98">
      <c r="A370" s="42" t="s">
        <v>322</v>
      </c>
      <c r="B370" s="173" t="s">
        <v>207</v>
      </c>
      <c r="C370" s="12"/>
      <c r="D370" s="14" t="s">
        <v>394</v>
      </c>
      <c r="E370" s="12"/>
      <c r="F370" s="12">
        <v>7</v>
      </c>
      <c r="G370" s="14">
        <v>0</v>
      </c>
      <c r="H370" s="163">
        <v>0</v>
      </c>
      <c r="I370" s="163">
        <v>1</v>
      </c>
      <c r="J370" s="12">
        <v>1</v>
      </c>
      <c r="K370" s="14">
        <v>277</v>
      </c>
      <c r="L370" s="26">
        <v>1309</v>
      </c>
      <c r="M370" s="14">
        <v>689</v>
      </c>
      <c r="N370" s="163">
        <v>1041</v>
      </c>
      <c r="O370" s="14">
        <v>0</v>
      </c>
      <c r="P370" s="26">
        <v>0</v>
      </c>
      <c r="Q370" s="12">
        <v>1698</v>
      </c>
      <c r="R370" s="209">
        <v>1.0341047503045067</v>
      </c>
      <c r="S370" s="14">
        <v>1</v>
      </c>
      <c r="T370" s="163">
        <v>1</v>
      </c>
      <c r="U370" s="163">
        <v>0</v>
      </c>
      <c r="V370" s="26">
        <v>0</v>
      </c>
      <c r="W370" s="14">
        <v>1100</v>
      </c>
      <c r="X370" s="14">
        <v>1</v>
      </c>
      <c r="Y370" s="163">
        <v>1</v>
      </c>
      <c r="Z370" s="163">
        <v>0</v>
      </c>
      <c r="AA370" s="26">
        <v>0</v>
      </c>
      <c r="AB370" s="12">
        <v>1100</v>
      </c>
      <c r="AC370" s="14">
        <v>1</v>
      </c>
      <c r="AD370" s="14">
        <v>0</v>
      </c>
      <c r="AE370" s="163">
        <v>1</v>
      </c>
      <c r="AF370" s="163">
        <v>0</v>
      </c>
      <c r="AG370" s="26">
        <v>0</v>
      </c>
      <c r="AH370" s="14">
        <v>100</v>
      </c>
      <c r="AI370" s="14">
        <v>0</v>
      </c>
      <c r="AJ370" s="163">
        <v>0</v>
      </c>
      <c r="AK370" s="163">
        <v>0</v>
      </c>
      <c r="AL370" s="26">
        <v>0</v>
      </c>
      <c r="AM370" s="12">
        <v>0</v>
      </c>
      <c r="AN370" s="14">
        <v>0</v>
      </c>
      <c r="AO370" s="163">
        <v>0</v>
      </c>
      <c r="AP370" s="163">
        <v>0</v>
      </c>
      <c r="AQ370" s="163">
        <v>0</v>
      </c>
      <c r="AR370" s="163">
        <v>0</v>
      </c>
      <c r="AS370" s="14">
        <v>1</v>
      </c>
      <c r="AT370" s="163">
        <v>0</v>
      </c>
      <c r="AU370" s="163">
        <v>0</v>
      </c>
      <c r="AV370" s="163">
        <v>1</v>
      </c>
      <c r="AW370" s="26">
        <v>0</v>
      </c>
      <c r="AX370" s="14">
        <v>2</v>
      </c>
      <c r="AY370" s="14">
        <v>0</v>
      </c>
      <c r="AZ370" s="163">
        <v>0</v>
      </c>
      <c r="BA370" s="163">
        <v>0</v>
      </c>
      <c r="BB370" s="26">
        <v>1</v>
      </c>
      <c r="BC370" s="12">
        <v>1</v>
      </c>
      <c r="BD370" s="14">
        <v>0</v>
      </c>
      <c r="BE370" s="163">
        <v>0</v>
      </c>
      <c r="BF370" s="163">
        <v>0</v>
      </c>
      <c r="BG370" s="163">
        <v>0</v>
      </c>
      <c r="BH370" s="163">
        <v>0</v>
      </c>
      <c r="BI370" s="14">
        <v>1</v>
      </c>
      <c r="BJ370" s="163">
        <v>1</v>
      </c>
      <c r="BK370" s="26">
        <v>0</v>
      </c>
      <c r="BL370" s="14">
        <v>0</v>
      </c>
      <c r="BM370" s="163">
        <v>0</v>
      </c>
      <c r="BN370" s="26">
        <v>0</v>
      </c>
      <c r="BO370" s="14">
        <v>0</v>
      </c>
      <c r="BP370" s="12">
        <v>126</v>
      </c>
      <c r="BQ370" s="163">
        <v>2</v>
      </c>
      <c r="BR370" s="14">
        <v>0</v>
      </c>
      <c r="BS370" s="163">
        <v>0</v>
      </c>
      <c r="BT370" s="163">
        <v>0</v>
      </c>
      <c r="BU370" s="26">
        <v>0</v>
      </c>
      <c r="BV370" s="14">
        <v>0</v>
      </c>
      <c r="BW370" s="209"/>
      <c r="BX370" s="3"/>
      <c r="BY370" s="3"/>
      <c r="BZ370" s="40"/>
      <c r="CA370" s="209"/>
      <c r="CB370" s="3"/>
      <c r="CC370" s="3"/>
      <c r="CD370" s="3"/>
      <c r="CE370" s="209"/>
      <c r="CF370" s="3"/>
      <c r="CG370" s="3"/>
      <c r="CH370" s="40"/>
      <c r="CI370" s="209"/>
      <c r="CJ370" s="3"/>
      <c r="CK370" s="3"/>
      <c r="CL370" s="209"/>
      <c r="CM370" s="3"/>
      <c r="CN370" s="3"/>
      <c r="CO370" s="3"/>
      <c r="CP370" s="40"/>
      <c r="CQ370" s="209"/>
      <c r="CR370" s="40"/>
      <c r="CS370" s="3"/>
      <c r="CT370" s="3"/>
    </row>
    <row r="371" spans="1:98">
      <c r="A371" s="42" t="s">
        <v>322</v>
      </c>
      <c r="B371" s="173" t="s">
        <v>207</v>
      </c>
      <c r="C371" s="12"/>
      <c r="D371" s="14" t="s">
        <v>195</v>
      </c>
      <c r="E371" s="12"/>
      <c r="F371" s="12">
        <v>20</v>
      </c>
      <c r="G371" s="14">
        <v>1</v>
      </c>
      <c r="H371" s="163">
        <v>0</v>
      </c>
      <c r="I371" s="163">
        <v>1</v>
      </c>
      <c r="J371" s="12">
        <v>101</v>
      </c>
      <c r="K371" s="14">
        <v>362</v>
      </c>
      <c r="L371" s="26">
        <v>2410</v>
      </c>
      <c r="M371" s="14">
        <v>162</v>
      </c>
      <c r="N371" s="163">
        <v>1957</v>
      </c>
      <c r="O371" s="14">
        <v>0</v>
      </c>
      <c r="P371" s="26">
        <v>0</v>
      </c>
      <c r="Q371" s="12">
        <v>3564</v>
      </c>
      <c r="R371" s="209">
        <v>1.4654605263157894</v>
      </c>
      <c r="S371" s="14">
        <v>1</v>
      </c>
      <c r="T371" s="163">
        <v>1</v>
      </c>
      <c r="U371" s="163">
        <v>0</v>
      </c>
      <c r="V371" s="26">
        <v>0</v>
      </c>
      <c r="W371" s="14">
        <v>1100</v>
      </c>
      <c r="X371" s="14">
        <v>1</v>
      </c>
      <c r="Y371" s="163">
        <v>1</v>
      </c>
      <c r="Z371" s="163">
        <v>0</v>
      </c>
      <c r="AA371" s="26">
        <v>0</v>
      </c>
      <c r="AB371" s="12">
        <v>1100</v>
      </c>
      <c r="AC371" s="14">
        <v>1</v>
      </c>
      <c r="AD371" s="14">
        <v>0</v>
      </c>
      <c r="AE371" s="163">
        <v>1</v>
      </c>
      <c r="AF371" s="163">
        <v>1</v>
      </c>
      <c r="AG371" s="26">
        <v>0</v>
      </c>
      <c r="AH371" s="14">
        <v>110</v>
      </c>
      <c r="AI371" s="14">
        <v>0</v>
      </c>
      <c r="AJ371" s="163">
        <v>0</v>
      </c>
      <c r="AK371" s="163">
        <v>0</v>
      </c>
      <c r="AL371" s="26">
        <v>0</v>
      </c>
      <c r="AM371" s="12">
        <v>0</v>
      </c>
      <c r="AN371" s="14">
        <v>0</v>
      </c>
      <c r="AO371" s="163">
        <v>0</v>
      </c>
      <c r="AP371" s="163">
        <v>0</v>
      </c>
      <c r="AQ371" s="163">
        <v>0</v>
      </c>
      <c r="AR371" s="163">
        <v>0</v>
      </c>
      <c r="AS371" s="14">
        <v>1</v>
      </c>
      <c r="AT371" s="163">
        <v>0</v>
      </c>
      <c r="AU371" s="163">
        <v>0</v>
      </c>
      <c r="AV371" s="163">
        <v>1</v>
      </c>
      <c r="AW371" s="26">
        <v>0</v>
      </c>
      <c r="AX371" s="14">
        <v>2</v>
      </c>
      <c r="AY371" s="14">
        <v>1</v>
      </c>
      <c r="AZ371" s="163">
        <v>0</v>
      </c>
      <c r="BA371" s="163">
        <v>0</v>
      </c>
      <c r="BB371" s="26">
        <v>1</v>
      </c>
      <c r="BC371" s="12">
        <v>2</v>
      </c>
      <c r="BD371" s="14">
        <v>0</v>
      </c>
      <c r="BE371" s="163">
        <v>0</v>
      </c>
      <c r="BF371" s="163">
        <v>0</v>
      </c>
      <c r="BG371" s="163">
        <v>0</v>
      </c>
      <c r="BH371" s="163">
        <v>0</v>
      </c>
      <c r="BI371" s="14">
        <v>1</v>
      </c>
      <c r="BJ371" s="163">
        <v>1</v>
      </c>
      <c r="BK371" s="26">
        <v>0</v>
      </c>
      <c r="BL371" s="14">
        <v>0</v>
      </c>
      <c r="BM371" s="163">
        <v>0</v>
      </c>
      <c r="BN371" s="26">
        <v>0</v>
      </c>
      <c r="BO371" s="14">
        <v>1</v>
      </c>
      <c r="BP371" s="12">
        <v>135</v>
      </c>
      <c r="BQ371" s="163">
        <v>1</v>
      </c>
      <c r="BR371" s="14">
        <v>0</v>
      </c>
      <c r="BS371" s="163">
        <v>0</v>
      </c>
      <c r="BT371" s="163">
        <v>0</v>
      </c>
      <c r="BU371" s="26">
        <v>0</v>
      </c>
      <c r="BV371" s="14">
        <v>0</v>
      </c>
      <c r="BW371" s="209"/>
      <c r="BX371" s="3"/>
      <c r="BY371" s="3"/>
      <c r="BZ371" s="40"/>
      <c r="CA371" s="209"/>
      <c r="CB371" s="3"/>
      <c r="CC371" s="3"/>
      <c r="CD371" s="3"/>
      <c r="CE371" s="209"/>
      <c r="CF371" s="3"/>
      <c r="CG371" s="3"/>
      <c r="CH371" s="40"/>
      <c r="CI371" s="209"/>
      <c r="CJ371" s="3"/>
      <c r="CK371" s="3"/>
      <c r="CL371" s="209">
        <v>79.63195600027737</v>
      </c>
      <c r="CM371" s="3">
        <v>79.712812738563642</v>
      </c>
      <c r="CN371" s="3"/>
      <c r="CO371" s="3"/>
      <c r="CP371" s="40"/>
      <c r="CQ371" s="209">
        <v>79.485778698620791</v>
      </c>
      <c r="CR371" s="40">
        <v>79.696144230302835</v>
      </c>
      <c r="CS371" s="3"/>
      <c r="CT371" s="3"/>
    </row>
    <row r="372" spans="1:98">
      <c r="A372" s="42" t="s">
        <v>322</v>
      </c>
      <c r="B372" s="173" t="s">
        <v>207</v>
      </c>
      <c r="C372" s="12"/>
      <c r="D372" s="14" t="s">
        <v>419</v>
      </c>
      <c r="E372" s="12"/>
      <c r="F372" s="12">
        <v>11</v>
      </c>
      <c r="G372" s="14">
        <v>0</v>
      </c>
      <c r="H372" s="163">
        <v>0</v>
      </c>
      <c r="I372" s="163">
        <v>1</v>
      </c>
      <c r="J372" s="12">
        <v>1</v>
      </c>
      <c r="K372" s="14">
        <v>990</v>
      </c>
      <c r="L372" s="26">
        <v>2080</v>
      </c>
      <c r="M372" s="14">
        <v>225</v>
      </c>
      <c r="N372" s="163">
        <v>508</v>
      </c>
      <c r="O372" s="14">
        <v>0</v>
      </c>
      <c r="P372" s="26">
        <v>0</v>
      </c>
      <c r="Q372" s="12">
        <v>3872</v>
      </c>
      <c r="R372" s="209">
        <v>1.6740164288802422</v>
      </c>
      <c r="S372" s="14">
        <v>1</v>
      </c>
      <c r="T372" s="163">
        <v>1</v>
      </c>
      <c r="U372" s="163">
        <v>0</v>
      </c>
      <c r="V372" s="26">
        <v>0</v>
      </c>
      <c r="W372" s="14">
        <v>1100</v>
      </c>
      <c r="X372" s="14">
        <v>1</v>
      </c>
      <c r="Y372" s="163">
        <v>0</v>
      </c>
      <c r="Z372" s="163">
        <v>0</v>
      </c>
      <c r="AA372" s="26">
        <v>1</v>
      </c>
      <c r="AB372" s="12">
        <v>1001</v>
      </c>
      <c r="AC372" s="14">
        <v>1</v>
      </c>
      <c r="AD372" s="14">
        <v>0</v>
      </c>
      <c r="AE372" s="163">
        <v>1</v>
      </c>
      <c r="AF372" s="163">
        <v>1</v>
      </c>
      <c r="AG372" s="26">
        <v>0</v>
      </c>
      <c r="AH372" s="14">
        <v>110</v>
      </c>
      <c r="AI372" s="14">
        <v>0</v>
      </c>
      <c r="AJ372" s="163">
        <v>0</v>
      </c>
      <c r="AK372" s="163">
        <v>0</v>
      </c>
      <c r="AL372" s="26">
        <v>0</v>
      </c>
      <c r="AM372" s="12">
        <v>0</v>
      </c>
      <c r="AN372" s="14">
        <v>0</v>
      </c>
      <c r="AO372" s="163">
        <v>0</v>
      </c>
      <c r="AP372" s="163">
        <v>0</v>
      </c>
      <c r="AQ372" s="163">
        <v>0</v>
      </c>
      <c r="AR372" s="163">
        <v>0</v>
      </c>
      <c r="AS372" s="14">
        <v>1</v>
      </c>
      <c r="AT372" s="163">
        <v>0</v>
      </c>
      <c r="AU372" s="163">
        <v>0</v>
      </c>
      <c r="AV372" s="163">
        <v>1</v>
      </c>
      <c r="AW372" s="26">
        <v>0</v>
      </c>
      <c r="AX372" s="14">
        <v>2</v>
      </c>
      <c r="AY372" s="14">
        <v>1</v>
      </c>
      <c r="AZ372" s="163">
        <v>0</v>
      </c>
      <c r="BA372" s="163">
        <v>0</v>
      </c>
      <c r="BB372" s="26">
        <v>0</v>
      </c>
      <c r="BC372" s="12">
        <v>1</v>
      </c>
      <c r="BD372" s="14">
        <v>0</v>
      </c>
      <c r="BE372" s="163">
        <v>0</v>
      </c>
      <c r="BF372" s="163">
        <v>0</v>
      </c>
      <c r="BG372" s="163">
        <v>0</v>
      </c>
      <c r="BH372" s="163">
        <v>0</v>
      </c>
      <c r="BI372" s="14">
        <v>1</v>
      </c>
      <c r="BJ372" s="163">
        <v>1</v>
      </c>
      <c r="BK372" s="26">
        <v>0</v>
      </c>
      <c r="BL372" s="14">
        <v>0</v>
      </c>
      <c r="BM372" s="163">
        <v>0</v>
      </c>
      <c r="BN372" s="26">
        <v>0</v>
      </c>
      <c r="BO372" s="14">
        <v>1</v>
      </c>
      <c r="BP372" s="12">
        <v>152</v>
      </c>
      <c r="BQ372" s="163">
        <v>2</v>
      </c>
      <c r="BR372" s="14">
        <v>1</v>
      </c>
      <c r="BS372" s="163">
        <v>0</v>
      </c>
      <c r="BT372" s="163">
        <v>0</v>
      </c>
      <c r="BU372" s="26">
        <v>0</v>
      </c>
      <c r="BV372" s="14">
        <v>1000</v>
      </c>
      <c r="BW372" s="209"/>
      <c r="BX372" s="3"/>
      <c r="BY372" s="3"/>
      <c r="BZ372" s="40"/>
      <c r="CA372" s="209"/>
      <c r="CB372" s="3"/>
      <c r="CC372" s="3"/>
      <c r="CD372" s="3"/>
      <c r="CE372" s="209"/>
      <c r="CF372" s="3"/>
      <c r="CG372" s="3"/>
      <c r="CH372" s="40"/>
      <c r="CI372" s="209"/>
      <c r="CJ372" s="3"/>
      <c r="CK372" s="3"/>
      <c r="CL372" s="209"/>
      <c r="CM372" s="3"/>
      <c r="CN372" s="3"/>
      <c r="CO372" s="3"/>
      <c r="CP372" s="40"/>
      <c r="CQ372" s="209"/>
      <c r="CR372" s="40"/>
      <c r="CS372" s="3"/>
      <c r="CT372" s="3"/>
    </row>
    <row r="373" spans="1:98">
      <c r="A373" s="42" t="s">
        <v>322</v>
      </c>
      <c r="B373" s="173" t="s">
        <v>207</v>
      </c>
      <c r="C373" s="12"/>
      <c r="D373" s="14" t="s">
        <v>417</v>
      </c>
      <c r="E373" s="12"/>
      <c r="F373" s="12">
        <v>12</v>
      </c>
      <c r="G373" s="14">
        <v>0</v>
      </c>
      <c r="H373" s="163">
        <v>0</v>
      </c>
      <c r="I373" s="163">
        <v>1</v>
      </c>
      <c r="J373" s="12">
        <v>1</v>
      </c>
      <c r="K373" s="14">
        <v>550</v>
      </c>
      <c r="L373" s="26">
        <v>2174</v>
      </c>
      <c r="M373" s="14">
        <v>134</v>
      </c>
      <c r="N373" s="163">
        <v>759</v>
      </c>
      <c r="O373" s="14">
        <v>0</v>
      </c>
      <c r="P373" s="26">
        <v>0</v>
      </c>
      <c r="Q373" s="12">
        <v>3838</v>
      </c>
      <c r="R373" s="209">
        <v>1.8612997090203687</v>
      </c>
      <c r="S373" s="14">
        <v>1</v>
      </c>
      <c r="T373" s="163">
        <v>1</v>
      </c>
      <c r="U373" s="163">
        <v>0</v>
      </c>
      <c r="V373" s="26">
        <v>0</v>
      </c>
      <c r="W373" s="14">
        <v>1100</v>
      </c>
      <c r="X373" s="14">
        <v>1</v>
      </c>
      <c r="Y373" s="163">
        <v>1</v>
      </c>
      <c r="Z373" s="163">
        <v>0</v>
      </c>
      <c r="AA373" s="26">
        <v>1</v>
      </c>
      <c r="AB373" s="12">
        <v>1101</v>
      </c>
      <c r="AC373" s="14">
        <v>1</v>
      </c>
      <c r="AD373" s="14">
        <v>0</v>
      </c>
      <c r="AE373" s="163">
        <v>1</v>
      </c>
      <c r="AF373" s="163">
        <v>0</v>
      </c>
      <c r="AG373" s="26">
        <v>0</v>
      </c>
      <c r="AH373" s="14">
        <v>100</v>
      </c>
      <c r="AI373" s="14">
        <v>0</v>
      </c>
      <c r="AJ373" s="163">
        <v>0</v>
      </c>
      <c r="AK373" s="163">
        <v>0</v>
      </c>
      <c r="AL373" s="26">
        <v>0</v>
      </c>
      <c r="AM373" s="12">
        <v>0</v>
      </c>
      <c r="AN373" s="14">
        <v>0</v>
      </c>
      <c r="AO373" s="163">
        <v>0</v>
      </c>
      <c r="AP373" s="163">
        <v>0</v>
      </c>
      <c r="AQ373" s="163">
        <v>0</v>
      </c>
      <c r="AR373" s="163">
        <v>0</v>
      </c>
      <c r="AS373" s="14">
        <v>1</v>
      </c>
      <c r="AT373" s="163">
        <v>0</v>
      </c>
      <c r="AU373" s="163">
        <v>0</v>
      </c>
      <c r="AV373" s="163">
        <v>1</v>
      </c>
      <c r="AW373" s="26">
        <v>0</v>
      </c>
      <c r="AX373" s="14">
        <v>2</v>
      </c>
      <c r="AY373" s="14">
        <v>0</v>
      </c>
      <c r="AZ373" s="163">
        <v>0</v>
      </c>
      <c r="BA373" s="163">
        <v>0</v>
      </c>
      <c r="BB373" s="26">
        <v>1</v>
      </c>
      <c r="BC373" s="12">
        <v>1</v>
      </c>
      <c r="BD373" s="14">
        <v>0</v>
      </c>
      <c r="BE373" s="163">
        <v>0</v>
      </c>
      <c r="BF373" s="163">
        <v>0</v>
      </c>
      <c r="BG373" s="163">
        <v>0</v>
      </c>
      <c r="BH373" s="163">
        <v>0</v>
      </c>
      <c r="BI373" s="14">
        <v>1</v>
      </c>
      <c r="BJ373" s="163">
        <v>1</v>
      </c>
      <c r="BK373" s="26">
        <v>0</v>
      </c>
      <c r="BL373" s="14">
        <v>0</v>
      </c>
      <c r="BM373" s="163">
        <v>0</v>
      </c>
      <c r="BN373" s="26">
        <v>0</v>
      </c>
      <c r="BO373" s="14">
        <v>0</v>
      </c>
      <c r="BP373" s="12">
        <v>154</v>
      </c>
      <c r="BQ373" s="163">
        <v>1</v>
      </c>
      <c r="BR373" s="14">
        <v>1</v>
      </c>
      <c r="BS373" s="163">
        <v>0</v>
      </c>
      <c r="BT373" s="163">
        <v>0</v>
      </c>
      <c r="BU373" s="26">
        <v>0</v>
      </c>
      <c r="BV373" s="14">
        <v>1000</v>
      </c>
      <c r="BW373" s="209"/>
      <c r="BX373" s="3"/>
      <c r="BY373" s="3"/>
      <c r="BZ373" s="40"/>
      <c r="CA373" s="209"/>
      <c r="CB373" s="3"/>
      <c r="CC373" s="3"/>
      <c r="CD373" s="3"/>
      <c r="CE373" s="209"/>
      <c r="CF373" s="3"/>
      <c r="CG373" s="3"/>
      <c r="CH373" s="40"/>
      <c r="CI373" s="209"/>
      <c r="CJ373" s="3"/>
      <c r="CK373" s="3"/>
      <c r="CL373" s="209">
        <v>79.299499612184263</v>
      </c>
      <c r="CM373" s="3"/>
      <c r="CN373" s="3"/>
      <c r="CO373" s="3"/>
      <c r="CP373" s="40"/>
      <c r="CQ373" s="209">
        <v>79.824622747534363</v>
      </c>
      <c r="CR373" s="40"/>
      <c r="CS373" s="3"/>
      <c r="CT373" s="3"/>
    </row>
    <row r="374" spans="1:98">
      <c r="A374" s="42" t="s">
        <v>322</v>
      </c>
      <c r="B374" s="173" t="s">
        <v>207</v>
      </c>
      <c r="C374" s="12"/>
      <c r="D374" s="14" t="s">
        <v>405</v>
      </c>
      <c r="E374" s="12"/>
      <c r="F374" s="12">
        <v>11</v>
      </c>
      <c r="G374" s="14">
        <v>0</v>
      </c>
      <c r="H374" s="163">
        <v>0</v>
      </c>
      <c r="I374" s="163">
        <v>1</v>
      </c>
      <c r="J374" s="12">
        <v>1</v>
      </c>
      <c r="K374" s="14">
        <v>437</v>
      </c>
      <c r="L374" s="26">
        <v>2911</v>
      </c>
      <c r="M374" s="14">
        <v>160</v>
      </c>
      <c r="N374" s="163">
        <v>541</v>
      </c>
      <c r="O374" s="14">
        <v>0</v>
      </c>
      <c r="P374" s="26">
        <v>0</v>
      </c>
      <c r="Q374" s="12">
        <v>2911</v>
      </c>
      <c r="R374" s="209">
        <v>1.5272822665267576</v>
      </c>
      <c r="S374" s="14">
        <v>1</v>
      </c>
      <c r="T374" s="163">
        <v>1</v>
      </c>
      <c r="U374" s="163">
        <v>0</v>
      </c>
      <c r="V374" s="26">
        <v>0</v>
      </c>
      <c r="W374" s="14">
        <v>1100</v>
      </c>
      <c r="X374" s="14">
        <v>1</v>
      </c>
      <c r="Y374" s="163">
        <v>1</v>
      </c>
      <c r="Z374" s="163">
        <v>0</v>
      </c>
      <c r="AA374" s="26">
        <v>0</v>
      </c>
      <c r="AB374" s="12">
        <v>1100</v>
      </c>
      <c r="AC374" s="14">
        <v>1</v>
      </c>
      <c r="AD374" s="14">
        <v>0</v>
      </c>
      <c r="AE374" s="163">
        <v>1</v>
      </c>
      <c r="AF374" s="163">
        <v>1</v>
      </c>
      <c r="AG374" s="26">
        <v>1</v>
      </c>
      <c r="AH374" s="14">
        <v>111</v>
      </c>
      <c r="AI374" s="14">
        <v>0</v>
      </c>
      <c r="AJ374" s="163">
        <v>0</v>
      </c>
      <c r="AK374" s="163">
        <v>0</v>
      </c>
      <c r="AL374" s="26">
        <v>0</v>
      </c>
      <c r="AM374" s="12">
        <v>0</v>
      </c>
      <c r="AN374" s="14">
        <v>0</v>
      </c>
      <c r="AO374" s="163">
        <v>0</v>
      </c>
      <c r="AP374" s="163">
        <v>0</v>
      </c>
      <c r="AQ374" s="163">
        <v>0</v>
      </c>
      <c r="AR374" s="163">
        <v>0</v>
      </c>
      <c r="AS374" s="14">
        <v>1</v>
      </c>
      <c r="AT374" s="163">
        <v>0</v>
      </c>
      <c r="AU374" s="163">
        <v>0</v>
      </c>
      <c r="AV374" s="163">
        <v>1</v>
      </c>
      <c r="AW374" s="26">
        <v>0</v>
      </c>
      <c r="AX374" s="14">
        <v>2</v>
      </c>
      <c r="AY374" s="14">
        <v>1</v>
      </c>
      <c r="AZ374" s="163">
        <v>0</v>
      </c>
      <c r="BA374" s="163">
        <v>0</v>
      </c>
      <c r="BB374" s="26">
        <v>1</v>
      </c>
      <c r="BC374" s="12">
        <v>2</v>
      </c>
      <c r="BD374" s="14">
        <v>0</v>
      </c>
      <c r="BE374" s="163">
        <v>0</v>
      </c>
      <c r="BF374" s="163">
        <v>0</v>
      </c>
      <c r="BG374" s="163">
        <v>0</v>
      </c>
      <c r="BH374" s="163">
        <v>0</v>
      </c>
      <c r="BI374" s="14">
        <v>1</v>
      </c>
      <c r="BJ374" s="163">
        <v>1</v>
      </c>
      <c r="BK374" s="26">
        <v>0</v>
      </c>
      <c r="BL374" s="14">
        <v>0</v>
      </c>
      <c r="BM374" s="163">
        <v>0</v>
      </c>
      <c r="BN374" s="26">
        <v>0</v>
      </c>
      <c r="BO374" s="14">
        <v>1</v>
      </c>
      <c r="BP374" s="12">
        <v>143</v>
      </c>
      <c r="BQ374" s="163">
        <v>1</v>
      </c>
      <c r="BR374" s="14">
        <v>0</v>
      </c>
      <c r="BS374" s="163">
        <v>0</v>
      </c>
      <c r="BT374" s="163">
        <v>0</v>
      </c>
      <c r="BU374" s="26">
        <v>0</v>
      </c>
      <c r="BV374" s="14">
        <v>0</v>
      </c>
      <c r="BW374" s="209"/>
      <c r="BX374" s="3"/>
      <c r="BY374" s="3"/>
      <c r="BZ374" s="40"/>
      <c r="CA374" s="209"/>
      <c r="CB374" s="3"/>
      <c r="CC374" s="3"/>
      <c r="CD374" s="3"/>
      <c r="CE374" s="209"/>
      <c r="CF374" s="3"/>
      <c r="CG374" s="3"/>
      <c r="CH374" s="40"/>
      <c r="CI374" s="209"/>
      <c r="CJ374" s="3"/>
      <c r="CK374" s="3"/>
      <c r="CL374" s="209"/>
      <c r="CM374" s="3"/>
      <c r="CN374" s="3"/>
      <c r="CO374" s="3"/>
      <c r="CP374" s="40"/>
      <c r="CQ374" s="209"/>
      <c r="CR374" s="40"/>
      <c r="CS374" s="3"/>
      <c r="CT374" s="3"/>
    </row>
    <row r="375" spans="1:98">
      <c r="A375" s="42" t="s">
        <v>322</v>
      </c>
      <c r="B375" s="173" t="s">
        <v>207</v>
      </c>
      <c r="C375" s="12"/>
      <c r="D375" s="14" t="s">
        <v>178</v>
      </c>
      <c r="E375" s="12" t="s">
        <v>0</v>
      </c>
      <c r="F375" s="12">
        <v>5</v>
      </c>
      <c r="G375" s="14">
        <v>1</v>
      </c>
      <c r="H375" s="163">
        <v>0</v>
      </c>
      <c r="I375" s="163">
        <v>1</v>
      </c>
      <c r="J375" s="12">
        <v>101</v>
      </c>
      <c r="K375" s="14">
        <v>682</v>
      </c>
      <c r="L375" s="26">
        <v>2132</v>
      </c>
      <c r="M375" s="14">
        <v>666</v>
      </c>
      <c r="N375" s="163">
        <v>782</v>
      </c>
      <c r="O375" s="14">
        <v>0</v>
      </c>
      <c r="P375" s="26">
        <v>0</v>
      </c>
      <c r="Q375" s="12">
        <v>2132</v>
      </c>
      <c r="R375" s="209">
        <v>2.2705005324813632</v>
      </c>
      <c r="S375" s="14">
        <v>1</v>
      </c>
      <c r="T375" s="163">
        <v>1</v>
      </c>
      <c r="U375" s="163">
        <v>0</v>
      </c>
      <c r="V375" s="26">
        <v>0</v>
      </c>
      <c r="W375" s="14">
        <v>1100</v>
      </c>
      <c r="X375" s="14">
        <v>1</v>
      </c>
      <c r="Y375" s="163">
        <v>1</v>
      </c>
      <c r="Z375" s="163">
        <v>0</v>
      </c>
      <c r="AA375" s="26">
        <v>0</v>
      </c>
      <c r="AB375" s="12">
        <v>1100</v>
      </c>
      <c r="AC375" s="14">
        <v>0</v>
      </c>
      <c r="AD375" s="14">
        <v>0</v>
      </c>
      <c r="AE375" s="163">
        <v>1</v>
      </c>
      <c r="AF375" s="163">
        <v>0</v>
      </c>
      <c r="AG375" s="26">
        <v>0</v>
      </c>
      <c r="AH375" s="14">
        <v>100</v>
      </c>
      <c r="AI375" s="14">
        <v>0</v>
      </c>
      <c r="AJ375" s="163">
        <v>0</v>
      </c>
      <c r="AK375" s="163">
        <v>0</v>
      </c>
      <c r="AL375" s="26">
        <v>0</v>
      </c>
      <c r="AM375" s="12">
        <v>0</v>
      </c>
      <c r="AN375" s="14">
        <v>0</v>
      </c>
      <c r="AO375" s="163">
        <v>0</v>
      </c>
      <c r="AP375" s="163">
        <v>0</v>
      </c>
      <c r="AQ375" s="163">
        <v>0</v>
      </c>
      <c r="AR375" s="163">
        <v>0</v>
      </c>
      <c r="AS375" s="14">
        <v>1</v>
      </c>
      <c r="AT375" s="163">
        <v>0</v>
      </c>
      <c r="AU375" s="163">
        <v>0</v>
      </c>
      <c r="AV375" s="163">
        <v>0</v>
      </c>
      <c r="AW375" s="26">
        <v>0</v>
      </c>
      <c r="AX375" s="14">
        <v>1</v>
      </c>
      <c r="AY375" s="14">
        <v>1</v>
      </c>
      <c r="AZ375" s="163">
        <v>0</v>
      </c>
      <c r="BA375" s="163">
        <v>0</v>
      </c>
      <c r="BB375" s="26">
        <v>0</v>
      </c>
      <c r="BC375" s="12">
        <v>1</v>
      </c>
      <c r="BD375" s="14">
        <v>0</v>
      </c>
      <c r="BE375" s="163">
        <v>0</v>
      </c>
      <c r="BF375" s="163">
        <v>0</v>
      </c>
      <c r="BG375" s="163">
        <v>0</v>
      </c>
      <c r="BH375" s="163">
        <v>0</v>
      </c>
      <c r="BI375" s="14">
        <v>1</v>
      </c>
      <c r="BJ375" s="163">
        <v>1</v>
      </c>
      <c r="BK375" s="26">
        <v>0</v>
      </c>
      <c r="BL375" s="14">
        <v>0</v>
      </c>
      <c r="BM375" s="163">
        <v>0</v>
      </c>
      <c r="BN375" s="26">
        <v>0</v>
      </c>
      <c r="BO375" s="14">
        <v>1</v>
      </c>
      <c r="BP375" s="12">
        <v>135</v>
      </c>
      <c r="BQ375" s="163">
        <v>2</v>
      </c>
      <c r="BR375" s="14">
        <v>0</v>
      </c>
      <c r="BS375" s="163">
        <v>0</v>
      </c>
      <c r="BT375" s="163">
        <v>0</v>
      </c>
      <c r="BU375" s="26">
        <v>0</v>
      </c>
      <c r="BV375" s="14">
        <v>0</v>
      </c>
      <c r="BW375" s="209">
        <v>61.32</v>
      </c>
      <c r="BX375" s="3">
        <v>57.37</v>
      </c>
      <c r="BY375" s="3"/>
      <c r="BZ375" s="40"/>
      <c r="CA375" s="209">
        <v>55.52</v>
      </c>
      <c r="CB375" s="3">
        <v>56.33</v>
      </c>
      <c r="CC375" s="3"/>
      <c r="CD375" s="3"/>
      <c r="CE375" s="209"/>
      <c r="CF375" s="3"/>
      <c r="CG375" s="3"/>
      <c r="CH375" s="40"/>
      <c r="CI375" s="209"/>
      <c r="CJ375" s="3"/>
      <c r="CK375" s="3"/>
      <c r="CL375" s="209"/>
      <c r="CM375" s="3"/>
      <c r="CN375" s="3"/>
      <c r="CO375" s="3"/>
      <c r="CP375" s="40"/>
      <c r="CQ375" s="209"/>
      <c r="CR375" s="40"/>
      <c r="CS375" s="3"/>
      <c r="CT375" s="3"/>
    </row>
    <row r="376" spans="1:98">
      <c r="A376" s="42" t="s">
        <v>322</v>
      </c>
      <c r="B376" s="173" t="s">
        <v>207</v>
      </c>
      <c r="C376" s="12"/>
      <c r="D376" s="14" t="s">
        <v>199</v>
      </c>
      <c r="E376" s="12"/>
      <c r="F376" s="12">
        <v>9</v>
      </c>
      <c r="G376" s="14">
        <v>1</v>
      </c>
      <c r="H376" s="163">
        <v>0</v>
      </c>
      <c r="I376" s="163">
        <v>1</v>
      </c>
      <c r="J376" s="12">
        <v>101</v>
      </c>
      <c r="K376" s="14">
        <v>483</v>
      </c>
      <c r="L376" s="26">
        <v>1429</v>
      </c>
      <c r="M376" s="14">
        <v>210</v>
      </c>
      <c r="N376" s="163">
        <v>602</v>
      </c>
      <c r="O376" s="14">
        <v>0</v>
      </c>
      <c r="P376" s="26">
        <v>0</v>
      </c>
      <c r="Q376" s="12">
        <v>2542</v>
      </c>
      <c r="R376" s="209">
        <v>2.5293532338308458</v>
      </c>
      <c r="S376" s="14">
        <v>1</v>
      </c>
      <c r="T376" s="163">
        <v>1</v>
      </c>
      <c r="U376" s="163">
        <v>0</v>
      </c>
      <c r="V376" s="26">
        <v>0</v>
      </c>
      <c r="W376" s="14">
        <v>1100</v>
      </c>
      <c r="X376" s="14">
        <v>1</v>
      </c>
      <c r="Y376" s="163">
        <v>1</v>
      </c>
      <c r="Z376" s="163">
        <v>0</v>
      </c>
      <c r="AA376" s="26">
        <v>0</v>
      </c>
      <c r="AB376" s="12">
        <v>1100</v>
      </c>
      <c r="AC376" s="14">
        <v>1</v>
      </c>
      <c r="AD376" s="14">
        <v>0</v>
      </c>
      <c r="AE376" s="163">
        <v>1</v>
      </c>
      <c r="AF376" s="163">
        <v>1</v>
      </c>
      <c r="AG376" s="26">
        <v>0</v>
      </c>
      <c r="AH376" s="14">
        <v>110</v>
      </c>
      <c r="AI376" s="14">
        <v>0</v>
      </c>
      <c r="AJ376" s="163">
        <v>0</v>
      </c>
      <c r="AK376" s="163">
        <v>0</v>
      </c>
      <c r="AL376" s="26">
        <v>0</v>
      </c>
      <c r="AM376" s="12">
        <v>0</v>
      </c>
      <c r="AN376" s="14">
        <v>0</v>
      </c>
      <c r="AO376" s="163">
        <v>0</v>
      </c>
      <c r="AP376" s="163">
        <v>0</v>
      </c>
      <c r="AQ376" s="163">
        <v>0</v>
      </c>
      <c r="AR376" s="163">
        <v>0</v>
      </c>
      <c r="AS376" s="14">
        <v>1</v>
      </c>
      <c r="AT376" s="163">
        <v>0</v>
      </c>
      <c r="AU376" s="163">
        <v>0</v>
      </c>
      <c r="AV376" s="163">
        <v>1</v>
      </c>
      <c r="AW376" s="26">
        <v>0</v>
      </c>
      <c r="AX376" s="14">
        <v>2</v>
      </c>
      <c r="AY376" s="14">
        <v>0</v>
      </c>
      <c r="AZ376" s="163">
        <v>0</v>
      </c>
      <c r="BA376" s="163">
        <v>1</v>
      </c>
      <c r="BB376" s="26">
        <v>0</v>
      </c>
      <c r="BC376" s="12">
        <v>1</v>
      </c>
      <c r="BD376" s="14">
        <v>0</v>
      </c>
      <c r="BE376" s="163">
        <v>0</v>
      </c>
      <c r="BF376" s="163">
        <v>0</v>
      </c>
      <c r="BG376" s="163">
        <v>0</v>
      </c>
      <c r="BH376" s="163">
        <v>0</v>
      </c>
      <c r="BI376" s="14">
        <v>1</v>
      </c>
      <c r="BJ376" s="163">
        <v>1</v>
      </c>
      <c r="BK376" s="26">
        <v>0</v>
      </c>
      <c r="BL376" s="14">
        <v>0</v>
      </c>
      <c r="BM376" s="163">
        <v>0</v>
      </c>
      <c r="BN376" s="26">
        <v>0</v>
      </c>
      <c r="BO376" s="14">
        <v>0</v>
      </c>
      <c r="BP376" s="12">
        <v>130</v>
      </c>
      <c r="BQ376" s="163">
        <v>1</v>
      </c>
      <c r="BR376" s="14">
        <v>0</v>
      </c>
      <c r="BS376" s="163">
        <v>0</v>
      </c>
      <c r="BT376" s="163">
        <v>0</v>
      </c>
      <c r="BU376" s="26">
        <v>0</v>
      </c>
      <c r="BV376" s="14">
        <v>0</v>
      </c>
      <c r="BW376" s="209"/>
      <c r="BX376" s="3"/>
      <c r="BY376" s="3"/>
      <c r="BZ376" s="40"/>
      <c r="CA376" s="209"/>
      <c r="CB376" s="3"/>
      <c r="CC376" s="3"/>
      <c r="CD376" s="3"/>
      <c r="CE376" s="209"/>
      <c r="CF376" s="3"/>
      <c r="CG376" s="3"/>
      <c r="CH376" s="40"/>
      <c r="CI376" s="209"/>
      <c r="CJ376" s="3"/>
      <c r="CK376" s="3"/>
      <c r="CL376" s="209"/>
      <c r="CM376" s="3"/>
      <c r="CN376" s="3"/>
      <c r="CO376" s="3"/>
      <c r="CP376" s="40"/>
      <c r="CQ376" s="209"/>
      <c r="CR376" s="40"/>
      <c r="CS376" s="3"/>
      <c r="CT376" s="3"/>
    </row>
    <row r="377" spans="1:98">
      <c r="A377" s="42" t="s">
        <v>322</v>
      </c>
      <c r="B377" s="173" t="s">
        <v>207</v>
      </c>
      <c r="C377" s="12"/>
      <c r="D377" s="14" t="s">
        <v>174</v>
      </c>
      <c r="E377" s="12"/>
      <c r="F377" s="12">
        <v>2</v>
      </c>
      <c r="G377" s="14">
        <v>0</v>
      </c>
      <c r="H377" s="163">
        <v>0</v>
      </c>
      <c r="I377" s="163">
        <v>1</v>
      </c>
      <c r="J377" s="12">
        <v>1</v>
      </c>
      <c r="K377" s="14">
        <v>0</v>
      </c>
      <c r="L377" s="26">
        <v>488</v>
      </c>
      <c r="M377" s="14">
        <v>0</v>
      </c>
      <c r="N377" s="163">
        <v>1127</v>
      </c>
      <c r="O377" s="14">
        <v>0</v>
      </c>
      <c r="P377" s="26">
        <v>0</v>
      </c>
      <c r="Q377" s="12">
        <v>1287</v>
      </c>
      <c r="R377" s="209">
        <v>2.0331753554502368</v>
      </c>
      <c r="S377" s="14">
        <v>1</v>
      </c>
      <c r="T377" s="163">
        <v>1</v>
      </c>
      <c r="U377" s="163">
        <v>0</v>
      </c>
      <c r="V377" s="26">
        <v>0</v>
      </c>
      <c r="W377" s="14">
        <v>1100</v>
      </c>
      <c r="X377" s="14">
        <v>1</v>
      </c>
      <c r="Y377" s="163">
        <v>0</v>
      </c>
      <c r="Z377" s="163">
        <v>0</v>
      </c>
      <c r="AA377" s="26">
        <v>0</v>
      </c>
      <c r="AB377" s="12">
        <v>1000</v>
      </c>
      <c r="AC377" s="14">
        <v>1</v>
      </c>
      <c r="AD377" s="14">
        <v>0</v>
      </c>
      <c r="AE377" s="163">
        <v>1</v>
      </c>
      <c r="AF377" s="163">
        <v>0</v>
      </c>
      <c r="AG377" s="26">
        <v>0</v>
      </c>
      <c r="AH377" s="14">
        <v>100</v>
      </c>
      <c r="AI377" s="14">
        <v>0</v>
      </c>
      <c r="AJ377" s="163">
        <v>0</v>
      </c>
      <c r="AK377" s="163">
        <v>0</v>
      </c>
      <c r="AL377" s="26">
        <v>0</v>
      </c>
      <c r="AM377" s="12">
        <v>0</v>
      </c>
      <c r="AN377" s="14">
        <v>0</v>
      </c>
      <c r="AO377" s="163">
        <v>0</v>
      </c>
      <c r="AP377" s="163">
        <v>0</v>
      </c>
      <c r="AQ377" s="163">
        <v>0</v>
      </c>
      <c r="AR377" s="163">
        <v>0</v>
      </c>
      <c r="AS377" s="14">
        <v>1</v>
      </c>
      <c r="AT377" s="163">
        <v>0</v>
      </c>
      <c r="AU377" s="163">
        <v>0</v>
      </c>
      <c r="AV377" s="163">
        <v>1</v>
      </c>
      <c r="AW377" s="26">
        <v>0</v>
      </c>
      <c r="AX377" s="14">
        <v>2</v>
      </c>
      <c r="AY377" s="14">
        <v>1</v>
      </c>
      <c r="AZ377" s="163">
        <v>0</v>
      </c>
      <c r="BA377" s="163">
        <v>0</v>
      </c>
      <c r="BB377" s="26">
        <v>1</v>
      </c>
      <c r="BC377" s="12">
        <v>2</v>
      </c>
      <c r="BD377" s="14">
        <v>0</v>
      </c>
      <c r="BE377" s="163">
        <v>0</v>
      </c>
      <c r="BF377" s="163">
        <v>0</v>
      </c>
      <c r="BG377" s="163">
        <v>0</v>
      </c>
      <c r="BH377" s="163">
        <v>0</v>
      </c>
      <c r="BI377" s="14">
        <v>0</v>
      </c>
      <c r="BJ377" s="163">
        <v>1</v>
      </c>
      <c r="BK377" s="26">
        <v>0</v>
      </c>
      <c r="BL377" s="14">
        <v>0</v>
      </c>
      <c r="BM377" s="163">
        <v>0</v>
      </c>
      <c r="BN377" s="26">
        <v>0</v>
      </c>
      <c r="BO377" s="14">
        <v>0</v>
      </c>
      <c r="BP377" s="12">
        <v>129</v>
      </c>
      <c r="BQ377" s="163">
        <v>2</v>
      </c>
      <c r="BR377" s="14">
        <v>0</v>
      </c>
      <c r="BS377" s="163">
        <v>0</v>
      </c>
      <c r="BT377" s="163">
        <v>0</v>
      </c>
      <c r="BU377" s="26">
        <v>0</v>
      </c>
      <c r="BV377" s="14">
        <v>0</v>
      </c>
      <c r="BW377" s="209"/>
      <c r="BX377" s="3"/>
      <c r="BY377" s="3"/>
      <c r="BZ377" s="40"/>
      <c r="CA377" s="209"/>
      <c r="CB377" s="3"/>
      <c r="CC377" s="3"/>
      <c r="CD377" s="3"/>
      <c r="CE377" s="209"/>
      <c r="CF377" s="3"/>
      <c r="CG377" s="3"/>
      <c r="CH377" s="40"/>
      <c r="CI377" s="209"/>
      <c r="CJ377" s="3"/>
      <c r="CK377" s="3"/>
      <c r="CL377" s="209"/>
      <c r="CM377" s="3"/>
      <c r="CN377" s="3"/>
      <c r="CO377" s="3"/>
      <c r="CP377" s="40"/>
      <c r="CQ377" s="209"/>
      <c r="CR377" s="40"/>
      <c r="CS377" s="3"/>
      <c r="CT377" s="3"/>
    </row>
    <row r="378" spans="1:98">
      <c r="A378" s="42" t="s">
        <v>322</v>
      </c>
      <c r="B378" s="173" t="s">
        <v>207</v>
      </c>
      <c r="C378" s="12"/>
      <c r="D378" s="14" t="s">
        <v>206</v>
      </c>
      <c r="E378" s="12"/>
      <c r="F378" s="12">
        <v>9</v>
      </c>
      <c r="G378" s="14">
        <v>0</v>
      </c>
      <c r="H378" s="163">
        <v>0</v>
      </c>
      <c r="I378" s="163">
        <v>1</v>
      </c>
      <c r="J378" s="12">
        <v>1</v>
      </c>
      <c r="K378" s="14">
        <v>263</v>
      </c>
      <c r="L378" s="26">
        <v>1253</v>
      </c>
      <c r="M378" s="14">
        <v>258</v>
      </c>
      <c r="N378" s="163">
        <v>698</v>
      </c>
      <c r="O378" s="14">
        <v>0</v>
      </c>
      <c r="P378" s="26">
        <v>0</v>
      </c>
      <c r="Q378" s="12">
        <v>2794</v>
      </c>
      <c r="R378" s="209">
        <v>1.7193846153846153</v>
      </c>
      <c r="S378" s="14">
        <v>1</v>
      </c>
      <c r="T378" s="163">
        <v>1</v>
      </c>
      <c r="U378" s="163">
        <v>0</v>
      </c>
      <c r="V378" s="26">
        <v>0</v>
      </c>
      <c r="W378" s="14">
        <v>1100</v>
      </c>
      <c r="X378" s="14">
        <v>1</v>
      </c>
      <c r="Y378" s="163">
        <v>0</v>
      </c>
      <c r="Z378" s="163">
        <v>0</v>
      </c>
      <c r="AA378" s="26">
        <v>0</v>
      </c>
      <c r="AB378" s="12">
        <v>1000</v>
      </c>
      <c r="AC378" s="14">
        <v>1</v>
      </c>
      <c r="AD378" s="14">
        <v>0</v>
      </c>
      <c r="AE378" s="163">
        <v>1</v>
      </c>
      <c r="AF378" s="163">
        <v>1</v>
      </c>
      <c r="AG378" s="26">
        <v>0</v>
      </c>
      <c r="AH378" s="14">
        <v>110</v>
      </c>
      <c r="AI378" s="14">
        <v>0</v>
      </c>
      <c r="AJ378" s="163">
        <v>0</v>
      </c>
      <c r="AK378" s="163">
        <v>0</v>
      </c>
      <c r="AL378" s="26">
        <v>0</v>
      </c>
      <c r="AM378" s="12">
        <v>0</v>
      </c>
      <c r="AN378" s="14">
        <v>0</v>
      </c>
      <c r="AO378" s="163">
        <v>0</v>
      </c>
      <c r="AP378" s="163">
        <v>0</v>
      </c>
      <c r="AQ378" s="163">
        <v>0</v>
      </c>
      <c r="AR378" s="163">
        <v>0</v>
      </c>
      <c r="AS378" s="14">
        <v>1</v>
      </c>
      <c r="AT378" s="163">
        <v>0</v>
      </c>
      <c r="AU378" s="163">
        <v>0</v>
      </c>
      <c r="AV378" s="163">
        <v>1</v>
      </c>
      <c r="AW378" s="26">
        <v>0</v>
      </c>
      <c r="AX378" s="14">
        <v>2</v>
      </c>
      <c r="AY378" s="14">
        <v>0</v>
      </c>
      <c r="AZ378" s="163">
        <v>0</v>
      </c>
      <c r="BA378" s="163">
        <v>0</v>
      </c>
      <c r="BB378" s="26">
        <v>1</v>
      </c>
      <c r="BC378" s="12">
        <v>1</v>
      </c>
      <c r="BD378" s="14">
        <v>0</v>
      </c>
      <c r="BE378" s="163">
        <v>0</v>
      </c>
      <c r="BF378" s="163">
        <v>0</v>
      </c>
      <c r="BG378" s="163">
        <v>0</v>
      </c>
      <c r="BH378" s="163">
        <v>0</v>
      </c>
      <c r="BI378" s="14">
        <v>1</v>
      </c>
      <c r="BJ378" s="163">
        <v>1</v>
      </c>
      <c r="BK378" s="26">
        <v>0</v>
      </c>
      <c r="BL378" s="14">
        <v>0</v>
      </c>
      <c r="BM378" s="163">
        <v>0</v>
      </c>
      <c r="BN378" s="26">
        <v>0</v>
      </c>
      <c r="BO378" s="14">
        <v>0</v>
      </c>
      <c r="BP378" s="12">
        <v>140</v>
      </c>
      <c r="BQ378" s="163">
        <v>1</v>
      </c>
      <c r="BR378" s="14">
        <v>1</v>
      </c>
      <c r="BS378" s="163">
        <v>0</v>
      </c>
      <c r="BT378" s="163">
        <v>0</v>
      </c>
      <c r="BU378" s="26">
        <v>0</v>
      </c>
      <c r="BV378" s="14">
        <v>1000</v>
      </c>
      <c r="BW378" s="209"/>
      <c r="BX378" s="3"/>
      <c r="BY378" s="3"/>
      <c r="BZ378" s="40"/>
      <c r="CA378" s="209"/>
      <c r="CB378" s="3"/>
      <c r="CC378" s="3"/>
      <c r="CD378" s="3"/>
      <c r="CE378" s="209"/>
      <c r="CF378" s="3"/>
      <c r="CG378" s="3"/>
      <c r="CH378" s="40"/>
      <c r="CI378" s="209"/>
      <c r="CJ378" s="3"/>
      <c r="CK378" s="3"/>
      <c r="CL378" s="209"/>
      <c r="CM378" s="3"/>
      <c r="CN378" s="3"/>
      <c r="CO378" s="3"/>
      <c r="CP378" s="40"/>
      <c r="CQ378" s="209"/>
      <c r="CR378" s="40"/>
      <c r="CS378" s="3"/>
      <c r="CT378" s="3"/>
    </row>
    <row r="379" spans="1:98">
      <c r="A379" s="42" t="s">
        <v>322</v>
      </c>
      <c r="B379" s="173" t="s">
        <v>207</v>
      </c>
      <c r="C379" s="12"/>
      <c r="D379" s="14" t="s">
        <v>395</v>
      </c>
      <c r="E379" s="12"/>
      <c r="F379" s="12">
        <v>9</v>
      </c>
      <c r="G379" s="14">
        <v>1</v>
      </c>
      <c r="H379" s="163">
        <v>0</v>
      </c>
      <c r="I379" s="163">
        <v>1</v>
      </c>
      <c r="J379" s="12">
        <v>101</v>
      </c>
      <c r="K379" s="14">
        <v>206</v>
      </c>
      <c r="L379" s="26">
        <v>737</v>
      </c>
      <c r="M379" s="14">
        <v>582</v>
      </c>
      <c r="N379" s="163">
        <v>979</v>
      </c>
      <c r="O379" s="14">
        <v>0</v>
      </c>
      <c r="P379" s="26">
        <v>0</v>
      </c>
      <c r="Q379" s="12">
        <v>2442</v>
      </c>
      <c r="R379" s="209">
        <v>2.3081285444234405</v>
      </c>
      <c r="S379" s="14">
        <v>1</v>
      </c>
      <c r="T379" s="163">
        <v>1</v>
      </c>
      <c r="U379" s="163">
        <v>0</v>
      </c>
      <c r="V379" s="26">
        <v>0</v>
      </c>
      <c r="W379" s="14">
        <v>1100</v>
      </c>
      <c r="X379" s="14">
        <v>1</v>
      </c>
      <c r="Y379" s="163">
        <v>1</v>
      </c>
      <c r="Z379" s="163">
        <v>0</v>
      </c>
      <c r="AA379" s="26">
        <v>0</v>
      </c>
      <c r="AB379" s="12">
        <v>1100</v>
      </c>
      <c r="AC379" s="14">
        <v>1</v>
      </c>
      <c r="AD379" s="14">
        <v>0</v>
      </c>
      <c r="AE379" s="163">
        <v>1</v>
      </c>
      <c r="AF379" s="163">
        <v>0</v>
      </c>
      <c r="AG379" s="26">
        <v>0</v>
      </c>
      <c r="AH379" s="14">
        <v>100</v>
      </c>
      <c r="AI379" s="14">
        <v>0</v>
      </c>
      <c r="AJ379" s="163">
        <v>0</v>
      </c>
      <c r="AK379" s="163">
        <v>0</v>
      </c>
      <c r="AL379" s="26">
        <v>0</v>
      </c>
      <c r="AM379" s="12">
        <v>0</v>
      </c>
      <c r="AN379" s="14">
        <v>0</v>
      </c>
      <c r="AO379" s="163">
        <v>0</v>
      </c>
      <c r="AP379" s="163">
        <v>0</v>
      </c>
      <c r="AQ379" s="163">
        <v>0</v>
      </c>
      <c r="AR379" s="163">
        <v>0</v>
      </c>
      <c r="AS379" s="14">
        <v>1</v>
      </c>
      <c r="AT379" s="163">
        <v>0</v>
      </c>
      <c r="AU379" s="163">
        <v>0</v>
      </c>
      <c r="AV379" s="163">
        <v>1</v>
      </c>
      <c r="AW379" s="26">
        <v>0</v>
      </c>
      <c r="AX379" s="14">
        <v>2</v>
      </c>
      <c r="AY379" s="14">
        <v>0</v>
      </c>
      <c r="AZ379" s="163">
        <v>0</v>
      </c>
      <c r="BA379" s="163">
        <v>0</v>
      </c>
      <c r="BB379" s="26">
        <v>1</v>
      </c>
      <c r="BC379" s="12">
        <v>1</v>
      </c>
      <c r="BD379" s="14">
        <v>0</v>
      </c>
      <c r="BE379" s="163">
        <v>0</v>
      </c>
      <c r="BF379" s="163">
        <v>0</v>
      </c>
      <c r="BG379" s="163">
        <v>0</v>
      </c>
      <c r="BH379" s="163">
        <v>0</v>
      </c>
      <c r="BI379" s="14">
        <v>1</v>
      </c>
      <c r="BJ379" s="163">
        <v>1</v>
      </c>
      <c r="BK379" s="26">
        <v>0</v>
      </c>
      <c r="BL379" s="14">
        <v>0</v>
      </c>
      <c r="BM379" s="163">
        <v>0</v>
      </c>
      <c r="BN379" s="26">
        <v>0</v>
      </c>
      <c r="BO379" s="14">
        <v>1</v>
      </c>
      <c r="BP379" s="12">
        <v>136</v>
      </c>
      <c r="BQ379" s="163">
        <v>1</v>
      </c>
      <c r="BR379" s="14">
        <v>0</v>
      </c>
      <c r="BS379" s="163">
        <v>0</v>
      </c>
      <c r="BT379" s="163">
        <v>0</v>
      </c>
      <c r="BU379" s="26">
        <v>0</v>
      </c>
      <c r="BV379" s="14">
        <v>0</v>
      </c>
      <c r="BW379" s="209"/>
      <c r="BX379" s="3"/>
      <c r="BY379" s="3"/>
      <c r="BZ379" s="40"/>
      <c r="CA379" s="209"/>
      <c r="CB379" s="3"/>
      <c r="CC379" s="3"/>
      <c r="CD379" s="3"/>
      <c r="CE379" s="209"/>
      <c r="CF379" s="3"/>
      <c r="CG379" s="3"/>
      <c r="CH379" s="40"/>
      <c r="CI379" s="209"/>
      <c r="CJ379" s="3"/>
      <c r="CK379" s="3"/>
      <c r="CL379" s="209"/>
      <c r="CM379" s="3"/>
      <c r="CN379" s="3"/>
      <c r="CO379" s="3"/>
      <c r="CP379" s="40"/>
      <c r="CQ379" s="209"/>
      <c r="CR379" s="40"/>
      <c r="CS379" s="3"/>
      <c r="CT379" s="3"/>
    </row>
    <row r="380" spans="1:98">
      <c r="A380" s="42" t="s">
        <v>322</v>
      </c>
      <c r="B380" s="173" t="s">
        <v>207</v>
      </c>
      <c r="C380" s="12"/>
      <c r="D380" s="14" t="s">
        <v>190</v>
      </c>
      <c r="E380" s="12"/>
      <c r="F380" s="12">
        <v>8</v>
      </c>
      <c r="G380" s="14">
        <v>0</v>
      </c>
      <c r="H380" s="163">
        <v>0</v>
      </c>
      <c r="I380" s="163">
        <v>1</v>
      </c>
      <c r="J380" s="12">
        <v>1</v>
      </c>
      <c r="K380" s="14">
        <v>278</v>
      </c>
      <c r="L380" s="26">
        <v>708</v>
      </c>
      <c r="M380" s="14">
        <v>149</v>
      </c>
      <c r="N380" s="163">
        <v>1067</v>
      </c>
      <c r="O380" s="14">
        <v>0</v>
      </c>
      <c r="P380" s="26">
        <v>0</v>
      </c>
      <c r="Q380" s="12">
        <v>1438</v>
      </c>
      <c r="R380" s="209">
        <v>1.0300859598853869</v>
      </c>
      <c r="S380" s="14">
        <v>1</v>
      </c>
      <c r="T380" s="163">
        <v>1</v>
      </c>
      <c r="U380" s="163">
        <v>0</v>
      </c>
      <c r="V380" s="26">
        <v>0</v>
      </c>
      <c r="W380" s="14">
        <v>1100</v>
      </c>
      <c r="X380" s="14">
        <v>1</v>
      </c>
      <c r="Y380" s="163">
        <v>1</v>
      </c>
      <c r="Z380" s="163">
        <v>0</v>
      </c>
      <c r="AA380" s="26">
        <v>0</v>
      </c>
      <c r="AB380" s="12">
        <v>1100</v>
      </c>
      <c r="AC380" s="14">
        <v>1</v>
      </c>
      <c r="AD380" s="14">
        <v>0</v>
      </c>
      <c r="AE380" s="163">
        <v>1</v>
      </c>
      <c r="AF380" s="163">
        <v>0</v>
      </c>
      <c r="AG380" s="26">
        <v>0</v>
      </c>
      <c r="AH380" s="14">
        <v>100</v>
      </c>
      <c r="AI380" s="14">
        <v>0</v>
      </c>
      <c r="AJ380" s="163">
        <v>0</v>
      </c>
      <c r="AK380" s="163">
        <v>0</v>
      </c>
      <c r="AL380" s="26">
        <v>0</v>
      </c>
      <c r="AM380" s="12">
        <v>0</v>
      </c>
      <c r="AN380" s="14">
        <v>0</v>
      </c>
      <c r="AO380" s="163">
        <v>0</v>
      </c>
      <c r="AP380" s="163">
        <v>0</v>
      </c>
      <c r="AQ380" s="163">
        <v>0</v>
      </c>
      <c r="AR380" s="163">
        <v>0</v>
      </c>
      <c r="AS380" s="14">
        <v>1</v>
      </c>
      <c r="AT380" s="163">
        <v>1</v>
      </c>
      <c r="AU380" s="163">
        <v>0</v>
      </c>
      <c r="AV380" s="163">
        <v>1</v>
      </c>
      <c r="AW380" s="26">
        <v>0</v>
      </c>
      <c r="AX380" s="14">
        <v>3</v>
      </c>
      <c r="AY380" s="14">
        <v>1</v>
      </c>
      <c r="AZ380" s="163">
        <v>0</v>
      </c>
      <c r="BA380" s="163">
        <v>0</v>
      </c>
      <c r="BB380" s="26">
        <v>0</v>
      </c>
      <c r="BC380" s="12">
        <v>1</v>
      </c>
      <c r="BD380" s="14">
        <v>0</v>
      </c>
      <c r="BE380" s="163">
        <v>0</v>
      </c>
      <c r="BF380" s="163">
        <v>0</v>
      </c>
      <c r="BG380" s="163">
        <v>0</v>
      </c>
      <c r="BH380" s="163">
        <v>0</v>
      </c>
      <c r="BI380" s="14">
        <v>1</v>
      </c>
      <c r="BJ380" s="163">
        <v>1</v>
      </c>
      <c r="BK380" s="26">
        <v>0</v>
      </c>
      <c r="BL380" s="14">
        <v>0</v>
      </c>
      <c r="BM380" s="163">
        <v>0</v>
      </c>
      <c r="BN380" s="26">
        <v>0</v>
      </c>
      <c r="BO380" s="14">
        <v>0</v>
      </c>
      <c r="BP380" s="12">
        <v>151</v>
      </c>
      <c r="BQ380" s="163">
        <v>1</v>
      </c>
      <c r="BR380" s="14">
        <v>1</v>
      </c>
      <c r="BS380" s="163">
        <v>0</v>
      </c>
      <c r="BT380" s="163">
        <v>0</v>
      </c>
      <c r="BU380" s="26">
        <v>0</v>
      </c>
      <c r="BV380" s="14">
        <v>1000</v>
      </c>
      <c r="BW380" s="209"/>
      <c r="BX380" s="3"/>
      <c r="BY380" s="3"/>
      <c r="BZ380" s="40"/>
      <c r="CA380" s="209"/>
      <c r="CB380" s="3"/>
      <c r="CC380" s="3"/>
      <c r="CD380" s="3"/>
      <c r="CE380" s="209"/>
      <c r="CF380" s="3"/>
      <c r="CG380" s="3"/>
      <c r="CH380" s="40"/>
      <c r="CI380" s="209"/>
      <c r="CJ380" s="3"/>
      <c r="CK380" s="3"/>
      <c r="CL380" s="209"/>
      <c r="CM380" s="3"/>
      <c r="CN380" s="3"/>
      <c r="CO380" s="3"/>
      <c r="CP380" s="40"/>
      <c r="CQ380" s="209"/>
      <c r="CR380" s="40"/>
      <c r="CS380" s="3"/>
      <c r="CT380" s="3"/>
    </row>
    <row r="381" spans="1:98" ht="17" thickBot="1">
      <c r="A381" s="55" t="s">
        <v>322</v>
      </c>
      <c r="B381" s="47" t="s">
        <v>207</v>
      </c>
      <c r="C381" s="33"/>
      <c r="D381" s="34" t="s">
        <v>420</v>
      </c>
      <c r="E381" s="33"/>
      <c r="F381" s="33">
        <v>7</v>
      </c>
      <c r="G381" s="34">
        <v>1</v>
      </c>
      <c r="H381" s="36">
        <v>0</v>
      </c>
      <c r="I381" s="36">
        <v>1</v>
      </c>
      <c r="J381" s="33">
        <v>101</v>
      </c>
      <c r="K381" s="34">
        <v>237</v>
      </c>
      <c r="L381" s="35">
        <v>921</v>
      </c>
      <c r="M381" s="34">
        <v>431</v>
      </c>
      <c r="N381" s="36">
        <v>771</v>
      </c>
      <c r="O381" s="34">
        <v>0</v>
      </c>
      <c r="P381" s="35">
        <v>0</v>
      </c>
      <c r="Q381" s="33">
        <v>2227</v>
      </c>
      <c r="R381" s="210">
        <v>2.6355029585798815</v>
      </c>
      <c r="S381" s="34">
        <v>1</v>
      </c>
      <c r="T381" s="36">
        <v>1</v>
      </c>
      <c r="U381" s="36">
        <v>0</v>
      </c>
      <c r="V381" s="35">
        <v>0</v>
      </c>
      <c r="W381" s="34">
        <v>1100</v>
      </c>
      <c r="X381" s="34">
        <v>1</v>
      </c>
      <c r="Y381" s="36">
        <v>0</v>
      </c>
      <c r="Z381" s="36">
        <v>0</v>
      </c>
      <c r="AA381" s="35">
        <v>1</v>
      </c>
      <c r="AB381" s="33">
        <v>1001</v>
      </c>
      <c r="AC381" s="34">
        <v>0</v>
      </c>
      <c r="AD381" s="34">
        <v>0</v>
      </c>
      <c r="AE381" s="36">
        <v>1</v>
      </c>
      <c r="AF381" s="36">
        <v>1</v>
      </c>
      <c r="AG381" s="35">
        <v>0</v>
      </c>
      <c r="AH381" s="34">
        <v>110</v>
      </c>
      <c r="AI381" s="34">
        <v>0</v>
      </c>
      <c r="AJ381" s="36">
        <v>0</v>
      </c>
      <c r="AK381" s="36">
        <v>0</v>
      </c>
      <c r="AL381" s="35">
        <v>0</v>
      </c>
      <c r="AM381" s="33">
        <v>0</v>
      </c>
      <c r="AN381" s="34">
        <v>0</v>
      </c>
      <c r="AO381" s="36">
        <v>0</v>
      </c>
      <c r="AP381" s="36">
        <v>0</v>
      </c>
      <c r="AQ381" s="36">
        <v>0</v>
      </c>
      <c r="AR381" s="36">
        <v>0</v>
      </c>
      <c r="AS381" s="34">
        <v>1</v>
      </c>
      <c r="AT381" s="36">
        <v>0</v>
      </c>
      <c r="AU381" s="36">
        <v>0</v>
      </c>
      <c r="AV381" s="36">
        <v>0</v>
      </c>
      <c r="AW381" s="35">
        <v>0</v>
      </c>
      <c r="AX381" s="34">
        <v>1</v>
      </c>
      <c r="AY381" s="34">
        <v>0</v>
      </c>
      <c r="AZ381" s="36">
        <v>0</v>
      </c>
      <c r="BA381" s="36">
        <v>0</v>
      </c>
      <c r="BB381" s="35">
        <v>1</v>
      </c>
      <c r="BC381" s="33">
        <v>1</v>
      </c>
      <c r="BD381" s="34">
        <v>0</v>
      </c>
      <c r="BE381" s="36">
        <v>0</v>
      </c>
      <c r="BF381" s="36">
        <v>0</v>
      </c>
      <c r="BG381" s="36">
        <v>0</v>
      </c>
      <c r="BH381" s="36">
        <v>0</v>
      </c>
      <c r="BI381" s="34">
        <v>1</v>
      </c>
      <c r="BJ381" s="36">
        <v>1</v>
      </c>
      <c r="BK381" s="35">
        <v>0</v>
      </c>
      <c r="BL381" s="34">
        <v>0</v>
      </c>
      <c r="BM381" s="36">
        <v>0</v>
      </c>
      <c r="BN381" s="35">
        <v>0</v>
      </c>
      <c r="BO381" s="34">
        <v>1</v>
      </c>
      <c r="BP381" s="33">
        <v>150</v>
      </c>
      <c r="BQ381" s="36">
        <v>2</v>
      </c>
      <c r="BR381" s="34">
        <v>0</v>
      </c>
      <c r="BS381" s="36">
        <v>0</v>
      </c>
      <c r="BT381" s="36">
        <v>0</v>
      </c>
      <c r="BU381" s="35">
        <v>0</v>
      </c>
      <c r="BV381" s="34">
        <v>0</v>
      </c>
      <c r="BW381" s="210"/>
      <c r="BX381" s="51"/>
      <c r="BY381" s="51"/>
      <c r="BZ381" s="48"/>
      <c r="CA381" s="210"/>
      <c r="CB381" s="51"/>
      <c r="CC381" s="51"/>
      <c r="CD381" s="51"/>
      <c r="CE381" s="210"/>
      <c r="CF381" s="51"/>
      <c r="CG381" s="51"/>
      <c r="CH381" s="48"/>
      <c r="CI381" s="210"/>
      <c r="CJ381" s="51"/>
      <c r="CK381" s="51"/>
      <c r="CL381" s="210"/>
      <c r="CM381" s="51"/>
      <c r="CN381" s="51"/>
      <c r="CO381" s="51"/>
      <c r="CP381" s="48"/>
      <c r="CQ381" s="210"/>
      <c r="CR381" s="48"/>
      <c r="CS381" s="3"/>
      <c r="CT381" s="3"/>
    </row>
  </sheetData>
  <mergeCells count="27">
    <mergeCell ref="CL2:CR2"/>
    <mergeCell ref="A1:E1"/>
    <mergeCell ref="K2:P2"/>
    <mergeCell ref="X2:AR2"/>
    <mergeCell ref="AS2:BH2"/>
    <mergeCell ref="BW2:CK2"/>
    <mergeCell ref="BD3:BH3"/>
    <mergeCell ref="G3:I3"/>
    <mergeCell ref="K3:L3"/>
    <mergeCell ref="M3:N3"/>
    <mergeCell ref="O3:P3"/>
    <mergeCell ref="S3:V3"/>
    <mergeCell ref="X3:AC3"/>
    <mergeCell ref="AD3:AG3"/>
    <mergeCell ref="AI3:AL3"/>
    <mergeCell ref="AN3:AR3"/>
    <mergeCell ref="AS3:AW3"/>
    <mergeCell ref="AY3:BB3"/>
    <mergeCell ref="CI3:CK3"/>
    <mergeCell ref="CL3:CP3"/>
    <mergeCell ref="CQ3:CR3"/>
    <mergeCell ref="BI3:BK3"/>
    <mergeCell ref="BL3:BN3"/>
    <mergeCell ref="BR3:BU3"/>
    <mergeCell ref="BW3:BZ3"/>
    <mergeCell ref="CA3:CD3"/>
    <mergeCell ref="CE3:CH3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95A8F-B1EE-914B-851F-65DC4B41AB9A}">
  <dimension ref="A1:AS2113"/>
  <sheetViews>
    <sheetView tabSelected="1" workbookViewId="0">
      <selection activeCell="C8" sqref="C8"/>
    </sheetView>
  </sheetViews>
  <sheetFormatPr baseColWidth="10" defaultRowHeight="16"/>
  <cols>
    <col min="1" max="1" width="21.6640625" style="1" bestFit="1" customWidth="1"/>
    <col min="2" max="2" width="10.83203125" style="1"/>
    <col min="3" max="3" width="16.83203125" style="1" bestFit="1" customWidth="1"/>
    <col min="4" max="5" width="10.83203125" style="1"/>
    <col min="6" max="6" width="9.33203125" style="1" bestFit="1" customWidth="1"/>
    <col min="7" max="7" width="11.5" style="260" bestFit="1" customWidth="1"/>
    <col min="8" max="11" width="5.5" style="1" bestFit="1" customWidth="1"/>
    <col min="12" max="12" width="10.5" style="1" bestFit="1" customWidth="1"/>
    <col min="13" max="13" width="9.1640625" style="1" bestFit="1" customWidth="1"/>
    <col min="14" max="14" width="10.1640625" style="1" bestFit="1" customWidth="1"/>
    <col min="15" max="15" width="9.1640625" style="1" bestFit="1" customWidth="1"/>
    <col min="16" max="16" width="17.6640625" style="1" bestFit="1" customWidth="1"/>
    <col min="17" max="17" width="6.5" style="1" bestFit="1" customWidth="1"/>
    <col min="18" max="19" width="7.1640625" style="1" bestFit="1" customWidth="1"/>
    <col min="20" max="20" width="6.33203125" style="1" customWidth="1"/>
    <col min="21" max="21" width="5.33203125" style="1" customWidth="1"/>
    <col min="22" max="22" width="5.5" style="1" customWidth="1"/>
    <col min="23" max="23" width="6" style="1" customWidth="1"/>
    <col min="24" max="24" width="5.6640625" style="1" customWidth="1"/>
    <col min="25" max="25" width="6" style="1" customWidth="1"/>
    <col min="26" max="26" width="4.83203125" style="1" customWidth="1"/>
    <col min="27" max="28" width="5.5" style="1" customWidth="1"/>
    <col min="29" max="29" width="17.5" style="1" bestFit="1" customWidth="1"/>
    <col min="30" max="30" width="18.83203125" style="1" bestFit="1" customWidth="1"/>
    <col min="31" max="31" width="10.83203125" style="1"/>
    <col min="32" max="32" width="9.33203125" style="1" customWidth="1"/>
    <col min="33" max="33" width="6" style="1" bestFit="1" customWidth="1"/>
    <col min="34" max="34" width="10.83203125" style="1"/>
    <col min="35" max="35" width="6" style="261" customWidth="1"/>
    <col min="36" max="36" width="7.83203125" style="261" customWidth="1"/>
    <col min="37" max="37" width="8" style="261" bestFit="1" customWidth="1"/>
    <col min="38" max="44" width="6" style="261" bestFit="1" customWidth="1"/>
    <col min="45" max="45" width="6.83203125" style="261" bestFit="1" customWidth="1"/>
    <col min="46" max="16384" width="10.83203125" style="1"/>
  </cols>
  <sheetData>
    <row r="1" spans="1:45" s="229" customFormat="1" ht="25" thickBot="1">
      <c r="A1" s="344" t="s">
        <v>604</v>
      </c>
      <c r="B1" s="344"/>
      <c r="C1" s="344"/>
      <c r="D1" s="344"/>
      <c r="G1" s="3"/>
      <c r="Q1" s="322" t="s">
        <v>290</v>
      </c>
      <c r="R1" s="323"/>
      <c r="S1" s="323"/>
      <c r="T1" s="323"/>
      <c r="U1" s="323"/>
      <c r="V1" s="323"/>
      <c r="W1" s="323"/>
      <c r="X1" s="323"/>
      <c r="Y1" s="323"/>
      <c r="Z1" s="323"/>
      <c r="AA1" s="323"/>
      <c r="AB1" s="324"/>
      <c r="AI1" s="348" t="s">
        <v>608</v>
      </c>
      <c r="AJ1" s="349"/>
      <c r="AK1" s="349"/>
      <c r="AL1" s="349"/>
      <c r="AM1" s="349"/>
      <c r="AN1" s="349"/>
      <c r="AO1" s="349"/>
      <c r="AP1" s="349"/>
      <c r="AQ1" s="349"/>
      <c r="AR1" s="349"/>
      <c r="AS1" s="230"/>
    </row>
    <row r="2" spans="1:45" s="153" customFormat="1" ht="17" thickBot="1">
      <c r="G2" s="231"/>
      <c r="H2" s="308" t="s">
        <v>609</v>
      </c>
      <c r="I2" s="309"/>
      <c r="J2" s="309"/>
      <c r="K2" s="310"/>
      <c r="L2" s="308" t="s">
        <v>561</v>
      </c>
      <c r="M2" s="309"/>
      <c r="N2" s="309"/>
      <c r="O2" s="309"/>
      <c r="P2" s="309"/>
      <c r="Q2" s="232"/>
      <c r="R2" s="350">
        <v>1</v>
      </c>
      <c r="S2" s="351"/>
      <c r="T2" s="350">
        <v>2</v>
      </c>
      <c r="U2" s="351"/>
      <c r="V2" s="350">
        <v>3</v>
      </c>
      <c r="W2" s="351"/>
      <c r="X2" s="350">
        <v>4</v>
      </c>
      <c r="Y2" s="351"/>
      <c r="Z2" s="350">
        <v>5</v>
      </c>
      <c r="AA2" s="351"/>
      <c r="AB2" s="65"/>
      <c r="AE2" s="308" t="s">
        <v>339</v>
      </c>
      <c r="AF2" s="310"/>
      <c r="AI2" s="345" t="s">
        <v>20</v>
      </c>
      <c r="AJ2" s="346"/>
      <c r="AK2" s="346"/>
      <c r="AL2" s="346"/>
      <c r="AM2" s="346"/>
      <c r="AN2" s="346"/>
      <c r="AO2" s="347"/>
      <c r="AP2" s="345" t="s">
        <v>24</v>
      </c>
      <c r="AQ2" s="346"/>
      <c r="AR2" s="347"/>
      <c r="AS2" s="233"/>
    </row>
    <row r="3" spans="1:45" s="153" customFormat="1" ht="17" thickBot="1">
      <c r="A3" s="223" t="s">
        <v>32</v>
      </c>
      <c r="B3" s="225" t="s">
        <v>36</v>
      </c>
      <c r="C3" s="225" t="s">
        <v>33</v>
      </c>
      <c r="D3" s="225" t="s">
        <v>34</v>
      </c>
      <c r="E3" s="225" t="s">
        <v>610</v>
      </c>
      <c r="F3" s="225" t="s">
        <v>594</v>
      </c>
      <c r="G3" s="227" t="s">
        <v>41</v>
      </c>
      <c r="H3" s="153">
        <v>1</v>
      </c>
      <c r="I3" s="153">
        <v>2</v>
      </c>
      <c r="J3" s="153">
        <v>3</v>
      </c>
      <c r="K3" s="154">
        <v>4</v>
      </c>
      <c r="L3" s="232" t="s">
        <v>360</v>
      </c>
      <c r="M3" s="153" t="s">
        <v>596</v>
      </c>
      <c r="N3" s="153" t="s">
        <v>597</v>
      </c>
      <c r="O3" s="153" t="s">
        <v>598</v>
      </c>
      <c r="P3" s="153" t="s">
        <v>611</v>
      </c>
      <c r="Q3" s="232" t="s">
        <v>612</v>
      </c>
      <c r="R3" s="232" t="s">
        <v>53</v>
      </c>
      <c r="S3" s="154" t="s">
        <v>54</v>
      </c>
      <c r="T3" s="232" t="s">
        <v>55</v>
      </c>
      <c r="U3" s="154" t="s">
        <v>54</v>
      </c>
      <c r="V3" s="232" t="s">
        <v>55</v>
      </c>
      <c r="W3" s="154" t="s">
        <v>54</v>
      </c>
      <c r="X3" s="232" t="s">
        <v>55</v>
      </c>
      <c r="Y3" s="154" t="s">
        <v>54</v>
      </c>
      <c r="Z3" s="232" t="s">
        <v>55</v>
      </c>
      <c r="AA3" s="154" t="s">
        <v>54</v>
      </c>
      <c r="AB3" s="153" t="s">
        <v>56</v>
      </c>
      <c r="AC3" s="67" t="s">
        <v>613</v>
      </c>
      <c r="AD3" s="223" t="s">
        <v>614</v>
      </c>
      <c r="AE3" s="232" t="s">
        <v>55</v>
      </c>
      <c r="AF3" s="153" t="s">
        <v>54</v>
      </c>
      <c r="AG3" s="67" t="s">
        <v>615</v>
      </c>
      <c r="AH3" s="223" t="s">
        <v>616</v>
      </c>
      <c r="AI3" s="234">
        <v>1</v>
      </c>
      <c r="AJ3" s="235">
        <v>2</v>
      </c>
      <c r="AK3" s="235">
        <v>3</v>
      </c>
      <c r="AL3" s="235">
        <v>4</v>
      </c>
      <c r="AM3" s="235">
        <v>5</v>
      </c>
      <c r="AN3" s="235">
        <v>6</v>
      </c>
      <c r="AO3" s="233">
        <v>7</v>
      </c>
      <c r="AP3" s="234">
        <v>1</v>
      </c>
      <c r="AQ3" s="235">
        <v>2</v>
      </c>
      <c r="AR3" s="233">
        <v>3</v>
      </c>
      <c r="AS3" s="233" t="s">
        <v>30</v>
      </c>
    </row>
    <row r="4" spans="1:45" s="229" customFormat="1" ht="17" thickBot="1">
      <c r="A4" s="88" t="s">
        <v>319</v>
      </c>
      <c r="B4" s="391">
        <v>-4.9978333333333333</v>
      </c>
      <c r="C4" s="30" t="s">
        <v>82</v>
      </c>
      <c r="D4" s="30" t="s">
        <v>617</v>
      </c>
      <c r="E4" s="30" t="s">
        <v>0</v>
      </c>
      <c r="F4" s="30">
        <v>444</v>
      </c>
      <c r="G4" s="45">
        <f>F4/278</f>
        <v>1.5971223021582734</v>
      </c>
      <c r="H4" s="28">
        <v>0</v>
      </c>
      <c r="I4" s="30">
        <v>1</v>
      </c>
      <c r="J4" s="30">
        <v>0</v>
      </c>
      <c r="K4" s="29">
        <v>0</v>
      </c>
      <c r="L4" s="28">
        <v>0</v>
      </c>
      <c r="M4" s="30">
        <v>0</v>
      </c>
      <c r="N4" s="30">
        <v>0</v>
      </c>
      <c r="O4" s="30">
        <v>0</v>
      </c>
      <c r="P4" s="29">
        <v>0</v>
      </c>
      <c r="Q4" s="28">
        <v>5</v>
      </c>
      <c r="R4" s="30">
        <v>0</v>
      </c>
      <c r="S4" s="30">
        <v>0</v>
      </c>
      <c r="T4" s="30">
        <v>0</v>
      </c>
      <c r="U4" s="30">
        <v>0</v>
      </c>
      <c r="V4" s="30">
        <v>0</v>
      </c>
      <c r="W4" s="30">
        <v>92</v>
      </c>
      <c r="X4" s="30">
        <v>0</v>
      </c>
      <c r="Y4" s="30">
        <v>0</v>
      </c>
      <c r="Z4" s="30">
        <v>0</v>
      </c>
      <c r="AA4" s="30">
        <v>0</v>
      </c>
      <c r="AB4" s="30"/>
      <c r="AC4" s="27">
        <v>1</v>
      </c>
      <c r="AD4" s="28">
        <v>1</v>
      </c>
      <c r="AE4" s="28"/>
      <c r="AF4" s="29"/>
      <c r="AG4" s="27">
        <v>121</v>
      </c>
      <c r="AH4" s="28">
        <v>0</v>
      </c>
      <c r="AI4" s="211">
        <v>83</v>
      </c>
      <c r="AJ4" s="77"/>
      <c r="AK4" s="77"/>
      <c r="AL4" s="77"/>
      <c r="AM4" s="77"/>
      <c r="AN4" s="77"/>
      <c r="AO4" s="45"/>
      <c r="AP4" s="211"/>
      <c r="AQ4" s="77"/>
      <c r="AR4" s="45"/>
      <c r="AS4" s="236"/>
    </row>
    <row r="5" spans="1:45" s="229" customFormat="1">
      <c r="A5" s="87" t="s">
        <v>319</v>
      </c>
      <c r="B5" s="384">
        <v>-4.4379999999999997</v>
      </c>
      <c r="C5" s="8" t="s">
        <v>84</v>
      </c>
      <c r="D5" s="8" t="s">
        <v>618</v>
      </c>
      <c r="E5" s="8" t="s">
        <v>0</v>
      </c>
      <c r="F5" s="8">
        <v>669</v>
      </c>
      <c r="G5" s="10">
        <f>F5/438</f>
        <v>1.5273972602739727</v>
      </c>
      <c r="H5" s="11">
        <v>0</v>
      </c>
      <c r="I5" s="8">
        <v>0</v>
      </c>
      <c r="J5" s="8">
        <v>1</v>
      </c>
      <c r="K5" s="41">
        <v>0</v>
      </c>
      <c r="L5" s="11">
        <v>0</v>
      </c>
      <c r="M5" s="8">
        <v>0</v>
      </c>
      <c r="N5" s="8">
        <v>0</v>
      </c>
      <c r="O5" s="8">
        <v>0</v>
      </c>
      <c r="P5" s="41">
        <v>0</v>
      </c>
      <c r="Q5" s="11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0</v>
      </c>
      <c r="X5" s="8">
        <v>0</v>
      </c>
      <c r="Y5" s="8">
        <v>0</v>
      </c>
      <c r="Z5" s="8">
        <v>0</v>
      </c>
      <c r="AA5" s="8">
        <v>0</v>
      </c>
      <c r="AB5" s="8"/>
      <c r="AC5" s="9">
        <v>1</v>
      </c>
      <c r="AD5" s="11">
        <v>1</v>
      </c>
      <c r="AE5" s="11">
        <v>0</v>
      </c>
      <c r="AF5" s="41">
        <v>0</v>
      </c>
      <c r="AG5" s="9">
        <v>113</v>
      </c>
      <c r="AH5" s="11">
        <v>0</v>
      </c>
      <c r="AI5" s="208"/>
      <c r="AJ5" s="54"/>
      <c r="AK5" s="54"/>
      <c r="AL5" s="54"/>
      <c r="AM5" s="54"/>
      <c r="AN5" s="54"/>
      <c r="AO5" s="10"/>
      <c r="AP5" s="208"/>
      <c r="AQ5" s="54"/>
      <c r="AR5" s="10"/>
      <c r="AS5" s="237"/>
    </row>
    <row r="6" spans="1:45" s="229" customFormat="1">
      <c r="A6" s="42" t="s">
        <v>319</v>
      </c>
      <c r="B6" s="386">
        <v>-4.4379999999999997</v>
      </c>
      <c r="C6" s="229" t="s">
        <v>84</v>
      </c>
      <c r="D6" s="229" t="s">
        <v>423</v>
      </c>
      <c r="E6" s="229" t="s">
        <v>1</v>
      </c>
      <c r="F6" s="229">
        <v>256</v>
      </c>
      <c r="G6" s="40">
        <f>F6/225</f>
        <v>1.1377777777777778</v>
      </c>
      <c r="H6" s="14">
        <v>0</v>
      </c>
      <c r="I6" s="229">
        <v>0</v>
      </c>
      <c r="J6" s="229">
        <v>1</v>
      </c>
      <c r="K6" s="26">
        <v>0</v>
      </c>
      <c r="L6" s="14">
        <v>0</v>
      </c>
      <c r="M6" s="229">
        <v>0</v>
      </c>
      <c r="N6" s="229">
        <v>0</v>
      </c>
      <c r="O6" s="229">
        <v>0</v>
      </c>
      <c r="P6" s="26">
        <v>0</v>
      </c>
      <c r="Q6" s="14">
        <v>0</v>
      </c>
      <c r="R6" s="229">
        <v>0</v>
      </c>
      <c r="S6" s="229">
        <v>0</v>
      </c>
      <c r="T6" s="229">
        <v>0</v>
      </c>
      <c r="U6" s="229">
        <v>0</v>
      </c>
      <c r="V6" s="229">
        <v>0</v>
      </c>
      <c r="W6" s="229">
        <v>0</v>
      </c>
      <c r="X6" s="229">
        <v>0</v>
      </c>
      <c r="Y6" s="229">
        <v>0</v>
      </c>
      <c r="Z6" s="229">
        <v>0</v>
      </c>
      <c r="AA6" s="229">
        <v>0</v>
      </c>
      <c r="AC6" s="12">
        <v>1</v>
      </c>
      <c r="AD6" s="14">
        <v>1</v>
      </c>
      <c r="AE6" s="14">
        <v>0</v>
      </c>
      <c r="AF6" s="26">
        <v>0</v>
      </c>
      <c r="AG6" s="12">
        <v>113</v>
      </c>
      <c r="AH6" s="14">
        <v>0</v>
      </c>
      <c r="AI6" s="209"/>
      <c r="AJ6" s="3"/>
      <c r="AK6" s="3"/>
      <c r="AL6" s="3"/>
      <c r="AM6" s="3"/>
      <c r="AN6" s="3"/>
      <c r="AO6" s="40"/>
      <c r="AP6" s="209"/>
      <c r="AQ6" s="3"/>
      <c r="AR6" s="40"/>
      <c r="AS6" s="238"/>
    </row>
    <row r="7" spans="1:45" s="229" customFormat="1">
      <c r="A7" s="42" t="s">
        <v>319</v>
      </c>
      <c r="B7" s="386">
        <v>-4.4379999999999997</v>
      </c>
      <c r="C7" s="229" t="s">
        <v>84</v>
      </c>
      <c r="D7" s="229" t="s">
        <v>423</v>
      </c>
      <c r="E7" s="229" t="s">
        <v>2</v>
      </c>
      <c r="F7" s="229">
        <v>818</v>
      </c>
      <c r="G7" s="40">
        <f>F7/382</f>
        <v>2.1413612565445028</v>
      </c>
      <c r="H7" s="14">
        <v>0</v>
      </c>
      <c r="I7" s="229">
        <v>0</v>
      </c>
      <c r="J7" s="229">
        <v>1</v>
      </c>
      <c r="K7" s="26">
        <v>1</v>
      </c>
      <c r="L7" s="14">
        <v>0</v>
      </c>
      <c r="M7" s="229">
        <v>0</v>
      </c>
      <c r="N7" s="229">
        <v>0</v>
      </c>
      <c r="O7" s="229">
        <v>0</v>
      </c>
      <c r="P7" s="26">
        <v>0</v>
      </c>
      <c r="Q7" s="14">
        <v>5</v>
      </c>
      <c r="R7" s="229">
        <v>0</v>
      </c>
      <c r="S7" s="229">
        <v>0</v>
      </c>
      <c r="T7" s="229">
        <v>0</v>
      </c>
      <c r="U7" s="229">
        <v>0</v>
      </c>
      <c r="V7" s="229">
        <v>0</v>
      </c>
      <c r="W7" s="229">
        <v>137</v>
      </c>
      <c r="X7" s="229">
        <v>0</v>
      </c>
      <c r="Y7" s="229">
        <v>0</v>
      </c>
      <c r="Z7" s="229">
        <v>0</v>
      </c>
      <c r="AA7" s="229">
        <v>0</v>
      </c>
      <c r="AC7" s="12">
        <v>2</v>
      </c>
      <c r="AD7" s="14">
        <v>3</v>
      </c>
      <c r="AE7" s="14">
        <v>23</v>
      </c>
      <c r="AF7" s="26">
        <v>562</v>
      </c>
      <c r="AG7" s="12">
        <v>113</v>
      </c>
      <c r="AH7" s="14">
        <v>0</v>
      </c>
      <c r="AI7" s="209"/>
      <c r="AJ7" s="3"/>
      <c r="AK7" s="3"/>
      <c r="AL7" s="3"/>
      <c r="AM7" s="3"/>
      <c r="AN7" s="3"/>
      <c r="AO7" s="40"/>
      <c r="AP7" s="209"/>
      <c r="AQ7" s="3"/>
      <c r="AR7" s="40"/>
      <c r="AS7" s="238"/>
    </row>
    <row r="8" spans="1:45" s="229" customFormat="1">
      <c r="A8" s="42" t="s">
        <v>319</v>
      </c>
      <c r="B8" s="386">
        <v>-4.4379999999999997</v>
      </c>
      <c r="C8" s="229" t="s">
        <v>84</v>
      </c>
      <c r="D8" s="229" t="s">
        <v>619</v>
      </c>
      <c r="E8" s="229" t="s">
        <v>0</v>
      </c>
      <c r="F8" s="229">
        <v>469</v>
      </c>
      <c r="G8" s="40">
        <f>F8/248</f>
        <v>1.8911290322580645</v>
      </c>
      <c r="H8" s="14">
        <v>0</v>
      </c>
      <c r="I8" s="229">
        <v>0</v>
      </c>
      <c r="J8" s="229">
        <v>1</v>
      </c>
      <c r="K8" s="26">
        <v>0</v>
      </c>
      <c r="L8" s="14">
        <v>0</v>
      </c>
      <c r="M8" s="229">
        <v>0</v>
      </c>
      <c r="N8" s="229">
        <v>1</v>
      </c>
      <c r="O8" s="229">
        <v>0</v>
      </c>
      <c r="P8" s="26">
        <v>1</v>
      </c>
      <c r="Q8" s="14">
        <v>10</v>
      </c>
      <c r="R8" s="229">
        <v>0</v>
      </c>
      <c r="S8" s="229">
        <v>0</v>
      </c>
      <c r="T8" s="229">
        <v>0</v>
      </c>
      <c r="U8" s="229">
        <v>0</v>
      </c>
      <c r="V8" s="229">
        <v>85</v>
      </c>
      <c r="W8" s="229">
        <v>130</v>
      </c>
      <c r="X8" s="229">
        <v>0</v>
      </c>
      <c r="Y8" s="229">
        <v>0</v>
      </c>
      <c r="Z8" s="229">
        <v>0</v>
      </c>
      <c r="AA8" s="229">
        <v>0</v>
      </c>
      <c r="AC8" s="12">
        <v>1</v>
      </c>
      <c r="AD8" s="14">
        <v>1</v>
      </c>
      <c r="AE8" s="14">
        <v>0</v>
      </c>
      <c r="AF8" s="26">
        <v>0</v>
      </c>
      <c r="AG8" s="12">
        <v>78</v>
      </c>
      <c r="AH8" s="14">
        <v>0</v>
      </c>
      <c r="AI8" s="209"/>
      <c r="AJ8" s="3"/>
      <c r="AK8" s="3"/>
      <c r="AL8" s="3"/>
      <c r="AM8" s="3"/>
      <c r="AN8" s="3"/>
      <c r="AO8" s="40"/>
      <c r="AP8" s="209"/>
      <c r="AQ8" s="3"/>
      <c r="AR8" s="40"/>
      <c r="AS8" s="238"/>
    </row>
    <row r="9" spans="1:45" s="229" customFormat="1" ht="17" thickBot="1">
      <c r="A9" s="55" t="s">
        <v>319</v>
      </c>
      <c r="B9" s="385">
        <v>-4.4379999999999997</v>
      </c>
      <c r="C9" s="36" t="s">
        <v>84</v>
      </c>
      <c r="D9" s="36" t="s">
        <v>620</v>
      </c>
      <c r="E9" s="36" t="s">
        <v>1</v>
      </c>
      <c r="F9" s="36">
        <v>616</v>
      </c>
      <c r="G9" s="48">
        <f>F9/345</f>
        <v>1.7855072463768116</v>
      </c>
      <c r="H9" s="34">
        <v>1</v>
      </c>
      <c r="I9" s="36">
        <v>0</v>
      </c>
      <c r="J9" s="36">
        <v>1</v>
      </c>
      <c r="K9" s="35">
        <v>0</v>
      </c>
      <c r="L9" s="34">
        <v>0</v>
      </c>
      <c r="M9" s="36">
        <v>0</v>
      </c>
      <c r="N9" s="36">
        <v>0</v>
      </c>
      <c r="O9" s="36">
        <v>0</v>
      </c>
      <c r="P9" s="35">
        <v>0</v>
      </c>
      <c r="Q9" s="34">
        <v>5</v>
      </c>
      <c r="R9" s="36">
        <v>0</v>
      </c>
      <c r="S9" s="36">
        <v>0</v>
      </c>
      <c r="T9" s="36">
        <v>0</v>
      </c>
      <c r="U9" s="36">
        <v>0</v>
      </c>
      <c r="V9" s="36">
        <v>109</v>
      </c>
      <c r="W9" s="36">
        <v>163</v>
      </c>
      <c r="X9" s="36">
        <v>0</v>
      </c>
      <c r="Y9" s="36">
        <v>0</v>
      </c>
      <c r="Z9" s="36">
        <v>0</v>
      </c>
      <c r="AA9" s="36">
        <v>0</v>
      </c>
      <c r="AB9" s="36"/>
      <c r="AC9" s="33">
        <v>2</v>
      </c>
      <c r="AD9" s="34">
        <v>2</v>
      </c>
      <c r="AE9" s="34">
        <v>325</v>
      </c>
      <c r="AF9" s="35">
        <v>385</v>
      </c>
      <c r="AG9" s="33">
        <v>78</v>
      </c>
      <c r="AH9" s="34">
        <v>0</v>
      </c>
      <c r="AI9" s="210"/>
      <c r="AJ9" s="51"/>
      <c r="AK9" s="51"/>
      <c r="AL9" s="51"/>
      <c r="AM9" s="51"/>
      <c r="AN9" s="51"/>
      <c r="AO9" s="48"/>
      <c r="AP9" s="210"/>
      <c r="AQ9" s="51"/>
      <c r="AR9" s="48"/>
      <c r="AS9" s="239"/>
    </row>
    <row r="10" spans="1:45" s="229" customFormat="1" ht="17" thickBot="1">
      <c r="A10" s="88" t="s">
        <v>319</v>
      </c>
      <c r="B10" s="391">
        <v>-4.3681666666666663</v>
      </c>
      <c r="C10" s="8" t="s">
        <v>86</v>
      </c>
      <c r="D10" s="8" t="s">
        <v>618</v>
      </c>
      <c r="E10" s="8"/>
      <c r="F10" s="8">
        <v>313</v>
      </c>
      <c r="G10" s="10">
        <f>F10/170</f>
        <v>1.8411764705882352</v>
      </c>
      <c r="H10" s="11">
        <v>1</v>
      </c>
      <c r="I10" s="8">
        <v>0</v>
      </c>
      <c r="J10" s="8">
        <v>0</v>
      </c>
      <c r="K10" s="41">
        <v>0</v>
      </c>
      <c r="L10" s="11">
        <v>0</v>
      </c>
      <c r="M10" s="8">
        <v>0</v>
      </c>
      <c r="N10" s="8">
        <v>0</v>
      </c>
      <c r="O10" s="8">
        <v>0</v>
      </c>
      <c r="P10" s="41">
        <v>0</v>
      </c>
      <c r="Q10" s="11">
        <v>5</v>
      </c>
      <c r="R10" s="8">
        <v>0</v>
      </c>
      <c r="S10" s="8">
        <v>0</v>
      </c>
      <c r="T10" s="8">
        <v>0</v>
      </c>
      <c r="U10" s="8">
        <v>0</v>
      </c>
      <c r="V10" s="8">
        <v>0</v>
      </c>
      <c r="W10" s="8">
        <v>42</v>
      </c>
      <c r="X10" s="8">
        <v>0</v>
      </c>
      <c r="Y10" s="8">
        <v>0</v>
      </c>
      <c r="Z10" s="8">
        <v>0</v>
      </c>
      <c r="AA10" s="8">
        <v>0</v>
      </c>
      <c r="AB10" s="8"/>
      <c r="AC10" s="9">
        <v>1</v>
      </c>
      <c r="AD10" s="11">
        <v>1</v>
      </c>
      <c r="AE10" s="11">
        <v>0</v>
      </c>
      <c r="AF10" s="41">
        <v>0</v>
      </c>
      <c r="AG10" s="9">
        <v>51</v>
      </c>
      <c r="AH10" s="11">
        <v>0</v>
      </c>
      <c r="AI10" s="208"/>
      <c r="AJ10" s="54"/>
      <c r="AK10" s="54"/>
      <c r="AL10" s="54"/>
      <c r="AM10" s="54"/>
      <c r="AN10" s="54"/>
      <c r="AO10" s="10"/>
      <c r="AP10" s="208"/>
      <c r="AQ10" s="54"/>
      <c r="AR10" s="10"/>
      <c r="AS10" s="237"/>
    </row>
    <row r="11" spans="1:45" s="229" customFormat="1">
      <c r="A11" s="87" t="s">
        <v>319</v>
      </c>
      <c r="B11" s="384">
        <v>-5.6630000000000003</v>
      </c>
      <c r="C11" s="8" t="s">
        <v>90</v>
      </c>
      <c r="D11" s="8" t="s">
        <v>618</v>
      </c>
      <c r="E11" s="8" t="s">
        <v>0</v>
      </c>
      <c r="F11" s="8">
        <v>426</v>
      </c>
      <c r="G11" s="10">
        <f>F11/386</f>
        <v>1.1036269430051813</v>
      </c>
      <c r="H11" s="11">
        <v>0</v>
      </c>
      <c r="I11" s="8">
        <v>0</v>
      </c>
      <c r="J11" s="8">
        <v>0</v>
      </c>
      <c r="K11" s="41">
        <v>1</v>
      </c>
      <c r="L11" s="11">
        <v>0</v>
      </c>
      <c r="M11" s="8">
        <v>0</v>
      </c>
      <c r="N11" s="8">
        <v>0</v>
      </c>
      <c r="O11" s="8">
        <v>0</v>
      </c>
      <c r="P11" s="41">
        <v>0</v>
      </c>
      <c r="Q11" s="11">
        <v>0</v>
      </c>
      <c r="R11" s="8">
        <v>0</v>
      </c>
      <c r="S11" s="8">
        <v>0</v>
      </c>
      <c r="T11" s="8">
        <v>0</v>
      </c>
      <c r="U11" s="8">
        <v>0</v>
      </c>
      <c r="V11" s="8">
        <v>0</v>
      </c>
      <c r="W11" s="8">
        <v>0</v>
      </c>
      <c r="X11" s="8">
        <v>0</v>
      </c>
      <c r="Y11" s="8">
        <v>0</v>
      </c>
      <c r="Z11" s="8">
        <v>0</v>
      </c>
      <c r="AA11" s="8">
        <v>0</v>
      </c>
      <c r="AB11" s="8"/>
      <c r="AC11" s="9">
        <v>1</v>
      </c>
      <c r="AD11" s="11">
        <v>1</v>
      </c>
      <c r="AE11" s="11">
        <v>0</v>
      </c>
      <c r="AF11" s="41">
        <v>0</v>
      </c>
      <c r="AG11" s="9">
        <v>160</v>
      </c>
      <c r="AH11" s="11">
        <v>0</v>
      </c>
      <c r="AI11" s="208"/>
      <c r="AJ11" s="54"/>
      <c r="AK11" s="54"/>
      <c r="AL11" s="54"/>
      <c r="AM11" s="54"/>
      <c r="AN11" s="54"/>
      <c r="AO11" s="10"/>
      <c r="AP11" s="208"/>
      <c r="AQ11" s="54"/>
      <c r="AR11" s="10"/>
      <c r="AS11" s="237"/>
    </row>
    <row r="12" spans="1:45" s="229" customFormat="1">
      <c r="A12" s="42" t="s">
        <v>319</v>
      </c>
      <c r="B12" s="386">
        <v>-5.6630000000000003</v>
      </c>
      <c r="C12" s="229" t="s">
        <v>90</v>
      </c>
      <c r="D12" s="229" t="s">
        <v>423</v>
      </c>
      <c r="E12" s="229" t="s">
        <v>1</v>
      </c>
      <c r="F12" s="229">
        <v>621</v>
      </c>
      <c r="G12" s="40">
        <f>F12/392</f>
        <v>1.5841836734693877</v>
      </c>
      <c r="H12" s="14">
        <v>0</v>
      </c>
      <c r="I12" s="229">
        <v>0</v>
      </c>
      <c r="J12" s="229">
        <v>0</v>
      </c>
      <c r="K12" s="26">
        <v>1</v>
      </c>
      <c r="L12" s="14">
        <v>1</v>
      </c>
      <c r="M12" s="229">
        <v>0</v>
      </c>
      <c r="N12" s="229">
        <v>0</v>
      </c>
      <c r="O12" s="229">
        <v>0</v>
      </c>
      <c r="P12" s="26">
        <v>1</v>
      </c>
      <c r="Q12" s="14">
        <v>0</v>
      </c>
      <c r="R12" s="229">
        <v>0</v>
      </c>
      <c r="S12" s="229">
        <v>0</v>
      </c>
      <c r="T12" s="229">
        <v>0</v>
      </c>
      <c r="U12" s="229">
        <v>0</v>
      </c>
      <c r="V12" s="229">
        <v>0</v>
      </c>
      <c r="W12" s="229">
        <v>0</v>
      </c>
      <c r="X12" s="229">
        <v>0</v>
      </c>
      <c r="Y12" s="229">
        <v>0</v>
      </c>
      <c r="Z12" s="229">
        <v>0</v>
      </c>
      <c r="AA12" s="229">
        <v>0</v>
      </c>
      <c r="AC12" s="12">
        <v>1</v>
      </c>
      <c r="AD12" s="14">
        <v>1</v>
      </c>
      <c r="AE12" s="14">
        <v>0</v>
      </c>
      <c r="AF12" s="26">
        <v>0</v>
      </c>
      <c r="AG12" s="12">
        <v>160</v>
      </c>
      <c r="AH12" s="14">
        <v>0</v>
      </c>
      <c r="AI12" s="209"/>
      <c r="AJ12" s="3"/>
      <c r="AK12" s="3"/>
      <c r="AL12" s="3"/>
      <c r="AM12" s="3"/>
      <c r="AN12" s="3"/>
      <c r="AO12" s="40"/>
      <c r="AP12" s="209"/>
      <c r="AQ12" s="3"/>
      <c r="AR12" s="40"/>
      <c r="AS12" s="238"/>
    </row>
    <row r="13" spans="1:45" s="229" customFormat="1" ht="17" thickBot="1">
      <c r="A13" s="55" t="s">
        <v>319</v>
      </c>
      <c r="B13" s="385">
        <v>-5.6630000000000003</v>
      </c>
      <c r="C13" s="36" t="s">
        <v>90</v>
      </c>
      <c r="D13" s="36" t="s">
        <v>423</v>
      </c>
      <c r="E13" s="36" t="s">
        <v>2</v>
      </c>
      <c r="F13" s="36">
        <v>1306</v>
      </c>
      <c r="G13" s="48">
        <f>F13/1205</f>
        <v>1.083817427385892</v>
      </c>
      <c r="H13" s="34">
        <v>0</v>
      </c>
      <c r="I13" s="36">
        <v>0</v>
      </c>
      <c r="J13" s="36">
        <v>1</v>
      </c>
      <c r="K13" s="35">
        <v>0</v>
      </c>
      <c r="L13" s="34">
        <v>0</v>
      </c>
      <c r="M13" s="36">
        <v>0</v>
      </c>
      <c r="N13" s="36">
        <v>0</v>
      </c>
      <c r="O13" s="36">
        <v>0</v>
      </c>
      <c r="P13" s="35">
        <v>0</v>
      </c>
      <c r="Q13" s="34">
        <v>0</v>
      </c>
      <c r="R13" s="36">
        <v>0</v>
      </c>
      <c r="S13" s="36">
        <v>0</v>
      </c>
      <c r="T13" s="36">
        <v>0</v>
      </c>
      <c r="U13" s="36">
        <v>0</v>
      </c>
      <c r="V13" s="36">
        <v>0</v>
      </c>
      <c r="W13" s="36">
        <v>0</v>
      </c>
      <c r="X13" s="36">
        <v>0</v>
      </c>
      <c r="Y13" s="36">
        <v>0</v>
      </c>
      <c r="Z13" s="36">
        <v>0</v>
      </c>
      <c r="AA13" s="36">
        <v>0</v>
      </c>
      <c r="AB13" s="36"/>
      <c r="AC13" s="33">
        <v>1</v>
      </c>
      <c r="AD13" s="34">
        <v>1</v>
      </c>
      <c r="AE13" s="34">
        <v>0</v>
      </c>
      <c r="AF13" s="35">
        <v>0</v>
      </c>
      <c r="AG13" s="33">
        <v>160</v>
      </c>
      <c r="AH13" s="34">
        <v>0</v>
      </c>
      <c r="AI13" s="210"/>
      <c r="AJ13" s="51"/>
      <c r="AK13" s="51"/>
      <c r="AL13" s="51"/>
      <c r="AM13" s="51"/>
      <c r="AN13" s="51"/>
      <c r="AO13" s="48"/>
      <c r="AP13" s="210"/>
      <c r="AQ13" s="51"/>
      <c r="AR13" s="48"/>
      <c r="AS13" s="239"/>
    </row>
    <row r="14" spans="1:45" s="229" customFormat="1">
      <c r="A14" s="87" t="s">
        <v>319</v>
      </c>
      <c r="B14" s="384">
        <v>-5.6630000000000003</v>
      </c>
      <c r="C14" s="8" t="s">
        <v>109</v>
      </c>
      <c r="D14" s="8" t="s">
        <v>618</v>
      </c>
      <c r="E14" s="8" t="s">
        <v>0</v>
      </c>
      <c r="F14" s="8">
        <v>848</v>
      </c>
      <c r="G14" s="10">
        <f>F14/549</f>
        <v>1.5446265938069217</v>
      </c>
      <c r="H14" s="11">
        <v>1</v>
      </c>
      <c r="I14" s="8">
        <v>1</v>
      </c>
      <c r="J14" s="8">
        <v>0</v>
      </c>
      <c r="K14" s="41">
        <v>0</v>
      </c>
      <c r="L14" s="11">
        <v>0</v>
      </c>
      <c r="M14" s="8">
        <v>0</v>
      </c>
      <c r="N14" s="8">
        <v>0</v>
      </c>
      <c r="O14" s="8">
        <v>0</v>
      </c>
      <c r="P14" s="41">
        <v>0</v>
      </c>
      <c r="Q14" s="11">
        <v>5</v>
      </c>
      <c r="R14" s="8">
        <v>0</v>
      </c>
      <c r="S14" s="8">
        <v>46</v>
      </c>
      <c r="T14" s="8">
        <v>0</v>
      </c>
      <c r="U14" s="8">
        <v>0</v>
      </c>
      <c r="V14" s="8">
        <v>0</v>
      </c>
      <c r="W14" s="8">
        <v>0</v>
      </c>
      <c r="X14" s="8">
        <v>0</v>
      </c>
      <c r="Y14" s="8">
        <v>0</v>
      </c>
      <c r="Z14" s="8">
        <v>0</v>
      </c>
      <c r="AA14" s="8">
        <v>0</v>
      </c>
      <c r="AB14" s="8"/>
      <c r="AC14" s="9">
        <v>2</v>
      </c>
      <c r="AD14" s="11">
        <v>4</v>
      </c>
      <c r="AE14" s="11">
        <v>240</v>
      </c>
      <c r="AF14" s="41">
        <v>420</v>
      </c>
      <c r="AG14" s="9">
        <v>225</v>
      </c>
      <c r="AH14" s="11">
        <v>0</v>
      </c>
      <c r="AI14" s="208"/>
      <c r="AJ14" s="54"/>
      <c r="AK14" s="54"/>
      <c r="AL14" s="54"/>
      <c r="AM14" s="54"/>
      <c r="AN14" s="54"/>
      <c r="AO14" s="10"/>
      <c r="AP14" s="208"/>
      <c r="AQ14" s="54"/>
      <c r="AR14" s="10"/>
      <c r="AS14" s="237"/>
    </row>
    <row r="15" spans="1:45" s="229" customFormat="1">
      <c r="A15" s="42" t="s">
        <v>319</v>
      </c>
      <c r="B15" s="386">
        <v>-5.6630000000000003</v>
      </c>
      <c r="C15" s="229" t="s">
        <v>109</v>
      </c>
      <c r="D15" s="229" t="s">
        <v>618</v>
      </c>
      <c r="E15" s="229" t="s">
        <v>1</v>
      </c>
      <c r="F15" s="229">
        <v>306</v>
      </c>
      <c r="G15" s="40">
        <f>F15/192</f>
        <v>1.59375</v>
      </c>
      <c r="H15" s="14">
        <v>0</v>
      </c>
      <c r="I15" s="229">
        <v>1</v>
      </c>
      <c r="J15" s="229">
        <v>0</v>
      </c>
      <c r="K15" s="26">
        <v>0</v>
      </c>
      <c r="L15" s="14">
        <v>0</v>
      </c>
      <c r="M15" s="229">
        <v>0</v>
      </c>
      <c r="N15" s="229">
        <v>0</v>
      </c>
      <c r="O15" s="229">
        <v>0</v>
      </c>
      <c r="P15" s="26">
        <v>0</v>
      </c>
      <c r="Q15" s="14">
        <v>5</v>
      </c>
      <c r="R15" s="229">
        <v>0</v>
      </c>
      <c r="S15" s="229">
        <v>0</v>
      </c>
      <c r="T15" s="229">
        <v>0</v>
      </c>
      <c r="U15" s="229">
        <v>0</v>
      </c>
      <c r="V15" s="229">
        <v>0</v>
      </c>
      <c r="W15" s="229">
        <v>34</v>
      </c>
      <c r="X15" s="229">
        <v>0</v>
      </c>
      <c r="Y15" s="229">
        <v>0</v>
      </c>
      <c r="Z15" s="229">
        <v>0</v>
      </c>
      <c r="AA15" s="229">
        <v>0</v>
      </c>
      <c r="AC15" s="12">
        <v>1</v>
      </c>
      <c r="AD15" s="14">
        <v>1</v>
      </c>
      <c r="AE15" s="14">
        <v>0</v>
      </c>
      <c r="AF15" s="26">
        <v>0</v>
      </c>
      <c r="AG15" s="12">
        <v>225</v>
      </c>
      <c r="AH15" s="14">
        <v>0</v>
      </c>
      <c r="AI15" s="209"/>
      <c r="AJ15" s="3"/>
      <c r="AK15" s="3"/>
      <c r="AL15" s="3"/>
      <c r="AM15" s="3"/>
      <c r="AN15" s="3"/>
      <c r="AO15" s="40"/>
      <c r="AP15" s="209"/>
      <c r="AQ15" s="3"/>
      <c r="AR15" s="40"/>
      <c r="AS15" s="238"/>
    </row>
    <row r="16" spans="1:45" s="229" customFormat="1">
      <c r="A16" s="42" t="s">
        <v>319</v>
      </c>
      <c r="B16" s="386">
        <v>-5.6630000000000003</v>
      </c>
      <c r="C16" s="229" t="s">
        <v>109</v>
      </c>
      <c r="D16" s="229" t="s">
        <v>618</v>
      </c>
      <c r="E16" s="229" t="s">
        <v>2</v>
      </c>
      <c r="F16" s="229">
        <v>539</v>
      </c>
      <c r="G16" s="40">
        <f>F16/328</f>
        <v>1.6432926829268293</v>
      </c>
      <c r="H16" s="14">
        <v>0</v>
      </c>
      <c r="I16" s="229">
        <v>0</v>
      </c>
      <c r="J16" s="229">
        <v>1</v>
      </c>
      <c r="K16" s="26">
        <v>0</v>
      </c>
      <c r="L16" s="14">
        <v>0</v>
      </c>
      <c r="M16" s="229">
        <v>0</v>
      </c>
      <c r="N16" s="229">
        <v>0</v>
      </c>
      <c r="O16" s="229">
        <v>0</v>
      </c>
      <c r="P16" s="26">
        <v>0</v>
      </c>
      <c r="Q16" s="14">
        <v>5</v>
      </c>
      <c r="R16" s="229">
        <v>0</v>
      </c>
      <c r="S16" s="229">
        <v>0</v>
      </c>
      <c r="T16" s="229">
        <v>0</v>
      </c>
      <c r="U16" s="229">
        <v>0</v>
      </c>
      <c r="V16" s="229">
        <v>32</v>
      </c>
      <c r="W16" s="229">
        <v>124</v>
      </c>
      <c r="X16" s="229">
        <v>0</v>
      </c>
      <c r="Y16" s="229">
        <v>0</v>
      </c>
      <c r="Z16" s="229">
        <v>0</v>
      </c>
      <c r="AA16" s="229">
        <v>0</v>
      </c>
      <c r="AC16" s="12">
        <v>1</v>
      </c>
      <c r="AD16" s="14">
        <v>1</v>
      </c>
      <c r="AE16" s="14">
        <v>0</v>
      </c>
      <c r="AF16" s="26">
        <v>0</v>
      </c>
      <c r="AG16" s="12">
        <v>225</v>
      </c>
      <c r="AH16" s="14">
        <v>0</v>
      </c>
      <c r="AI16" s="209"/>
      <c r="AJ16" s="3"/>
      <c r="AK16" s="3"/>
      <c r="AL16" s="3"/>
      <c r="AM16" s="3"/>
      <c r="AN16" s="3"/>
      <c r="AO16" s="40"/>
      <c r="AP16" s="209"/>
      <c r="AQ16" s="3"/>
      <c r="AR16" s="40"/>
      <c r="AS16" s="238"/>
    </row>
    <row r="17" spans="1:45" s="229" customFormat="1">
      <c r="A17" s="42" t="s">
        <v>319</v>
      </c>
      <c r="B17" s="386">
        <v>-5.6630000000000003</v>
      </c>
      <c r="C17" s="229" t="s">
        <v>109</v>
      </c>
      <c r="D17" s="229" t="s">
        <v>618</v>
      </c>
      <c r="E17" s="229" t="s">
        <v>3</v>
      </c>
      <c r="F17" s="229">
        <v>377</v>
      </c>
      <c r="G17" s="40">
        <f>F17/222</f>
        <v>1.6981981981981982</v>
      </c>
      <c r="H17" s="14">
        <v>0</v>
      </c>
      <c r="I17" s="229">
        <v>1</v>
      </c>
      <c r="J17" s="229">
        <v>0</v>
      </c>
      <c r="K17" s="26">
        <v>0</v>
      </c>
      <c r="L17" s="14">
        <v>0</v>
      </c>
      <c r="M17" s="229">
        <v>0</v>
      </c>
      <c r="N17" s="229">
        <v>0</v>
      </c>
      <c r="O17" s="229">
        <v>0</v>
      </c>
      <c r="P17" s="26">
        <v>0</v>
      </c>
      <c r="Q17" s="14">
        <v>10</v>
      </c>
      <c r="R17" s="229">
        <v>0</v>
      </c>
      <c r="S17" s="229">
        <v>0</v>
      </c>
      <c r="T17" s="229">
        <v>0</v>
      </c>
      <c r="U17" s="229">
        <v>0</v>
      </c>
      <c r="V17" s="229">
        <v>0</v>
      </c>
      <c r="W17" s="229">
        <v>61</v>
      </c>
      <c r="X17" s="229">
        <v>0</v>
      </c>
      <c r="Y17" s="229">
        <v>0</v>
      </c>
      <c r="Z17" s="229">
        <v>0</v>
      </c>
      <c r="AA17" s="229">
        <v>0</v>
      </c>
      <c r="AC17" s="12">
        <v>1</v>
      </c>
      <c r="AD17" s="14">
        <v>1</v>
      </c>
      <c r="AE17" s="14">
        <v>0</v>
      </c>
      <c r="AF17" s="26">
        <v>0</v>
      </c>
      <c r="AG17" s="12">
        <v>225</v>
      </c>
      <c r="AH17" s="14">
        <v>0</v>
      </c>
      <c r="AI17" s="209"/>
      <c r="AJ17" s="3"/>
      <c r="AK17" s="3"/>
      <c r="AL17" s="3"/>
      <c r="AM17" s="3"/>
      <c r="AN17" s="3"/>
      <c r="AO17" s="40"/>
      <c r="AP17" s="209"/>
      <c r="AQ17" s="3"/>
      <c r="AR17" s="40"/>
      <c r="AS17" s="238"/>
    </row>
    <row r="18" spans="1:45" s="229" customFormat="1" ht="17" thickBot="1">
      <c r="A18" s="55" t="s">
        <v>319</v>
      </c>
      <c r="B18" s="385">
        <v>-5.6630000000000003</v>
      </c>
      <c r="C18" s="36" t="s">
        <v>109</v>
      </c>
      <c r="D18" s="36" t="s">
        <v>618</v>
      </c>
      <c r="E18" s="36" t="s">
        <v>4</v>
      </c>
      <c r="F18" s="36">
        <v>498</v>
      </c>
      <c r="G18" s="48">
        <f>F18/269</f>
        <v>1.8513011152416357</v>
      </c>
      <c r="H18" s="34">
        <v>1</v>
      </c>
      <c r="I18" s="36">
        <v>0</v>
      </c>
      <c r="J18" s="36">
        <v>0</v>
      </c>
      <c r="K18" s="35">
        <v>0</v>
      </c>
      <c r="L18" s="34">
        <v>0</v>
      </c>
      <c r="M18" s="36">
        <v>0</v>
      </c>
      <c r="N18" s="36">
        <v>0</v>
      </c>
      <c r="O18" s="36">
        <v>0</v>
      </c>
      <c r="P18" s="35">
        <v>0</v>
      </c>
      <c r="Q18" s="34">
        <v>15</v>
      </c>
      <c r="R18" s="36">
        <v>0</v>
      </c>
      <c r="S18" s="36">
        <v>0</v>
      </c>
      <c r="T18" s="36">
        <v>0</v>
      </c>
      <c r="U18" s="36">
        <v>0</v>
      </c>
      <c r="V18" s="36">
        <v>0</v>
      </c>
      <c r="W18" s="36">
        <v>128</v>
      </c>
      <c r="X18" s="36">
        <v>0</v>
      </c>
      <c r="Y18" s="36">
        <v>0</v>
      </c>
      <c r="Z18" s="36">
        <v>0</v>
      </c>
      <c r="AA18" s="36">
        <v>0</v>
      </c>
      <c r="AB18" s="36"/>
      <c r="AC18" s="33">
        <v>2</v>
      </c>
      <c r="AD18" s="34">
        <v>2</v>
      </c>
      <c r="AE18" s="34">
        <v>291</v>
      </c>
      <c r="AF18" s="35">
        <v>341</v>
      </c>
      <c r="AG18" s="33">
        <v>225</v>
      </c>
      <c r="AH18" s="34">
        <v>1</v>
      </c>
      <c r="AI18" s="210"/>
      <c r="AJ18" s="51"/>
      <c r="AK18" s="51"/>
      <c r="AL18" s="51"/>
      <c r="AM18" s="51"/>
      <c r="AN18" s="51"/>
      <c r="AO18" s="48"/>
      <c r="AP18" s="210"/>
      <c r="AQ18" s="51"/>
      <c r="AR18" s="48"/>
      <c r="AS18" s="239"/>
    </row>
    <row r="19" spans="1:45" s="229" customFormat="1">
      <c r="A19" s="87" t="s">
        <v>319</v>
      </c>
      <c r="B19" s="384">
        <v>-5.6630000000000003</v>
      </c>
      <c r="C19" s="8" t="s">
        <v>110</v>
      </c>
      <c r="D19" s="8" t="s">
        <v>618</v>
      </c>
      <c r="E19" s="8"/>
      <c r="F19" s="8">
        <v>2237</v>
      </c>
      <c r="G19" s="10">
        <f>F19/800</f>
        <v>2.7962500000000001</v>
      </c>
      <c r="H19" s="11">
        <v>0</v>
      </c>
      <c r="I19" s="8">
        <v>0</v>
      </c>
      <c r="J19" s="8">
        <v>1</v>
      </c>
      <c r="K19" s="41">
        <v>0</v>
      </c>
      <c r="L19" s="11">
        <v>0</v>
      </c>
      <c r="M19" s="8">
        <v>0</v>
      </c>
      <c r="N19" s="8">
        <v>1</v>
      </c>
      <c r="O19" s="8">
        <v>0</v>
      </c>
      <c r="P19" s="41">
        <v>1</v>
      </c>
      <c r="Q19" s="11">
        <v>3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0</v>
      </c>
      <c r="Y19" s="8">
        <v>231</v>
      </c>
      <c r="Z19" s="8">
        <v>0</v>
      </c>
      <c r="AA19" s="8">
        <v>0</v>
      </c>
      <c r="AB19" s="8"/>
      <c r="AC19" s="9">
        <v>1</v>
      </c>
      <c r="AD19" s="11">
        <v>1</v>
      </c>
      <c r="AE19" s="11">
        <v>0</v>
      </c>
      <c r="AF19" s="41">
        <v>0</v>
      </c>
      <c r="AG19" s="9">
        <v>82</v>
      </c>
      <c r="AH19" s="11">
        <v>0</v>
      </c>
      <c r="AI19" s="208">
        <v>88</v>
      </c>
      <c r="AJ19" s="54"/>
      <c r="AK19" s="54"/>
      <c r="AL19" s="54"/>
      <c r="AM19" s="54"/>
      <c r="AN19" s="54"/>
      <c r="AO19" s="10"/>
      <c r="AP19" s="208">
        <v>84</v>
      </c>
      <c r="AQ19" s="54"/>
      <c r="AR19" s="10"/>
      <c r="AS19" s="237"/>
    </row>
    <row r="20" spans="1:45" s="229" customFormat="1">
      <c r="A20" s="42" t="s">
        <v>319</v>
      </c>
      <c r="B20" s="386">
        <v>-5.6630000000000003</v>
      </c>
      <c r="C20" s="229" t="s">
        <v>110</v>
      </c>
      <c r="D20" s="229" t="s">
        <v>621</v>
      </c>
      <c r="E20" s="229" t="s">
        <v>0</v>
      </c>
      <c r="F20" s="229">
        <v>352</v>
      </c>
      <c r="G20" s="40">
        <f>F20/307</f>
        <v>1.1465798045602607</v>
      </c>
      <c r="H20" s="14">
        <v>0</v>
      </c>
      <c r="I20" s="229">
        <v>0</v>
      </c>
      <c r="J20" s="229">
        <v>1</v>
      </c>
      <c r="K20" s="26">
        <v>0</v>
      </c>
      <c r="L20" s="14">
        <v>0</v>
      </c>
      <c r="M20" s="229">
        <v>0</v>
      </c>
      <c r="N20" s="229">
        <v>0</v>
      </c>
      <c r="O20" s="229">
        <v>0</v>
      </c>
      <c r="P20" s="26">
        <v>0</v>
      </c>
      <c r="Q20" s="14">
        <v>40</v>
      </c>
      <c r="R20" s="229">
        <v>0</v>
      </c>
      <c r="S20" s="229">
        <v>0</v>
      </c>
      <c r="T20" s="229">
        <v>0</v>
      </c>
      <c r="U20" s="229">
        <v>0</v>
      </c>
      <c r="V20" s="229">
        <v>0</v>
      </c>
      <c r="W20" s="229">
        <v>0</v>
      </c>
      <c r="X20" s="229">
        <v>0</v>
      </c>
      <c r="Y20" s="229">
        <v>0</v>
      </c>
      <c r="Z20" s="229">
        <v>0</v>
      </c>
      <c r="AA20" s="229">
        <v>302</v>
      </c>
      <c r="AC20" s="12">
        <v>1</v>
      </c>
      <c r="AD20" s="14">
        <v>1</v>
      </c>
      <c r="AE20" s="14">
        <v>0</v>
      </c>
      <c r="AF20" s="26">
        <v>0</v>
      </c>
      <c r="AG20" s="12">
        <v>124</v>
      </c>
      <c r="AH20" s="14">
        <v>0</v>
      </c>
      <c r="AI20" s="209"/>
      <c r="AJ20" s="3"/>
      <c r="AK20" s="3"/>
      <c r="AL20" s="3"/>
      <c r="AM20" s="3"/>
      <c r="AN20" s="3"/>
      <c r="AO20" s="40"/>
      <c r="AP20" s="209"/>
      <c r="AQ20" s="3"/>
      <c r="AR20" s="40"/>
      <c r="AS20" s="238"/>
    </row>
    <row r="21" spans="1:45" s="229" customFormat="1">
      <c r="A21" s="42" t="s">
        <v>319</v>
      </c>
      <c r="B21" s="386">
        <v>-5.6630000000000003</v>
      </c>
      <c r="C21" s="229" t="s">
        <v>110</v>
      </c>
      <c r="D21" s="229" t="s">
        <v>622</v>
      </c>
      <c r="E21" s="229" t="s">
        <v>1</v>
      </c>
      <c r="F21" s="229">
        <v>323</v>
      </c>
      <c r="G21" s="40">
        <f>F21/107</f>
        <v>3.0186915887850465</v>
      </c>
      <c r="H21" s="14">
        <v>1</v>
      </c>
      <c r="I21" s="229">
        <v>0</v>
      </c>
      <c r="J21" s="229">
        <v>0</v>
      </c>
      <c r="K21" s="26">
        <v>0</v>
      </c>
      <c r="L21" s="14">
        <v>0</v>
      </c>
      <c r="M21" s="229">
        <v>0</v>
      </c>
      <c r="N21" s="229">
        <v>0</v>
      </c>
      <c r="O21" s="229">
        <v>0</v>
      </c>
      <c r="P21" s="26">
        <v>0</v>
      </c>
      <c r="Q21" s="14">
        <v>0</v>
      </c>
      <c r="R21" s="24">
        <v>0</v>
      </c>
      <c r="S21" s="24">
        <v>0</v>
      </c>
      <c r="T21" s="24">
        <v>0</v>
      </c>
      <c r="U21" s="24">
        <v>0</v>
      </c>
      <c r="V21" s="24">
        <v>0</v>
      </c>
      <c r="W21" s="24">
        <v>0</v>
      </c>
      <c r="X21" s="24">
        <v>0</v>
      </c>
      <c r="Y21" s="24">
        <v>0</v>
      </c>
      <c r="Z21" s="24">
        <v>0</v>
      </c>
      <c r="AA21" s="24">
        <v>0</v>
      </c>
      <c r="AB21" s="24"/>
      <c r="AC21" s="12">
        <v>1</v>
      </c>
      <c r="AD21" s="14">
        <v>1</v>
      </c>
      <c r="AE21" s="14">
        <v>0</v>
      </c>
      <c r="AF21" s="26">
        <v>0</v>
      </c>
      <c r="AG21" s="12">
        <v>124</v>
      </c>
      <c r="AH21" s="14">
        <v>0</v>
      </c>
      <c r="AI21" s="209"/>
      <c r="AJ21" s="3"/>
      <c r="AK21" s="3"/>
      <c r="AL21" s="3"/>
      <c r="AM21" s="3"/>
      <c r="AN21" s="3"/>
      <c r="AO21" s="40"/>
      <c r="AP21" s="209"/>
      <c r="AQ21" s="3"/>
      <c r="AR21" s="40"/>
      <c r="AS21" s="238"/>
    </row>
    <row r="22" spans="1:45" s="229" customFormat="1">
      <c r="A22" s="42" t="s">
        <v>319</v>
      </c>
      <c r="B22" s="386">
        <v>-5.6630000000000003</v>
      </c>
      <c r="C22" s="229" t="s">
        <v>110</v>
      </c>
      <c r="D22" s="229" t="s">
        <v>622</v>
      </c>
      <c r="E22" s="229" t="s">
        <v>2</v>
      </c>
      <c r="F22" s="229">
        <v>287</v>
      </c>
      <c r="G22" s="40">
        <f>F22/278</f>
        <v>1.0323741007194245</v>
      </c>
      <c r="H22" s="14">
        <v>0</v>
      </c>
      <c r="I22" s="229">
        <v>1</v>
      </c>
      <c r="J22" s="229">
        <v>0</v>
      </c>
      <c r="K22" s="26">
        <v>0</v>
      </c>
      <c r="L22" s="14">
        <v>0</v>
      </c>
      <c r="M22" s="229">
        <v>0</v>
      </c>
      <c r="N22" s="229">
        <v>0</v>
      </c>
      <c r="O22" s="229">
        <v>0</v>
      </c>
      <c r="P22" s="26">
        <v>0</v>
      </c>
      <c r="Q22" s="14">
        <v>0</v>
      </c>
      <c r="R22" s="24">
        <v>0</v>
      </c>
      <c r="S22" s="24">
        <v>0</v>
      </c>
      <c r="T22" s="24">
        <v>0</v>
      </c>
      <c r="U22" s="24">
        <v>0</v>
      </c>
      <c r="V22" s="24">
        <v>0</v>
      </c>
      <c r="W22" s="24">
        <v>0</v>
      </c>
      <c r="X22" s="24">
        <v>0</v>
      </c>
      <c r="Y22" s="24">
        <v>0</v>
      </c>
      <c r="Z22" s="24">
        <v>0</v>
      </c>
      <c r="AA22" s="24">
        <v>0</v>
      </c>
      <c r="AB22" s="24"/>
      <c r="AC22" s="12">
        <v>1</v>
      </c>
      <c r="AD22" s="14">
        <v>1</v>
      </c>
      <c r="AE22" s="14">
        <v>0</v>
      </c>
      <c r="AF22" s="26">
        <v>0</v>
      </c>
      <c r="AG22" s="12">
        <v>124</v>
      </c>
      <c r="AH22" s="14">
        <v>0</v>
      </c>
      <c r="AI22" s="209"/>
      <c r="AJ22" s="3"/>
      <c r="AK22" s="3"/>
      <c r="AL22" s="3"/>
      <c r="AM22" s="3"/>
      <c r="AN22" s="3"/>
      <c r="AO22" s="40"/>
      <c r="AP22" s="209"/>
      <c r="AQ22" s="3"/>
      <c r="AR22" s="40"/>
      <c r="AS22" s="238"/>
    </row>
    <row r="23" spans="1:45" s="229" customFormat="1">
      <c r="A23" s="42" t="s">
        <v>319</v>
      </c>
      <c r="B23" s="386">
        <v>-5.6630000000000003</v>
      </c>
      <c r="C23" s="229" t="s">
        <v>110</v>
      </c>
      <c r="D23" s="229" t="s">
        <v>622</v>
      </c>
      <c r="E23" s="229" t="s">
        <v>3</v>
      </c>
      <c r="F23" s="229">
        <v>598</v>
      </c>
      <c r="G23" s="40">
        <f>F23/496</f>
        <v>1.2056451612903225</v>
      </c>
      <c r="H23" s="14">
        <v>0</v>
      </c>
      <c r="I23" s="229">
        <v>1</v>
      </c>
      <c r="J23" s="229">
        <v>0</v>
      </c>
      <c r="K23" s="26">
        <v>0</v>
      </c>
      <c r="L23" s="14">
        <v>0</v>
      </c>
      <c r="M23" s="229">
        <v>0</v>
      </c>
      <c r="N23" s="229">
        <v>0</v>
      </c>
      <c r="O23" s="229">
        <v>0</v>
      </c>
      <c r="P23" s="26">
        <v>0</v>
      </c>
      <c r="Q23" s="14">
        <v>0</v>
      </c>
      <c r="R23" s="24">
        <v>0</v>
      </c>
      <c r="S23" s="24">
        <v>0</v>
      </c>
      <c r="T23" s="24">
        <v>0</v>
      </c>
      <c r="U23" s="24">
        <v>0</v>
      </c>
      <c r="V23" s="24">
        <v>0</v>
      </c>
      <c r="W23" s="24">
        <v>0</v>
      </c>
      <c r="X23" s="24">
        <v>0</v>
      </c>
      <c r="Y23" s="24">
        <v>0</v>
      </c>
      <c r="Z23" s="24">
        <v>0</v>
      </c>
      <c r="AA23" s="24">
        <v>0</v>
      </c>
      <c r="AB23" s="24"/>
      <c r="AC23" s="12">
        <v>2</v>
      </c>
      <c r="AD23" s="14">
        <v>5</v>
      </c>
      <c r="AE23" s="14">
        <v>157</v>
      </c>
      <c r="AF23" s="26">
        <v>372</v>
      </c>
      <c r="AG23" s="12">
        <v>124</v>
      </c>
      <c r="AH23" s="14">
        <v>0</v>
      </c>
      <c r="AI23" s="209"/>
      <c r="AJ23" s="3"/>
      <c r="AK23" s="3"/>
      <c r="AL23" s="3"/>
      <c r="AM23" s="3"/>
      <c r="AN23" s="3"/>
      <c r="AO23" s="40"/>
      <c r="AP23" s="209"/>
      <c r="AQ23" s="3"/>
      <c r="AR23" s="40"/>
      <c r="AS23" s="238"/>
    </row>
    <row r="24" spans="1:45" s="229" customFormat="1">
      <c r="A24" s="42" t="s">
        <v>319</v>
      </c>
      <c r="B24" s="386">
        <v>-5.6630000000000003</v>
      </c>
      <c r="C24" s="229" t="s">
        <v>110</v>
      </c>
      <c r="D24" s="229" t="s">
        <v>619</v>
      </c>
      <c r="F24" s="229">
        <v>1225</v>
      </c>
      <c r="G24" s="40">
        <f>F24/702</f>
        <v>1.745014245014245</v>
      </c>
      <c r="H24" s="14">
        <v>0</v>
      </c>
      <c r="I24" s="229">
        <v>1</v>
      </c>
      <c r="J24" s="229">
        <v>0</v>
      </c>
      <c r="K24" s="26">
        <v>0</v>
      </c>
      <c r="L24" s="14">
        <v>0</v>
      </c>
      <c r="M24" s="229">
        <v>0</v>
      </c>
      <c r="N24" s="229">
        <v>0</v>
      </c>
      <c r="O24" s="229">
        <v>0</v>
      </c>
      <c r="P24" s="26">
        <v>0</v>
      </c>
      <c r="Q24" s="14">
        <v>0</v>
      </c>
      <c r="R24" s="24">
        <v>0</v>
      </c>
      <c r="S24" s="24">
        <v>0</v>
      </c>
      <c r="T24" s="24">
        <v>0</v>
      </c>
      <c r="U24" s="24">
        <v>0</v>
      </c>
      <c r="V24" s="24">
        <v>0</v>
      </c>
      <c r="W24" s="24">
        <v>0</v>
      </c>
      <c r="X24" s="24">
        <v>0</v>
      </c>
      <c r="Y24" s="24">
        <v>0</v>
      </c>
      <c r="Z24" s="24">
        <v>0</v>
      </c>
      <c r="AA24" s="24">
        <v>0</v>
      </c>
      <c r="AB24" s="24"/>
      <c r="AC24" s="12">
        <v>2</v>
      </c>
      <c r="AD24" s="14">
        <v>2</v>
      </c>
      <c r="AE24" s="14">
        <v>627</v>
      </c>
      <c r="AF24" s="26">
        <v>845</v>
      </c>
      <c r="AG24" s="12">
        <v>193</v>
      </c>
      <c r="AH24" s="14">
        <v>0</v>
      </c>
      <c r="AI24" s="209"/>
      <c r="AJ24" s="3"/>
      <c r="AK24" s="3"/>
      <c r="AL24" s="3"/>
      <c r="AM24" s="3"/>
      <c r="AN24" s="3"/>
      <c r="AO24" s="40"/>
      <c r="AP24" s="209"/>
      <c r="AQ24" s="3"/>
      <c r="AR24" s="40"/>
      <c r="AS24" s="238"/>
    </row>
    <row r="25" spans="1:45" s="229" customFormat="1">
      <c r="A25" s="42" t="s">
        <v>319</v>
      </c>
      <c r="B25" s="386">
        <v>-5.6630000000000003</v>
      </c>
      <c r="C25" s="229" t="s">
        <v>110</v>
      </c>
      <c r="D25" s="229" t="s">
        <v>623</v>
      </c>
      <c r="F25" s="229">
        <v>868</v>
      </c>
      <c r="G25" s="40">
        <f>F25/571</f>
        <v>1.520140105078809</v>
      </c>
      <c r="H25" s="14">
        <v>0</v>
      </c>
      <c r="I25" s="229">
        <v>0</v>
      </c>
      <c r="J25" s="229">
        <v>1</v>
      </c>
      <c r="K25" s="26">
        <v>0</v>
      </c>
      <c r="L25" s="14">
        <v>0</v>
      </c>
      <c r="M25" s="229">
        <v>0</v>
      </c>
      <c r="N25" s="229">
        <v>1</v>
      </c>
      <c r="O25" s="229">
        <v>0</v>
      </c>
      <c r="P25" s="26">
        <v>1</v>
      </c>
      <c r="Q25" s="14">
        <v>10</v>
      </c>
      <c r="R25" s="229">
        <v>0</v>
      </c>
      <c r="S25" s="229">
        <v>0</v>
      </c>
      <c r="T25" s="229">
        <v>0</v>
      </c>
      <c r="U25" s="229">
        <v>0</v>
      </c>
      <c r="V25" s="229">
        <v>0</v>
      </c>
      <c r="W25" s="229">
        <v>0</v>
      </c>
      <c r="X25" s="229">
        <v>34</v>
      </c>
      <c r="Y25" s="229">
        <v>245</v>
      </c>
      <c r="Z25" s="229">
        <v>0</v>
      </c>
      <c r="AA25" s="229">
        <v>0</v>
      </c>
      <c r="AC25" s="12">
        <v>1</v>
      </c>
      <c r="AD25" s="14">
        <v>1</v>
      </c>
      <c r="AE25" s="14">
        <v>0</v>
      </c>
      <c r="AF25" s="26">
        <v>0</v>
      </c>
      <c r="AG25" s="12">
        <v>187</v>
      </c>
      <c r="AH25" s="14">
        <v>0</v>
      </c>
      <c r="AI25" s="209"/>
      <c r="AJ25" s="3"/>
      <c r="AK25" s="3"/>
      <c r="AL25" s="3"/>
      <c r="AM25" s="3"/>
      <c r="AN25" s="3"/>
      <c r="AO25" s="40"/>
      <c r="AP25" s="209"/>
      <c r="AQ25" s="3"/>
      <c r="AR25" s="40"/>
      <c r="AS25" s="238"/>
    </row>
    <row r="26" spans="1:45" s="229" customFormat="1">
      <c r="A26" s="42" t="s">
        <v>319</v>
      </c>
      <c r="B26" s="386">
        <v>-5.6630000000000003</v>
      </c>
      <c r="C26" s="229" t="s">
        <v>110</v>
      </c>
      <c r="D26" s="229" t="s">
        <v>624</v>
      </c>
      <c r="E26" s="229" t="s">
        <v>0</v>
      </c>
      <c r="F26" s="229">
        <v>368</v>
      </c>
      <c r="G26" s="40">
        <f>F26/158</f>
        <v>2.3291139240506329</v>
      </c>
      <c r="H26" s="14">
        <v>0</v>
      </c>
      <c r="I26" s="229">
        <v>1</v>
      </c>
      <c r="J26" s="229">
        <v>0</v>
      </c>
      <c r="K26" s="26">
        <v>0</v>
      </c>
      <c r="L26" s="14">
        <v>0</v>
      </c>
      <c r="M26" s="229">
        <v>0</v>
      </c>
      <c r="N26" s="229">
        <v>0</v>
      </c>
      <c r="O26" s="229">
        <v>0</v>
      </c>
      <c r="P26" s="26">
        <v>0</v>
      </c>
      <c r="Q26" s="14">
        <v>0</v>
      </c>
      <c r="R26" s="24">
        <v>0</v>
      </c>
      <c r="S26" s="24">
        <v>0</v>
      </c>
      <c r="T26" s="24">
        <v>0</v>
      </c>
      <c r="U26" s="24">
        <v>0</v>
      </c>
      <c r="V26" s="24">
        <v>0</v>
      </c>
      <c r="W26" s="24">
        <v>0</v>
      </c>
      <c r="X26" s="24">
        <v>0</v>
      </c>
      <c r="Y26" s="24">
        <v>0</v>
      </c>
      <c r="Z26" s="24">
        <v>0</v>
      </c>
      <c r="AA26" s="24">
        <v>0</v>
      </c>
      <c r="AB26" s="24"/>
      <c r="AC26" s="12">
        <v>2</v>
      </c>
      <c r="AD26" s="14">
        <v>3</v>
      </c>
      <c r="AE26" s="14">
        <v>132</v>
      </c>
      <c r="AF26" s="26">
        <v>185</v>
      </c>
      <c r="AG26" s="12">
        <v>95</v>
      </c>
      <c r="AH26" s="14">
        <v>0</v>
      </c>
      <c r="AI26" s="209"/>
      <c r="AJ26" s="3"/>
      <c r="AK26" s="3"/>
      <c r="AL26" s="3"/>
      <c r="AM26" s="3"/>
      <c r="AN26" s="3"/>
      <c r="AO26" s="40"/>
      <c r="AP26" s="209"/>
      <c r="AQ26" s="3"/>
      <c r="AR26" s="40"/>
      <c r="AS26" s="238"/>
    </row>
    <row r="27" spans="1:45" s="229" customFormat="1">
      <c r="A27" s="42" t="s">
        <v>319</v>
      </c>
      <c r="B27" s="386">
        <v>-5.6630000000000003</v>
      </c>
      <c r="C27" s="229" t="s">
        <v>110</v>
      </c>
      <c r="D27" s="229" t="s">
        <v>625</v>
      </c>
      <c r="E27" s="229" t="s">
        <v>1</v>
      </c>
      <c r="F27" s="229">
        <v>150</v>
      </c>
      <c r="G27" s="40">
        <f>F27/114</f>
        <v>1.3157894736842106</v>
      </c>
      <c r="H27" s="14">
        <v>1</v>
      </c>
      <c r="I27" s="229">
        <v>0</v>
      </c>
      <c r="J27" s="229">
        <v>0</v>
      </c>
      <c r="K27" s="26">
        <v>0</v>
      </c>
      <c r="L27" s="14">
        <v>0</v>
      </c>
      <c r="M27" s="229">
        <v>0</v>
      </c>
      <c r="N27" s="229">
        <v>0</v>
      </c>
      <c r="O27" s="229">
        <v>0</v>
      </c>
      <c r="P27" s="26">
        <v>0</v>
      </c>
      <c r="Q27" s="14">
        <v>0</v>
      </c>
      <c r="R27" s="24">
        <v>0</v>
      </c>
      <c r="S27" s="24">
        <v>0</v>
      </c>
      <c r="T27" s="24">
        <v>0</v>
      </c>
      <c r="U27" s="24">
        <v>0</v>
      </c>
      <c r="V27" s="24">
        <v>0</v>
      </c>
      <c r="W27" s="24">
        <v>0</v>
      </c>
      <c r="X27" s="24">
        <v>0</v>
      </c>
      <c r="Y27" s="24">
        <v>0</v>
      </c>
      <c r="Z27" s="24">
        <v>0</v>
      </c>
      <c r="AA27" s="24">
        <v>0</v>
      </c>
      <c r="AB27" s="24"/>
      <c r="AC27" s="12">
        <v>1</v>
      </c>
      <c r="AD27" s="14">
        <v>1</v>
      </c>
      <c r="AE27" s="14">
        <v>0</v>
      </c>
      <c r="AF27" s="26">
        <v>0</v>
      </c>
      <c r="AG27" s="12">
        <v>95</v>
      </c>
      <c r="AH27" s="14">
        <v>0</v>
      </c>
      <c r="AI27" s="209"/>
      <c r="AJ27" s="3"/>
      <c r="AK27" s="3"/>
      <c r="AL27" s="3"/>
      <c r="AM27" s="3"/>
      <c r="AN27" s="3"/>
      <c r="AO27" s="40"/>
      <c r="AP27" s="209"/>
      <c r="AQ27" s="3"/>
      <c r="AR27" s="40"/>
      <c r="AS27" s="238"/>
    </row>
    <row r="28" spans="1:45" s="229" customFormat="1">
      <c r="A28" s="42" t="s">
        <v>319</v>
      </c>
      <c r="B28" s="386">
        <v>-5.6630000000000003</v>
      </c>
      <c r="C28" s="229" t="s">
        <v>110</v>
      </c>
      <c r="D28" s="229" t="s">
        <v>625</v>
      </c>
      <c r="E28" s="229" t="s">
        <v>2</v>
      </c>
      <c r="F28" s="229">
        <v>443</v>
      </c>
      <c r="G28" s="40">
        <f>F28/291</f>
        <v>1.5223367697594501</v>
      </c>
      <c r="H28" s="14">
        <v>0</v>
      </c>
      <c r="I28" s="229">
        <v>1</v>
      </c>
      <c r="J28" s="229">
        <v>0</v>
      </c>
      <c r="K28" s="26">
        <v>0</v>
      </c>
      <c r="L28" s="14">
        <v>0</v>
      </c>
      <c r="M28" s="229">
        <v>0</v>
      </c>
      <c r="N28" s="229">
        <v>0</v>
      </c>
      <c r="O28" s="229">
        <v>0</v>
      </c>
      <c r="P28" s="26">
        <v>0</v>
      </c>
      <c r="Q28" s="14">
        <v>0</v>
      </c>
      <c r="R28" s="24">
        <v>0</v>
      </c>
      <c r="S28" s="24">
        <v>0</v>
      </c>
      <c r="T28" s="24">
        <v>0</v>
      </c>
      <c r="U28" s="24">
        <v>0</v>
      </c>
      <c r="V28" s="24">
        <v>0</v>
      </c>
      <c r="W28" s="24">
        <v>0</v>
      </c>
      <c r="X28" s="24">
        <v>0</v>
      </c>
      <c r="Y28" s="24">
        <v>0</v>
      </c>
      <c r="Z28" s="24">
        <v>0</v>
      </c>
      <c r="AA28" s="24">
        <v>0</v>
      </c>
      <c r="AB28" s="24"/>
      <c r="AC28" s="12">
        <v>1</v>
      </c>
      <c r="AD28" s="14">
        <v>1</v>
      </c>
      <c r="AE28" s="14">
        <v>0</v>
      </c>
      <c r="AF28" s="26">
        <v>0</v>
      </c>
      <c r="AG28" s="12">
        <v>95</v>
      </c>
      <c r="AH28" s="14">
        <v>0</v>
      </c>
      <c r="AI28" s="209"/>
      <c r="AJ28" s="3"/>
      <c r="AK28" s="3"/>
      <c r="AL28" s="3"/>
      <c r="AM28" s="3"/>
      <c r="AN28" s="3"/>
      <c r="AO28" s="40"/>
      <c r="AP28" s="209"/>
      <c r="AQ28" s="3"/>
      <c r="AR28" s="40"/>
      <c r="AS28" s="238"/>
    </row>
    <row r="29" spans="1:45" s="229" customFormat="1">
      <c r="A29" s="42" t="s">
        <v>319</v>
      </c>
      <c r="B29" s="386">
        <v>-5.6630000000000003</v>
      </c>
      <c r="C29" s="229" t="s">
        <v>110</v>
      </c>
      <c r="D29" s="229" t="s">
        <v>626</v>
      </c>
      <c r="F29" s="229">
        <v>4021</v>
      </c>
      <c r="G29" s="40">
        <f>F29/1640</f>
        <v>2.4518292682926828</v>
      </c>
      <c r="H29" s="14">
        <v>1</v>
      </c>
      <c r="I29" s="229">
        <v>1</v>
      </c>
      <c r="J29" s="229">
        <v>0</v>
      </c>
      <c r="K29" s="26">
        <v>0</v>
      </c>
      <c r="L29" s="14">
        <v>0</v>
      </c>
      <c r="M29" s="229">
        <v>0</v>
      </c>
      <c r="N29" s="229">
        <v>1</v>
      </c>
      <c r="O29" s="229">
        <v>0</v>
      </c>
      <c r="P29" s="26">
        <v>1</v>
      </c>
      <c r="Q29" s="14">
        <v>0</v>
      </c>
      <c r="R29" s="24">
        <v>0</v>
      </c>
      <c r="S29" s="24">
        <v>0</v>
      </c>
      <c r="T29" s="24">
        <v>0</v>
      </c>
      <c r="U29" s="24">
        <v>0</v>
      </c>
      <c r="V29" s="24">
        <v>0</v>
      </c>
      <c r="W29" s="24">
        <v>0</v>
      </c>
      <c r="X29" s="24">
        <v>0</v>
      </c>
      <c r="Y29" s="24">
        <v>0</v>
      </c>
      <c r="Z29" s="24">
        <v>0</v>
      </c>
      <c r="AA29" s="24">
        <v>0</v>
      </c>
      <c r="AB29" s="24"/>
      <c r="AC29" s="12">
        <v>2</v>
      </c>
      <c r="AD29" s="14">
        <v>2</v>
      </c>
      <c r="AE29" s="14">
        <v>2367</v>
      </c>
      <c r="AF29" s="26">
        <v>3539</v>
      </c>
      <c r="AG29" s="12">
        <v>123</v>
      </c>
      <c r="AH29" s="14">
        <v>0</v>
      </c>
      <c r="AI29" s="209">
        <v>88</v>
      </c>
      <c r="AJ29" s="3"/>
      <c r="AK29" s="3"/>
      <c r="AL29" s="3"/>
      <c r="AM29" s="3"/>
      <c r="AN29" s="3"/>
      <c r="AO29" s="40"/>
      <c r="AP29" s="209">
        <v>84</v>
      </c>
      <c r="AQ29" s="3"/>
      <c r="AR29" s="40"/>
      <c r="AS29" s="238"/>
    </row>
    <row r="30" spans="1:45" s="229" customFormat="1">
      <c r="A30" s="42" t="s">
        <v>319</v>
      </c>
      <c r="B30" s="386">
        <v>-5.6630000000000003</v>
      </c>
      <c r="C30" s="229" t="s">
        <v>110</v>
      </c>
      <c r="D30" s="229" t="s">
        <v>627</v>
      </c>
      <c r="E30" s="229">
        <v>2</v>
      </c>
      <c r="F30" s="229">
        <v>946</v>
      </c>
      <c r="G30" s="40">
        <f>F30/579</f>
        <v>1.6338514680483593</v>
      </c>
      <c r="H30" s="14">
        <v>0</v>
      </c>
      <c r="I30" s="229">
        <v>1</v>
      </c>
      <c r="J30" s="229">
        <v>0</v>
      </c>
      <c r="K30" s="26">
        <v>0</v>
      </c>
      <c r="L30" s="14">
        <v>0</v>
      </c>
      <c r="M30" s="229">
        <v>0</v>
      </c>
      <c r="N30" s="229">
        <v>1</v>
      </c>
      <c r="O30" s="229">
        <v>0</v>
      </c>
      <c r="P30" s="26">
        <v>1</v>
      </c>
      <c r="Q30" s="14">
        <v>0</v>
      </c>
      <c r="R30" s="24">
        <v>0</v>
      </c>
      <c r="S30" s="24">
        <v>0</v>
      </c>
      <c r="T30" s="24">
        <v>0</v>
      </c>
      <c r="U30" s="24">
        <v>0</v>
      </c>
      <c r="V30" s="24">
        <v>0</v>
      </c>
      <c r="W30" s="24">
        <v>0</v>
      </c>
      <c r="X30" s="24">
        <v>0</v>
      </c>
      <c r="Y30" s="24">
        <v>0</v>
      </c>
      <c r="Z30" s="24">
        <v>0</v>
      </c>
      <c r="AA30" s="24">
        <v>0</v>
      </c>
      <c r="AB30" s="24"/>
      <c r="AC30" s="12">
        <v>2</v>
      </c>
      <c r="AD30" s="14">
        <v>7</v>
      </c>
      <c r="AE30" s="14">
        <v>95</v>
      </c>
      <c r="AF30" s="26">
        <v>465</v>
      </c>
      <c r="AG30" s="12">
        <v>156</v>
      </c>
      <c r="AH30" s="14">
        <v>0</v>
      </c>
      <c r="AI30" s="209"/>
      <c r="AJ30" s="3"/>
      <c r="AK30" s="3"/>
      <c r="AL30" s="3"/>
      <c r="AM30" s="3"/>
      <c r="AN30" s="3"/>
      <c r="AO30" s="40"/>
      <c r="AP30" s="209"/>
      <c r="AQ30" s="3"/>
      <c r="AR30" s="40"/>
      <c r="AS30" s="238"/>
    </row>
    <row r="31" spans="1:45" s="229" customFormat="1" ht="17" thickBot="1">
      <c r="A31" s="55" t="s">
        <v>319</v>
      </c>
      <c r="B31" s="385">
        <v>-5.6630000000000003</v>
      </c>
      <c r="C31" s="36" t="s">
        <v>110</v>
      </c>
      <c r="D31" s="36" t="s">
        <v>628</v>
      </c>
      <c r="E31" s="36" t="s">
        <v>0</v>
      </c>
      <c r="F31" s="36">
        <v>397</v>
      </c>
      <c r="G31" s="48">
        <f>F31/315</f>
        <v>1.2603174603174603</v>
      </c>
      <c r="H31" s="34">
        <v>0</v>
      </c>
      <c r="I31" s="36">
        <v>1</v>
      </c>
      <c r="J31" s="36">
        <v>0</v>
      </c>
      <c r="K31" s="35">
        <v>0</v>
      </c>
      <c r="L31" s="34">
        <v>0</v>
      </c>
      <c r="M31" s="36">
        <v>0</v>
      </c>
      <c r="N31" s="36">
        <v>1</v>
      </c>
      <c r="O31" s="36">
        <v>0</v>
      </c>
      <c r="P31" s="35">
        <v>1</v>
      </c>
      <c r="Q31" s="34">
        <v>0</v>
      </c>
      <c r="R31" s="103">
        <v>0</v>
      </c>
      <c r="S31" s="103">
        <v>0</v>
      </c>
      <c r="T31" s="103">
        <v>0</v>
      </c>
      <c r="U31" s="103">
        <v>0</v>
      </c>
      <c r="V31" s="103">
        <v>0</v>
      </c>
      <c r="W31" s="103">
        <v>0</v>
      </c>
      <c r="X31" s="103">
        <v>0</v>
      </c>
      <c r="Y31" s="103">
        <v>0</v>
      </c>
      <c r="Z31" s="103">
        <v>0</v>
      </c>
      <c r="AA31" s="103">
        <v>0</v>
      </c>
      <c r="AB31" s="103"/>
      <c r="AC31" s="33">
        <v>1</v>
      </c>
      <c r="AD31" s="34">
        <v>1</v>
      </c>
      <c r="AE31" s="34">
        <v>0</v>
      </c>
      <c r="AF31" s="35">
        <v>0</v>
      </c>
      <c r="AG31" s="33">
        <v>95</v>
      </c>
      <c r="AH31" s="34">
        <v>1</v>
      </c>
      <c r="AI31" s="210"/>
      <c r="AJ31" s="51"/>
      <c r="AK31" s="51"/>
      <c r="AL31" s="51"/>
      <c r="AM31" s="51"/>
      <c r="AN31" s="51"/>
      <c r="AO31" s="48"/>
      <c r="AP31" s="210"/>
      <c r="AQ31" s="51"/>
      <c r="AR31" s="48"/>
      <c r="AS31" s="239"/>
    </row>
    <row r="32" spans="1:45" s="229" customFormat="1">
      <c r="A32" s="42" t="s">
        <v>319</v>
      </c>
      <c r="B32" s="384">
        <v>-5.6630000000000003</v>
      </c>
      <c r="C32" s="8" t="s">
        <v>115</v>
      </c>
      <c r="D32" s="8" t="s">
        <v>618</v>
      </c>
      <c r="E32" s="8" t="s">
        <v>0</v>
      </c>
      <c r="F32" s="8">
        <v>327</v>
      </c>
      <c r="G32" s="10">
        <f>F32/246</f>
        <v>1.3292682926829269</v>
      </c>
      <c r="H32" s="11">
        <v>0</v>
      </c>
      <c r="I32" s="8">
        <v>0</v>
      </c>
      <c r="J32" s="8">
        <v>0</v>
      </c>
      <c r="K32" s="41">
        <v>1</v>
      </c>
      <c r="L32" s="11">
        <v>0</v>
      </c>
      <c r="M32" s="8">
        <v>0</v>
      </c>
      <c r="N32" s="8">
        <v>0</v>
      </c>
      <c r="O32" s="8">
        <v>1</v>
      </c>
      <c r="P32" s="41">
        <v>1</v>
      </c>
      <c r="Q32" s="11">
        <v>0</v>
      </c>
      <c r="R32" s="100">
        <v>0</v>
      </c>
      <c r="S32" s="100">
        <v>0</v>
      </c>
      <c r="T32" s="100">
        <v>0</v>
      </c>
      <c r="U32" s="100">
        <v>0</v>
      </c>
      <c r="V32" s="100">
        <v>0</v>
      </c>
      <c r="W32" s="100">
        <v>0</v>
      </c>
      <c r="X32" s="100">
        <v>0</v>
      </c>
      <c r="Y32" s="100">
        <v>0</v>
      </c>
      <c r="Z32" s="100">
        <v>0</v>
      </c>
      <c r="AA32" s="100">
        <v>0</v>
      </c>
      <c r="AB32" s="100"/>
      <c r="AC32" s="9">
        <v>1</v>
      </c>
      <c r="AD32" s="11">
        <v>1</v>
      </c>
      <c r="AE32" s="11">
        <v>0</v>
      </c>
      <c r="AF32" s="41">
        <v>0</v>
      </c>
      <c r="AG32" s="9">
        <v>109</v>
      </c>
      <c r="AH32" s="11">
        <v>0</v>
      </c>
      <c r="AI32" s="208"/>
      <c r="AJ32" s="54"/>
      <c r="AK32" s="54"/>
      <c r="AL32" s="54"/>
      <c r="AM32" s="54"/>
      <c r="AN32" s="54"/>
      <c r="AO32" s="10"/>
      <c r="AP32" s="208"/>
      <c r="AQ32" s="54"/>
      <c r="AR32" s="10"/>
      <c r="AS32" s="237"/>
    </row>
    <row r="33" spans="1:45" s="229" customFormat="1">
      <c r="A33" s="42" t="s">
        <v>319</v>
      </c>
      <c r="B33" s="386">
        <v>-5.6630000000000003</v>
      </c>
      <c r="C33" s="229" t="s">
        <v>115</v>
      </c>
      <c r="D33" s="229" t="s">
        <v>423</v>
      </c>
      <c r="E33" s="229" t="s">
        <v>1</v>
      </c>
      <c r="F33" s="229">
        <v>229</v>
      </c>
      <c r="G33" s="40">
        <f>F33/164</f>
        <v>1.3963414634146341</v>
      </c>
      <c r="H33" s="14">
        <v>1</v>
      </c>
      <c r="I33" s="229">
        <v>0</v>
      </c>
      <c r="J33" s="229">
        <v>0</v>
      </c>
      <c r="K33" s="26">
        <v>0</v>
      </c>
      <c r="L33" s="14">
        <v>0</v>
      </c>
      <c r="M33" s="229">
        <v>0</v>
      </c>
      <c r="N33" s="229">
        <v>0</v>
      </c>
      <c r="O33" s="229">
        <v>1</v>
      </c>
      <c r="P33" s="26">
        <v>1</v>
      </c>
      <c r="Q33" s="14">
        <v>15</v>
      </c>
      <c r="R33" s="229">
        <v>0</v>
      </c>
      <c r="S33" s="229">
        <v>51</v>
      </c>
      <c r="T33" s="229">
        <v>0</v>
      </c>
      <c r="U33" s="229">
        <v>0</v>
      </c>
      <c r="V33" s="229">
        <v>0</v>
      </c>
      <c r="W33" s="229">
        <v>0</v>
      </c>
      <c r="X33" s="229">
        <v>0</v>
      </c>
      <c r="Y33" s="229">
        <v>0</v>
      </c>
      <c r="Z33" s="229">
        <v>0</v>
      </c>
      <c r="AA33" s="229">
        <v>0</v>
      </c>
      <c r="AC33" s="12">
        <v>1</v>
      </c>
      <c r="AD33" s="14">
        <v>1</v>
      </c>
      <c r="AE33" s="14">
        <v>0</v>
      </c>
      <c r="AF33" s="26">
        <v>0</v>
      </c>
      <c r="AG33" s="12">
        <v>109</v>
      </c>
      <c r="AH33" s="14">
        <v>0</v>
      </c>
      <c r="AI33" s="209"/>
      <c r="AJ33" s="3"/>
      <c r="AK33" s="3"/>
      <c r="AL33" s="3"/>
      <c r="AM33" s="3"/>
      <c r="AN33" s="3"/>
      <c r="AO33" s="40"/>
      <c r="AP33" s="209"/>
      <c r="AQ33" s="3"/>
      <c r="AR33" s="40"/>
      <c r="AS33" s="238"/>
    </row>
    <row r="34" spans="1:45" s="229" customFormat="1">
      <c r="A34" s="42" t="s">
        <v>319</v>
      </c>
      <c r="B34" s="386">
        <v>-5.6630000000000003</v>
      </c>
      <c r="C34" s="229" t="s">
        <v>115</v>
      </c>
      <c r="D34" s="229" t="s">
        <v>423</v>
      </c>
      <c r="E34" s="229" t="s">
        <v>2</v>
      </c>
      <c r="F34" s="229">
        <v>256</v>
      </c>
      <c r="G34" s="40">
        <f>F34/122</f>
        <v>2.098360655737705</v>
      </c>
      <c r="H34" s="14">
        <v>0</v>
      </c>
      <c r="I34" s="229">
        <v>0</v>
      </c>
      <c r="J34" s="229">
        <v>0</v>
      </c>
      <c r="K34" s="26">
        <v>1</v>
      </c>
      <c r="L34" s="14">
        <v>0</v>
      </c>
      <c r="M34" s="229">
        <v>0</v>
      </c>
      <c r="N34" s="229">
        <v>0</v>
      </c>
      <c r="O34" s="229">
        <v>1</v>
      </c>
      <c r="P34" s="26">
        <v>1</v>
      </c>
      <c r="Q34" s="14">
        <v>0</v>
      </c>
      <c r="R34" s="229">
        <v>0</v>
      </c>
      <c r="S34" s="229">
        <v>0</v>
      </c>
      <c r="T34" s="229">
        <v>0</v>
      </c>
      <c r="U34" s="229">
        <v>0</v>
      </c>
      <c r="V34" s="229">
        <v>0</v>
      </c>
      <c r="W34" s="229">
        <v>0</v>
      </c>
      <c r="X34" s="229">
        <v>0</v>
      </c>
      <c r="Y34" s="229">
        <v>0</v>
      </c>
      <c r="Z34" s="229">
        <v>0</v>
      </c>
      <c r="AA34" s="229">
        <v>0</v>
      </c>
      <c r="AC34" s="12">
        <v>1</v>
      </c>
      <c r="AD34" s="14">
        <v>1</v>
      </c>
      <c r="AE34" s="14">
        <v>0</v>
      </c>
      <c r="AF34" s="26">
        <v>0</v>
      </c>
      <c r="AG34" s="12">
        <v>109</v>
      </c>
      <c r="AH34" s="14">
        <v>0</v>
      </c>
      <c r="AI34" s="209"/>
      <c r="AJ34" s="3"/>
      <c r="AK34" s="3"/>
      <c r="AL34" s="3"/>
      <c r="AM34" s="3"/>
      <c r="AN34" s="3"/>
      <c r="AO34" s="40"/>
      <c r="AP34" s="209"/>
      <c r="AQ34" s="3"/>
      <c r="AR34" s="40"/>
      <c r="AS34" s="238"/>
    </row>
    <row r="35" spans="1:45" s="229" customFormat="1">
      <c r="A35" s="42" t="s">
        <v>319</v>
      </c>
      <c r="B35" s="386">
        <v>-5.6630000000000003</v>
      </c>
      <c r="C35" s="229" t="s">
        <v>115</v>
      </c>
      <c r="D35" s="229" t="s">
        <v>423</v>
      </c>
      <c r="E35" s="229" t="s">
        <v>3</v>
      </c>
      <c r="F35" s="229">
        <v>173</v>
      </c>
      <c r="G35" s="40">
        <f>F35/84</f>
        <v>2.0595238095238093</v>
      </c>
      <c r="H35" s="14">
        <v>0</v>
      </c>
      <c r="I35" s="229">
        <v>0</v>
      </c>
      <c r="J35" s="229">
        <v>0</v>
      </c>
      <c r="K35" s="26">
        <v>1</v>
      </c>
      <c r="L35" s="14">
        <v>0</v>
      </c>
      <c r="M35" s="229">
        <v>0</v>
      </c>
      <c r="N35" s="229">
        <v>0</v>
      </c>
      <c r="O35" s="229">
        <v>0</v>
      </c>
      <c r="P35" s="26">
        <v>0</v>
      </c>
      <c r="Q35" s="14">
        <v>0</v>
      </c>
      <c r="R35" s="229">
        <v>0</v>
      </c>
      <c r="S35" s="229">
        <v>0</v>
      </c>
      <c r="T35" s="229">
        <v>0</v>
      </c>
      <c r="U35" s="229">
        <v>0</v>
      </c>
      <c r="V35" s="229">
        <v>0</v>
      </c>
      <c r="W35" s="229">
        <v>0</v>
      </c>
      <c r="X35" s="229">
        <v>0</v>
      </c>
      <c r="Y35" s="229">
        <v>0</v>
      </c>
      <c r="Z35" s="229">
        <v>0</v>
      </c>
      <c r="AA35" s="229">
        <v>0</v>
      </c>
      <c r="AC35" s="12">
        <v>1</v>
      </c>
      <c r="AD35" s="14">
        <v>1</v>
      </c>
      <c r="AE35" s="14">
        <v>0</v>
      </c>
      <c r="AF35" s="26">
        <v>0</v>
      </c>
      <c r="AG35" s="12">
        <v>109</v>
      </c>
      <c r="AH35" s="14">
        <v>0</v>
      </c>
      <c r="AI35" s="209"/>
      <c r="AJ35" s="3"/>
      <c r="AK35" s="3"/>
      <c r="AL35" s="3"/>
      <c r="AM35" s="3"/>
      <c r="AN35" s="3"/>
      <c r="AO35" s="40"/>
      <c r="AP35" s="209"/>
      <c r="AQ35" s="3"/>
      <c r="AR35" s="40"/>
      <c r="AS35" s="238"/>
    </row>
    <row r="36" spans="1:45" s="229" customFormat="1">
      <c r="A36" s="42" t="s">
        <v>319</v>
      </c>
      <c r="B36" s="386">
        <v>-5.6630000000000003</v>
      </c>
      <c r="C36" s="229" t="s">
        <v>115</v>
      </c>
      <c r="D36" s="229" t="s">
        <v>621</v>
      </c>
      <c r="E36" s="229" t="s">
        <v>0</v>
      </c>
      <c r="F36" s="229">
        <v>264</v>
      </c>
      <c r="G36" s="40">
        <f>F36/119</f>
        <v>2.2184873949579833</v>
      </c>
      <c r="H36" s="14">
        <v>0</v>
      </c>
      <c r="I36" s="229">
        <v>0</v>
      </c>
      <c r="J36" s="229">
        <v>0</v>
      </c>
      <c r="K36" s="26">
        <v>1</v>
      </c>
      <c r="L36" s="14">
        <v>0</v>
      </c>
      <c r="M36" s="229">
        <v>0</v>
      </c>
      <c r="N36" s="229">
        <v>0</v>
      </c>
      <c r="O36" s="229">
        <v>0</v>
      </c>
      <c r="P36" s="26">
        <v>0</v>
      </c>
      <c r="Q36" s="14">
        <v>2</v>
      </c>
      <c r="R36" s="229">
        <v>0</v>
      </c>
      <c r="S36" s="229">
        <v>9</v>
      </c>
      <c r="T36" s="229">
        <v>0</v>
      </c>
      <c r="U36" s="229">
        <v>0</v>
      </c>
      <c r="V36" s="229">
        <v>0</v>
      </c>
      <c r="W36" s="229">
        <v>20</v>
      </c>
      <c r="X36" s="229">
        <v>0</v>
      </c>
      <c r="Y36" s="229">
        <v>0</v>
      </c>
      <c r="Z36" s="229">
        <v>0</v>
      </c>
      <c r="AA36" s="229">
        <v>0</v>
      </c>
      <c r="AC36" s="12">
        <v>2</v>
      </c>
      <c r="AD36" s="14">
        <v>2</v>
      </c>
      <c r="AE36" s="14">
        <v>153</v>
      </c>
      <c r="AF36" s="26">
        <v>167</v>
      </c>
      <c r="AG36" s="12">
        <v>125</v>
      </c>
      <c r="AH36" s="14">
        <v>1</v>
      </c>
      <c r="AI36" s="209"/>
      <c r="AJ36" s="3"/>
      <c r="AK36" s="3"/>
      <c r="AL36" s="3"/>
      <c r="AM36" s="3"/>
      <c r="AN36" s="3"/>
      <c r="AO36" s="40"/>
      <c r="AP36" s="209"/>
      <c r="AQ36" s="3"/>
      <c r="AR36" s="40"/>
      <c r="AS36" s="238"/>
    </row>
    <row r="37" spans="1:45" s="229" customFormat="1">
      <c r="A37" s="42" t="s">
        <v>319</v>
      </c>
      <c r="B37" s="386">
        <v>-5.6630000000000003</v>
      </c>
      <c r="C37" s="229" t="s">
        <v>115</v>
      </c>
      <c r="D37" s="229" t="s">
        <v>622</v>
      </c>
      <c r="E37" s="229" t="s">
        <v>1</v>
      </c>
      <c r="F37" s="229">
        <v>370</v>
      </c>
      <c r="G37" s="40">
        <f>F37/210</f>
        <v>1.7619047619047619</v>
      </c>
      <c r="H37" s="14">
        <v>0</v>
      </c>
      <c r="I37" s="229">
        <v>0</v>
      </c>
      <c r="J37" s="229">
        <v>0</v>
      </c>
      <c r="K37" s="26">
        <v>1</v>
      </c>
      <c r="L37" s="14">
        <v>0</v>
      </c>
      <c r="M37" s="229">
        <v>0</v>
      </c>
      <c r="N37" s="229">
        <v>0</v>
      </c>
      <c r="O37" s="229">
        <v>0</v>
      </c>
      <c r="P37" s="26">
        <v>0</v>
      </c>
      <c r="Q37" s="14">
        <v>0</v>
      </c>
      <c r="R37" s="229">
        <v>0</v>
      </c>
      <c r="S37" s="229">
        <v>0</v>
      </c>
      <c r="T37" s="229">
        <v>0</v>
      </c>
      <c r="U37" s="229">
        <v>0</v>
      </c>
      <c r="V37" s="229">
        <v>0</v>
      </c>
      <c r="W37" s="229">
        <v>0</v>
      </c>
      <c r="X37" s="229">
        <v>0</v>
      </c>
      <c r="Y37" s="229">
        <v>0</v>
      </c>
      <c r="Z37" s="229">
        <v>0</v>
      </c>
      <c r="AA37" s="229">
        <v>0</v>
      </c>
      <c r="AC37" s="12">
        <v>2</v>
      </c>
      <c r="AD37" s="14">
        <v>2</v>
      </c>
      <c r="AE37" s="14">
        <v>173</v>
      </c>
      <c r="AF37" s="26">
        <v>252</v>
      </c>
      <c r="AG37" s="12">
        <v>125</v>
      </c>
      <c r="AH37" s="14">
        <v>1</v>
      </c>
      <c r="AI37" s="209"/>
      <c r="AJ37" s="3"/>
      <c r="AK37" s="3"/>
      <c r="AL37" s="3"/>
      <c r="AM37" s="3"/>
      <c r="AN37" s="3"/>
      <c r="AO37" s="40"/>
      <c r="AP37" s="209"/>
      <c r="AQ37" s="3"/>
      <c r="AR37" s="40"/>
      <c r="AS37" s="238"/>
    </row>
    <row r="38" spans="1:45" s="229" customFormat="1">
      <c r="A38" s="42" t="s">
        <v>319</v>
      </c>
      <c r="B38" s="386">
        <v>-5.6630000000000003</v>
      </c>
      <c r="C38" s="229" t="s">
        <v>115</v>
      </c>
      <c r="D38" s="229" t="s">
        <v>619</v>
      </c>
      <c r="F38" s="229">
        <v>2246</v>
      </c>
      <c r="G38" s="40">
        <f>F38/691</f>
        <v>3.2503617945007237</v>
      </c>
      <c r="H38" s="14">
        <v>0</v>
      </c>
      <c r="I38" s="229">
        <v>0</v>
      </c>
      <c r="J38" s="229">
        <v>1</v>
      </c>
      <c r="K38" s="26">
        <v>0</v>
      </c>
      <c r="L38" s="14">
        <v>0</v>
      </c>
      <c r="M38" s="229">
        <v>0</v>
      </c>
      <c r="N38" s="229">
        <v>0</v>
      </c>
      <c r="O38" s="229">
        <v>0</v>
      </c>
      <c r="P38" s="26">
        <v>0</v>
      </c>
      <c r="Q38" s="14">
        <v>2</v>
      </c>
      <c r="R38" s="229">
        <v>47</v>
      </c>
      <c r="S38" s="229">
        <v>72</v>
      </c>
      <c r="T38" s="229">
        <v>0</v>
      </c>
      <c r="U38" s="229">
        <v>0</v>
      </c>
      <c r="V38" s="229">
        <v>0</v>
      </c>
      <c r="W38" s="229">
        <v>0</v>
      </c>
      <c r="X38" s="229">
        <v>0</v>
      </c>
      <c r="Y38" s="229">
        <v>44</v>
      </c>
      <c r="Z38" s="229">
        <v>0</v>
      </c>
      <c r="AA38" s="229">
        <v>0</v>
      </c>
      <c r="AC38" s="12">
        <v>1</v>
      </c>
      <c r="AD38" s="14">
        <v>1</v>
      </c>
      <c r="AE38" s="14">
        <v>0</v>
      </c>
      <c r="AF38" s="26">
        <v>0</v>
      </c>
      <c r="AG38" s="12">
        <v>147</v>
      </c>
      <c r="AH38" s="14">
        <v>0</v>
      </c>
      <c r="AI38" s="209">
        <v>85</v>
      </c>
      <c r="AJ38" s="3"/>
      <c r="AK38" s="3"/>
      <c r="AL38" s="3"/>
      <c r="AM38" s="3"/>
      <c r="AN38" s="3"/>
      <c r="AO38" s="40"/>
      <c r="AP38" s="209">
        <v>85</v>
      </c>
      <c r="AQ38" s="3"/>
      <c r="AR38" s="40"/>
      <c r="AS38" s="238"/>
    </row>
    <row r="39" spans="1:45" s="229" customFormat="1">
      <c r="A39" s="42" t="s">
        <v>319</v>
      </c>
      <c r="B39" s="386">
        <v>-5.6630000000000003</v>
      </c>
      <c r="C39" s="229" t="s">
        <v>115</v>
      </c>
      <c r="D39" s="229" t="s">
        <v>623</v>
      </c>
      <c r="E39" s="229" t="s">
        <v>0</v>
      </c>
      <c r="F39" s="229">
        <v>383</v>
      </c>
      <c r="G39" s="40">
        <f>F39/293</f>
        <v>1.3071672354948805</v>
      </c>
      <c r="H39" s="14">
        <v>1</v>
      </c>
      <c r="I39" s="229">
        <v>0</v>
      </c>
      <c r="J39" s="229">
        <v>0</v>
      </c>
      <c r="K39" s="26">
        <v>0</v>
      </c>
      <c r="L39" s="14">
        <v>0</v>
      </c>
      <c r="M39" s="229">
        <v>0</v>
      </c>
      <c r="N39" s="229">
        <v>0</v>
      </c>
      <c r="O39" s="229">
        <v>0</v>
      </c>
      <c r="P39" s="26">
        <v>0</v>
      </c>
      <c r="Q39" s="14">
        <v>10</v>
      </c>
      <c r="R39" s="229">
        <v>26</v>
      </c>
      <c r="S39" s="229">
        <v>66</v>
      </c>
      <c r="T39" s="229">
        <v>0</v>
      </c>
      <c r="U39" s="229">
        <v>0</v>
      </c>
      <c r="V39" s="229">
        <v>0</v>
      </c>
      <c r="W39" s="229">
        <v>0</v>
      </c>
      <c r="X39" s="229">
        <v>0</v>
      </c>
      <c r="Y39" s="229">
        <v>0</v>
      </c>
      <c r="Z39" s="229">
        <v>0</v>
      </c>
      <c r="AA39" s="229">
        <v>0</v>
      </c>
      <c r="AC39" s="12">
        <v>1</v>
      </c>
      <c r="AD39" s="14">
        <v>1</v>
      </c>
      <c r="AE39" s="14">
        <v>0</v>
      </c>
      <c r="AF39" s="26">
        <v>0</v>
      </c>
      <c r="AG39" s="12">
        <v>157</v>
      </c>
      <c r="AH39" s="14">
        <v>0</v>
      </c>
      <c r="AI39" s="209">
        <v>85</v>
      </c>
      <c r="AJ39" s="3"/>
      <c r="AK39" s="3"/>
      <c r="AL39" s="3"/>
      <c r="AM39" s="3"/>
      <c r="AN39" s="3"/>
      <c r="AO39" s="40"/>
      <c r="AP39" s="209">
        <v>85</v>
      </c>
      <c r="AQ39" s="3"/>
      <c r="AR39" s="40"/>
      <c r="AS39" s="238"/>
    </row>
    <row r="40" spans="1:45" s="229" customFormat="1">
      <c r="A40" s="42" t="s">
        <v>319</v>
      </c>
      <c r="B40" s="386">
        <v>-5.6630000000000003</v>
      </c>
      <c r="C40" s="229" t="s">
        <v>115</v>
      </c>
      <c r="D40" s="229" t="s">
        <v>629</v>
      </c>
      <c r="E40" s="229" t="s">
        <v>1</v>
      </c>
      <c r="F40" s="229">
        <v>409</v>
      </c>
      <c r="G40" s="40">
        <f>F40/391</f>
        <v>1.0460358056265984</v>
      </c>
      <c r="H40" s="14">
        <v>1</v>
      </c>
      <c r="I40" s="229">
        <v>0</v>
      </c>
      <c r="J40" s="229">
        <v>1</v>
      </c>
      <c r="K40" s="26">
        <v>1</v>
      </c>
      <c r="L40" s="14">
        <v>0</v>
      </c>
      <c r="M40" s="229">
        <v>0</v>
      </c>
      <c r="N40" s="229">
        <v>0</v>
      </c>
      <c r="O40" s="229">
        <v>0</v>
      </c>
      <c r="P40" s="26">
        <v>0</v>
      </c>
      <c r="Q40" s="14">
        <v>0</v>
      </c>
      <c r="R40" s="229">
        <v>0</v>
      </c>
      <c r="S40" s="229">
        <v>0</v>
      </c>
      <c r="T40" s="229">
        <v>0</v>
      </c>
      <c r="U40" s="229">
        <v>0</v>
      </c>
      <c r="V40" s="229">
        <v>0</v>
      </c>
      <c r="W40" s="229">
        <v>0</v>
      </c>
      <c r="X40" s="229">
        <v>0</v>
      </c>
      <c r="Y40" s="229">
        <v>0</v>
      </c>
      <c r="Z40" s="229">
        <v>0</v>
      </c>
      <c r="AA40" s="229">
        <v>0</v>
      </c>
      <c r="AC40" s="12">
        <v>2</v>
      </c>
      <c r="AD40" s="14">
        <v>3</v>
      </c>
      <c r="AE40" s="14">
        <v>125</v>
      </c>
      <c r="AF40" s="26">
        <v>409</v>
      </c>
      <c r="AG40" s="12">
        <v>157</v>
      </c>
      <c r="AH40" s="14">
        <v>0</v>
      </c>
      <c r="AI40" s="209">
        <v>85</v>
      </c>
      <c r="AJ40" s="3"/>
      <c r="AK40" s="3"/>
      <c r="AL40" s="3"/>
      <c r="AM40" s="3"/>
      <c r="AN40" s="3"/>
      <c r="AO40" s="40"/>
      <c r="AP40" s="209"/>
      <c r="AQ40" s="3"/>
      <c r="AR40" s="40"/>
      <c r="AS40" s="238"/>
    </row>
    <row r="41" spans="1:45" s="229" customFormat="1">
      <c r="A41" s="42" t="s">
        <v>319</v>
      </c>
      <c r="B41" s="386">
        <v>-5.6630000000000003</v>
      </c>
      <c r="C41" s="229" t="s">
        <v>115</v>
      </c>
      <c r="D41" s="229" t="s">
        <v>629</v>
      </c>
      <c r="E41" s="229" t="s">
        <v>2</v>
      </c>
      <c r="F41" s="229">
        <v>252</v>
      </c>
      <c r="G41" s="40">
        <f>F41/151</f>
        <v>1.6688741721854305</v>
      </c>
      <c r="H41" s="14">
        <v>0</v>
      </c>
      <c r="I41" s="229">
        <v>0</v>
      </c>
      <c r="J41" s="229">
        <v>1</v>
      </c>
      <c r="K41" s="26">
        <v>0</v>
      </c>
      <c r="L41" s="14">
        <v>0</v>
      </c>
      <c r="M41" s="229">
        <v>0</v>
      </c>
      <c r="N41" s="229">
        <v>0</v>
      </c>
      <c r="O41" s="229">
        <v>0</v>
      </c>
      <c r="P41" s="26">
        <v>0</v>
      </c>
      <c r="Q41" s="14">
        <v>0</v>
      </c>
      <c r="R41" s="229">
        <v>0</v>
      </c>
      <c r="S41" s="229">
        <v>0</v>
      </c>
      <c r="T41" s="229">
        <v>0</v>
      </c>
      <c r="U41" s="229">
        <v>0</v>
      </c>
      <c r="V41" s="229">
        <v>0</v>
      </c>
      <c r="W41" s="229">
        <v>0</v>
      </c>
      <c r="X41" s="229">
        <v>0</v>
      </c>
      <c r="Y41" s="229">
        <v>0</v>
      </c>
      <c r="Z41" s="229">
        <v>0</v>
      </c>
      <c r="AA41" s="229">
        <v>0</v>
      </c>
      <c r="AC41" s="12">
        <v>2</v>
      </c>
      <c r="AD41" s="14">
        <v>2</v>
      </c>
      <c r="AE41" s="14">
        <v>174</v>
      </c>
      <c r="AF41" s="26">
        <v>191</v>
      </c>
      <c r="AG41" s="12">
        <v>157</v>
      </c>
      <c r="AH41" s="14">
        <v>0</v>
      </c>
      <c r="AI41" s="209"/>
      <c r="AJ41" s="3"/>
      <c r="AK41" s="3"/>
      <c r="AL41" s="3"/>
      <c r="AM41" s="3"/>
      <c r="AN41" s="3"/>
      <c r="AO41" s="40"/>
      <c r="AP41" s="209"/>
      <c r="AQ41" s="3"/>
      <c r="AR41" s="40"/>
      <c r="AS41" s="238"/>
    </row>
    <row r="42" spans="1:45" s="229" customFormat="1">
      <c r="A42" s="42" t="s">
        <v>319</v>
      </c>
      <c r="B42" s="386">
        <v>-5.6630000000000003</v>
      </c>
      <c r="C42" s="229" t="s">
        <v>115</v>
      </c>
      <c r="D42" s="229" t="s">
        <v>624</v>
      </c>
      <c r="E42" s="229" t="s">
        <v>0</v>
      </c>
      <c r="F42" s="229">
        <v>642</v>
      </c>
      <c r="G42" s="40">
        <f>F42/201</f>
        <v>3.1940298507462686</v>
      </c>
      <c r="H42" s="14">
        <v>0</v>
      </c>
      <c r="I42" s="229">
        <v>1</v>
      </c>
      <c r="J42" s="229">
        <v>0</v>
      </c>
      <c r="K42" s="26">
        <v>0</v>
      </c>
      <c r="L42" s="14">
        <v>0</v>
      </c>
      <c r="M42" s="229">
        <v>0</v>
      </c>
      <c r="N42" s="229">
        <v>0</v>
      </c>
      <c r="O42" s="229">
        <v>0</v>
      </c>
      <c r="P42" s="26">
        <v>0</v>
      </c>
      <c r="Q42" s="14">
        <v>0</v>
      </c>
      <c r="R42" s="229">
        <v>0</v>
      </c>
      <c r="S42" s="229">
        <v>0</v>
      </c>
      <c r="T42" s="229">
        <v>0</v>
      </c>
      <c r="U42" s="229">
        <v>0</v>
      </c>
      <c r="V42" s="229">
        <v>0</v>
      </c>
      <c r="W42" s="229">
        <v>0</v>
      </c>
      <c r="X42" s="229">
        <v>0</v>
      </c>
      <c r="Y42" s="229">
        <v>0</v>
      </c>
      <c r="Z42" s="229">
        <v>0</v>
      </c>
      <c r="AA42" s="229">
        <v>0</v>
      </c>
      <c r="AC42" s="12">
        <v>2</v>
      </c>
      <c r="AD42" s="14">
        <v>6</v>
      </c>
      <c r="AE42" s="14">
        <v>108</v>
      </c>
      <c r="AF42" s="26">
        <v>327</v>
      </c>
      <c r="AG42" s="12">
        <v>144</v>
      </c>
      <c r="AH42" s="14">
        <v>0</v>
      </c>
      <c r="AI42" s="209"/>
      <c r="AJ42" s="3"/>
      <c r="AK42" s="3"/>
      <c r="AL42" s="3"/>
      <c r="AM42" s="3"/>
      <c r="AN42" s="3"/>
      <c r="AO42" s="40"/>
      <c r="AP42" s="209"/>
      <c r="AQ42" s="3"/>
      <c r="AR42" s="40"/>
      <c r="AS42" s="238"/>
    </row>
    <row r="43" spans="1:45" s="229" customFormat="1">
      <c r="A43" s="42" t="s">
        <v>319</v>
      </c>
      <c r="B43" s="386">
        <v>-5.6630000000000003</v>
      </c>
      <c r="C43" s="229" t="s">
        <v>115</v>
      </c>
      <c r="D43" s="229" t="s">
        <v>625</v>
      </c>
      <c r="E43" s="229" t="s">
        <v>1</v>
      </c>
      <c r="F43" s="229">
        <v>355</v>
      </c>
      <c r="G43" s="40">
        <f>F43/168</f>
        <v>2.1130952380952381</v>
      </c>
      <c r="H43" s="14">
        <v>1</v>
      </c>
      <c r="I43" s="229">
        <v>0</v>
      </c>
      <c r="J43" s="229">
        <v>1</v>
      </c>
      <c r="K43" s="26">
        <v>1</v>
      </c>
      <c r="L43" s="14">
        <v>0</v>
      </c>
      <c r="M43" s="229">
        <v>0</v>
      </c>
      <c r="N43" s="229">
        <v>0</v>
      </c>
      <c r="O43" s="229">
        <v>0</v>
      </c>
      <c r="P43" s="26">
        <v>0</v>
      </c>
      <c r="Q43" s="14">
        <v>0</v>
      </c>
      <c r="R43" s="229">
        <v>0</v>
      </c>
      <c r="S43" s="229">
        <v>0</v>
      </c>
      <c r="T43" s="229">
        <v>0</v>
      </c>
      <c r="U43" s="229">
        <v>0</v>
      </c>
      <c r="V43" s="229">
        <v>0</v>
      </c>
      <c r="W43" s="229">
        <v>0</v>
      </c>
      <c r="X43" s="229">
        <v>0</v>
      </c>
      <c r="Y43" s="229">
        <v>0</v>
      </c>
      <c r="Z43" s="229">
        <v>0</v>
      </c>
      <c r="AA43" s="229">
        <v>0</v>
      </c>
      <c r="AC43" s="12">
        <v>2</v>
      </c>
      <c r="AD43" s="14">
        <v>3</v>
      </c>
      <c r="AE43" s="14">
        <v>153</v>
      </c>
      <c r="AF43" s="26">
        <v>183</v>
      </c>
      <c r="AG43" s="12">
        <v>144</v>
      </c>
      <c r="AH43" s="14">
        <v>0</v>
      </c>
      <c r="AI43" s="209"/>
      <c r="AJ43" s="3"/>
      <c r="AK43" s="3"/>
      <c r="AL43" s="3"/>
      <c r="AM43" s="3"/>
      <c r="AN43" s="3"/>
      <c r="AO43" s="40"/>
      <c r="AP43" s="209"/>
      <c r="AQ43" s="3"/>
      <c r="AR43" s="40"/>
      <c r="AS43" s="238"/>
    </row>
    <row r="44" spans="1:45" s="229" customFormat="1">
      <c r="A44" s="42" t="s">
        <v>319</v>
      </c>
      <c r="B44" s="386">
        <v>-5.6630000000000003</v>
      </c>
      <c r="C44" s="229" t="s">
        <v>115</v>
      </c>
      <c r="D44" s="229" t="s">
        <v>625</v>
      </c>
      <c r="E44" s="229" t="s">
        <v>2</v>
      </c>
      <c r="F44" s="229">
        <v>119</v>
      </c>
      <c r="G44" s="40">
        <f>F44/82</f>
        <v>1.4512195121951219</v>
      </c>
      <c r="H44" s="14">
        <v>0</v>
      </c>
      <c r="I44" s="229">
        <v>1</v>
      </c>
      <c r="J44" s="229">
        <v>0</v>
      </c>
      <c r="K44" s="26">
        <v>0</v>
      </c>
      <c r="L44" s="14">
        <v>0</v>
      </c>
      <c r="M44" s="229">
        <v>0</v>
      </c>
      <c r="N44" s="229">
        <v>0</v>
      </c>
      <c r="O44" s="229">
        <v>1</v>
      </c>
      <c r="P44" s="26">
        <v>1</v>
      </c>
      <c r="Q44" s="14">
        <v>0</v>
      </c>
      <c r="R44" s="229">
        <v>0</v>
      </c>
      <c r="S44" s="229">
        <v>0</v>
      </c>
      <c r="T44" s="229">
        <v>0</v>
      </c>
      <c r="U44" s="229">
        <v>0</v>
      </c>
      <c r="V44" s="229">
        <v>0</v>
      </c>
      <c r="W44" s="229">
        <v>0</v>
      </c>
      <c r="X44" s="229">
        <v>0</v>
      </c>
      <c r="Y44" s="229">
        <v>0</v>
      </c>
      <c r="Z44" s="229">
        <v>0</v>
      </c>
      <c r="AA44" s="229">
        <v>0</v>
      </c>
      <c r="AC44" s="12">
        <v>1</v>
      </c>
      <c r="AD44" s="14">
        <v>1</v>
      </c>
      <c r="AE44" s="14">
        <v>0</v>
      </c>
      <c r="AF44" s="26">
        <v>0</v>
      </c>
      <c r="AG44" s="12">
        <v>144</v>
      </c>
      <c r="AH44" s="14">
        <v>0</v>
      </c>
      <c r="AI44" s="209"/>
      <c r="AJ44" s="3"/>
      <c r="AK44" s="3"/>
      <c r="AL44" s="3"/>
      <c r="AM44" s="3"/>
      <c r="AN44" s="3"/>
      <c r="AO44" s="40"/>
      <c r="AP44" s="209"/>
      <c r="AQ44" s="3"/>
      <c r="AR44" s="40"/>
      <c r="AS44" s="238"/>
    </row>
    <row r="45" spans="1:45" s="229" customFormat="1">
      <c r="A45" s="42" t="s">
        <v>319</v>
      </c>
      <c r="B45" s="386">
        <v>-5.6630000000000003</v>
      </c>
      <c r="C45" s="229" t="s">
        <v>115</v>
      </c>
      <c r="D45" s="229" t="s">
        <v>626</v>
      </c>
      <c r="E45" s="229" t="s">
        <v>0</v>
      </c>
      <c r="F45" s="229">
        <v>532</v>
      </c>
      <c r="G45" s="40">
        <f>F45/266</f>
        <v>2</v>
      </c>
      <c r="H45" s="14">
        <v>0</v>
      </c>
      <c r="I45" s="229">
        <v>0</v>
      </c>
      <c r="J45" s="229">
        <v>0</v>
      </c>
      <c r="K45" s="26">
        <v>1</v>
      </c>
      <c r="L45" s="14">
        <v>0</v>
      </c>
      <c r="M45" s="229">
        <v>0</v>
      </c>
      <c r="N45" s="229">
        <v>0</v>
      </c>
      <c r="O45" s="229">
        <v>0</v>
      </c>
      <c r="P45" s="26">
        <v>0</v>
      </c>
      <c r="Q45" s="14">
        <v>0</v>
      </c>
      <c r="R45" s="229">
        <v>0</v>
      </c>
      <c r="S45" s="229">
        <v>0</v>
      </c>
      <c r="T45" s="229">
        <v>0</v>
      </c>
      <c r="U45" s="229">
        <v>0</v>
      </c>
      <c r="V45" s="229">
        <v>0</v>
      </c>
      <c r="W45" s="229">
        <v>0</v>
      </c>
      <c r="X45" s="229">
        <v>0</v>
      </c>
      <c r="Y45" s="229">
        <v>0</v>
      </c>
      <c r="Z45" s="229">
        <v>0</v>
      </c>
      <c r="AA45" s="229">
        <v>0</v>
      </c>
      <c r="AC45" s="12">
        <v>1</v>
      </c>
      <c r="AD45" s="14">
        <v>1</v>
      </c>
      <c r="AE45" s="14">
        <v>0</v>
      </c>
      <c r="AF45" s="26">
        <v>0</v>
      </c>
      <c r="AG45" s="12">
        <v>160</v>
      </c>
      <c r="AH45" s="14">
        <v>0</v>
      </c>
      <c r="AI45" s="209"/>
      <c r="AJ45" s="3"/>
      <c r="AK45" s="3"/>
      <c r="AL45" s="3"/>
      <c r="AM45" s="3"/>
      <c r="AN45" s="3"/>
      <c r="AO45" s="40"/>
      <c r="AP45" s="209"/>
      <c r="AQ45" s="3"/>
      <c r="AR45" s="40"/>
      <c r="AS45" s="238"/>
    </row>
    <row r="46" spans="1:45" s="229" customFormat="1">
      <c r="A46" s="42" t="s">
        <v>319</v>
      </c>
      <c r="B46" s="386">
        <v>-5.6630000000000003</v>
      </c>
      <c r="C46" s="229" t="s">
        <v>115</v>
      </c>
      <c r="D46" s="229" t="s">
        <v>630</v>
      </c>
      <c r="E46" s="229" t="s">
        <v>1</v>
      </c>
      <c r="F46" s="229">
        <v>227</v>
      </c>
      <c r="G46" s="40">
        <f>F46/221</f>
        <v>1.0271493212669682</v>
      </c>
      <c r="H46" s="14">
        <v>0</v>
      </c>
      <c r="I46" s="229">
        <v>0</v>
      </c>
      <c r="J46" s="229">
        <v>1</v>
      </c>
      <c r="K46" s="26">
        <v>1</v>
      </c>
      <c r="L46" s="14">
        <v>0</v>
      </c>
      <c r="M46" s="229">
        <v>0</v>
      </c>
      <c r="N46" s="229">
        <v>0</v>
      </c>
      <c r="O46" s="229">
        <v>0</v>
      </c>
      <c r="P46" s="26">
        <v>0</v>
      </c>
      <c r="Q46" s="14">
        <v>5</v>
      </c>
      <c r="R46" s="229">
        <v>0</v>
      </c>
      <c r="S46" s="229">
        <v>0</v>
      </c>
      <c r="T46" s="229">
        <v>0</v>
      </c>
      <c r="U46" s="229">
        <v>0</v>
      </c>
      <c r="V46" s="229">
        <v>0</v>
      </c>
      <c r="W46" s="229">
        <v>0</v>
      </c>
      <c r="X46" s="229">
        <v>0</v>
      </c>
      <c r="Y46" s="229">
        <v>77</v>
      </c>
      <c r="Z46" s="229">
        <v>0</v>
      </c>
      <c r="AA46" s="229">
        <v>0</v>
      </c>
      <c r="AC46" s="12">
        <v>2</v>
      </c>
      <c r="AD46" s="14">
        <v>2</v>
      </c>
      <c r="AE46" s="14">
        <v>137</v>
      </c>
      <c r="AF46" s="26">
        <v>221</v>
      </c>
      <c r="AG46" s="12">
        <v>160</v>
      </c>
      <c r="AH46" s="14">
        <v>0</v>
      </c>
      <c r="AI46" s="209"/>
      <c r="AJ46" s="3"/>
      <c r="AK46" s="3"/>
      <c r="AL46" s="3"/>
      <c r="AM46" s="3"/>
      <c r="AN46" s="3"/>
      <c r="AO46" s="40"/>
      <c r="AP46" s="209"/>
      <c r="AQ46" s="3"/>
      <c r="AR46" s="40"/>
      <c r="AS46" s="238"/>
    </row>
    <row r="47" spans="1:45" s="229" customFormat="1">
      <c r="A47" s="42" t="s">
        <v>319</v>
      </c>
      <c r="B47" s="386">
        <v>-5.6630000000000003</v>
      </c>
      <c r="C47" s="229" t="s">
        <v>115</v>
      </c>
      <c r="D47" s="229" t="s">
        <v>630</v>
      </c>
      <c r="E47" s="229" t="s">
        <v>2</v>
      </c>
      <c r="F47" s="229">
        <v>239</v>
      </c>
      <c r="G47" s="40">
        <f>F47/211</f>
        <v>1.1327014218009479</v>
      </c>
      <c r="H47" s="14">
        <v>0</v>
      </c>
      <c r="I47" s="229">
        <v>0</v>
      </c>
      <c r="J47" s="229">
        <v>0</v>
      </c>
      <c r="K47" s="26">
        <v>1</v>
      </c>
      <c r="L47" s="14">
        <v>0</v>
      </c>
      <c r="M47" s="229">
        <v>0</v>
      </c>
      <c r="N47" s="229">
        <v>0</v>
      </c>
      <c r="O47" s="229">
        <v>0</v>
      </c>
      <c r="P47" s="26">
        <v>0</v>
      </c>
      <c r="Q47" s="14">
        <v>0</v>
      </c>
      <c r="R47" s="229">
        <v>0</v>
      </c>
      <c r="S47" s="229">
        <v>0</v>
      </c>
      <c r="T47" s="229">
        <v>0</v>
      </c>
      <c r="U47" s="229">
        <v>0</v>
      </c>
      <c r="V47" s="229">
        <v>0</v>
      </c>
      <c r="W47" s="229">
        <v>0</v>
      </c>
      <c r="X47" s="229">
        <v>0</v>
      </c>
      <c r="Y47" s="229">
        <v>0</v>
      </c>
      <c r="Z47" s="229">
        <v>0</v>
      </c>
      <c r="AA47" s="229">
        <v>0</v>
      </c>
      <c r="AC47" s="12">
        <v>1</v>
      </c>
      <c r="AD47" s="14">
        <v>1</v>
      </c>
      <c r="AE47" s="14">
        <v>0</v>
      </c>
      <c r="AF47" s="26">
        <v>0</v>
      </c>
      <c r="AG47" s="12">
        <v>160</v>
      </c>
      <c r="AH47" s="14">
        <v>1</v>
      </c>
      <c r="AI47" s="209"/>
      <c r="AJ47" s="3"/>
      <c r="AK47" s="3"/>
      <c r="AL47" s="3"/>
      <c r="AM47" s="3"/>
      <c r="AN47" s="3"/>
      <c r="AO47" s="40"/>
      <c r="AP47" s="209"/>
      <c r="AQ47" s="3"/>
      <c r="AR47" s="40"/>
      <c r="AS47" s="238"/>
    </row>
    <row r="48" spans="1:45" s="229" customFormat="1" ht="17" thickBot="1">
      <c r="A48" s="55" t="s">
        <v>319</v>
      </c>
      <c r="B48" s="385">
        <v>-5.6630000000000003</v>
      </c>
      <c r="C48" s="36" t="s">
        <v>115</v>
      </c>
      <c r="D48" s="36" t="s">
        <v>631</v>
      </c>
      <c r="E48" s="36"/>
      <c r="F48" s="36">
        <v>306</v>
      </c>
      <c r="G48" s="48">
        <f>F48/225</f>
        <v>1.36</v>
      </c>
      <c r="H48" s="34">
        <v>0</v>
      </c>
      <c r="I48" s="36">
        <v>0</v>
      </c>
      <c r="J48" s="36">
        <v>0</v>
      </c>
      <c r="K48" s="35">
        <v>1</v>
      </c>
      <c r="L48" s="34">
        <v>0</v>
      </c>
      <c r="M48" s="36">
        <v>0</v>
      </c>
      <c r="N48" s="36">
        <v>0</v>
      </c>
      <c r="O48" s="36">
        <v>0</v>
      </c>
      <c r="P48" s="35">
        <v>0</v>
      </c>
      <c r="Q48" s="34">
        <v>0</v>
      </c>
      <c r="R48" s="103">
        <v>0</v>
      </c>
      <c r="S48" s="103">
        <v>0</v>
      </c>
      <c r="T48" s="103">
        <v>0</v>
      </c>
      <c r="U48" s="103">
        <v>0</v>
      </c>
      <c r="V48" s="103">
        <v>0</v>
      </c>
      <c r="W48" s="103">
        <v>0</v>
      </c>
      <c r="X48" s="103">
        <v>0</v>
      </c>
      <c r="Y48" s="103">
        <v>0</v>
      </c>
      <c r="Z48" s="103">
        <v>0</v>
      </c>
      <c r="AA48" s="103">
        <v>0</v>
      </c>
      <c r="AB48" s="103"/>
      <c r="AC48" s="33">
        <v>1</v>
      </c>
      <c r="AD48" s="34">
        <v>1</v>
      </c>
      <c r="AE48" s="34">
        <v>0</v>
      </c>
      <c r="AF48" s="35">
        <v>0</v>
      </c>
      <c r="AG48" s="33">
        <v>148</v>
      </c>
      <c r="AH48" s="34">
        <v>0</v>
      </c>
      <c r="AI48" s="210"/>
      <c r="AJ48" s="51"/>
      <c r="AK48" s="51"/>
      <c r="AL48" s="51"/>
      <c r="AM48" s="51"/>
      <c r="AN48" s="51"/>
      <c r="AO48" s="48"/>
      <c r="AP48" s="210"/>
      <c r="AQ48" s="51"/>
      <c r="AR48" s="48"/>
      <c r="AS48" s="239"/>
    </row>
    <row r="49" spans="1:45" s="229" customFormat="1" ht="17" thickBot="1">
      <c r="A49" s="262" t="s">
        <v>319</v>
      </c>
      <c r="B49" s="385">
        <v>-5.6630000000000003</v>
      </c>
      <c r="C49" s="30" t="s">
        <v>632</v>
      </c>
      <c r="D49" s="30" t="s">
        <v>622</v>
      </c>
      <c r="E49" s="30"/>
      <c r="F49" s="30">
        <v>553</v>
      </c>
      <c r="G49" s="45">
        <f>F49/479</f>
        <v>1.1544885177453028</v>
      </c>
      <c r="H49" s="28">
        <v>1</v>
      </c>
      <c r="I49" s="30">
        <v>0</v>
      </c>
      <c r="J49" s="30">
        <v>0</v>
      </c>
      <c r="K49" s="29">
        <v>0</v>
      </c>
      <c r="L49" s="28">
        <v>0</v>
      </c>
      <c r="M49" s="30">
        <v>0</v>
      </c>
      <c r="N49" s="30">
        <v>1</v>
      </c>
      <c r="O49" s="30">
        <v>0</v>
      </c>
      <c r="P49" s="29">
        <v>1</v>
      </c>
      <c r="Q49" s="28">
        <v>0</v>
      </c>
      <c r="R49" s="98">
        <v>0</v>
      </c>
      <c r="S49" s="98">
        <v>0</v>
      </c>
      <c r="T49" s="98">
        <v>0</v>
      </c>
      <c r="U49" s="98">
        <v>0</v>
      </c>
      <c r="V49" s="98">
        <v>0</v>
      </c>
      <c r="W49" s="98">
        <v>0</v>
      </c>
      <c r="X49" s="98">
        <v>0</v>
      </c>
      <c r="Y49" s="98">
        <v>0</v>
      </c>
      <c r="Z49" s="98">
        <v>0</v>
      </c>
      <c r="AA49" s="98">
        <v>0</v>
      </c>
      <c r="AB49" s="98"/>
      <c r="AC49" s="27">
        <v>1</v>
      </c>
      <c r="AD49" s="28">
        <v>1</v>
      </c>
      <c r="AE49" s="28">
        <v>0</v>
      </c>
      <c r="AF49" s="29">
        <v>0</v>
      </c>
      <c r="AG49" s="27">
        <v>127</v>
      </c>
      <c r="AH49" s="28">
        <v>0</v>
      </c>
      <c r="AI49" s="211"/>
      <c r="AJ49" s="77"/>
      <c r="AK49" s="77"/>
      <c r="AL49" s="77"/>
      <c r="AM49" s="77"/>
      <c r="AN49" s="77"/>
      <c r="AO49" s="45"/>
      <c r="AP49" s="211"/>
      <c r="AQ49" s="77"/>
      <c r="AR49" s="45"/>
      <c r="AS49" s="236"/>
    </row>
    <row r="50" spans="1:45" s="229" customFormat="1">
      <c r="A50" s="147" t="s">
        <v>319</v>
      </c>
      <c r="B50" s="384">
        <v>-5.6630000000000003</v>
      </c>
      <c r="C50" s="8" t="s">
        <v>116</v>
      </c>
      <c r="D50" s="8" t="s">
        <v>618</v>
      </c>
      <c r="E50" s="8"/>
      <c r="F50" s="8">
        <v>259</v>
      </c>
      <c r="G50" s="10">
        <f>F50/256</f>
        <v>1.01171875</v>
      </c>
      <c r="H50" s="11">
        <v>0</v>
      </c>
      <c r="I50" s="8">
        <v>0</v>
      </c>
      <c r="J50" s="8">
        <v>0</v>
      </c>
      <c r="K50" s="41">
        <v>1</v>
      </c>
      <c r="L50" s="11">
        <v>0</v>
      </c>
      <c r="M50" s="8">
        <v>0</v>
      </c>
      <c r="N50" s="8">
        <v>0</v>
      </c>
      <c r="O50" s="8">
        <v>1</v>
      </c>
      <c r="P50" s="41">
        <v>1</v>
      </c>
      <c r="Q50" s="11">
        <v>4</v>
      </c>
      <c r="R50" s="8">
        <v>0</v>
      </c>
      <c r="S50" s="8">
        <v>0</v>
      </c>
      <c r="T50" s="8">
        <v>0</v>
      </c>
      <c r="U50" s="8">
        <v>0</v>
      </c>
      <c r="V50" s="8">
        <v>0</v>
      </c>
      <c r="W50" s="8">
        <v>23</v>
      </c>
      <c r="X50" s="8">
        <v>0</v>
      </c>
      <c r="Y50" s="8">
        <v>0</v>
      </c>
      <c r="Z50" s="8">
        <v>0</v>
      </c>
      <c r="AA50" s="8">
        <v>0</v>
      </c>
      <c r="AB50" s="8"/>
      <c r="AC50" s="9">
        <v>1</v>
      </c>
      <c r="AD50" s="11">
        <v>1</v>
      </c>
      <c r="AE50" s="11">
        <v>0</v>
      </c>
      <c r="AF50" s="41">
        <v>0</v>
      </c>
      <c r="AG50" s="9">
        <v>113</v>
      </c>
      <c r="AH50" s="11">
        <v>0</v>
      </c>
      <c r="AI50" s="208"/>
      <c r="AJ50" s="54"/>
      <c r="AK50" s="54"/>
      <c r="AL50" s="54"/>
      <c r="AM50" s="54"/>
      <c r="AN50" s="54"/>
      <c r="AO50" s="10"/>
      <c r="AP50" s="208"/>
      <c r="AQ50" s="54"/>
      <c r="AR50" s="10"/>
      <c r="AS50" s="237"/>
    </row>
    <row r="51" spans="1:45" s="229" customFormat="1">
      <c r="A51" s="83" t="s">
        <v>319</v>
      </c>
      <c r="B51" s="386">
        <v>-5.6630000000000003</v>
      </c>
      <c r="C51" s="229" t="s">
        <v>116</v>
      </c>
      <c r="D51" s="229" t="s">
        <v>621</v>
      </c>
      <c r="F51" s="229">
        <v>276</v>
      </c>
      <c r="G51" s="40">
        <v>276</v>
      </c>
      <c r="H51" s="14">
        <v>0</v>
      </c>
      <c r="I51" s="229">
        <v>0</v>
      </c>
      <c r="J51" s="229">
        <v>1</v>
      </c>
      <c r="K51" s="26">
        <v>0</v>
      </c>
      <c r="L51" s="14">
        <v>0</v>
      </c>
      <c r="M51" s="229">
        <v>0</v>
      </c>
      <c r="N51" s="229">
        <v>1</v>
      </c>
      <c r="O51" s="229">
        <v>0</v>
      </c>
      <c r="P51" s="26">
        <v>1</v>
      </c>
      <c r="Q51" s="14">
        <v>5</v>
      </c>
      <c r="R51" s="229">
        <v>0</v>
      </c>
      <c r="S51" s="229">
        <v>0</v>
      </c>
      <c r="T51" s="229">
        <v>0</v>
      </c>
      <c r="U51" s="229">
        <v>0</v>
      </c>
      <c r="V51" s="229">
        <v>0</v>
      </c>
      <c r="W51" s="229">
        <v>0</v>
      </c>
      <c r="X51" s="229">
        <v>0</v>
      </c>
      <c r="Y51" s="229">
        <v>0</v>
      </c>
      <c r="Z51" s="229">
        <v>0</v>
      </c>
      <c r="AA51" s="229">
        <v>72</v>
      </c>
      <c r="AC51" s="12">
        <v>1</v>
      </c>
      <c r="AD51" s="14">
        <v>1</v>
      </c>
      <c r="AE51" s="14">
        <v>0</v>
      </c>
      <c r="AF51" s="26">
        <v>0</v>
      </c>
      <c r="AG51" s="12">
        <v>1131</v>
      </c>
      <c r="AH51" s="14">
        <v>0</v>
      </c>
      <c r="AI51" s="209"/>
      <c r="AJ51" s="3"/>
      <c r="AK51" s="3"/>
      <c r="AL51" s="3"/>
      <c r="AM51" s="3"/>
      <c r="AN51" s="3"/>
      <c r="AO51" s="40"/>
      <c r="AP51" s="209"/>
      <c r="AQ51" s="3"/>
      <c r="AR51" s="40"/>
      <c r="AS51" s="238"/>
    </row>
    <row r="52" spans="1:45" s="229" customFormat="1">
      <c r="A52" s="83" t="s">
        <v>319</v>
      </c>
      <c r="B52" s="386">
        <v>-5.6630000000000003</v>
      </c>
      <c r="C52" s="229" t="s">
        <v>116</v>
      </c>
      <c r="D52" s="229" t="s">
        <v>619</v>
      </c>
      <c r="E52" s="229" t="s">
        <v>0</v>
      </c>
      <c r="F52" s="229">
        <v>379</v>
      </c>
      <c r="G52" s="40">
        <f>F52/328</f>
        <v>1.1554878048780488</v>
      </c>
      <c r="H52" s="14">
        <v>0</v>
      </c>
      <c r="I52" s="229">
        <v>0</v>
      </c>
      <c r="J52" s="229">
        <v>0</v>
      </c>
      <c r="K52" s="26">
        <v>1</v>
      </c>
      <c r="L52" s="14">
        <v>0</v>
      </c>
      <c r="M52" s="229">
        <v>0</v>
      </c>
      <c r="N52" s="229">
        <v>0</v>
      </c>
      <c r="O52" s="229">
        <v>0</v>
      </c>
      <c r="P52" s="26">
        <v>0</v>
      </c>
      <c r="Q52" s="14">
        <v>0</v>
      </c>
      <c r="R52" s="229">
        <v>0</v>
      </c>
      <c r="S52" s="229">
        <v>0</v>
      </c>
      <c r="T52" s="229">
        <v>0</v>
      </c>
      <c r="U52" s="229">
        <v>0</v>
      </c>
      <c r="V52" s="229">
        <v>0</v>
      </c>
      <c r="W52" s="229">
        <v>0</v>
      </c>
      <c r="X52" s="229">
        <v>0</v>
      </c>
      <c r="Y52" s="229">
        <v>0</v>
      </c>
      <c r="Z52" s="229">
        <v>0</v>
      </c>
      <c r="AA52" s="229">
        <v>0</v>
      </c>
      <c r="AC52" s="12">
        <v>1</v>
      </c>
      <c r="AD52" s="14">
        <v>1</v>
      </c>
      <c r="AE52" s="14">
        <v>0</v>
      </c>
      <c r="AF52" s="26">
        <v>0</v>
      </c>
      <c r="AG52" s="12">
        <v>189</v>
      </c>
      <c r="AH52" s="14">
        <v>0</v>
      </c>
      <c r="AI52" s="209"/>
      <c r="AJ52" s="3"/>
      <c r="AK52" s="3"/>
      <c r="AL52" s="3"/>
      <c r="AM52" s="3"/>
      <c r="AN52" s="3"/>
      <c r="AO52" s="40"/>
      <c r="AP52" s="209"/>
      <c r="AQ52" s="3"/>
      <c r="AR52" s="40"/>
      <c r="AS52" s="238"/>
    </row>
    <row r="53" spans="1:45" s="229" customFormat="1">
      <c r="A53" s="83" t="s">
        <v>319</v>
      </c>
      <c r="B53" s="386">
        <v>-5.6630000000000003</v>
      </c>
      <c r="C53" s="229" t="s">
        <v>116</v>
      </c>
      <c r="D53" s="229" t="s">
        <v>619</v>
      </c>
      <c r="E53" s="229" t="s">
        <v>1</v>
      </c>
      <c r="F53" s="229">
        <v>400</v>
      </c>
      <c r="G53" s="40">
        <f>F53/285</f>
        <v>1.4035087719298245</v>
      </c>
      <c r="H53" s="14">
        <v>0</v>
      </c>
      <c r="I53" s="229">
        <v>0</v>
      </c>
      <c r="J53" s="229">
        <v>0</v>
      </c>
      <c r="K53" s="26">
        <v>1</v>
      </c>
      <c r="L53" s="14">
        <v>0</v>
      </c>
      <c r="M53" s="229">
        <v>0</v>
      </c>
      <c r="N53" s="229">
        <v>0</v>
      </c>
      <c r="O53" s="229">
        <v>0</v>
      </c>
      <c r="P53" s="26">
        <v>0</v>
      </c>
      <c r="Q53" s="14">
        <v>0</v>
      </c>
      <c r="R53" s="229">
        <v>0</v>
      </c>
      <c r="S53" s="229">
        <v>0</v>
      </c>
      <c r="T53" s="229">
        <v>0</v>
      </c>
      <c r="U53" s="229">
        <v>0</v>
      </c>
      <c r="V53" s="229">
        <v>0</v>
      </c>
      <c r="W53" s="229">
        <v>0</v>
      </c>
      <c r="X53" s="229">
        <v>0</v>
      </c>
      <c r="Y53" s="229">
        <v>0</v>
      </c>
      <c r="Z53" s="229">
        <v>0</v>
      </c>
      <c r="AA53" s="229">
        <v>0</v>
      </c>
      <c r="AC53" s="12">
        <v>2</v>
      </c>
      <c r="AD53" s="14">
        <v>3</v>
      </c>
      <c r="AE53" s="14">
        <v>208</v>
      </c>
      <c r="AF53" s="26">
        <v>275</v>
      </c>
      <c r="AG53" s="12">
        <v>189</v>
      </c>
      <c r="AH53" s="14">
        <v>0</v>
      </c>
      <c r="AI53" s="209"/>
      <c r="AJ53" s="3"/>
      <c r="AK53" s="3"/>
      <c r="AL53" s="3"/>
      <c r="AM53" s="3"/>
      <c r="AN53" s="3"/>
      <c r="AO53" s="40"/>
      <c r="AP53" s="209"/>
      <c r="AQ53" s="3"/>
      <c r="AR53" s="40"/>
      <c r="AS53" s="238"/>
    </row>
    <row r="54" spans="1:45" s="229" customFormat="1">
      <c r="A54" s="83" t="s">
        <v>319</v>
      </c>
      <c r="B54" s="386">
        <v>-5.6630000000000003</v>
      </c>
      <c r="C54" s="229" t="s">
        <v>116</v>
      </c>
      <c r="D54" s="229" t="s">
        <v>620</v>
      </c>
      <c r="E54" s="229" t="s">
        <v>2</v>
      </c>
      <c r="F54" s="229">
        <v>300</v>
      </c>
      <c r="G54" s="40">
        <f>F54/222</f>
        <v>1.3513513513513513</v>
      </c>
      <c r="H54" s="14">
        <v>0</v>
      </c>
      <c r="I54" s="229">
        <v>0</v>
      </c>
      <c r="J54" s="229">
        <v>0</v>
      </c>
      <c r="K54" s="26">
        <v>1</v>
      </c>
      <c r="L54" s="14">
        <v>0</v>
      </c>
      <c r="M54" s="229">
        <v>0</v>
      </c>
      <c r="N54" s="229">
        <v>0</v>
      </c>
      <c r="O54" s="229">
        <v>0</v>
      </c>
      <c r="P54" s="26">
        <v>0</v>
      </c>
      <c r="Q54" s="14">
        <v>0</v>
      </c>
      <c r="R54" s="229">
        <v>0</v>
      </c>
      <c r="S54" s="229">
        <v>0</v>
      </c>
      <c r="T54" s="229">
        <v>0</v>
      </c>
      <c r="U54" s="229">
        <v>0</v>
      </c>
      <c r="V54" s="229">
        <v>0</v>
      </c>
      <c r="W54" s="229">
        <v>0</v>
      </c>
      <c r="X54" s="229">
        <v>0</v>
      </c>
      <c r="Y54" s="229">
        <v>0</v>
      </c>
      <c r="Z54" s="229">
        <v>0</v>
      </c>
      <c r="AA54" s="229">
        <v>0</v>
      </c>
      <c r="AC54" s="12">
        <v>1</v>
      </c>
      <c r="AD54" s="14">
        <v>1</v>
      </c>
      <c r="AE54" s="14">
        <v>0</v>
      </c>
      <c r="AF54" s="26">
        <v>0</v>
      </c>
      <c r="AG54" s="12">
        <v>189</v>
      </c>
      <c r="AH54" s="14">
        <v>0</v>
      </c>
      <c r="AI54" s="209"/>
      <c r="AJ54" s="3"/>
      <c r="AK54" s="3"/>
      <c r="AL54" s="3"/>
      <c r="AM54" s="3"/>
      <c r="AN54" s="3"/>
      <c r="AO54" s="40"/>
      <c r="AP54" s="209"/>
      <c r="AQ54" s="3"/>
      <c r="AR54" s="40"/>
      <c r="AS54" s="238"/>
    </row>
    <row r="55" spans="1:45" s="229" customFormat="1">
      <c r="A55" s="83" t="s">
        <v>319</v>
      </c>
      <c r="B55" s="386">
        <v>-5.6630000000000003</v>
      </c>
      <c r="C55" s="229" t="s">
        <v>116</v>
      </c>
      <c r="D55" s="229" t="s">
        <v>633</v>
      </c>
      <c r="E55" s="229" t="s">
        <v>0</v>
      </c>
      <c r="F55" s="229">
        <v>376</v>
      </c>
      <c r="G55" s="40">
        <f>F55/217</f>
        <v>1.7327188940092166</v>
      </c>
      <c r="H55" s="14">
        <v>0</v>
      </c>
      <c r="I55" s="229">
        <v>0</v>
      </c>
      <c r="J55" s="229">
        <v>0</v>
      </c>
      <c r="K55" s="26">
        <v>1</v>
      </c>
      <c r="L55" s="14">
        <v>0</v>
      </c>
      <c r="M55" s="229">
        <v>0</v>
      </c>
      <c r="N55" s="229">
        <v>0</v>
      </c>
      <c r="O55" s="229">
        <v>0</v>
      </c>
      <c r="P55" s="26">
        <v>0</v>
      </c>
      <c r="Q55" s="14">
        <v>0</v>
      </c>
      <c r="R55" s="229">
        <v>0</v>
      </c>
      <c r="S55" s="229">
        <v>0</v>
      </c>
      <c r="T55" s="229">
        <v>0</v>
      </c>
      <c r="U55" s="229">
        <v>0</v>
      </c>
      <c r="V55" s="229">
        <v>0</v>
      </c>
      <c r="W55" s="229">
        <v>0</v>
      </c>
      <c r="X55" s="229">
        <v>0</v>
      </c>
      <c r="Y55" s="229">
        <v>0</v>
      </c>
      <c r="Z55" s="229">
        <v>0</v>
      </c>
      <c r="AA55" s="229">
        <v>0</v>
      </c>
      <c r="AC55" s="12">
        <v>2</v>
      </c>
      <c r="AD55" s="14">
        <v>3</v>
      </c>
      <c r="AE55" s="14">
        <v>161</v>
      </c>
      <c r="AF55" s="26">
        <v>232</v>
      </c>
      <c r="AG55" s="12">
        <v>183</v>
      </c>
      <c r="AH55" s="14">
        <v>1</v>
      </c>
      <c r="AI55" s="209"/>
      <c r="AJ55" s="3"/>
      <c r="AK55" s="3"/>
      <c r="AL55" s="3"/>
      <c r="AM55" s="3"/>
      <c r="AN55" s="3"/>
      <c r="AO55" s="40"/>
      <c r="AP55" s="209"/>
      <c r="AQ55" s="3"/>
      <c r="AR55" s="40"/>
      <c r="AS55" s="238"/>
    </row>
    <row r="56" spans="1:45" s="229" customFormat="1">
      <c r="A56" s="83" t="s">
        <v>319</v>
      </c>
      <c r="B56" s="386">
        <v>-5.6630000000000003</v>
      </c>
      <c r="C56" s="229" t="s">
        <v>116</v>
      </c>
      <c r="D56" s="229" t="s">
        <v>634</v>
      </c>
      <c r="E56" s="229" t="s">
        <v>1</v>
      </c>
      <c r="F56" s="229">
        <v>755</v>
      </c>
      <c r="G56" s="40">
        <f>F56/295</f>
        <v>2.5593220338983049</v>
      </c>
      <c r="H56" s="14">
        <v>1</v>
      </c>
      <c r="I56" s="229">
        <v>0</v>
      </c>
      <c r="J56" s="229">
        <v>0</v>
      </c>
      <c r="K56" s="26">
        <v>1</v>
      </c>
      <c r="L56" s="14">
        <v>0</v>
      </c>
      <c r="M56" s="229">
        <v>0</v>
      </c>
      <c r="N56" s="229">
        <v>0</v>
      </c>
      <c r="O56" s="229">
        <v>0</v>
      </c>
      <c r="P56" s="26">
        <v>0</v>
      </c>
      <c r="Q56" s="14">
        <v>0</v>
      </c>
      <c r="R56" s="229">
        <v>0</v>
      </c>
      <c r="S56" s="229">
        <v>0</v>
      </c>
      <c r="T56" s="229">
        <v>0</v>
      </c>
      <c r="U56" s="229">
        <v>0</v>
      </c>
      <c r="V56" s="229">
        <v>0</v>
      </c>
      <c r="W56" s="229">
        <v>0</v>
      </c>
      <c r="X56" s="229">
        <v>0</v>
      </c>
      <c r="Y56" s="229">
        <v>0</v>
      </c>
      <c r="Z56" s="229">
        <v>0</v>
      </c>
      <c r="AA56" s="229">
        <v>0</v>
      </c>
      <c r="AC56" s="12">
        <v>2</v>
      </c>
      <c r="AD56" s="14">
        <v>2</v>
      </c>
      <c r="AE56" s="14">
        <v>59</v>
      </c>
      <c r="AF56" s="26">
        <v>296</v>
      </c>
      <c r="AG56" s="12">
        <v>183</v>
      </c>
      <c r="AH56" s="14">
        <v>1</v>
      </c>
      <c r="AI56" s="209"/>
      <c r="AJ56" s="3"/>
      <c r="AK56" s="3"/>
      <c r="AL56" s="3"/>
      <c r="AM56" s="3"/>
      <c r="AN56" s="3"/>
      <c r="AO56" s="40"/>
      <c r="AP56" s="209"/>
      <c r="AQ56" s="3"/>
      <c r="AR56" s="40"/>
      <c r="AS56" s="238"/>
    </row>
    <row r="57" spans="1:45" s="229" customFormat="1">
      <c r="A57" s="83" t="s">
        <v>319</v>
      </c>
      <c r="B57" s="386">
        <v>-5.6630000000000003</v>
      </c>
      <c r="C57" s="229" t="s">
        <v>116</v>
      </c>
      <c r="D57" s="229" t="s">
        <v>624</v>
      </c>
      <c r="F57" s="229">
        <v>332</v>
      </c>
      <c r="G57" s="40">
        <f>F57/232</f>
        <v>1.4310344827586208</v>
      </c>
      <c r="H57" s="14">
        <v>0</v>
      </c>
      <c r="I57" s="229">
        <v>0</v>
      </c>
      <c r="J57" s="229">
        <v>1</v>
      </c>
      <c r="K57" s="26">
        <v>0</v>
      </c>
      <c r="L57" s="14">
        <v>0</v>
      </c>
      <c r="M57" s="229">
        <v>0</v>
      </c>
      <c r="N57" s="229">
        <v>0</v>
      </c>
      <c r="O57" s="229">
        <v>0</v>
      </c>
      <c r="P57" s="26">
        <v>0</v>
      </c>
      <c r="Q57" s="14">
        <v>0</v>
      </c>
      <c r="R57" s="229">
        <v>0</v>
      </c>
      <c r="S57" s="229">
        <v>0</v>
      </c>
      <c r="T57" s="229">
        <v>0</v>
      </c>
      <c r="U57" s="229">
        <v>0</v>
      </c>
      <c r="V57" s="229">
        <v>0</v>
      </c>
      <c r="W57" s="229">
        <v>0</v>
      </c>
      <c r="X57" s="229">
        <v>0</v>
      </c>
      <c r="Y57" s="229">
        <v>0</v>
      </c>
      <c r="Z57" s="229">
        <v>0</v>
      </c>
      <c r="AA57" s="229">
        <v>0</v>
      </c>
      <c r="AC57" s="12">
        <v>1</v>
      </c>
      <c r="AD57" s="14">
        <v>1</v>
      </c>
      <c r="AE57" s="14">
        <v>0</v>
      </c>
      <c r="AF57" s="26">
        <v>0</v>
      </c>
      <c r="AG57" s="12">
        <v>150</v>
      </c>
      <c r="AH57" s="14">
        <v>0</v>
      </c>
      <c r="AI57" s="209"/>
      <c r="AJ57" s="3"/>
      <c r="AK57" s="3"/>
      <c r="AL57" s="3"/>
      <c r="AM57" s="3"/>
      <c r="AN57" s="3"/>
      <c r="AO57" s="40"/>
      <c r="AP57" s="209"/>
      <c r="AQ57" s="3"/>
      <c r="AR57" s="40"/>
      <c r="AS57" s="238"/>
    </row>
    <row r="58" spans="1:45" s="229" customFormat="1">
      <c r="A58" s="83" t="s">
        <v>319</v>
      </c>
      <c r="B58" s="386">
        <v>-5.6630000000000003</v>
      </c>
      <c r="C58" s="229" t="s">
        <v>116</v>
      </c>
      <c r="D58" s="229" t="s">
        <v>630</v>
      </c>
      <c r="F58" s="229">
        <v>1480</v>
      </c>
      <c r="G58" s="40">
        <f>F58/1189</f>
        <v>1.2447434819175778</v>
      </c>
      <c r="H58" s="14">
        <v>0</v>
      </c>
      <c r="I58" s="229">
        <v>0</v>
      </c>
      <c r="J58" s="229">
        <v>0</v>
      </c>
      <c r="K58" s="26">
        <v>1</v>
      </c>
      <c r="L58" s="14">
        <v>0</v>
      </c>
      <c r="M58" s="229">
        <v>0</v>
      </c>
      <c r="N58" s="229">
        <v>1</v>
      </c>
      <c r="O58" s="229">
        <v>0</v>
      </c>
      <c r="P58" s="26">
        <v>1</v>
      </c>
      <c r="Q58" s="14">
        <v>0</v>
      </c>
      <c r="R58" s="229">
        <v>0</v>
      </c>
      <c r="S58" s="229">
        <v>0</v>
      </c>
      <c r="T58" s="229">
        <v>0</v>
      </c>
      <c r="U58" s="229">
        <v>0</v>
      </c>
      <c r="V58" s="229">
        <v>0</v>
      </c>
      <c r="W58" s="229">
        <v>0</v>
      </c>
      <c r="X58" s="229">
        <v>0</v>
      </c>
      <c r="Y58" s="229">
        <v>0</v>
      </c>
      <c r="Z58" s="229">
        <v>0</v>
      </c>
      <c r="AA58" s="229">
        <v>0</v>
      </c>
      <c r="AC58" s="12">
        <v>1</v>
      </c>
      <c r="AD58" s="14">
        <v>1</v>
      </c>
      <c r="AE58" s="14">
        <v>0</v>
      </c>
      <c r="AF58" s="26">
        <v>0</v>
      </c>
      <c r="AG58" s="12">
        <v>197</v>
      </c>
      <c r="AH58" s="14">
        <v>0</v>
      </c>
      <c r="AI58" s="209">
        <v>87</v>
      </c>
      <c r="AJ58" s="3"/>
      <c r="AK58" s="3"/>
      <c r="AL58" s="3"/>
      <c r="AM58" s="3"/>
      <c r="AN58" s="3"/>
      <c r="AO58" s="40"/>
      <c r="AP58" s="209">
        <v>83</v>
      </c>
      <c r="AQ58" s="3"/>
      <c r="AR58" s="40"/>
      <c r="AS58" s="238"/>
    </row>
    <row r="59" spans="1:45" s="229" customFormat="1">
      <c r="A59" s="83" t="s">
        <v>319</v>
      </c>
      <c r="B59" s="386">
        <v>-5.6630000000000003</v>
      </c>
      <c r="C59" s="229" t="s">
        <v>116</v>
      </c>
      <c r="D59" s="229" t="s">
        <v>121</v>
      </c>
      <c r="E59" s="229" t="s">
        <v>0</v>
      </c>
      <c r="F59" s="229">
        <v>110</v>
      </c>
      <c r="G59" s="40">
        <f>F59/97</f>
        <v>1.134020618556701</v>
      </c>
      <c r="H59" s="14">
        <v>0</v>
      </c>
      <c r="I59" s="229">
        <v>1</v>
      </c>
      <c r="J59" s="229">
        <v>0</v>
      </c>
      <c r="K59" s="26">
        <v>0</v>
      </c>
      <c r="L59" s="14">
        <v>0</v>
      </c>
      <c r="M59" s="229">
        <v>0</v>
      </c>
      <c r="N59" s="229">
        <v>0</v>
      </c>
      <c r="O59" s="229">
        <v>0</v>
      </c>
      <c r="P59" s="26">
        <v>0</v>
      </c>
      <c r="Q59" s="14">
        <v>0</v>
      </c>
      <c r="R59" s="229">
        <v>0</v>
      </c>
      <c r="S59" s="229">
        <v>0</v>
      </c>
      <c r="T59" s="229">
        <v>0</v>
      </c>
      <c r="U59" s="229">
        <v>0</v>
      </c>
      <c r="V59" s="229">
        <v>0</v>
      </c>
      <c r="W59" s="229">
        <v>0</v>
      </c>
      <c r="X59" s="229">
        <v>0</v>
      </c>
      <c r="Y59" s="229">
        <v>0</v>
      </c>
      <c r="Z59" s="229">
        <v>0</v>
      </c>
      <c r="AA59" s="229">
        <v>0</v>
      </c>
      <c r="AC59" s="12">
        <v>1</v>
      </c>
      <c r="AD59" s="14">
        <v>1</v>
      </c>
      <c r="AE59" s="14">
        <v>0</v>
      </c>
      <c r="AF59" s="26">
        <v>0</v>
      </c>
      <c r="AG59" s="12">
        <v>248</v>
      </c>
      <c r="AH59" s="14">
        <v>0</v>
      </c>
      <c r="AI59" s="209"/>
      <c r="AJ59" s="3"/>
      <c r="AK59" s="3"/>
      <c r="AL59" s="3"/>
      <c r="AM59" s="3"/>
      <c r="AN59" s="3"/>
      <c r="AO59" s="40"/>
      <c r="AP59" s="209"/>
      <c r="AQ59" s="3"/>
      <c r="AR59" s="40"/>
      <c r="AS59" s="238"/>
    </row>
    <row r="60" spans="1:45" s="229" customFormat="1">
      <c r="A60" s="83" t="s">
        <v>319</v>
      </c>
      <c r="B60" s="386">
        <v>-5.6630000000000003</v>
      </c>
      <c r="C60" s="229" t="s">
        <v>116</v>
      </c>
      <c r="D60" s="229" t="s">
        <v>121</v>
      </c>
      <c r="E60" s="229" t="s">
        <v>1</v>
      </c>
      <c r="F60" s="229">
        <v>158</v>
      </c>
      <c r="G60" s="40">
        <f>F60/122</f>
        <v>1.2950819672131149</v>
      </c>
      <c r="H60" s="14">
        <v>0</v>
      </c>
      <c r="I60" s="229">
        <v>0</v>
      </c>
      <c r="J60" s="229">
        <v>1</v>
      </c>
      <c r="K60" s="26">
        <v>0</v>
      </c>
      <c r="L60" s="14">
        <v>0</v>
      </c>
      <c r="M60" s="229">
        <v>0</v>
      </c>
      <c r="N60" s="229">
        <v>0</v>
      </c>
      <c r="O60" s="229">
        <v>0</v>
      </c>
      <c r="P60" s="26">
        <v>0</v>
      </c>
      <c r="Q60" s="14">
        <v>30</v>
      </c>
      <c r="R60" s="229">
        <v>0</v>
      </c>
      <c r="S60" s="229">
        <v>0</v>
      </c>
      <c r="T60" s="229">
        <v>0</v>
      </c>
      <c r="U60" s="229">
        <v>0</v>
      </c>
      <c r="V60" s="229">
        <v>0</v>
      </c>
      <c r="W60" s="229">
        <v>53</v>
      </c>
      <c r="X60" s="229">
        <v>0</v>
      </c>
      <c r="Y60" s="229">
        <v>0</v>
      </c>
      <c r="Z60" s="229">
        <v>0</v>
      </c>
      <c r="AA60" s="229">
        <v>0</v>
      </c>
      <c r="AC60" s="12">
        <v>1</v>
      </c>
      <c r="AD60" s="14">
        <v>1</v>
      </c>
      <c r="AE60" s="14">
        <v>0</v>
      </c>
      <c r="AF60" s="26">
        <v>0</v>
      </c>
      <c r="AG60" s="12">
        <v>248</v>
      </c>
      <c r="AH60" s="14">
        <v>0</v>
      </c>
      <c r="AI60" s="209"/>
      <c r="AJ60" s="3"/>
      <c r="AK60" s="3"/>
      <c r="AL60" s="3"/>
      <c r="AM60" s="3"/>
      <c r="AN60" s="3"/>
      <c r="AO60" s="40"/>
      <c r="AP60" s="209"/>
      <c r="AQ60" s="3"/>
      <c r="AR60" s="40"/>
      <c r="AS60" s="238"/>
    </row>
    <row r="61" spans="1:45" s="229" customFormat="1" ht="17" thickBot="1">
      <c r="A61" s="84" t="s">
        <v>319</v>
      </c>
      <c r="B61" s="385">
        <v>-5.6630000000000003</v>
      </c>
      <c r="C61" s="36" t="s">
        <v>116</v>
      </c>
      <c r="D61" s="36" t="s">
        <v>121</v>
      </c>
      <c r="E61" s="36" t="s">
        <v>2</v>
      </c>
      <c r="F61" s="36">
        <v>332</v>
      </c>
      <c r="G61" s="48">
        <f>F61/221</f>
        <v>1.502262443438914</v>
      </c>
      <c r="H61" s="34">
        <v>0</v>
      </c>
      <c r="I61" s="36">
        <v>0</v>
      </c>
      <c r="J61" s="36">
        <v>0</v>
      </c>
      <c r="K61" s="35">
        <v>1</v>
      </c>
      <c r="L61" s="34">
        <v>0</v>
      </c>
      <c r="M61" s="36">
        <v>0</v>
      </c>
      <c r="N61" s="36">
        <v>0</v>
      </c>
      <c r="O61" s="36">
        <v>0</v>
      </c>
      <c r="P61" s="35">
        <v>0</v>
      </c>
      <c r="Q61" s="34">
        <v>0</v>
      </c>
      <c r="R61" s="103">
        <v>0</v>
      </c>
      <c r="S61" s="103">
        <v>0</v>
      </c>
      <c r="T61" s="103">
        <v>0</v>
      </c>
      <c r="U61" s="103">
        <v>0</v>
      </c>
      <c r="V61" s="103">
        <v>0</v>
      </c>
      <c r="W61" s="103">
        <v>0</v>
      </c>
      <c r="X61" s="103">
        <v>0</v>
      </c>
      <c r="Y61" s="103">
        <v>0</v>
      </c>
      <c r="Z61" s="103">
        <v>0</v>
      </c>
      <c r="AA61" s="103">
        <v>0</v>
      </c>
      <c r="AB61" s="103"/>
      <c r="AC61" s="33">
        <v>2</v>
      </c>
      <c r="AD61" s="34">
        <v>2</v>
      </c>
      <c r="AE61" s="34">
        <v>199</v>
      </c>
      <c r="AF61" s="35">
        <v>221</v>
      </c>
      <c r="AG61" s="33">
        <v>248</v>
      </c>
      <c r="AH61" s="34">
        <v>0</v>
      </c>
      <c r="AI61" s="210"/>
      <c r="AJ61" s="51"/>
      <c r="AK61" s="51"/>
      <c r="AL61" s="51"/>
      <c r="AM61" s="51"/>
      <c r="AN61" s="51"/>
      <c r="AO61" s="48"/>
      <c r="AP61" s="210"/>
      <c r="AQ61" s="51"/>
      <c r="AR61" s="48"/>
      <c r="AS61" s="239"/>
    </row>
    <row r="62" spans="1:45" s="229" customFormat="1">
      <c r="A62" s="83" t="s">
        <v>321</v>
      </c>
      <c r="B62" s="384">
        <v>2.5602</v>
      </c>
      <c r="C62" s="8" t="s">
        <v>635</v>
      </c>
      <c r="D62" s="8" t="s">
        <v>636</v>
      </c>
      <c r="E62" s="8" t="s">
        <v>0</v>
      </c>
      <c r="F62" s="8">
        <v>996</v>
      </c>
      <c r="G62" s="10">
        <f>F62/703</f>
        <v>1.4167852062588904</v>
      </c>
      <c r="H62" s="11">
        <v>0</v>
      </c>
      <c r="I62" s="8">
        <v>0</v>
      </c>
      <c r="J62" s="8">
        <v>0</v>
      </c>
      <c r="K62" s="41">
        <v>1</v>
      </c>
      <c r="L62" s="11">
        <v>0</v>
      </c>
      <c r="M62" s="8">
        <v>0</v>
      </c>
      <c r="N62" s="8">
        <v>1</v>
      </c>
      <c r="O62" s="8">
        <v>0</v>
      </c>
      <c r="P62" s="41">
        <v>1</v>
      </c>
      <c r="Q62" s="11">
        <v>1</v>
      </c>
      <c r="R62" s="100">
        <v>0</v>
      </c>
      <c r="S62" s="100">
        <v>18</v>
      </c>
      <c r="T62" s="100">
        <v>0</v>
      </c>
      <c r="U62" s="100">
        <v>0</v>
      </c>
      <c r="V62" s="100">
        <v>0</v>
      </c>
      <c r="W62" s="100">
        <v>0</v>
      </c>
      <c r="X62" s="100">
        <v>0</v>
      </c>
      <c r="Y62" s="100">
        <v>0</v>
      </c>
      <c r="Z62" s="100">
        <v>0</v>
      </c>
      <c r="AA62" s="100">
        <v>0</v>
      </c>
      <c r="AB62" s="100">
        <v>0</v>
      </c>
      <c r="AC62" s="9">
        <v>1</v>
      </c>
      <c r="AD62" s="11">
        <v>1</v>
      </c>
      <c r="AE62" s="11">
        <v>0</v>
      </c>
      <c r="AF62" s="41">
        <v>0</v>
      </c>
      <c r="AG62" s="9">
        <v>72</v>
      </c>
      <c r="AH62" s="11">
        <v>0</v>
      </c>
      <c r="AI62" s="208">
        <v>90.3</v>
      </c>
      <c r="AJ62" s="54"/>
      <c r="AK62" s="54"/>
      <c r="AL62" s="54"/>
      <c r="AM62" s="54"/>
      <c r="AN62" s="54"/>
      <c r="AO62" s="10"/>
      <c r="AP62" s="208">
        <v>85.7</v>
      </c>
      <c r="AQ62" s="54">
        <v>85.3</v>
      </c>
      <c r="AR62" s="10"/>
      <c r="AS62" s="237"/>
    </row>
    <row r="63" spans="1:45" s="229" customFormat="1">
      <c r="A63" s="83" t="s">
        <v>321</v>
      </c>
      <c r="B63" s="386">
        <v>2.5602</v>
      </c>
      <c r="C63" s="229" t="s">
        <v>635</v>
      </c>
      <c r="D63" s="229" t="s">
        <v>636</v>
      </c>
      <c r="E63" s="229" t="s">
        <v>1</v>
      </c>
      <c r="F63" s="229">
        <v>361</v>
      </c>
      <c r="G63" s="40">
        <f>F63/212</f>
        <v>1.7028301886792452</v>
      </c>
      <c r="H63" s="14">
        <v>0</v>
      </c>
      <c r="I63" s="229">
        <v>0</v>
      </c>
      <c r="J63" s="229">
        <v>0</v>
      </c>
      <c r="K63" s="26">
        <v>1</v>
      </c>
      <c r="L63" s="14">
        <v>0</v>
      </c>
      <c r="M63" s="229">
        <v>0</v>
      </c>
      <c r="N63" s="229">
        <v>1</v>
      </c>
      <c r="O63" s="229">
        <v>0</v>
      </c>
      <c r="P63" s="26">
        <v>1</v>
      </c>
      <c r="Q63" s="14">
        <v>0</v>
      </c>
      <c r="R63" s="24">
        <v>0</v>
      </c>
      <c r="S63" s="24">
        <v>0</v>
      </c>
      <c r="T63" s="24">
        <v>0</v>
      </c>
      <c r="U63" s="24">
        <v>0</v>
      </c>
      <c r="V63" s="24">
        <v>0</v>
      </c>
      <c r="W63" s="24">
        <v>0</v>
      </c>
      <c r="X63" s="24">
        <v>0</v>
      </c>
      <c r="Y63" s="24">
        <v>0</v>
      </c>
      <c r="Z63" s="24">
        <v>0</v>
      </c>
      <c r="AA63" s="24">
        <v>0</v>
      </c>
      <c r="AB63" s="24"/>
      <c r="AC63" s="12">
        <v>1</v>
      </c>
      <c r="AD63" s="14">
        <v>1</v>
      </c>
      <c r="AE63" s="14">
        <v>0</v>
      </c>
      <c r="AF63" s="26">
        <v>0</v>
      </c>
      <c r="AG63" s="12">
        <v>72</v>
      </c>
      <c r="AH63" s="14">
        <v>0</v>
      </c>
      <c r="AI63" s="209"/>
      <c r="AJ63" s="3"/>
      <c r="AK63" s="3"/>
      <c r="AL63" s="3"/>
      <c r="AM63" s="3"/>
      <c r="AN63" s="3"/>
      <c r="AO63" s="40"/>
      <c r="AP63" s="209"/>
      <c r="AQ63" s="3"/>
      <c r="AR63" s="40"/>
      <c r="AS63" s="238"/>
    </row>
    <row r="64" spans="1:45" s="229" customFormat="1">
      <c r="A64" s="83" t="s">
        <v>321</v>
      </c>
      <c r="B64" s="386">
        <v>2.5602</v>
      </c>
      <c r="C64" s="229" t="s">
        <v>635</v>
      </c>
      <c r="D64" s="229" t="s">
        <v>622</v>
      </c>
      <c r="F64" s="3">
        <v>424</v>
      </c>
      <c r="G64" s="40">
        <f>F64/302</f>
        <v>1.4039735099337749</v>
      </c>
      <c r="H64" s="14">
        <v>0</v>
      </c>
      <c r="I64" s="229">
        <v>0</v>
      </c>
      <c r="J64" s="229">
        <v>1</v>
      </c>
      <c r="K64" s="26">
        <v>0</v>
      </c>
      <c r="L64" s="14">
        <v>0</v>
      </c>
      <c r="M64" s="229">
        <v>0</v>
      </c>
      <c r="N64" s="229">
        <v>0</v>
      </c>
      <c r="O64" s="229">
        <v>0</v>
      </c>
      <c r="P64" s="26">
        <v>0</v>
      </c>
      <c r="Q64" s="14">
        <v>0</v>
      </c>
      <c r="R64" s="24">
        <v>0</v>
      </c>
      <c r="S64" s="24">
        <v>0</v>
      </c>
      <c r="T64" s="24">
        <v>0</v>
      </c>
      <c r="U64" s="24">
        <v>0</v>
      </c>
      <c r="V64" s="24">
        <v>0</v>
      </c>
      <c r="W64" s="24">
        <v>0</v>
      </c>
      <c r="X64" s="24">
        <v>0</v>
      </c>
      <c r="Y64" s="24">
        <v>0</v>
      </c>
      <c r="Z64" s="24">
        <v>0</v>
      </c>
      <c r="AA64" s="24">
        <v>0</v>
      </c>
      <c r="AB64" s="24"/>
      <c r="AC64" s="12">
        <v>1</v>
      </c>
      <c r="AD64" s="14">
        <v>1</v>
      </c>
      <c r="AE64" s="14">
        <v>0</v>
      </c>
      <c r="AF64" s="26">
        <v>0</v>
      </c>
      <c r="AG64" s="12">
        <v>63</v>
      </c>
      <c r="AH64" s="14">
        <v>0</v>
      </c>
      <c r="AI64" s="209"/>
      <c r="AJ64" s="3"/>
      <c r="AK64" s="3"/>
      <c r="AL64" s="3"/>
      <c r="AM64" s="3"/>
      <c r="AN64" s="3"/>
      <c r="AO64" s="40"/>
      <c r="AP64" s="209"/>
      <c r="AQ64" s="3"/>
      <c r="AR64" s="40"/>
      <c r="AS64" s="238"/>
    </row>
    <row r="65" spans="1:45" s="229" customFormat="1">
      <c r="A65" s="83" t="s">
        <v>321</v>
      </c>
      <c r="B65" s="386">
        <v>2.5602</v>
      </c>
      <c r="C65" s="229" t="s">
        <v>635</v>
      </c>
      <c r="D65" s="229" t="s">
        <v>620</v>
      </c>
      <c r="E65" s="229" t="s">
        <v>0</v>
      </c>
      <c r="F65" s="229">
        <v>365</v>
      </c>
      <c r="G65" s="40">
        <f>F65/215</f>
        <v>1.6976744186046511</v>
      </c>
      <c r="H65" s="14">
        <v>0</v>
      </c>
      <c r="I65" s="229">
        <v>0</v>
      </c>
      <c r="J65" s="229">
        <v>1</v>
      </c>
      <c r="K65" s="26">
        <v>0</v>
      </c>
      <c r="L65" s="14">
        <v>0</v>
      </c>
      <c r="M65" s="229">
        <v>0</v>
      </c>
      <c r="N65" s="229">
        <v>0</v>
      </c>
      <c r="O65" s="229">
        <v>0</v>
      </c>
      <c r="P65" s="26">
        <v>0</v>
      </c>
      <c r="Q65" s="14">
        <v>0</v>
      </c>
      <c r="R65" s="24">
        <v>0</v>
      </c>
      <c r="S65" s="24">
        <v>0</v>
      </c>
      <c r="T65" s="24">
        <v>0</v>
      </c>
      <c r="U65" s="24">
        <v>0</v>
      </c>
      <c r="V65" s="24">
        <v>0</v>
      </c>
      <c r="W65" s="24">
        <v>0</v>
      </c>
      <c r="X65" s="24">
        <v>0</v>
      </c>
      <c r="Y65" s="24">
        <v>0</v>
      </c>
      <c r="Z65" s="24">
        <v>0</v>
      </c>
      <c r="AA65" s="24">
        <v>0</v>
      </c>
      <c r="AB65" s="24"/>
      <c r="AC65" s="12">
        <v>1</v>
      </c>
      <c r="AD65" s="14">
        <v>1</v>
      </c>
      <c r="AE65" s="14">
        <v>0</v>
      </c>
      <c r="AF65" s="26">
        <v>0</v>
      </c>
      <c r="AG65" s="12">
        <v>91</v>
      </c>
      <c r="AH65" s="14">
        <v>0</v>
      </c>
      <c r="AI65" s="209"/>
      <c r="AJ65" s="3"/>
      <c r="AK65" s="3"/>
      <c r="AL65" s="3"/>
      <c r="AM65" s="3"/>
      <c r="AN65" s="3"/>
      <c r="AO65" s="40"/>
      <c r="AP65" s="209"/>
      <c r="AQ65" s="3"/>
      <c r="AR65" s="40"/>
      <c r="AS65" s="238"/>
    </row>
    <row r="66" spans="1:45" s="229" customFormat="1">
      <c r="A66" s="83" t="s">
        <v>321</v>
      </c>
      <c r="B66" s="386">
        <v>2.5602</v>
      </c>
      <c r="C66" s="229" t="s">
        <v>635</v>
      </c>
      <c r="D66" s="229" t="s">
        <v>620</v>
      </c>
      <c r="E66" s="229" t="s">
        <v>1</v>
      </c>
      <c r="F66" s="229">
        <v>657</v>
      </c>
      <c r="G66" s="40">
        <f>F66/189</f>
        <v>3.4761904761904763</v>
      </c>
      <c r="H66" s="14">
        <v>1</v>
      </c>
      <c r="I66" s="229">
        <v>0</v>
      </c>
      <c r="J66" s="229">
        <v>0</v>
      </c>
      <c r="K66" s="26">
        <v>1</v>
      </c>
      <c r="L66" s="14">
        <v>0</v>
      </c>
      <c r="M66" s="229">
        <v>0</v>
      </c>
      <c r="N66" s="229">
        <v>0</v>
      </c>
      <c r="O66" s="229">
        <v>0</v>
      </c>
      <c r="P66" s="26">
        <v>0</v>
      </c>
      <c r="Q66" s="14">
        <v>0</v>
      </c>
      <c r="R66" s="24">
        <v>0</v>
      </c>
      <c r="S66" s="24">
        <v>0</v>
      </c>
      <c r="T66" s="24">
        <v>0</v>
      </c>
      <c r="U66" s="24">
        <v>0</v>
      </c>
      <c r="V66" s="24">
        <v>0</v>
      </c>
      <c r="W66" s="24">
        <v>0</v>
      </c>
      <c r="X66" s="24">
        <v>0</v>
      </c>
      <c r="Y66" s="24">
        <v>0</v>
      </c>
      <c r="Z66" s="24">
        <v>0</v>
      </c>
      <c r="AA66" s="24">
        <v>0</v>
      </c>
      <c r="AB66" s="24"/>
      <c r="AC66" s="12">
        <v>2</v>
      </c>
      <c r="AD66" s="14">
        <v>4</v>
      </c>
      <c r="AE66" s="14">
        <v>170</v>
      </c>
      <c r="AF66" s="26">
        <v>353</v>
      </c>
      <c r="AG66" s="12">
        <v>91</v>
      </c>
      <c r="AH66" s="14">
        <v>0</v>
      </c>
      <c r="AI66" s="209"/>
      <c r="AJ66" s="3"/>
      <c r="AK66" s="3"/>
      <c r="AL66" s="3"/>
      <c r="AM66" s="3"/>
      <c r="AN66" s="3"/>
      <c r="AO66" s="40"/>
      <c r="AP66" s="209"/>
      <c r="AQ66" s="3"/>
      <c r="AR66" s="40"/>
      <c r="AS66" s="238"/>
    </row>
    <row r="67" spans="1:45" s="229" customFormat="1">
      <c r="A67" s="83" t="s">
        <v>321</v>
      </c>
      <c r="B67" s="386">
        <v>2.5602</v>
      </c>
      <c r="C67" s="229" t="s">
        <v>635</v>
      </c>
      <c r="D67" s="229" t="s">
        <v>634</v>
      </c>
      <c r="E67" s="229" t="s">
        <v>0</v>
      </c>
      <c r="F67" s="229">
        <v>503</v>
      </c>
      <c r="G67" s="40">
        <f>F67/430</f>
        <v>1.1697674418604651</v>
      </c>
      <c r="H67" s="14">
        <v>0</v>
      </c>
      <c r="I67" s="229">
        <v>0</v>
      </c>
      <c r="J67" s="229">
        <v>1</v>
      </c>
      <c r="K67" s="26">
        <v>0</v>
      </c>
      <c r="L67" s="14">
        <v>0</v>
      </c>
      <c r="M67" s="229">
        <v>0</v>
      </c>
      <c r="N67" s="229">
        <v>0</v>
      </c>
      <c r="O67" s="229">
        <v>0</v>
      </c>
      <c r="P67" s="26">
        <v>0</v>
      </c>
      <c r="Q67" s="14">
        <v>0</v>
      </c>
      <c r="R67" s="24">
        <v>0</v>
      </c>
      <c r="S67" s="24">
        <v>0</v>
      </c>
      <c r="T67" s="24">
        <v>0</v>
      </c>
      <c r="U67" s="24">
        <v>0</v>
      </c>
      <c r="V67" s="24">
        <v>0</v>
      </c>
      <c r="W67" s="24">
        <v>0</v>
      </c>
      <c r="X67" s="24">
        <v>0</v>
      </c>
      <c r="Y67" s="24">
        <v>0</v>
      </c>
      <c r="Z67" s="24">
        <v>0</v>
      </c>
      <c r="AA67" s="24">
        <v>0</v>
      </c>
      <c r="AB67" s="24"/>
      <c r="AC67" s="12">
        <v>1</v>
      </c>
      <c r="AD67" s="14">
        <v>1</v>
      </c>
      <c r="AE67" s="14">
        <v>0</v>
      </c>
      <c r="AF67" s="26">
        <v>0</v>
      </c>
      <c r="AG67" s="12">
        <v>103</v>
      </c>
      <c r="AH67" s="14">
        <v>0</v>
      </c>
      <c r="AI67" s="209"/>
      <c r="AJ67" s="3"/>
      <c r="AK67" s="3"/>
      <c r="AL67" s="3"/>
      <c r="AM67" s="3"/>
      <c r="AN67" s="3"/>
      <c r="AO67" s="40"/>
      <c r="AP67" s="209"/>
      <c r="AQ67" s="3"/>
      <c r="AR67" s="40"/>
      <c r="AS67" s="238"/>
    </row>
    <row r="68" spans="1:45" s="229" customFormat="1">
      <c r="A68" s="83" t="s">
        <v>321</v>
      </c>
      <c r="B68" s="386">
        <v>2.5602</v>
      </c>
      <c r="C68" s="229" t="s">
        <v>635</v>
      </c>
      <c r="D68" s="229" t="s">
        <v>634</v>
      </c>
      <c r="E68" s="229" t="s">
        <v>1</v>
      </c>
      <c r="F68" s="229">
        <v>429</v>
      </c>
      <c r="G68" s="40">
        <f>F68/429</f>
        <v>1</v>
      </c>
      <c r="H68" s="14">
        <v>0</v>
      </c>
      <c r="I68" s="229">
        <v>0</v>
      </c>
      <c r="J68" s="229">
        <v>1</v>
      </c>
      <c r="K68" s="26">
        <v>0</v>
      </c>
      <c r="L68" s="14">
        <v>0</v>
      </c>
      <c r="M68" s="229">
        <v>0</v>
      </c>
      <c r="N68" s="229">
        <v>0</v>
      </c>
      <c r="O68" s="229">
        <v>0</v>
      </c>
      <c r="P68" s="26">
        <v>0</v>
      </c>
      <c r="Q68" s="14">
        <v>0</v>
      </c>
      <c r="R68" s="24">
        <v>0</v>
      </c>
      <c r="S68" s="24">
        <v>0</v>
      </c>
      <c r="T68" s="24">
        <v>0</v>
      </c>
      <c r="U68" s="24">
        <v>0</v>
      </c>
      <c r="V68" s="24">
        <v>0</v>
      </c>
      <c r="W68" s="24">
        <v>0</v>
      </c>
      <c r="X68" s="24">
        <v>0</v>
      </c>
      <c r="Y68" s="24">
        <v>0</v>
      </c>
      <c r="Z68" s="24">
        <v>0</v>
      </c>
      <c r="AA68" s="24">
        <v>0</v>
      </c>
      <c r="AB68" s="24"/>
      <c r="AC68" s="12">
        <v>1</v>
      </c>
      <c r="AD68" s="14">
        <v>1</v>
      </c>
      <c r="AE68" s="14">
        <v>0</v>
      </c>
      <c r="AF68" s="26">
        <v>0</v>
      </c>
      <c r="AG68" s="12">
        <v>103</v>
      </c>
      <c r="AH68" s="14">
        <v>0</v>
      </c>
      <c r="AI68" s="209"/>
      <c r="AJ68" s="3"/>
      <c r="AK68" s="3"/>
      <c r="AL68" s="3"/>
      <c r="AM68" s="3"/>
      <c r="AN68" s="3"/>
      <c r="AO68" s="40"/>
      <c r="AP68" s="209"/>
      <c r="AQ68" s="3"/>
      <c r="AR68" s="40"/>
      <c r="AS68" s="238"/>
    </row>
    <row r="69" spans="1:45" s="229" customFormat="1">
      <c r="A69" s="83" t="s">
        <v>321</v>
      </c>
      <c r="B69" s="386">
        <v>2.5602</v>
      </c>
      <c r="C69" s="229" t="s">
        <v>635</v>
      </c>
      <c r="D69" s="229" t="s">
        <v>625</v>
      </c>
      <c r="F69" s="229">
        <v>816</v>
      </c>
      <c r="G69" s="40">
        <f>F69/470</f>
        <v>1.7361702127659575</v>
      </c>
      <c r="H69" s="14">
        <v>0</v>
      </c>
      <c r="I69" s="229">
        <v>0</v>
      </c>
      <c r="J69" s="229">
        <v>1</v>
      </c>
      <c r="K69" s="26">
        <v>0</v>
      </c>
      <c r="L69" s="14">
        <v>0</v>
      </c>
      <c r="M69" s="229">
        <v>0</v>
      </c>
      <c r="N69" s="229">
        <v>0</v>
      </c>
      <c r="O69" s="229">
        <v>0</v>
      </c>
      <c r="P69" s="26">
        <v>0</v>
      </c>
      <c r="Q69" s="14">
        <v>0</v>
      </c>
      <c r="R69" s="24">
        <v>0</v>
      </c>
      <c r="S69" s="24">
        <v>0</v>
      </c>
      <c r="T69" s="24">
        <v>0</v>
      </c>
      <c r="U69" s="24">
        <v>0</v>
      </c>
      <c r="V69" s="24">
        <v>0</v>
      </c>
      <c r="W69" s="24">
        <v>0</v>
      </c>
      <c r="X69" s="24">
        <v>0</v>
      </c>
      <c r="Y69" s="24">
        <v>0</v>
      </c>
      <c r="Z69" s="24">
        <v>0</v>
      </c>
      <c r="AA69" s="24">
        <v>0</v>
      </c>
      <c r="AB69" s="24"/>
      <c r="AC69" s="12">
        <v>2</v>
      </c>
      <c r="AD69" s="14">
        <v>5</v>
      </c>
      <c r="AE69" s="14">
        <v>104</v>
      </c>
      <c r="AF69" s="26">
        <v>503</v>
      </c>
      <c r="AG69" s="12">
        <v>93</v>
      </c>
      <c r="AH69" s="14">
        <v>0</v>
      </c>
      <c r="AI69" s="209"/>
      <c r="AJ69" s="3"/>
      <c r="AK69" s="3"/>
      <c r="AL69" s="3"/>
      <c r="AM69" s="3"/>
      <c r="AN69" s="3"/>
      <c r="AO69" s="40"/>
      <c r="AP69" s="209"/>
      <c r="AQ69" s="3"/>
      <c r="AR69" s="40"/>
      <c r="AS69" s="238"/>
    </row>
    <row r="70" spans="1:45" s="229" customFormat="1">
      <c r="A70" s="83" t="s">
        <v>321</v>
      </c>
      <c r="B70" s="386">
        <v>2.5602</v>
      </c>
      <c r="C70" s="229" t="s">
        <v>635</v>
      </c>
      <c r="D70" s="229" t="s">
        <v>630</v>
      </c>
      <c r="E70" s="229" t="s">
        <v>0</v>
      </c>
      <c r="F70" s="229">
        <v>406</v>
      </c>
      <c r="G70" s="40">
        <f>F70/157</f>
        <v>2.5859872611464967</v>
      </c>
      <c r="H70" s="14">
        <v>0</v>
      </c>
      <c r="I70" s="229">
        <v>0</v>
      </c>
      <c r="J70" s="229">
        <v>1</v>
      </c>
      <c r="K70" s="26">
        <v>0</v>
      </c>
      <c r="L70" s="14">
        <v>0</v>
      </c>
      <c r="M70" s="229">
        <v>0</v>
      </c>
      <c r="N70" s="229">
        <v>0</v>
      </c>
      <c r="O70" s="229">
        <v>0</v>
      </c>
      <c r="P70" s="26">
        <v>0</v>
      </c>
      <c r="Q70" s="14">
        <v>15</v>
      </c>
      <c r="R70" s="24">
        <v>0</v>
      </c>
      <c r="S70" s="24">
        <v>0</v>
      </c>
      <c r="T70" s="24">
        <v>0</v>
      </c>
      <c r="U70" s="24">
        <v>0</v>
      </c>
      <c r="V70" s="24">
        <v>115</v>
      </c>
      <c r="W70" s="24">
        <v>237</v>
      </c>
      <c r="X70" s="24">
        <v>0</v>
      </c>
      <c r="Y70" s="24">
        <v>0</v>
      </c>
      <c r="Z70" s="24">
        <v>0</v>
      </c>
      <c r="AA70" s="24">
        <v>0</v>
      </c>
      <c r="AB70" s="24"/>
      <c r="AC70" s="12">
        <v>1</v>
      </c>
      <c r="AD70" s="14">
        <v>1</v>
      </c>
      <c r="AE70" s="14">
        <v>0</v>
      </c>
      <c r="AF70" s="26">
        <v>0</v>
      </c>
      <c r="AG70" s="12">
        <v>103</v>
      </c>
      <c r="AH70" s="14">
        <v>0</v>
      </c>
      <c r="AI70" s="209"/>
      <c r="AJ70" s="3"/>
      <c r="AK70" s="3"/>
      <c r="AL70" s="3"/>
      <c r="AM70" s="3"/>
      <c r="AN70" s="3"/>
      <c r="AO70" s="40"/>
      <c r="AP70" s="209"/>
      <c r="AQ70" s="3"/>
      <c r="AR70" s="40"/>
      <c r="AS70" s="238"/>
    </row>
    <row r="71" spans="1:45" s="229" customFormat="1">
      <c r="A71" s="83" t="s">
        <v>321</v>
      </c>
      <c r="B71" s="386">
        <v>2.5602</v>
      </c>
      <c r="C71" s="229" t="s">
        <v>635</v>
      </c>
      <c r="D71" s="229" t="s">
        <v>630</v>
      </c>
      <c r="E71" s="229" t="s">
        <v>1</v>
      </c>
      <c r="F71" s="229">
        <v>383</v>
      </c>
      <c r="G71" s="40">
        <f>F71/232</f>
        <v>1.6508620689655173</v>
      </c>
      <c r="H71" s="14">
        <v>0</v>
      </c>
      <c r="I71" s="229">
        <v>0</v>
      </c>
      <c r="J71" s="229">
        <v>1</v>
      </c>
      <c r="K71" s="26">
        <v>0</v>
      </c>
      <c r="L71" s="14">
        <v>0</v>
      </c>
      <c r="M71" s="229">
        <v>0</v>
      </c>
      <c r="N71" s="229">
        <v>0</v>
      </c>
      <c r="O71" s="229">
        <v>0</v>
      </c>
      <c r="P71" s="26">
        <v>0</v>
      </c>
      <c r="Q71" s="14">
        <v>0</v>
      </c>
      <c r="R71" s="24">
        <v>0</v>
      </c>
      <c r="S71" s="24">
        <v>0</v>
      </c>
      <c r="T71" s="24">
        <v>0</v>
      </c>
      <c r="U71" s="24">
        <v>0</v>
      </c>
      <c r="V71" s="24">
        <v>0</v>
      </c>
      <c r="W71" s="24">
        <v>0</v>
      </c>
      <c r="X71" s="24">
        <v>0</v>
      </c>
      <c r="Y71" s="24">
        <v>0</v>
      </c>
      <c r="Z71" s="24">
        <v>0</v>
      </c>
      <c r="AA71" s="24">
        <v>0</v>
      </c>
      <c r="AB71" s="24"/>
      <c r="AC71" s="12">
        <v>1</v>
      </c>
      <c r="AD71" s="14">
        <v>1</v>
      </c>
      <c r="AE71" s="14">
        <v>0</v>
      </c>
      <c r="AF71" s="26">
        <v>0</v>
      </c>
      <c r="AG71" s="12">
        <v>103</v>
      </c>
      <c r="AH71" s="14">
        <v>0</v>
      </c>
      <c r="AI71" s="209"/>
      <c r="AJ71" s="3"/>
      <c r="AK71" s="3"/>
      <c r="AL71" s="3"/>
      <c r="AM71" s="3"/>
      <c r="AN71" s="3"/>
      <c r="AO71" s="40"/>
      <c r="AP71" s="209"/>
      <c r="AQ71" s="3"/>
      <c r="AR71" s="40"/>
      <c r="AS71" s="238"/>
    </row>
    <row r="72" spans="1:45" s="229" customFormat="1">
      <c r="A72" s="83" t="s">
        <v>321</v>
      </c>
      <c r="B72" s="386">
        <v>2.5602</v>
      </c>
      <c r="C72" s="229" t="s">
        <v>635</v>
      </c>
      <c r="D72" s="229" t="s">
        <v>630</v>
      </c>
      <c r="E72" s="229" t="s">
        <v>2</v>
      </c>
      <c r="F72" s="229">
        <v>838</v>
      </c>
      <c r="G72" s="40">
        <f>F72/475</f>
        <v>1.7642105263157895</v>
      </c>
      <c r="H72" s="14">
        <v>0</v>
      </c>
      <c r="I72" s="229">
        <v>0</v>
      </c>
      <c r="J72" s="229">
        <v>1</v>
      </c>
      <c r="K72" s="26">
        <v>0</v>
      </c>
      <c r="L72" s="14">
        <v>0</v>
      </c>
      <c r="M72" s="229">
        <v>0</v>
      </c>
      <c r="N72" s="229">
        <v>0</v>
      </c>
      <c r="O72" s="229">
        <v>0</v>
      </c>
      <c r="P72" s="26">
        <v>0</v>
      </c>
      <c r="Q72" s="14">
        <v>2</v>
      </c>
      <c r="R72" s="24">
        <v>0</v>
      </c>
      <c r="S72" s="24">
        <v>0</v>
      </c>
      <c r="T72" s="24">
        <v>0</v>
      </c>
      <c r="U72" s="24">
        <v>0</v>
      </c>
      <c r="V72" s="24">
        <v>36</v>
      </c>
      <c r="W72" s="24">
        <v>56</v>
      </c>
      <c r="X72" s="24">
        <v>0</v>
      </c>
      <c r="Y72" s="24">
        <v>0</v>
      </c>
      <c r="Z72" s="24">
        <v>0</v>
      </c>
      <c r="AA72" s="24">
        <v>0</v>
      </c>
      <c r="AB72" s="24"/>
      <c r="AC72" s="12">
        <v>1</v>
      </c>
      <c r="AD72" s="14">
        <v>1</v>
      </c>
      <c r="AE72" s="14">
        <v>0</v>
      </c>
      <c r="AF72" s="26">
        <v>0</v>
      </c>
      <c r="AG72" s="12">
        <v>103</v>
      </c>
      <c r="AH72" s="14">
        <v>0</v>
      </c>
      <c r="AI72" s="209"/>
      <c r="AJ72" s="3"/>
      <c r="AK72" s="3"/>
      <c r="AL72" s="3"/>
      <c r="AM72" s="3"/>
      <c r="AN72" s="3"/>
      <c r="AO72" s="40"/>
      <c r="AP72" s="209"/>
      <c r="AQ72" s="3"/>
      <c r="AR72" s="40"/>
      <c r="AS72" s="238"/>
    </row>
    <row r="73" spans="1:45" s="229" customFormat="1">
      <c r="A73" s="83" t="s">
        <v>321</v>
      </c>
      <c r="B73" s="386">
        <v>2.5602</v>
      </c>
      <c r="C73" s="229" t="s">
        <v>635</v>
      </c>
      <c r="D73" s="229" t="s">
        <v>637</v>
      </c>
      <c r="E73" s="229" t="s">
        <v>0</v>
      </c>
      <c r="F73" s="229">
        <v>538</v>
      </c>
      <c r="G73" s="40">
        <f>F73/266</f>
        <v>2.0225563909774436</v>
      </c>
      <c r="H73" s="14">
        <v>0</v>
      </c>
      <c r="I73" s="229">
        <v>0</v>
      </c>
      <c r="J73" s="229">
        <v>1</v>
      </c>
      <c r="K73" s="26">
        <v>0</v>
      </c>
      <c r="L73" s="14">
        <v>0</v>
      </c>
      <c r="M73" s="229">
        <v>0</v>
      </c>
      <c r="N73" s="229">
        <v>1</v>
      </c>
      <c r="O73" s="229">
        <v>0</v>
      </c>
      <c r="P73" s="26">
        <v>1</v>
      </c>
      <c r="Q73" s="14">
        <v>0</v>
      </c>
      <c r="R73" s="24">
        <v>0</v>
      </c>
      <c r="S73" s="24">
        <v>0</v>
      </c>
      <c r="T73" s="24">
        <v>0</v>
      </c>
      <c r="U73" s="24">
        <v>0</v>
      </c>
      <c r="V73" s="24">
        <v>0</v>
      </c>
      <c r="W73" s="24">
        <v>0</v>
      </c>
      <c r="X73" s="24">
        <v>0</v>
      </c>
      <c r="Y73" s="24">
        <v>0</v>
      </c>
      <c r="Z73" s="24">
        <v>0</v>
      </c>
      <c r="AA73" s="24">
        <v>0</v>
      </c>
      <c r="AB73" s="24"/>
      <c r="AC73" s="12">
        <v>1</v>
      </c>
      <c r="AD73" s="14">
        <v>1</v>
      </c>
      <c r="AE73" s="14">
        <v>0</v>
      </c>
      <c r="AF73" s="26">
        <v>0</v>
      </c>
      <c r="AG73" s="12">
        <v>122</v>
      </c>
      <c r="AH73" s="14">
        <v>0</v>
      </c>
      <c r="AI73" s="209"/>
      <c r="AJ73" s="3"/>
      <c r="AK73" s="3"/>
      <c r="AL73" s="3"/>
      <c r="AM73" s="3"/>
      <c r="AN73" s="3"/>
      <c r="AO73" s="40"/>
      <c r="AP73" s="209"/>
      <c r="AQ73" s="3"/>
      <c r="AR73" s="40"/>
      <c r="AS73" s="238"/>
    </row>
    <row r="74" spans="1:45" s="229" customFormat="1">
      <c r="A74" s="83" t="s">
        <v>321</v>
      </c>
      <c r="B74" s="386">
        <v>2.5602</v>
      </c>
      <c r="C74" s="229" t="s">
        <v>635</v>
      </c>
      <c r="D74" s="229" t="s">
        <v>637</v>
      </c>
      <c r="E74" s="229" t="s">
        <v>1</v>
      </c>
      <c r="F74" s="229">
        <v>1700</v>
      </c>
      <c r="G74" s="40">
        <f>F74/1002</f>
        <v>1.6966067864271457</v>
      </c>
      <c r="H74" s="14">
        <v>1</v>
      </c>
      <c r="I74" s="229">
        <v>0</v>
      </c>
      <c r="J74" s="229">
        <v>0</v>
      </c>
      <c r="K74" s="26">
        <v>0</v>
      </c>
      <c r="L74" s="14">
        <v>0</v>
      </c>
      <c r="M74" s="229">
        <v>0</v>
      </c>
      <c r="N74" s="229">
        <v>1</v>
      </c>
      <c r="O74" s="229">
        <v>0</v>
      </c>
      <c r="P74" s="26">
        <v>1</v>
      </c>
      <c r="Q74" s="14">
        <v>1</v>
      </c>
      <c r="R74" s="24">
        <v>0</v>
      </c>
      <c r="S74" s="24">
        <v>33</v>
      </c>
      <c r="T74" s="24">
        <v>0</v>
      </c>
      <c r="U74" s="24">
        <v>0</v>
      </c>
      <c r="V74" s="24">
        <v>0</v>
      </c>
      <c r="W74" s="24">
        <v>0</v>
      </c>
      <c r="X74" s="24">
        <v>0</v>
      </c>
      <c r="Y74" s="24">
        <v>0</v>
      </c>
      <c r="Z74" s="24">
        <v>0</v>
      </c>
      <c r="AA74" s="24">
        <v>0</v>
      </c>
      <c r="AB74" s="24"/>
      <c r="AC74" s="12">
        <v>1</v>
      </c>
      <c r="AD74" s="14">
        <v>1</v>
      </c>
      <c r="AE74" s="14">
        <v>0</v>
      </c>
      <c r="AF74" s="26">
        <v>0</v>
      </c>
      <c r="AG74" s="12">
        <v>122</v>
      </c>
      <c r="AH74" s="14">
        <v>1</v>
      </c>
      <c r="AI74" s="209">
        <v>91.4</v>
      </c>
      <c r="AJ74" s="3">
        <v>90.2</v>
      </c>
      <c r="AK74" s="3"/>
      <c r="AL74" s="3"/>
      <c r="AM74" s="3"/>
      <c r="AN74" s="3"/>
      <c r="AO74" s="40"/>
      <c r="AP74" s="209">
        <v>85.6</v>
      </c>
      <c r="AQ74" s="3"/>
      <c r="AR74" s="40"/>
      <c r="AS74" s="238"/>
    </row>
    <row r="75" spans="1:45" s="229" customFormat="1">
      <c r="A75" s="83" t="s">
        <v>321</v>
      </c>
      <c r="B75" s="386">
        <v>2.5602</v>
      </c>
      <c r="C75" s="229" t="s">
        <v>635</v>
      </c>
      <c r="D75" s="229" t="s">
        <v>638</v>
      </c>
      <c r="F75" s="229">
        <v>969</v>
      </c>
      <c r="G75" s="40">
        <f>F75/414</f>
        <v>2.3405797101449277</v>
      </c>
      <c r="H75" s="14">
        <v>0</v>
      </c>
      <c r="I75" s="229">
        <v>0</v>
      </c>
      <c r="J75" s="229">
        <v>1</v>
      </c>
      <c r="K75" s="26">
        <v>0</v>
      </c>
      <c r="L75" s="14">
        <v>0</v>
      </c>
      <c r="M75" s="229">
        <v>0</v>
      </c>
      <c r="N75" s="229">
        <v>0</v>
      </c>
      <c r="O75" s="229">
        <v>0</v>
      </c>
      <c r="P75" s="26">
        <v>0</v>
      </c>
      <c r="Q75" s="14">
        <v>20</v>
      </c>
      <c r="R75" s="24">
        <v>0</v>
      </c>
      <c r="S75" s="24">
        <v>0</v>
      </c>
      <c r="T75" s="24">
        <v>0</v>
      </c>
      <c r="U75" s="24">
        <v>0</v>
      </c>
      <c r="V75" s="24">
        <v>17</v>
      </c>
      <c r="W75" s="24">
        <v>52</v>
      </c>
      <c r="X75" s="24">
        <v>0</v>
      </c>
      <c r="Y75" s="24">
        <v>0</v>
      </c>
      <c r="Z75" s="24">
        <v>28</v>
      </c>
      <c r="AA75" s="24">
        <v>316</v>
      </c>
      <c r="AB75" s="24"/>
      <c r="AC75" s="12">
        <v>2</v>
      </c>
      <c r="AD75" s="14">
        <v>2</v>
      </c>
      <c r="AE75" s="14">
        <v>689</v>
      </c>
      <c r="AF75" s="26">
        <v>750</v>
      </c>
      <c r="AG75" s="12">
        <v>112</v>
      </c>
      <c r="AH75" s="14">
        <v>0</v>
      </c>
      <c r="AI75" s="209"/>
      <c r="AJ75" s="3"/>
      <c r="AK75" s="3"/>
      <c r="AL75" s="3"/>
      <c r="AM75" s="3"/>
      <c r="AN75" s="3"/>
      <c r="AO75" s="40"/>
      <c r="AP75" s="209"/>
      <c r="AQ75" s="3"/>
      <c r="AR75" s="40"/>
      <c r="AS75" s="238"/>
    </row>
    <row r="76" spans="1:45" s="229" customFormat="1">
      <c r="A76" s="83" t="s">
        <v>321</v>
      </c>
      <c r="B76" s="386">
        <v>2.5602</v>
      </c>
      <c r="C76" s="229" t="s">
        <v>635</v>
      </c>
      <c r="D76" s="229" t="s">
        <v>639</v>
      </c>
      <c r="E76" s="229" t="s">
        <v>0</v>
      </c>
      <c r="F76" s="229">
        <v>381</v>
      </c>
      <c r="G76" s="40">
        <f>F76/178</f>
        <v>2.1404494382022472</v>
      </c>
      <c r="H76" s="14">
        <v>0</v>
      </c>
      <c r="I76" s="229">
        <v>0</v>
      </c>
      <c r="J76" s="229">
        <v>1</v>
      </c>
      <c r="K76" s="26">
        <v>0</v>
      </c>
      <c r="L76" s="14">
        <v>0</v>
      </c>
      <c r="M76" s="229">
        <v>0</v>
      </c>
      <c r="N76" s="229">
        <v>0</v>
      </c>
      <c r="O76" s="229">
        <v>0</v>
      </c>
      <c r="P76" s="26">
        <v>0</v>
      </c>
      <c r="Q76" s="14">
        <v>25</v>
      </c>
      <c r="R76" s="24">
        <v>0</v>
      </c>
      <c r="S76" s="24">
        <v>0</v>
      </c>
      <c r="T76" s="24">
        <v>0</v>
      </c>
      <c r="U76" s="24">
        <v>0</v>
      </c>
      <c r="V76" s="24">
        <v>0</v>
      </c>
      <c r="W76" s="24">
        <v>0</v>
      </c>
      <c r="X76" s="24">
        <v>0</v>
      </c>
      <c r="Y76" s="24">
        <v>0</v>
      </c>
      <c r="Z76" s="24">
        <v>91</v>
      </c>
      <c r="AA76" s="24">
        <v>163</v>
      </c>
      <c r="AB76" s="24"/>
      <c r="AC76" s="12">
        <v>1</v>
      </c>
      <c r="AD76" s="14">
        <v>1</v>
      </c>
      <c r="AE76" s="14">
        <v>0</v>
      </c>
      <c r="AF76" s="26">
        <v>0</v>
      </c>
      <c r="AG76" s="12">
        <v>147</v>
      </c>
      <c r="AH76" s="14">
        <v>0</v>
      </c>
      <c r="AI76" s="209"/>
      <c r="AJ76" s="3"/>
      <c r="AK76" s="3"/>
      <c r="AL76" s="3"/>
      <c r="AM76" s="3"/>
      <c r="AN76" s="3"/>
      <c r="AO76" s="40"/>
      <c r="AP76" s="209"/>
      <c r="AQ76" s="3"/>
      <c r="AR76" s="40"/>
      <c r="AS76" s="238"/>
    </row>
    <row r="77" spans="1:45" s="229" customFormat="1">
      <c r="A77" s="83" t="s">
        <v>321</v>
      </c>
      <c r="B77" s="386">
        <v>2.5602</v>
      </c>
      <c r="C77" s="229" t="s">
        <v>635</v>
      </c>
      <c r="D77" s="229" t="s">
        <v>639</v>
      </c>
      <c r="E77" s="229" t="s">
        <v>1</v>
      </c>
      <c r="F77" s="229">
        <v>277</v>
      </c>
      <c r="G77" s="40">
        <f>F77/154</f>
        <v>1.7987012987012987</v>
      </c>
      <c r="H77" s="14">
        <v>0</v>
      </c>
      <c r="I77" s="229">
        <v>0</v>
      </c>
      <c r="J77" s="229">
        <v>1</v>
      </c>
      <c r="K77" s="26">
        <v>0</v>
      </c>
      <c r="L77" s="14">
        <v>0</v>
      </c>
      <c r="M77" s="229">
        <v>0</v>
      </c>
      <c r="N77" s="229">
        <v>0</v>
      </c>
      <c r="O77" s="229">
        <v>0</v>
      </c>
      <c r="P77" s="26">
        <v>0</v>
      </c>
      <c r="Q77" s="14">
        <v>10</v>
      </c>
      <c r="R77" s="24">
        <v>10</v>
      </c>
      <c r="S77" s="24">
        <v>14</v>
      </c>
      <c r="T77" s="24">
        <v>0</v>
      </c>
      <c r="U77" s="24">
        <v>0</v>
      </c>
      <c r="V77" s="24">
        <v>10</v>
      </c>
      <c r="W77" s="24">
        <v>36</v>
      </c>
      <c r="X77" s="24">
        <v>0</v>
      </c>
      <c r="Y77" s="24">
        <v>0</v>
      </c>
      <c r="Z77" s="24">
        <v>0</v>
      </c>
      <c r="AA77" s="24">
        <v>0</v>
      </c>
      <c r="AB77" s="24"/>
      <c r="AC77" s="12">
        <v>1</v>
      </c>
      <c r="AD77" s="14">
        <v>1</v>
      </c>
      <c r="AE77" s="14">
        <v>0</v>
      </c>
      <c r="AF77" s="26">
        <v>0</v>
      </c>
      <c r="AG77" s="12">
        <v>147</v>
      </c>
      <c r="AH77" s="14">
        <v>0</v>
      </c>
      <c r="AI77" s="209"/>
      <c r="AJ77" s="3"/>
      <c r="AK77" s="3"/>
      <c r="AL77" s="3"/>
      <c r="AM77" s="3"/>
      <c r="AN77" s="3"/>
      <c r="AO77" s="40"/>
      <c r="AP77" s="209"/>
      <c r="AQ77" s="3"/>
      <c r="AR77" s="40"/>
      <c r="AS77" s="238"/>
    </row>
    <row r="78" spans="1:45" s="229" customFormat="1">
      <c r="A78" s="83" t="s">
        <v>321</v>
      </c>
      <c r="B78" s="386">
        <v>2.5602</v>
      </c>
      <c r="C78" s="229" t="s">
        <v>635</v>
      </c>
      <c r="D78" s="229" t="s">
        <v>639</v>
      </c>
      <c r="E78" s="229" t="s">
        <v>2</v>
      </c>
      <c r="F78" s="229">
        <v>259</v>
      </c>
      <c r="G78" s="40">
        <f>F78/190</f>
        <v>1.3631578947368421</v>
      </c>
      <c r="H78" s="14">
        <v>0</v>
      </c>
      <c r="I78" s="229">
        <v>0</v>
      </c>
      <c r="J78" s="229">
        <v>1</v>
      </c>
      <c r="K78" s="26">
        <v>0</v>
      </c>
      <c r="L78" s="14">
        <v>0</v>
      </c>
      <c r="M78" s="229">
        <v>0</v>
      </c>
      <c r="N78" s="229">
        <v>0</v>
      </c>
      <c r="O78" s="229">
        <v>0</v>
      </c>
      <c r="P78" s="26">
        <v>0</v>
      </c>
      <c r="Q78" s="14">
        <v>0</v>
      </c>
      <c r="R78" s="24">
        <v>0</v>
      </c>
      <c r="S78" s="24">
        <v>0</v>
      </c>
      <c r="T78" s="24">
        <v>0</v>
      </c>
      <c r="U78" s="24">
        <v>0</v>
      </c>
      <c r="V78" s="24">
        <v>0</v>
      </c>
      <c r="W78" s="24">
        <v>0</v>
      </c>
      <c r="X78" s="24">
        <v>0</v>
      </c>
      <c r="Y78" s="24">
        <v>0</v>
      </c>
      <c r="Z78" s="24">
        <v>0</v>
      </c>
      <c r="AA78" s="24">
        <v>0</v>
      </c>
      <c r="AB78" s="24"/>
      <c r="AC78" s="12">
        <v>1</v>
      </c>
      <c r="AD78" s="14">
        <v>1</v>
      </c>
      <c r="AE78" s="14">
        <v>0</v>
      </c>
      <c r="AF78" s="26">
        <v>0</v>
      </c>
      <c r="AG78" s="12">
        <v>147</v>
      </c>
      <c r="AH78" s="14">
        <v>0</v>
      </c>
      <c r="AI78" s="209"/>
      <c r="AJ78" s="3"/>
      <c r="AK78" s="3"/>
      <c r="AL78" s="3"/>
      <c r="AM78" s="3"/>
      <c r="AN78" s="3"/>
      <c r="AO78" s="40"/>
      <c r="AP78" s="209"/>
      <c r="AQ78" s="3"/>
      <c r="AR78" s="40"/>
      <c r="AS78" s="238"/>
    </row>
    <row r="79" spans="1:45" s="229" customFormat="1">
      <c r="A79" s="83" t="s">
        <v>321</v>
      </c>
      <c r="B79" s="386">
        <v>2.5602</v>
      </c>
      <c r="C79" s="229" t="s">
        <v>635</v>
      </c>
      <c r="D79" s="24" t="s">
        <v>639</v>
      </c>
      <c r="E79" s="229" t="s">
        <v>3</v>
      </c>
      <c r="F79" s="229">
        <v>351</v>
      </c>
      <c r="G79" s="40">
        <f>F79/180</f>
        <v>1.95</v>
      </c>
      <c r="H79" s="14">
        <v>0</v>
      </c>
      <c r="I79" s="229">
        <v>0</v>
      </c>
      <c r="J79" s="229">
        <v>1</v>
      </c>
      <c r="K79" s="26">
        <v>0</v>
      </c>
      <c r="L79" s="14">
        <v>0</v>
      </c>
      <c r="M79" s="229">
        <v>0</v>
      </c>
      <c r="N79" s="229">
        <v>0</v>
      </c>
      <c r="O79" s="229">
        <v>0</v>
      </c>
      <c r="P79" s="26">
        <v>0</v>
      </c>
      <c r="Q79" s="14">
        <v>5</v>
      </c>
      <c r="R79" s="24">
        <v>11</v>
      </c>
      <c r="S79" s="24">
        <v>12</v>
      </c>
      <c r="T79" s="24">
        <v>0</v>
      </c>
      <c r="U79" s="24">
        <v>0</v>
      </c>
      <c r="V79" s="24">
        <v>0</v>
      </c>
      <c r="W79" s="24">
        <v>0</v>
      </c>
      <c r="X79" s="24">
        <v>0</v>
      </c>
      <c r="Y79" s="24">
        <v>0</v>
      </c>
      <c r="Z79" s="24">
        <v>0</v>
      </c>
      <c r="AA79" s="24">
        <v>52</v>
      </c>
      <c r="AB79" s="24"/>
      <c r="AC79" s="12">
        <v>1</v>
      </c>
      <c r="AD79" s="14">
        <v>1</v>
      </c>
      <c r="AE79" s="14">
        <v>0</v>
      </c>
      <c r="AF79" s="26">
        <v>0</v>
      </c>
      <c r="AG79" s="12">
        <v>147</v>
      </c>
      <c r="AH79" s="14">
        <v>0</v>
      </c>
      <c r="AI79" s="209"/>
      <c r="AJ79" s="3"/>
      <c r="AK79" s="3"/>
      <c r="AL79" s="3"/>
      <c r="AM79" s="3"/>
      <c r="AN79" s="3"/>
      <c r="AO79" s="40"/>
      <c r="AP79" s="209"/>
      <c r="AQ79" s="3"/>
      <c r="AR79" s="40"/>
      <c r="AS79" s="238"/>
    </row>
    <row r="80" spans="1:45" s="229" customFormat="1">
      <c r="A80" s="83" t="s">
        <v>321</v>
      </c>
      <c r="B80" s="386">
        <v>2.5602</v>
      </c>
      <c r="C80" s="229" t="s">
        <v>635</v>
      </c>
      <c r="D80" s="229" t="s">
        <v>640</v>
      </c>
      <c r="E80" s="229" t="s">
        <v>0</v>
      </c>
      <c r="F80" s="229">
        <v>307</v>
      </c>
      <c r="G80" s="40">
        <f>F80/233</f>
        <v>1.3175965665236051</v>
      </c>
      <c r="H80" s="14">
        <v>1</v>
      </c>
      <c r="I80" s="229">
        <v>0</v>
      </c>
      <c r="J80" s="229">
        <v>1</v>
      </c>
      <c r="K80" s="26">
        <v>0</v>
      </c>
      <c r="L80" s="14">
        <v>0</v>
      </c>
      <c r="M80" s="229">
        <v>0</v>
      </c>
      <c r="N80" s="229">
        <v>0</v>
      </c>
      <c r="O80" s="229">
        <v>0</v>
      </c>
      <c r="P80" s="26">
        <v>0</v>
      </c>
      <c r="Q80" s="14">
        <v>0</v>
      </c>
      <c r="R80" s="24">
        <v>0</v>
      </c>
      <c r="S80" s="24">
        <v>0</v>
      </c>
      <c r="T80" s="24">
        <v>0</v>
      </c>
      <c r="U80" s="24">
        <v>0</v>
      </c>
      <c r="V80" s="24">
        <v>0</v>
      </c>
      <c r="W80" s="24">
        <v>0</v>
      </c>
      <c r="X80" s="24">
        <v>0</v>
      </c>
      <c r="Y80" s="24">
        <v>0</v>
      </c>
      <c r="Z80" s="24">
        <v>0</v>
      </c>
      <c r="AA80" s="24">
        <v>0</v>
      </c>
      <c r="AB80" s="24"/>
      <c r="AC80" s="12">
        <v>2</v>
      </c>
      <c r="AD80" s="14">
        <v>3</v>
      </c>
      <c r="AE80" s="14">
        <v>161</v>
      </c>
      <c r="AF80" s="26">
        <v>233</v>
      </c>
      <c r="AG80" s="12">
        <v>78</v>
      </c>
      <c r="AH80" s="14">
        <v>0</v>
      </c>
      <c r="AI80" s="209"/>
      <c r="AJ80" s="3"/>
      <c r="AK80" s="3"/>
      <c r="AL80" s="3"/>
      <c r="AM80" s="3"/>
      <c r="AN80" s="3"/>
      <c r="AO80" s="40"/>
      <c r="AP80" s="209"/>
      <c r="AQ80" s="3"/>
      <c r="AR80" s="40"/>
      <c r="AS80" s="238"/>
    </row>
    <row r="81" spans="1:45" s="229" customFormat="1">
      <c r="A81" s="83" t="s">
        <v>321</v>
      </c>
      <c r="B81" s="386">
        <v>2.5602</v>
      </c>
      <c r="C81" s="229" t="s">
        <v>635</v>
      </c>
      <c r="D81" s="229" t="s">
        <v>640</v>
      </c>
      <c r="E81" s="229" t="s">
        <v>1</v>
      </c>
      <c r="F81" s="229">
        <v>683</v>
      </c>
      <c r="G81" s="40">
        <f>F81/465</f>
        <v>1.4688172043010752</v>
      </c>
      <c r="H81" s="14">
        <v>0</v>
      </c>
      <c r="I81" s="229">
        <v>0</v>
      </c>
      <c r="J81" s="229">
        <v>1</v>
      </c>
      <c r="K81" s="26">
        <v>0</v>
      </c>
      <c r="L81" s="14">
        <v>0</v>
      </c>
      <c r="M81" s="229">
        <v>0</v>
      </c>
      <c r="N81" s="229">
        <v>0</v>
      </c>
      <c r="O81" s="229">
        <v>0</v>
      </c>
      <c r="P81" s="26">
        <v>0</v>
      </c>
      <c r="Q81" s="14">
        <v>4</v>
      </c>
      <c r="R81" s="24">
        <v>0</v>
      </c>
      <c r="S81" s="24">
        <v>15</v>
      </c>
      <c r="T81" s="24">
        <v>0</v>
      </c>
      <c r="U81" s="24">
        <v>0</v>
      </c>
      <c r="V81" s="24">
        <v>23</v>
      </c>
      <c r="W81" s="24">
        <v>76</v>
      </c>
      <c r="X81" s="24">
        <v>0</v>
      </c>
      <c r="Y81" s="24">
        <v>0</v>
      </c>
      <c r="Z81" s="24">
        <v>0</v>
      </c>
      <c r="AA81" s="24">
        <v>0</v>
      </c>
      <c r="AB81" s="24"/>
      <c r="AC81" s="12">
        <v>1</v>
      </c>
      <c r="AD81" s="14">
        <v>1</v>
      </c>
      <c r="AE81" s="14">
        <v>0</v>
      </c>
      <c r="AF81" s="26">
        <v>0</v>
      </c>
      <c r="AG81" s="12">
        <v>78</v>
      </c>
      <c r="AH81" s="14">
        <v>0</v>
      </c>
      <c r="AI81" s="209"/>
      <c r="AJ81" s="3"/>
      <c r="AK81" s="3"/>
      <c r="AL81" s="3"/>
      <c r="AM81" s="3"/>
      <c r="AN81" s="3"/>
      <c r="AO81" s="40"/>
      <c r="AP81" s="209"/>
      <c r="AQ81" s="3"/>
      <c r="AR81" s="40"/>
      <c r="AS81" s="238"/>
    </row>
    <row r="82" spans="1:45" s="229" customFormat="1">
      <c r="A82" s="83" t="s">
        <v>321</v>
      </c>
      <c r="B82" s="386">
        <v>2.5602</v>
      </c>
      <c r="C82" s="229" t="s">
        <v>635</v>
      </c>
      <c r="D82" s="229" t="s">
        <v>641</v>
      </c>
      <c r="E82" s="229" t="s">
        <v>0</v>
      </c>
      <c r="F82" s="229">
        <v>476</v>
      </c>
      <c r="G82" s="40">
        <f>F82/219</f>
        <v>2.1735159817351599</v>
      </c>
      <c r="H82" s="14">
        <v>1</v>
      </c>
      <c r="I82" s="229">
        <v>0</v>
      </c>
      <c r="J82" s="229">
        <v>0</v>
      </c>
      <c r="K82" s="26">
        <v>0</v>
      </c>
      <c r="L82" s="14">
        <v>0</v>
      </c>
      <c r="M82" s="229">
        <v>0</v>
      </c>
      <c r="N82" s="229">
        <v>0</v>
      </c>
      <c r="O82" s="229">
        <v>0</v>
      </c>
      <c r="P82" s="26">
        <v>0</v>
      </c>
      <c r="Q82" s="14">
        <v>2</v>
      </c>
      <c r="R82" s="24">
        <v>0</v>
      </c>
      <c r="S82" s="24">
        <v>0</v>
      </c>
      <c r="T82" s="24">
        <v>0</v>
      </c>
      <c r="U82" s="24">
        <v>0</v>
      </c>
      <c r="V82" s="24">
        <v>0</v>
      </c>
      <c r="W82" s="24">
        <v>76</v>
      </c>
      <c r="X82" s="24">
        <v>0</v>
      </c>
      <c r="Y82" s="24">
        <v>0</v>
      </c>
      <c r="Z82" s="24">
        <v>0</v>
      </c>
      <c r="AA82" s="24">
        <v>0</v>
      </c>
      <c r="AB82" s="24"/>
      <c r="AC82" s="12">
        <v>1</v>
      </c>
      <c r="AD82" s="14">
        <v>1</v>
      </c>
      <c r="AE82" s="14">
        <v>0</v>
      </c>
      <c r="AF82" s="26">
        <v>0</v>
      </c>
      <c r="AG82" s="12">
        <v>92</v>
      </c>
      <c r="AH82" s="14">
        <v>0</v>
      </c>
      <c r="AI82" s="209"/>
      <c r="AJ82" s="3"/>
      <c r="AK82" s="3"/>
      <c r="AL82" s="3"/>
      <c r="AM82" s="3"/>
      <c r="AN82" s="3"/>
      <c r="AO82" s="40"/>
      <c r="AP82" s="209"/>
      <c r="AQ82" s="3"/>
      <c r="AR82" s="40"/>
      <c r="AS82" s="238"/>
    </row>
    <row r="83" spans="1:45" s="229" customFormat="1" ht="17" thickBot="1">
      <c r="A83" s="84" t="s">
        <v>321</v>
      </c>
      <c r="B83" s="385">
        <v>2.5602</v>
      </c>
      <c r="C83" s="36" t="s">
        <v>635</v>
      </c>
      <c r="D83" s="36" t="s">
        <v>641</v>
      </c>
      <c r="E83" s="36" t="s">
        <v>1</v>
      </c>
      <c r="F83" s="36">
        <v>221</v>
      </c>
      <c r="G83" s="48">
        <f>F83/128</f>
        <v>1.7265625</v>
      </c>
      <c r="H83" s="34">
        <v>1</v>
      </c>
      <c r="I83" s="36">
        <v>0</v>
      </c>
      <c r="J83" s="36">
        <v>0</v>
      </c>
      <c r="K83" s="35">
        <v>0</v>
      </c>
      <c r="L83" s="34">
        <v>0</v>
      </c>
      <c r="M83" s="36">
        <v>0</v>
      </c>
      <c r="N83" s="36">
        <v>0</v>
      </c>
      <c r="O83" s="36">
        <v>0</v>
      </c>
      <c r="P83" s="35">
        <v>0</v>
      </c>
      <c r="Q83" s="34">
        <v>0</v>
      </c>
      <c r="R83" s="103">
        <v>0</v>
      </c>
      <c r="S83" s="103">
        <v>0</v>
      </c>
      <c r="T83" s="103">
        <v>0</v>
      </c>
      <c r="U83" s="103">
        <v>0</v>
      </c>
      <c r="V83" s="103">
        <v>0</v>
      </c>
      <c r="W83" s="103">
        <v>0</v>
      </c>
      <c r="X83" s="103">
        <v>0</v>
      </c>
      <c r="Y83" s="103">
        <v>0</v>
      </c>
      <c r="Z83" s="103">
        <v>0</v>
      </c>
      <c r="AA83" s="103">
        <v>0</v>
      </c>
      <c r="AB83" s="103"/>
      <c r="AC83" s="33">
        <v>1</v>
      </c>
      <c r="AD83" s="34">
        <v>1</v>
      </c>
      <c r="AE83" s="34">
        <v>0</v>
      </c>
      <c r="AF83" s="35">
        <v>0</v>
      </c>
      <c r="AG83" s="33">
        <v>92</v>
      </c>
      <c r="AH83" s="34">
        <v>0</v>
      </c>
      <c r="AI83" s="210"/>
      <c r="AJ83" s="51"/>
      <c r="AK83" s="51"/>
      <c r="AL83" s="51"/>
      <c r="AM83" s="51"/>
      <c r="AN83" s="51"/>
      <c r="AO83" s="48"/>
      <c r="AP83" s="210"/>
      <c r="AQ83" s="51"/>
      <c r="AR83" s="48"/>
      <c r="AS83" s="239"/>
    </row>
    <row r="84" spans="1:45" s="229" customFormat="1">
      <c r="A84" s="83" t="s">
        <v>321</v>
      </c>
      <c r="B84" s="384">
        <v>2.5602</v>
      </c>
      <c r="C84" s="8" t="s">
        <v>426</v>
      </c>
      <c r="D84" s="8" t="s">
        <v>423</v>
      </c>
      <c r="E84" s="8"/>
      <c r="F84" s="8">
        <v>403</v>
      </c>
      <c r="G84" s="10">
        <f>F84/316</f>
        <v>1.2753164556962024</v>
      </c>
      <c r="H84" s="11">
        <v>0</v>
      </c>
      <c r="I84" s="8">
        <v>0</v>
      </c>
      <c r="J84" s="8">
        <v>1</v>
      </c>
      <c r="K84" s="41">
        <v>0</v>
      </c>
      <c r="L84" s="11">
        <v>0</v>
      </c>
      <c r="M84" s="8">
        <v>0</v>
      </c>
      <c r="N84" s="8">
        <v>0</v>
      </c>
      <c r="O84" s="8">
        <v>0</v>
      </c>
      <c r="P84" s="41">
        <v>0</v>
      </c>
      <c r="Q84" s="11">
        <v>0</v>
      </c>
      <c r="R84" s="100">
        <v>0</v>
      </c>
      <c r="S84" s="100">
        <v>0</v>
      </c>
      <c r="T84" s="100">
        <v>0</v>
      </c>
      <c r="U84" s="100">
        <v>0</v>
      </c>
      <c r="V84" s="100">
        <v>0</v>
      </c>
      <c r="W84" s="100">
        <v>0</v>
      </c>
      <c r="X84" s="100">
        <v>0</v>
      </c>
      <c r="Y84" s="100">
        <v>0</v>
      </c>
      <c r="Z84" s="100">
        <v>0</v>
      </c>
      <c r="AA84" s="100">
        <v>0</v>
      </c>
      <c r="AB84" s="100"/>
      <c r="AC84" s="9">
        <v>1</v>
      </c>
      <c r="AD84" s="11">
        <v>1</v>
      </c>
      <c r="AE84" s="11">
        <v>0</v>
      </c>
      <c r="AF84" s="41">
        <v>0</v>
      </c>
      <c r="AG84" s="9">
        <v>69</v>
      </c>
      <c r="AH84" s="11">
        <v>0</v>
      </c>
      <c r="AI84" s="208"/>
      <c r="AJ84" s="54"/>
      <c r="AK84" s="54"/>
      <c r="AL84" s="54"/>
      <c r="AM84" s="54"/>
      <c r="AN84" s="54"/>
      <c r="AO84" s="10"/>
      <c r="AP84" s="208"/>
      <c r="AQ84" s="54"/>
      <c r="AR84" s="10"/>
      <c r="AS84" s="237"/>
    </row>
    <row r="85" spans="1:45" s="229" customFormat="1">
      <c r="A85" s="83" t="s">
        <v>321</v>
      </c>
      <c r="B85" s="386">
        <v>2.5602</v>
      </c>
      <c r="C85" s="229" t="s">
        <v>426</v>
      </c>
      <c r="D85" s="229" t="s">
        <v>622</v>
      </c>
      <c r="E85" s="229" t="s">
        <v>0</v>
      </c>
      <c r="F85" s="229">
        <v>678</v>
      </c>
      <c r="G85" s="40">
        <f>F85/382</f>
        <v>1.7748691099476439</v>
      </c>
      <c r="H85" s="14">
        <v>1</v>
      </c>
      <c r="I85" s="229">
        <v>0</v>
      </c>
      <c r="J85" s="229">
        <v>1</v>
      </c>
      <c r="K85" s="26">
        <v>0</v>
      </c>
      <c r="L85" s="14">
        <v>0</v>
      </c>
      <c r="M85" s="229">
        <v>0</v>
      </c>
      <c r="N85" s="229">
        <v>0</v>
      </c>
      <c r="O85" s="229">
        <v>0</v>
      </c>
      <c r="P85" s="26">
        <v>0</v>
      </c>
      <c r="Q85" s="14">
        <v>10</v>
      </c>
      <c r="R85" s="24">
        <v>0</v>
      </c>
      <c r="S85" s="24">
        <v>17</v>
      </c>
      <c r="T85" s="24">
        <v>0</v>
      </c>
      <c r="U85" s="24">
        <v>0</v>
      </c>
      <c r="V85" s="24">
        <v>85</v>
      </c>
      <c r="W85" s="24">
        <v>258</v>
      </c>
      <c r="X85" s="24">
        <v>0</v>
      </c>
      <c r="Y85" s="24">
        <v>0</v>
      </c>
      <c r="Z85" s="24">
        <v>0</v>
      </c>
      <c r="AA85" s="24">
        <v>0</v>
      </c>
      <c r="AB85" s="24"/>
      <c r="AC85" s="12">
        <v>2</v>
      </c>
      <c r="AD85" s="14">
        <v>3</v>
      </c>
      <c r="AE85" s="14">
        <v>152</v>
      </c>
      <c r="AF85" s="26">
        <v>567</v>
      </c>
      <c r="AG85" s="12">
        <v>85</v>
      </c>
      <c r="AH85" s="14">
        <v>0</v>
      </c>
      <c r="AI85" s="209"/>
      <c r="AJ85" s="3"/>
      <c r="AK85" s="3"/>
      <c r="AL85" s="3"/>
      <c r="AM85" s="3"/>
      <c r="AN85" s="3"/>
      <c r="AO85" s="40"/>
      <c r="AP85" s="209"/>
      <c r="AQ85" s="3"/>
      <c r="AR85" s="40"/>
      <c r="AS85" s="238"/>
    </row>
    <row r="86" spans="1:45" s="229" customFormat="1">
      <c r="A86" s="83" t="s">
        <v>321</v>
      </c>
      <c r="B86" s="386">
        <v>2.5602</v>
      </c>
      <c r="C86" s="229" t="s">
        <v>426</v>
      </c>
      <c r="D86" s="229" t="s">
        <v>622</v>
      </c>
      <c r="E86" s="229" t="s">
        <v>1</v>
      </c>
      <c r="F86" s="229">
        <v>723</v>
      </c>
      <c r="G86" s="40">
        <f>F86/342</f>
        <v>2.1140350877192984</v>
      </c>
      <c r="H86" s="14">
        <v>0</v>
      </c>
      <c r="I86" s="229">
        <v>0</v>
      </c>
      <c r="J86" s="229">
        <v>1</v>
      </c>
      <c r="K86" s="26">
        <v>0</v>
      </c>
      <c r="L86" s="14">
        <v>0</v>
      </c>
      <c r="M86" s="229">
        <v>0</v>
      </c>
      <c r="N86" s="229">
        <v>0</v>
      </c>
      <c r="O86" s="229">
        <v>0</v>
      </c>
      <c r="P86" s="26">
        <v>0</v>
      </c>
      <c r="Q86" s="14">
        <v>10</v>
      </c>
      <c r="R86" s="24">
        <v>17</v>
      </c>
      <c r="S86" s="24">
        <v>21</v>
      </c>
      <c r="T86" s="24">
        <v>0</v>
      </c>
      <c r="U86" s="24">
        <v>0</v>
      </c>
      <c r="V86" s="24">
        <v>0</v>
      </c>
      <c r="W86" s="24">
        <v>0</v>
      </c>
      <c r="X86" s="24">
        <v>0</v>
      </c>
      <c r="Y86" s="24">
        <v>0</v>
      </c>
      <c r="Z86" s="24">
        <v>212</v>
      </c>
      <c r="AA86" s="24">
        <v>265</v>
      </c>
      <c r="AB86" s="24"/>
      <c r="AC86" s="12">
        <v>1</v>
      </c>
      <c r="AD86" s="14">
        <v>1</v>
      </c>
      <c r="AE86" s="14">
        <v>0</v>
      </c>
      <c r="AF86" s="26">
        <v>0</v>
      </c>
      <c r="AG86" s="12">
        <v>85</v>
      </c>
      <c r="AH86" s="14">
        <v>0</v>
      </c>
      <c r="AI86" s="209"/>
      <c r="AJ86" s="3"/>
      <c r="AK86" s="3"/>
      <c r="AL86" s="3"/>
      <c r="AM86" s="3"/>
      <c r="AN86" s="3"/>
      <c r="AO86" s="40"/>
      <c r="AP86" s="209"/>
      <c r="AQ86" s="3"/>
      <c r="AR86" s="40"/>
      <c r="AS86" s="238"/>
    </row>
    <row r="87" spans="1:45" s="229" customFormat="1">
      <c r="A87" s="83" t="s">
        <v>321</v>
      </c>
      <c r="B87" s="386">
        <v>2.5602</v>
      </c>
      <c r="C87" s="229" t="s">
        <v>426</v>
      </c>
      <c r="D87" s="229" t="s">
        <v>620</v>
      </c>
      <c r="F87" s="229">
        <v>422</v>
      </c>
      <c r="G87" s="40">
        <f>F87/280</f>
        <v>1.5071428571428571</v>
      </c>
      <c r="H87" s="14">
        <v>1</v>
      </c>
      <c r="I87" s="229">
        <v>0</v>
      </c>
      <c r="J87" s="229">
        <v>0</v>
      </c>
      <c r="K87" s="26">
        <v>0</v>
      </c>
      <c r="L87" s="14">
        <v>0</v>
      </c>
      <c r="M87" s="229">
        <v>0</v>
      </c>
      <c r="N87" s="229">
        <v>0</v>
      </c>
      <c r="O87" s="229">
        <v>0</v>
      </c>
      <c r="P87" s="26">
        <v>0</v>
      </c>
      <c r="Q87" s="14">
        <v>10</v>
      </c>
      <c r="R87" s="24">
        <v>0</v>
      </c>
      <c r="S87" s="24">
        <v>0</v>
      </c>
      <c r="T87" s="24">
        <v>0</v>
      </c>
      <c r="U87" s="24">
        <v>0</v>
      </c>
      <c r="V87" s="24">
        <v>0</v>
      </c>
      <c r="W87" s="24">
        <v>0</v>
      </c>
      <c r="X87" s="24">
        <v>0</v>
      </c>
      <c r="Y87" s="24">
        <v>0</v>
      </c>
      <c r="Z87" s="24">
        <v>0</v>
      </c>
      <c r="AA87" s="24">
        <v>105</v>
      </c>
      <c r="AB87" s="24"/>
      <c r="AC87" s="12">
        <v>1</v>
      </c>
      <c r="AD87" s="14">
        <v>1</v>
      </c>
      <c r="AE87" s="14">
        <v>0</v>
      </c>
      <c r="AF87" s="26">
        <v>0</v>
      </c>
      <c r="AG87" s="12">
        <v>103</v>
      </c>
      <c r="AH87" s="14">
        <v>0</v>
      </c>
      <c r="AI87" s="209"/>
      <c r="AJ87" s="3"/>
      <c r="AK87" s="3"/>
      <c r="AL87" s="3"/>
      <c r="AM87" s="3"/>
      <c r="AN87" s="3"/>
      <c r="AO87" s="40"/>
      <c r="AP87" s="209"/>
      <c r="AQ87" s="3"/>
      <c r="AR87" s="40"/>
      <c r="AS87" s="238"/>
    </row>
    <row r="88" spans="1:45" s="229" customFormat="1">
      <c r="A88" s="83" t="s">
        <v>321</v>
      </c>
      <c r="B88" s="386">
        <v>2.5602</v>
      </c>
      <c r="C88" s="229" t="s">
        <v>426</v>
      </c>
      <c r="D88" s="229" t="s">
        <v>629</v>
      </c>
      <c r="E88" s="229" t="s">
        <v>0</v>
      </c>
      <c r="F88" s="229">
        <v>896</v>
      </c>
      <c r="G88" s="40">
        <f>F88/768</f>
        <v>1.1666666666666667</v>
      </c>
      <c r="H88" s="14">
        <v>0</v>
      </c>
      <c r="I88" s="229">
        <v>0</v>
      </c>
      <c r="J88" s="229">
        <v>1</v>
      </c>
      <c r="K88" s="26">
        <v>1</v>
      </c>
      <c r="L88" s="14">
        <v>0</v>
      </c>
      <c r="M88" s="229">
        <v>0</v>
      </c>
      <c r="N88" s="229">
        <v>0</v>
      </c>
      <c r="O88" s="229">
        <v>0</v>
      </c>
      <c r="P88" s="26">
        <v>0</v>
      </c>
      <c r="Q88" s="14">
        <v>10</v>
      </c>
      <c r="R88" s="24">
        <v>0</v>
      </c>
      <c r="S88" s="24">
        <v>42</v>
      </c>
      <c r="T88" s="24">
        <v>0</v>
      </c>
      <c r="U88" s="24">
        <v>0</v>
      </c>
      <c r="V88" s="24">
        <v>38</v>
      </c>
      <c r="W88" s="24">
        <v>55</v>
      </c>
      <c r="X88" s="24">
        <v>0</v>
      </c>
      <c r="Y88" s="24">
        <v>0</v>
      </c>
      <c r="Z88" s="24">
        <v>0</v>
      </c>
      <c r="AA88" s="24">
        <v>186</v>
      </c>
      <c r="AB88" s="24"/>
      <c r="AC88" s="12">
        <v>2</v>
      </c>
      <c r="AD88" s="14">
        <v>3</v>
      </c>
      <c r="AE88" s="14">
        <v>201</v>
      </c>
      <c r="AF88" s="26">
        <v>781</v>
      </c>
      <c r="AG88" s="12">
        <v>121</v>
      </c>
      <c r="AH88" s="14">
        <v>0</v>
      </c>
      <c r="AI88" s="209"/>
      <c r="AJ88" s="3"/>
      <c r="AK88" s="3"/>
      <c r="AL88" s="3"/>
      <c r="AM88" s="3"/>
      <c r="AN88" s="3"/>
      <c r="AO88" s="40"/>
      <c r="AP88" s="209"/>
      <c r="AQ88" s="3"/>
      <c r="AR88" s="40"/>
      <c r="AS88" s="238"/>
    </row>
    <row r="89" spans="1:45" s="229" customFormat="1">
      <c r="A89" s="83" t="s">
        <v>321</v>
      </c>
      <c r="B89" s="386">
        <v>2.5602</v>
      </c>
      <c r="C89" s="229" t="s">
        <v>426</v>
      </c>
      <c r="D89" s="229" t="s">
        <v>629</v>
      </c>
      <c r="E89" s="229" t="s">
        <v>1</v>
      </c>
      <c r="F89" s="229">
        <v>575</v>
      </c>
      <c r="G89" s="40">
        <f>F89/420</f>
        <v>1.3690476190476191</v>
      </c>
      <c r="H89" s="14">
        <v>0</v>
      </c>
      <c r="I89" s="229">
        <v>0</v>
      </c>
      <c r="J89" s="229">
        <v>1</v>
      </c>
      <c r="K89" s="26">
        <v>0</v>
      </c>
      <c r="L89" s="14">
        <v>0</v>
      </c>
      <c r="M89" s="229">
        <v>0</v>
      </c>
      <c r="N89" s="229">
        <v>0</v>
      </c>
      <c r="O89" s="229">
        <v>0</v>
      </c>
      <c r="P89" s="26">
        <v>0</v>
      </c>
      <c r="Q89" s="14">
        <v>10</v>
      </c>
      <c r="R89" s="24">
        <v>0</v>
      </c>
      <c r="S89" s="24">
        <v>14</v>
      </c>
      <c r="T89" s="24">
        <v>0</v>
      </c>
      <c r="U89" s="24">
        <v>0</v>
      </c>
      <c r="V89" s="24">
        <v>0</v>
      </c>
      <c r="W89" s="24">
        <v>0</v>
      </c>
      <c r="X89" s="24">
        <v>0</v>
      </c>
      <c r="Y89" s="24">
        <v>0</v>
      </c>
      <c r="Z89" s="24">
        <v>0</v>
      </c>
      <c r="AA89" s="24">
        <v>88</v>
      </c>
      <c r="AB89" s="24"/>
      <c r="AC89" s="12">
        <v>1</v>
      </c>
      <c r="AD89" s="14">
        <v>1</v>
      </c>
      <c r="AE89" s="14">
        <v>0</v>
      </c>
      <c r="AF89" s="26">
        <v>0</v>
      </c>
      <c r="AG89" s="12">
        <v>121</v>
      </c>
      <c r="AH89" s="14">
        <v>0</v>
      </c>
      <c r="AI89" s="209"/>
      <c r="AJ89" s="3"/>
      <c r="AK89" s="3"/>
      <c r="AL89" s="3"/>
      <c r="AM89" s="3"/>
      <c r="AN89" s="3"/>
      <c r="AO89" s="40"/>
      <c r="AP89" s="209"/>
      <c r="AQ89" s="3"/>
      <c r="AR89" s="40"/>
      <c r="AS89" s="238"/>
    </row>
    <row r="90" spans="1:45" s="229" customFormat="1">
      <c r="A90" s="83" t="s">
        <v>321</v>
      </c>
      <c r="B90" s="386">
        <v>2.5602</v>
      </c>
      <c r="C90" s="229" t="s">
        <v>426</v>
      </c>
      <c r="D90" s="229" t="s">
        <v>634</v>
      </c>
      <c r="E90" s="229" t="s">
        <v>0</v>
      </c>
      <c r="F90" s="229">
        <v>298</v>
      </c>
      <c r="G90" s="40">
        <f>F90/221</f>
        <v>1.3484162895927603</v>
      </c>
      <c r="H90" s="14">
        <v>1</v>
      </c>
      <c r="I90" s="229">
        <v>0</v>
      </c>
      <c r="J90" s="229">
        <v>0</v>
      </c>
      <c r="K90" s="26">
        <v>0</v>
      </c>
      <c r="L90" s="14">
        <v>0</v>
      </c>
      <c r="M90" s="229">
        <v>0</v>
      </c>
      <c r="N90" s="229">
        <v>0</v>
      </c>
      <c r="O90" s="229">
        <v>0</v>
      </c>
      <c r="P90" s="26">
        <v>0</v>
      </c>
      <c r="Q90" s="14">
        <v>5</v>
      </c>
      <c r="R90" s="24">
        <v>0</v>
      </c>
      <c r="S90" s="24">
        <v>0</v>
      </c>
      <c r="T90" s="24">
        <v>0</v>
      </c>
      <c r="U90" s="24">
        <v>0</v>
      </c>
      <c r="V90" s="24">
        <v>0</v>
      </c>
      <c r="W90" s="24">
        <v>0</v>
      </c>
      <c r="X90" s="24">
        <v>0</v>
      </c>
      <c r="Y90" s="24">
        <v>0</v>
      </c>
      <c r="Z90" s="24">
        <v>0</v>
      </c>
      <c r="AA90" s="24">
        <v>63</v>
      </c>
      <c r="AB90" s="24"/>
      <c r="AC90" s="12">
        <v>1</v>
      </c>
      <c r="AD90" s="14">
        <v>1</v>
      </c>
      <c r="AE90" s="14">
        <v>0</v>
      </c>
      <c r="AF90" s="26">
        <v>0</v>
      </c>
      <c r="AG90" s="12">
        <v>70</v>
      </c>
      <c r="AH90" s="14">
        <v>0</v>
      </c>
      <c r="AI90" s="209"/>
      <c r="AJ90" s="3"/>
      <c r="AK90" s="3"/>
      <c r="AL90" s="3"/>
      <c r="AM90" s="3"/>
      <c r="AN90" s="3"/>
      <c r="AO90" s="40"/>
      <c r="AP90" s="209"/>
      <c r="AQ90" s="3"/>
      <c r="AR90" s="40"/>
      <c r="AS90" s="238"/>
    </row>
    <row r="91" spans="1:45" s="229" customFormat="1">
      <c r="A91" s="83" t="s">
        <v>321</v>
      </c>
      <c r="B91" s="386">
        <v>2.5602</v>
      </c>
      <c r="C91" s="229" t="s">
        <v>426</v>
      </c>
      <c r="D91" s="229" t="s">
        <v>634</v>
      </c>
      <c r="E91" s="229" t="s">
        <v>1</v>
      </c>
      <c r="F91" s="229">
        <v>107</v>
      </c>
      <c r="G91" s="40">
        <f>F91/78</f>
        <v>1.3717948717948718</v>
      </c>
      <c r="H91" s="14">
        <v>1</v>
      </c>
      <c r="I91" s="229">
        <v>0</v>
      </c>
      <c r="J91" s="229">
        <v>0</v>
      </c>
      <c r="K91" s="26">
        <v>0</v>
      </c>
      <c r="L91" s="14">
        <v>0</v>
      </c>
      <c r="M91" s="229">
        <v>0</v>
      </c>
      <c r="N91" s="229">
        <v>0</v>
      </c>
      <c r="O91" s="229">
        <v>0</v>
      </c>
      <c r="P91" s="26">
        <v>0</v>
      </c>
      <c r="Q91" s="14">
        <v>0</v>
      </c>
      <c r="R91" s="24">
        <v>0</v>
      </c>
      <c r="S91" s="24">
        <v>0</v>
      </c>
      <c r="T91" s="24">
        <v>0</v>
      </c>
      <c r="U91" s="24">
        <v>0</v>
      </c>
      <c r="V91" s="24">
        <v>0</v>
      </c>
      <c r="W91" s="24">
        <v>0</v>
      </c>
      <c r="X91" s="24">
        <v>0</v>
      </c>
      <c r="Y91" s="24">
        <v>0</v>
      </c>
      <c r="Z91" s="24">
        <v>0</v>
      </c>
      <c r="AA91" s="24">
        <v>0</v>
      </c>
      <c r="AB91" s="24"/>
      <c r="AC91" s="12">
        <v>1</v>
      </c>
      <c r="AD91" s="14">
        <v>1</v>
      </c>
      <c r="AE91" s="14">
        <v>0</v>
      </c>
      <c r="AF91" s="26">
        <v>0</v>
      </c>
      <c r="AG91" s="12">
        <v>70</v>
      </c>
      <c r="AH91" s="14">
        <v>0</v>
      </c>
      <c r="AI91" s="209"/>
      <c r="AJ91" s="3"/>
      <c r="AK91" s="3"/>
      <c r="AL91" s="3"/>
      <c r="AM91" s="3"/>
      <c r="AN91" s="3"/>
      <c r="AO91" s="40"/>
      <c r="AP91" s="209"/>
      <c r="AQ91" s="3"/>
      <c r="AR91" s="40"/>
      <c r="AS91" s="238"/>
    </row>
    <row r="92" spans="1:45" s="229" customFormat="1">
      <c r="A92" s="83" t="s">
        <v>321</v>
      </c>
      <c r="B92" s="386">
        <v>2.5602</v>
      </c>
      <c r="C92" s="229" t="s">
        <v>426</v>
      </c>
      <c r="D92" s="229" t="s">
        <v>634</v>
      </c>
      <c r="E92" s="229" t="s">
        <v>2</v>
      </c>
      <c r="F92" s="229">
        <v>246</v>
      </c>
      <c r="G92" s="40">
        <f>F92/231</f>
        <v>1.0649350649350648</v>
      </c>
      <c r="H92" s="14">
        <v>1</v>
      </c>
      <c r="I92" s="229">
        <v>0</v>
      </c>
      <c r="J92" s="229">
        <v>0</v>
      </c>
      <c r="K92" s="26">
        <v>0</v>
      </c>
      <c r="L92" s="14">
        <v>0</v>
      </c>
      <c r="M92" s="229">
        <v>0</v>
      </c>
      <c r="N92" s="229">
        <v>0</v>
      </c>
      <c r="O92" s="229">
        <v>0</v>
      </c>
      <c r="P92" s="26">
        <v>0</v>
      </c>
      <c r="Q92" s="14">
        <v>5</v>
      </c>
      <c r="R92" s="24">
        <v>0</v>
      </c>
      <c r="S92" s="24">
        <v>0</v>
      </c>
      <c r="T92" s="24">
        <v>0</v>
      </c>
      <c r="U92" s="24">
        <v>0</v>
      </c>
      <c r="V92" s="24">
        <v>0</v>
      </c>
      <c r="W92" s="24">
        <v>35</v>
      </c>
      <c r="X92" s="24">
        <v>0</v>
      </c>
      <c r="Y92" s="24">
        <v>0</v>
      </c>
      <c r="Z92" s="24">
        <v>0</v>
      </c>
      <c r="AA92" s="24">
        <v>0</v>
      </c>
      <c r="AB92" s="24"/>
      <c r="AC92" s="12">
        <v>1</v>
      </c>
      <c r="AD92" s="14">
        <v>1</v>
      </c>
      <c r="AE92" s="14">
        <v>0</v>
      </c>
      <c r="AF92" s="26">
        <v>0</v>
      </c>
      <c r="AG92" s="12">
        <v>70</v>
      </c>
      <c r="AH92" s="14">
        <v>0</v>
      </c>
      <c r="AI92" s="209"/>
      <c r="AJ92" s="3"/>
      <c r="AK92" s="3"/>
      <c r="AL92" s="3"/>
      <c r="AM92" s="3"/>
      <c r="AN92" s="3"/>
      <c r="AO92" s="40"/>
      <c r="AP92" s="209"/>
      <c r="AQ92" s="3"/>
      <c r="AR92" s="40"/>
      <c r="AS92" s="238"/>
    </row>
    <row r="93" spans="1:45" s="229" customFormat="1">
      <c r="A93" s="83" t="s">
        <v>321</v>
      </c>
      <c r="B93" s="386">
        <v>2.5602</v>
      </c>
      <c r="C93" s="229" t="s">
        <v>426</v>
      </c>
      <c r="D93" s="229" t="s">
        <v>625</v>
      </c>
      <c r="E93" s="229" t="s">
        <v>0</v>
      </c>
      <c r="F93" s="229">
        <v>317</v>
      </c>
      <c r="G93" s="40">
        <f>F93/289</f>
        <v>1.0968858131487889</v>
      </c>
      <c r="H93" s="14">
        <v>1</v>
      </c>
      <c r="I93" s="229">
        <v>0</v>
      </c>
      <c r="J93" s="229">
        <v>0</v>
      </c>
      <c r="K93" s="26">
        <v>0</v>
      </c>
      <c r="L93" s="14">
        <v>0</v>
      </c>
      <c r="M93" s="229">
        <v>0</v>
      </c>
      <c r="N93" s="229">
        <v>0</v>
      </c>
      <c r="O93" s="229">
        <v>0</v>
      </c>
      <c r="P93" s="26">
        <v>0</v>
      </c>
      <c r="Q93" s="14">
        <v>0</v>
      </c>
      <c r="R93" s="24">
        <v>0</v>
      </c>
      <c r="S93" s="24">
        <v>0</v>
      </c>
      <c r="T93" s="24">
        <v>0</v>
      </c>
      <c r="U93" s="24">
        <v>0</v>
      </c>
      <c r="V93" s="24">
        <v>0</v>
      </c>
      <c r="W93" s="24">
        <v>0</v>
      </c>
      <c r="X93" s="24">
        <v>0</v>
      </c>
      <c r="Y93" s="24">
        <v>0</v>
      </c>
      <c r="Z93" s="24">
        <v>0</v>
      </c>
      <c r="AA93" s="24">
        <v>0</v>
      </c>
      <c r="AB93" s="24"/>
      <c r="AC93" s="12">
        <v>1</v>
      </c>
      <c r="AD93" s="14">
        <v>1</v>
      </c>
      <c r="AE93" s="14">
        <v>0</v>
      </c>
      <c r="AF93" s="26">
        <v>0</v>
      </c>
      <c r="AG93" s="12">
        <v>77</v>
      </c>
      <c r="AH93" s="14">
        <v>0</v>
      </c>
      <c r="AI93" s="209"/>
      <c r="AJ93" s="3"/>
      <c r="AK93" s="3"/>
      <c r="AL93" s="3"/>
      <c r="AM93" s="3"/>
      <c r="AN93" s="3"/>
      <c r="AO93" s="40"/>
      <c r="AP93" s="209"/>
      <c r="AQ93" s="3"/>
      <c r="AR93" s="40"/>
      <c r="AS93" s="238"/>
    </row>
    <row r="94" spans="1:45" s="229" customFormat="1">
      <c r="A94" s="83" t="s">
        <v>321</v>
      </c>
      <c r="B94" s="386">
        <v>2.5602</v>
      </c>
      <c r="C94" s="229" t="s">
        <v>426</v>
      </c>
      <c r="D94" s="229" t="s">
        <v>625</v>
      </c>
      <c r="E94" s="229" t="s">
        <v>1</v>
      </c>
      <c r="F94" s="229">
        <v>335</v>
      </c>
      <c r="G94" s="40">
        <f>F94/280</f>
        <v>1.1964285714285714</v>
      </c>
      <c r="H94" s="14">
        <v>1</v>
      </c>
      <c r="I94" s="229">
        <v>0</v>
      </c>
      <c r="J94" s="229">
        <v>0</v>
      </c>
      <c r="K94" s="26">
        <v>0</v>
      </c>
      <c r="L94" s="14">
        <v>0</v>
      </c>
      <c r="M94" s="229">
        <v>0</v>
      </c>
      <c r="N94" s="229">
        <v>0</v>
      </c>
      <c r="O94" s="229">
        <v>0</v>
      </c>
      <c r="P94" s="26">
        <v>0</v>
      </c>
      <c r="Q94" s="14">
        <v>10</v>
      </c>
      <c r="R94" s="24">
        <v>0</v>
      </c>
      <c r="S94" s="24">
        <v>0</v>
      </c>
      <c r="T94" s="24">
        <v>0</v>
      </c>
      <c r="U94" s="24">
        <v>0</v>
      </c>
      <c r="V94" s="24">
        <v>10</v>
      </c>
      <c r="W94" s="24">
        <v>98</v>
      </c>
      <c r="X94" s="24">
        <v>0</v>
      </c>
      <c r="Y94" s="24">
        <v>0</v>
      </c>
      <c r="Z94" s="24">
        <v>0</v>
      </c>
      <c r="AA94" s="24">
        <v>0</v>
      </c>
      <c r="AB94" s="24"/>
      <c r="AC94" s="12">
        <v>1</v>
      </c>
      <c r="AD94" s="14">
        <v>1</v>
      </c>
      <c r="AE94" s="14">
        <v>0</v>
      </c>
      <c r="AF94" s="26">
        <v>0</v>
      </c>
      <c r="AG94" s="12">
        <v>77</v>
      </c>
      <c r="AH94" s="14">
        <v>0</v>
      </c>
      <c r="AI94" s="209"/>
      <c r="AJ94" s="3"/>
      <c r="AK94" s="3"/>
      <c r="AL94" s="3"/>
      <c r="AM94" s="3"/>
      <c r="AN94" s="3"/>
      <c r="AO94" s="40"/>
      <c r="AP94" s="209"/>
      <c r="AQ94" s="3"/>
      <c r="AR94" s="40"/>
      <c r="AS94" s="238"/>
    </row>
    <row r="95" spans="1:45" s="229" customFormat="1">
      <c r="A95" s="83" t="s">
        <v>321</v>
      </c>
      <c r="B95" s="386">
        <v>2.5602</v>
      </c>
      <c r="C95" s="229" t="s">
        <v>426</v>
      </c>
      <c r="D95" s="229" t="s">
        <v>630</v>
      </c>
      <c r="F95" s="229">
        <v>503</v>
      </c>
      <c r="G95" s="40">
        <f>F95/334</f>
        <v>1.5059880239520957</v>
      </c>
      <c r="H95" s="14">
        <v>0</v>
      </c>
      <c r="I95" s="229">
        <v>0</v>
      </c>
      <c r="J95" s="229">
        <v>1</v>
      </c>
      <c r="K95" s="26">
        <v>0</v>
      </c>
      <c r="L95" s="14">
        <v>0</v>
      </c>
      <c r="M95" s="229">
        <v>0</v>
      </c>
      <c r="N95" s="229">
        <v>0</v>
      </c>
      <c r="O95" s="229">
        <v>0</v>
      </c>
      <c r="P95" s="26">
        <v>0</v>
      </c>
      <c r="Q95" s="14">
        <v>10</v>
      </c>
      <c r="R95" s="24">
        <v>0</v>
      </c>
      <c r="S95" s="24">
        <v>10</v>
      </c>
      <c r="T95" s="24">
        <v>0</v>
      </c>
      <c r="U95" s="24">
        <v>0</v>
      </c>
      <c r="V95" s="24">
        <v>0</v>
      </c>
      <c r="W95" s="24">
        <v>0</v>
      </c>
      <c r="X95" s="24">
        <v>0</v>
      </c>
      <c r="Y95" s="24">
        <v>0</v>
      </c>
      <c r="Z95" s="24">
        <v>0</v>
      </c>
      <c r="AA95" s="24">
        <v>101</v>
      </c>
      <c r="AB95" s="24"/>
      <c r="AC95" s="12">
        <v>1</v>
      </c>
      <c r="AD95" s="14">
        <v>1</v>
      </c>
      <c r="AE95" s="14">
        <v>0</v>
      </c>
      <c r="AF95" s="26">
        <v>0</v>
      </c>
      <c r="AG95" s="12">
        <v>57</v>
      </c>
      <c r="AH95" s="14">
        <v>0</v>
      </c>
      <c r="AI95" s="209">
        <v>85.2</v>
      </c>
      <c r="AJ95" s="3"/>
      <c r="AK95" s="3"/>
      <c r="AL95" s="3"/>
      <c r="AM95" s="3"/>
      <c r="AN95" s="3"/>
      <c r="AO95" s="40"/>
      <c r="AP95" s="209">
        <v>85.2</v>
      </c>
      <c r="AQ95" s="3"/>
      <c r="AR95" s="40"/>
      <c r="AS95" s="238"/>
    </row>
    <row r="96" spans="1:45" s="240" customFormat="1">
      <c r="A96" s="83" t="s">
        <v>321</v>
      </c>
      <c r="B96" s="386">
        <v>2.5602</v>
      </c>
      <c r="C96" s="240" t="s">
        <v>426</v>
      </c>
      <c r="D96" s="240" t="s">
        <v>637</v>
      </c>
      <c r="F96" s="240">
        <v>819</v>
      </c>
      <c r="G96" s="241">
        <f>F96/187</f>
        <v>4.3796791443850269</v>
      </c>
      <c r="H96" s="242">
        <v>0</v>
      </c>
      <c r="I96" s="240">
        <v>0</v>
      </c>
      <c r="J96" s="240">
        <v>1</v>
      </c>
      <c r="K96" s="243">
        <v>0</v>
      </c>
      <c r="L96" s="242">
        <v>0</v>
      </c>
      <c r="M96" s="240">
        <v>0</v>
      </c>
      <c r="N96" s="240">
        <v>0</v>
      </c>
      <c r="O96" s="240">
        <v>1</v>
      </c>
      <c r="P96" s="26">
        <v>1</v>
      </c>
      <c r="Q96" s="242">
        <v>0</v>
      </c>
      <c r="R96" s="240">
        <v>0</v>
      </c>
      <c r="S96" s="240">
        <v>0</v>
      </c>
      <c r="T96" s="240">
        <v>0</v>
      </c>
      <c r="U96" s="240">
        <v>0</v>
      </c>
      <c r="V96" s="240">
        <v>0</v>
      </c>
      <c r="W96" s="240">
        <v>0</v>
      </c>
      <c r="X96" s="240">
        <v>0</v>
      </c>
      <c r="Y96" s="240">
        <v>0</v>
      </c>
      <c r="Z96" s="240">
        <v>0</v>
      </c>
      <c r="AA96" s="240">
        <v>0</v>
      </c>
      <c r="AC96" s="244">
        <v>1</v>
      </c>
      <c r="AD96" s="242">
        <v>1</v>
      </c>
      <c r="AE96" s="242">
        <v>0</v>
      </c>
      <c r="AF96" s="243">
        <v>0</v>
      </c>
      <c r="AG96" s="244">
        <v>108</v>
      </c>
      <c r="AH96" s="242">
        <v>0</v>
      </c>
      <c r="AI96" s="245">
        <v>82.6</v>
      </c>
      <c r="AJ96" s="246"/>
      <c r="AK96" s="246"/>
      <c r="AL96" s="246"/>
      <c r="AM96" s="246"/>
      <c r="AN96" s="246"/>
      <c r="AO96" s="241"/>
      <c r="AP96" s="245">
        <v>85.1</v>
      </c>
      <c r="AQ96" s="246"/>
      <c r="AR96" s="241"/>
      <c r="AS96" s="247"/>
    </row>
    <row r="97" spans="1:45" s="229" customFormat="1">
      <c r="A97" s="83" t="s">
        <v>321</v>
      </c>
      <c r="B97" s="386">
        <v>2.5602</v>
      </c>
      <c r="C97" s="229" t="s">
        <v>426</v>
      </c>
      <c r="D97" s="229" t="s">
        <v>638</v>
      </c>
      <c r="E97" s="229" t="s">
        <v>0</v>
      </c>
      <c r="F97" s="229">
        <v>243</v>
      </c>
      <c r="G97" s="40">
        <f>F97/242</f>
        <v>1.0041322314049588</v>
      </c>
      <c r="H97" s="14">
        <v>1</v>
      </c>
      <c r="I97" s="229">
        <v>0</v>
      </c>
      <c r="J97" s="229">
        <v>0</v>
      </c>
      <c r="K97" s="26">
        <v>0</v>
      </c>
      <c r="L97" s="14">
        <v>0</v>
      </c>
      <c r="M97" s="229">
        <v>0</v>
      </c>
      <c r="N97" s="229">
        <v>0</v>
      </c>
      <c r="O97" s="229">
        <v>0</v>
      </c>
      <c r="P97" s="26">
        <v>0</v>
      </c>
      <c r="Q97" s="14">
        <v>10</v>
      </c>
      <c r="R97" s="24">
        <v>0</v>
      </c>
      <c r="S97" s="24">
        <v>0</v>
      </c>
      <c r="T97" s="24">
        <v>0</v>
      </c>
      <c r="U97" s="24">
        <v>0</v>
      </c>
      <c r="V97" s="24">
        <v>30</v>
      </c>
      <c r="W97" s="24">
        <v>79</v>
      </c>
      <c r="X97" s="24">
        <v>0</v>
      </c>
      <c r="Y97" s="24">
        <v>0</v>
      </c>
      <c r="Z97" s="24">
        <v>0</v>
      </c>
      <c r="AA97" s="24">
        <v>0</v>
      </c>
      <c r="AB97" s="24"/>
      <c r="AC97" s="12">
        <v>1</v>
      </c>
      <c r="AD97" s="14">
        <v>1</v>
      </c>
      <c r="AE97" s="14">
        <v>0</v>
      </c>
      <c r="AF97" s="26">
        <v>0</v>
      </c>
      <c r="AG97" s="12">
        <v>92</v>
      </c>
      <c r="AH97" s="14">
        <v>0</v>
      </c>
      <c r="AI97" s="209"/>
      <c r="AJ97" s="3"/>
      <c r="AK97" s="3"/>
      <c r="AL97" s="3"/>
      <c r="AM97" s="3"/>
      <c r="AN97" s="3"/>
      <c r="AO97" s="40"/>
      <c r="AP97" s="209"/>
      <c r="AQ97" s="3"/>
      <c r="AR97" s="40"/>
      <c r="AS97" s="238"/>
    </row>
    <row r="98" spans="1:45" s="229" customFormat="1">
      <c r="A98" s="83" t="s">
        <v>321</v>
      </c>
      <c r="B98" s="386">
        <v>2.5602</v>
      </c>
      <c r="C98" s="229" t="s">
        <v>426</v>
      </c>
      <c r="D98" s="229" t="s">
        <v>638</v>
      </c>
      <c r="E98" s="229" t="s">
        <v>1</v>
      </c>
      <c r="F98" s="229">
        <v>526</v>
      </c>
      <c r="G98" s="40">
        <f>F98/250</f>
        <v>2.1040000000000001</v>
      </c>
      <c r="H98" s="14">
        <v>0</v>
      </c>
      <c r="I98" s="229">
        <v>0</v>
      </c>
      <c r="J98" s="229">
        <v>1</v>
      </c>
      <c r="K98" s="26">
        <v>0</v>
      </c>
      <c r="L98" s="14">
        <v>0</v>
      </c>
      <c r="M98" s="229">
        <v>0</v>
      </c>
      <c r="N98" s="229">
        <v>0</v>
      </c>
      <c r="O98" s="229">
        <v>0</v>
      </c>
      <c r="P98" s="26">
        <v>0</v>
      </c>
      <c r="Q98" s="14">
        <v>20</v>
      </c>
      <c r="R98" s="24">
        <v>0</v>
      </c>
      <c r="S98" s="24">
        <v>0</v>
      </c>
      <c r="T98" s="24">
        <v>0</v>
      </c>
      <c r="U98" s="24">
        <v>0</v>
      </c>
      <c r="V98" s="24">
        <v>52</v>
      </c>
      <c r="W98" s="24">
        <v>58</v>
      </c>
      <c r="X98" s="24">
        <v>0</v>
      </c>
      <c r="Y98" s="24">
        <v>0</v>
      </c>
      <c r="Z98" s="24">
        <v>85</v>
      </c>
      <c r="AA98" s="24">
        <v>87</v>
      </c>
      <c r="AB98" s="24"/>
      <c r="AC98" s="12">
        <v>1</v>
      </c>
      <c r="AD98" s="14">
        <v>1</v>
      </c>
      <c r="AE98" s="14">
        <v>0</v>
      </c>
      <c r="AF98" s="26">
        <v>0</v>
      </c>
      <c r="AG98" s="12">
        <v>92</v>
      </c>
      <c r="AH98" s="14">
        <v>0</v>
      </c>
      <c r="AI98" s="209"/>
      <c r="AJ98" s="3"/>
      <c r="AK98" s="3"/>
      <c r="AL98" s="3"/>
      <c r="AM98" s="3"/>
      <c r="AN98" s="3"/>
      <c r="AO98" s="40"/>
      <c r="AP98" s="209"/>
      <c r="AQ98" s="3"/>
      <c r="AR98" s="40"/>
      <c r="AS98" s="238"/>
    </row>
    <row r="99" spans="1:45" s="229" customFormat="1">
      <c r="A99" s="83" t="s">
        <v>321</v>
      </c>
      <c r="B99" s="386">
        <v>2.5602</v>
      </c>
      <c r="C99" s="229" t="s">
        <v>426</v>
      </c>
      <c r="D99" s="229" t="s">
        <v>642</v>
      </c>
      <c r="E99" s="229" t="s">
        <v>0</v>
      </c>
      <c r="F99" s="229">
        <v>421</v>
      </c>
      <c r="G99" s="40">
        <f>F99/264</f>
        <v>1.5946969696969697</v>
      </c>
      <c r="H99" s="14">
        <v>1</v>
      </c>
      <c r="I99" s="229">
        <v>0</v>
      </c>
      <c r="J99" s="229">
        <v>0</v>
      </c>
      <c r="K99" s="26">
        <v>0</v>
      </c>
      <c r="L99" s="14">
        <v>0</v>
      </c>
      <c r="M99" s="229">
        <v>0</v>
      </c>
      <c r="N99" s="229">
        <v>1</v>
      </c>
      <c r="O99" s="229">
        <v>0</v>
      </c>
      <c r="P99" s="26">
        <v>1</v>
      </c>
      <c r="Q99" s="14">
        <v>10</v>
      </c>
      <c r="R99" s="24">
        <v>0</v>
      </c>
      <c r="S99" s="24">
        <v>0</v>
      </c>
      <c r="T99" s="24">
        <v>0</v>
      </c>
      <c r="U99" s="24">
        <v>0</v>
      </c>
      <c r="V99" s="24">
        <v>35</v>
      </c>
      <c r="W99" s="24">
        <v>69</v>
      </c>
      <c r="X99" s="24">
        <v>0</v>
      </c>
      <c r="Y99" s="24">
        <v>0</v>
      </c>
      <c r="Z99" s="24">
        <v>0</v>
      </c>
      <c r="AA99" s="24">
        <v>0</v>
      </c>
      <c r="AB99" s="24"/>
      <c r="AC99" s="12">
        <v>1</v>
      </c>
      <c r="AD99" s="14">
        <v>1</v>
      </c>
      <c r="AE99" s="14">
        <v>0</v>
      </c>
      <c r="AF99" s="26">
        <v>0</v>
      </c>
      <c r="AG99" s="12">
        <v>133</v>
      </c>
      <c r="AH99" s="14">
        <v>0</v>
      </c>
      <c r="AI99" s="209">
        <v>85.4</v>
      </c>
      <c r="AJ99" s="3"/>
      <c r="AK99" s="3"/>
      <c r="AL99" s="3"/>
      <c r="AM99" s="3"/>
      <c r="AN99" s="3"/>
      <c r="AO99" s="40"/>
      <c r="AP99" s="209">
        <v>84.7</v>
      </c>
      <c r="AQ99" s="3"/>
      <c r="AR99" s="40"/>
      <c r="AS99" s="238"/>
    </row>
    <row r="100" spans="1:45" s="229" customFormat="1">
      <c r="A100" s="83" t="s">
        <v>321</v>
      </c>
      <c r="B100" s="386">
        <v>2.5602</v>
      </c>
      <c r="C100" s="229" t="s">
        <v>426</v>
      </c>
      <c r="D100" s="229" t="s">
        <v>642</v>
      </c>
      <c r="E100" s="229" t="s">
        <v>1</v>
      </c>
      <c r="F100" s="229">
        <v>586</v>
      </c>
      <c r="G100" s="40">
        <f>F100/279</f>
        <v>2.1003584229390682</v>
      </c>
      <c r="H100" s="14">
        <v>1</v>
      </c>
      <c r="I100" s="229">
        <v>0</v>
      </c>
      <c r="J100" s="229">
        <v>1</v>
      </c>
      <c r="K100" s="26">
        <v>0</v>
      </c>
      <c r="L100" s="14">
        <v>0</v>
      </c>
      <c r="M100" s="229">
        <v>0</v>
      </c>
      <c r="N100" s="229">
        <v>1</v>
      </c>
      <c r="O100" s="229">
        <v>0</v>
      </c>
      <c r="P100" s="26">
        <v>1</v>
      </c>
      <c r="Q100" s="14">
        <v>15</v>
      </c>
      <c r="R100" s="24">
        <v>0</v>
      </c>
      <c r="S100" s="24">
        <v>0</v>
      </c>
      <c r="T100" s="24">
        <v>0</v>
      </c>
      <c r="U100" s="24">
        <v>0</v>
      </c>
      <c r="V100" s="24">
        <v>47</v>
      </c>
      <c r="W100" s="24">
        <v>131</v>
      </c>
      <c r="X100" s="24">
        <v>0</v>
      </c>
      <c r="Y100" s="24">
        <v>0</v>
      </c>
      <c r="Z100" s="24">
        <v>0</v>
      </c>
      <c r="AA100" s="24">
        <v>0</v>
      </c>
      <c r="AB100" s="24"/>
      <c r="AC100" s="12">
        <v>2</v>
      </c>
      <c r="AD100" s="14">
        <v>2</v>
      </c>
      <c r="AE100" s="14">
        <v>319</v>
      </c>
      <c r="AF100" s="26">
        <v>344</v>
      </c>
      <c r="AG100" s="12">
        <v>133</v>
      </c>
      <c r="AH100" s="14">
        <v>0</v>
      </c>
      <c r="AI100" s="209"/>
      <c r="AJ100" s="3"/>
      <c r="AK100" s="3"/>
      <c r="AL100" s="3"/>
      <c r="AM100" s="3"/>
      <c r="AN100" s="3"/>
      <c r="AO100" s="40"/>
      <c r="AP100" s="209"/>
      <c r="AQ100" s="3"/>
      <c r="AR100" s="40"/>
      <c r="AS100" s="238"/>
    </row>
    <row r="101" spans="1:45" s="229" customFormat="1">
      <c r="A101" s="83" t="s">
        <v>321</v>
      </c>
      <c r="B101" s="386">
        <v>2.5602</v>
      </c>
      <c r="C101" s="229" t="s">
        <v>426</v>
      </c>
      <c r="D101" s="229" t="s">
        <v>642</v>
      </c>
      <c r="E101" s="229" t="s">
        <v>2</v>
      </c>
      <c r="F101" s="229">
        <v>381</v>
      </c>
      <c r="G101" s="40">
        <f>F101/267</f>
        <v>1.4269662921348314</v>
      </c>
      <c r="H101" s="14">
        <v>1</v>
      </c>
      <c r="I101" s="229">
        <v>0</v>
      </c>
      <c r="J101" s="229">
        <v>0</v>
      </c>
      <c r="K101" s="26">
        <v>0</v>
      </c>
      <c r="L101" s="14">
        <v>0</v>
      </c>
      <c r="M101" s="229">
        <v>0</v>
      </c>
      <c r="N101" s="229">
        <v>1</v>
      </c>
      <c r="O101" s="229">
        <v>0</v>
      </c>
      <c r="P101" s="26">
        <v>1</v>
      </c>
      <c r="Q101" s="14">
        <v>0</v>
      </c>
      <c r="R101" s="24">
        <v>0</v>
      </c>
      <c r="S101" s="24">
        <v>0</v>
      </c>
      <c r="T101" s="24">
        <v>0</v>
      </c>
      <c r="U101" s="24">
        <v>0</v>
      </c>
      <c r="V101" s="24">
        <v>0</v>
      </c>
      <c r="W101" s="24">
        <v>0</v>
      </c>
      <c r="X101" s="24">
        <v>0</v>
      </c>
      <c r="Y101" s="24">
        <v>0</v>
      </c>
      <c r="Z101" s="24">
        <v>0</v>
      </c>
      <c r="AA101" s="24">
        <v>0</v>
      </c>
      <c r="AB101" s="24"/>
      <c r="AC101" s="12">
        <v>1</v>
      </c>
      <c r="AD101" s="14">
        <v>1</v>
      </c>
      <c r="AE101" s="14">
        <v>0</v>
      </c>
      <c r="AF101" s="26">
        <v>0</v>
      </c>
      <c r="AG101" s="12">
        <v>133</v>
      </c>
      <c r="AH101" s="14">
        <v>0</v>
      </c>
      <c r="AI101" s="209">
        <v>84.6</v>
      </c>
      <c r="AJ101" s="3"/>
      <c r="AK101" s="3"/>
      <c r="AL101" s="3"/>
      <c r="AM101" s="3"/>
      <c r="AN101" s="3"/>
      <c r="AO101" s="40"/>
      <c r="AP101" s="209">
        <v>84.6</v>
      </c>
      <c r="AQ101" s="3"/>
      <c r="AR101" s="40"/>
      <c r="AS101" s="238"/>
    </row>
    <row r="102" spans="1:45" s="229" customFormat="1">
      <c r="A102" s="83" t="s">
        <v>321</v>
      </c>
      <c r="B102" s="386">
        <v>2.5602</v>
      </c>
      <c r="C102" s="229" t="s">
        <v>426</v>
      </c>
      <c r="D102" s="229" t="s">
        <v>642</v>
      </c>
      <c r="E102" s="229" t="s">
        <v>3</v>
      </c>
      <c r="F102" s="229">
        <v>319</v>
      </c>
      <c r="G102" s="40">
        <f>F102/212</f>
        <v>1.5047169811320755</v>
      </c>
      <c r="H102" s="14">
        <v>0</v>
      </c>
      <c r="I102" s="229">
        <v>0</v>
      </c>
      <c r="J102" s="229">
        <v>1</v>
      </c>
      <c r="K102" s="26">
        <v>0</v>
      </c>
      <c r="L102" s="14">
        <v>0</v>
      </c>
      <c r="M102" s="229">
        <v>0</v>
      </c>
      <c r="N102" s="229">
        <v>0</v>
      </c>
      <c r="O102" s="229">
        <v>0</v>
      </c>
      <c r="P102" s="26">
        <v>0</v>
      </c>
      <c r="Q102" s="14">
        <v>0</v>
      </c>
      <c r="R102" s="24">
        <v>0</v>
      </c>
      <c r="S102" s="24">
        <v>0</v>
      </c>
      <c r="T102" s="24">
        <v>0</v>
      </c>
      <c r="U102" s="24">
        <v>0</v>
      </c>
      <c r="V102" s="24">
        <v>0</v>
      </c>
      <c r="W102" s="24">
        <v>0</v>
      </c>
      <c r="X102" s="24">
        <v>0</v>
      </c>
      <c r="Y102" s="24">
        <v>0</v>
      </c>
      <c r="Z102" s="24">
        <v>0</v>
      </c>
      <c r="AA102" s="24">
        <v>0</v>
      </c>
      <c r="AB102" s="24"/>
      <c r="AC102" s="12">
        <v>1</v>
      </c>
      <c r="AD102" s="14">
        <v>1</v>
      </c>
      <c r="AE102" s="14">
        <v>0</v>
      </c>
      <c r="AF102" s="26">
        <v>0</v>
      </c>
      <c r="AG102" s="12">
        <v>133</v>
      </c>
      <c r="AH102" s="14">
        <v>0</v>
      </c>
      <c r="AI102" s="209"/>
      <c r="AJ102" s="3"/>
      <c r="AK102" s="3"/>
      <c r="AL102" s="3"/>
      <c r="AM102" s="3"/>
      <c r="AN102" s="3"/>
      <c r="AO102" s="40"/>
      <c r="AP102" s="209"/>
      <c r="AQ102" s="3"/>
      <c r="AR102" s="40"/>
      <c r="AS102" s="238"/>
    </row>
    <row r="103" spans="1:45" s="229" customFormat="1">
      <c r="A103" s="83" t="s">
        <v>321</v>
      </c>
      <c r="B103" s="386">
        <v>2.5602</v>
      </c>
      <c r="C103" s="229" t="s">
        <v>426</v>
      </c>
      <c r="D103" s="229" t="s">
        <v>640</v>
      </c>
      <c r="F103" s="229">
        <v>526</v>
      </c>
      <c r="G103" s="40">
        <f>F103/300</f>
        <v>1.7533333333333334</v>
      </c>
      <c r="H103" s="14">
        <v>1</v>
      </c>
      <c r="I103" s="229">
        <v>0</v>
      </c>
      <c r="J103" s="229">
        <v>0</v>
      </c>
      <c r="K103" s="26">
        <v>0</v>
      </c>
      <c r="L103" s="14">
        <v>0</v>
      </c>
      <c r="M103" s="229">
        <v>0</v>
      </c>
      <c r="N103" s="229">
        <v>0</v>
      </c>
      <c r="O103" s="229">
        <v>1</v>
      </c>
      <c r="P103" s="26">
        <v>1</v>
      </c>
      <c r="Q103" s="14">
        <v>0</v>
      </c>
      <c r="R103" s="24">
        <v>0</v>
      </c>
      <c r="S103" s="24">
        <v>0</v>
      </c>
      <c r="T103" s="24">
        <v>0</v>
      </c>
      <c r="U103" s="24">
        <v>0</v>
      </c>
      <c r="V103" s="24">
        <v>0</v>
      </c>
      <c r="W103" s="24">
        <v>0</v>
      </c>
      <c r="X103" s="24">
        <v>0</v>
      </c>
      <c r="Y103" s="24">
        <v>0</v>
      </c>
      <c r="Z103" s="24">
        <v>0</v>
      </c>
      <c r="AA103" s="24">
        <v>0</v>
      </c>
      <c r="AB103" s="24"/>
      <c r="AC103" s="12">
        <v>1</v>
      </c>
      <c r="AD103" s="14">
        <v>1</v>
      </c>
      <c r="AE103" s="14">
        <v>0</v>
      </c>
      <c r="AF103" s="26">
        <v>0</v>
      </c>
      <c r="AG103" s="12">
        <v>49</v>
      </c>
      <c r="AH103" s="14">
        <v>0</v>
      </c>
      <c r="AI103" s="209">
        <v>85</v>
      </c>
      <c r="AJ103" s="3"/>
      <c r="AK103" s="3"/>
      <c r="AL103" s="3"/>
      <c r="AM103" s="3"/>
      <c r="AN103" s="3"/>
      <c r="AO103" s="40"/>
      <c r="AP103" s="209">
        <v>85.1</v>
      </c>
      <c r="AQ103" s="3"/>
      <c r="AR103" s="40"/>
      <c r="AS103" s="238"/>
    </row>
    <row r="104" spans="1:45" s="229" customFormat="1">
      <c r="A104" s="83" t="s">
        <v>321</v>
      </c>
      <c r="B104" s="386">
        <v>2.5602</v>
      </c>
      <c r="C104" s="229" t="s">
        <v>426</v>
      </c>
      <c r="D104" s="229" t="s">
        <v>641</v>
      </c>
      <c r="F104" s="229">
        <v>734</v>
      </c>
      <c r="G104" s="40">
        <f>F104/502</f>
        <v>1.4621513944223108</v>
      </c>
      <c r="H104" s="14">
        <v>0</v>
      </c>
      <c r="I104" s="229">
        <v>0</v>
      </c>
      <c r="J104" s="229">
        <v>1</v>
      </c>
      <c r="K104" s="26">
        <v>0</v>
      </c>
      <c r="L104" s="14">
        <v>0</v>
      </c>
      <c r="M104" s="229">
        <v>0</v>
      </c>
      <c r="N104" s="229">
        <v>0</v>
      </c>
      <c r="O104" s="229">
        <v>0</v>
      </c>
      <c r="P104" s="26">
        <v>0</v>
      </c>
      <c r="Q104" s="14">
        <v>30</v>
      </c>
      <c r="R104" s="24">
        <v>0</v>
      </c>
      <c r="S104" s="24">
        <v>0</v>
      </c>
      <c r="T104" s="24">
        <v>0</v>
      </c>
      <c r="U104" s="24">
        <v>0</v>
      </c>
      <c r="V104" s="24">
        <v>7</v>
      </c>
      <c r="W104" s="24">
        <v>83</v>
      </c>
      <c r="X104" s="24">
        <v>0</v>
      </c>
      <c r="Y104" s="24">
        <v>0</v>
      </c>
      <c r="Z104" s="24">
        <v>0</v>
      </c>
      <c r="AA104" s="24">
        <v>181</v>
      </c>
      <c r="AB104" s="24"/>
      <c r="AC104" s="12">
        <v>2</v>
      </c>
      <c r="AD104" s="14">
        <v>2</v>
      </c>
      <c r="AE104" s="14">
        <v>329</v>
      </c>
      <c r="AF104" s="26">
        <v>734</v>
      </c>
      <c r="AG104" s="12">
        <v>82</v>
      </c>
      <c r="AH104" s="14">
        <v>0</v>
      </c>
      <c r="AI104" s="209"/>
      <c r="AJ104" s="3"/>
      <c r="AK104" s="3"/>
      <c r="AL104" s="3"/>
      <c r="AM104" s="3"/>
      <c r="AN104" s="3"/>
      <c r="AO104" s="40"/>
      <c r="AP104" s="209"/>
      <c r="AQ104" s="3"/>
      <c r="AR104" s="40"/>
      <c r="AS104" s="238"/>
    </row>
    <row r="105" spans="1:45" s="229" customFormat="1">
      <c r="A105" s="83" t="s">
        <v>321</v>
      </c>
      <c r="B105" s="386">
        <v>2.5602</v>
      </c>
      <c r="C105" s="229" t="s">
        <v>426</v>
      </c>
      <c r="D105" s="229" t="s">
        <v>643</v>
      </c>
      <c r="E105" s="229" t="s">
        <v>0</v>
      </c>
      <c r="F105" s="229">
        <v>378</v>
      </c>
      <c r="G105" s="40">
        <f>F105/241</f>
        <v>1.5684647302904564</v>
      </c>
      <c r="H105" s="14">
        <v>0</v>
      </c>
      <c r="I105" s="229">
        <v>0</v>
      </c>
      <c r="J105" s="229">
        <v>1</v>
      </c>
      <c r="K105" s="26">
        <v>0</v>
      </c>
      <c r="L105" s="14">
        <v>0</v>
      </c>
      <c r="M105" s="229">
        <v>0</v>
      </c>
      <c r="N105" s="229">
        <v>0</v>
      </c>
      <c r="O105" s="229">
        <v>0</v>
      </c>
      <c r="P105" s="26">
        <v>0</v>
      </c>
      <c r="Q105" s="14">
        <v>0</v>
      </c>
      <c r="R105" s="24">
        <v>0</v>
      </c>
      <c r="S105" s="24">
        <v>0</v>
      </c>
      <c r="T105" s="24">
        <v>0</v>
      </c>
      <c r="U105" s="24">
        <v>0</v>
      </c>
      <c r="V105" s="24">
        <v>0</v>
      </c>
      <c r="W105" s="24">
        <v>0</v>
      </c>
      <c r="X105" s="24">
        <v>0</v>
      </c>
      <c r="Y105" s="24">
        <v>0</v>
      </c>
      <c r="Z105" s="24">
        <v>0</v>
      </c>
      <c r="AA105" s="24">
        <v>0</v>
      </c>
      <c r="AB105" s="24"/>
      <c r="AC105" s="12">
        <v>1</v>
      </c>
      <c r="AD105" s="14">
        <v>1</v>
      </c>
      <c r="AE105" s="14">
        <v>0</v>
      </c>
      <c r="AF105" s="26">
        <v>0</v>
      </c>
      <c r="AG105" s="12">
        <v>68</v>
      </c>
      <c r="AH105" s="14">
        <v>0</v>
      </c>
      <c r="AI105" s="209"/>
      <c r="AJ105" s="3"/>
      <c r="AK105" s="3"/>
      <c r="AL105" s="3"/>
      <c r="AM105" s="3"/>
      <c r="AN105" s="3"/>
      <c r="AO105" s="40"/>
      <c r="AP105" s="209"/>
      <c r="AQ105" s="3"/>
      <c r="AR105" s="40"/>
      <c r="AS105" s="238"/>
    </row>
    <row r="106" spans="1:45" s="229" customFormat="1" ht="17" thickBot="1">
      <c r="A106" s="83" t="s">
        <v>321</v>
      </c>
      <c r="B106" s="385">
        <v>2.5602</v>
      </c>
      <c r="C106" s="36" t="s">
        <v>426</v>
      </c>
      <c r="D106" s="36" t="s">
        <v>643</v>
      </c>
      <c r="E106" s="36" t="s">
        <v>1</v>
      </c>
      <c r="F106" s="36">
        <v>434</v>
      </c>
      <c r="G106" s="48">
        <f>F106/337</f>
        <v>1.2878338278931751</v>
      </c>
      <c r="H106" s="34">
        <v>0</v>
      </c>
      <c r="I106" s="36">
        <v>0</v>
      </c>
      <c r="J106" s="36">
        <v>1</v>
      </c>
      <c r="K106" s="35">
        <v>0</v>
      </c>
      <c r="L106" s="34">
        <v>0</v>
      </c>
      <c r="M106" s="36">
        <v>0</v>
      </c>
      <c r="N106" s="36">
        <v>0</v>
      </c>
      <c r="O106" s="36">
        <v>0</v>
      </c>
      <c r="P106" s="35">
        <v>0</v>
      </c>
      <c r="Q106" s="34">
        <v>40</v>
      </c>
      <c r="R106" s="103">
        <v>0</v>
      </c>
      <c r="S106" s="103">
        <v>0</v>
      </c>
      <c r="T106" s="103">
        <v>0</v>
      </c>
      <c r="U106" s="103">
        <v>0</v>
      </c>
      <c r="V106" s="103">
        <v>29</v>
      </c>
      <c r="W106" s="103">
        <v>43</v>
      </c>
      <c r="X106" s="103">
        <v>0</v>
      </c>
      <c r="Y106" s="103">
        <v>0</v>
      </c>
      <c r="Z106" s="103">
        <v>117</v>
      </c>
      <c r="AA106" s="103">
        <v>211</v>
      </c>
      <c r="AB106" s="103"/>
      <c r="AC106" s="33">
        <v>1</v>
      </c>
      <c r="AD106" s="34">
        <v>1</v>
      </c>
      <c r="AE106" s="34">
        <v>0</v>
      </c>
      <c r="AF106" s="35">
        <v>0</v>
      </c>
      <c r="AG106" s="33">
        <v>68</v>
      </c>
      <c r="AH106" s="34">
        <v>0</v>
      </c>
      <c r="AI106" s="210">
        <v>84.8</v>
      </c>
      <c r="AJ106" s="51"/>
      <c r="AK106" s="51"/>
      <c r="AL106" s="51"/>
      <c r="AM106" s="51"/>
      <c r="AN106" s="51"/>
      <c r="AO106" s="48"/>
      <c r="AP106" s="210">
        <v>85.4</v>
      </c>
      <c r="AQ106" s="51"/>
      <c r="AR106" s="48"/>
      <c r="AS106" s="239"/>
    </row>
    <row r="107" spans="1:45" s="229" customFormat="1">
      <c r="A107" s="147" t="s">
        <v>321</v>
      </c>
      <c r="B107" s="384">
        <v>2.5602</v>
      </c>
      <c r="C107" s="8" t="s">
        <v>259</v>
      </c>
      <c r="D107" s="8" t="s">
        <v>423</v>
      </c>
      <c r="E107" s="8" t="s">
        <v>0</v>
      </c>
      <c r="F107" s="8">
        <v>1586</v>
      </c>
      <c r="G107" s="10">
        <f>F107/1120</f>
        <v>1.4160714285714286</v>
      </c>
      <c r="H107" s="11">
        <v>0</v>
      </c>
      <c r="I107" s="8">
        <v>0</v>
      </c>
      <c r="J107" s="8">
        <v>1</v>
      </c>
      <c r="K107" s="41">
        <v>0</v>
      </c>
      <c r="L107" s="11">
        <v>0</v>
      </c>
      <c r="M107" s="8">
        <v>0</v>
      </c>
      <c r="N107" s="8">
        <v>0</v>
      </c>
      <c r="O107" s="8">
        <v>1</v>
      </c>
      <c r="P107" s="41">
        <v>1</v>
      </c>
      <c r="Q107" s="11">
        <v>5</v>
      </c>
      <c r="R107" s="8">
        <v>0</v>
      </c>
      <c r="S107" s="8">
        <v>0</v>
      </c>
      <c r="T107" s="8">
        <v>0</v>
      </c>
      <c r="U107" s="8">
        <v>0</v>
      </c>
      <c r="V107" s="8">
        <v>27</v>
      </c>
      <c r="W107" s="8">
        <v>141</v>
      </c>
      <c r="X107" s="8">
        <v>0</v>
      </c>
      <c r="Y107" s="8">
        <v>0</v>
      </c>
      <c r="Z107" s="8">
        <v>0</v>
      </c>
      <c r="AA107" s="8">
        <v>0</v>
      </c>
      <c r="AB107" s="8"/>
      <c r="AC107" s="9">
        <v>1</v>
      </c>
      <c r="AD107" s="11">
        <v>1</v>
      </c>
      <c r="AE107" s="11">
        <v>0</v>
      </c>
      <c r="AF107" s="41">
        <v>0</v>
      </c>
      <c r="AG107" s="9">
        <v>84</v>
      </c>
      <c r="AH107" s="11">
        <v>0</v>
      </c>
      <c r="AI107" s="208"/>
      <c r="AJ107" s="54"/>
      <c r="AK107" s="54"/>
      <c r="AL107" s="54"/>
      <c r="AM107" s="54"/>
      <c r="AN107" s="54"/>
      <c r="AO107" s="10"/>
      <c r="AP107" s="208"/>
      <c r="AQ107" s="54"/>
      <c r="AR107" s="10"/>
      <c r="AS107" s="237"/>
    </row>
    <row r="108" spans="1:45" s="229" customFormat="1">
      <c r="A108" s="83" t="s">
        <v>321</v>
      </c>
      <c r="B108" s="386">
        <v>2.5602</v>
      </c>
      <c r="C108" s="229" t="s">
        <v>259</v>
      </c>
      <c r="D108" s="229" t="s">
        <v>423</v>
      </c>
      <c r="E108" s="229" t="s">
        <v>1</v>
      </c>
      <c r="F108" s="229">
        <v>988</v>
      </c>
      <c r="G108" s="40">
        <f>F108/784</f>
        <v>1.260204081632653</v>
      </c>
      <c r="H108" s="14">
        <v>0</v>
      </c>
      <c r="I108" s="229">
        <v>0</v>
      </c>
      <c r="J108" s="229">
        <v>1</v>
      </c>
      <c r="K108" s="26">
        <v>0</v>
      </c>
      <c r="L108" s="14">
        <v>0</v>
      </c>
      <c r="M108" s="229">
        <v>0</v>
      </c>
      <c r="N108" s="229">
        <v>0</v>
      </c>
      <c r="O108" s="229">
        <v>0</v>
      </c>
      <c r="P108" s="26">
        <v>0</v>
      </c>
      <c r="Q108" s="14">
        <v>0</v>
      </c>
      <c r="R108" s="229">
        <v>0</v>
      </c>
      <c r="S108" s="229">
        <v>0</v>
      </c>
      <c r="T108" s="229">
        <v>0</v>
      </c>
      <c r="U108" s="229">
        <v>0</v>
      </c>
      <c r="V108" s="229">
        <v>0</v>
      </c>
      <c r="W108" s="229">
        <v>0</v>
      </c>
      <c r="X108" s="229">
        <v>0</v>
      </c>
      <c r="Y108" s="229">
        <v>0</v>
      </c>
      <c r="Z108" s="229">
        <v>0</v>
      </c>
      <c r="AA108" s="229">
        <v>0</v>
      </c>
      <c r="AC108" s="12">
        <v>1</v>
      </c>
      <c r="AD108" s="14">
        <v>1</v>
      </c>
      <c r="AE108" s="14">
        <v>0</v>
      </c>
      <c r="AF108" s="26">
        <v>0</v>
      </c>
      <c r="AG108" s="12">
        <v>84</v>
      </c>
      <c r="AH108" s="14">
        <v>0</v>
      </c>
      <c r="AI108" s="209"/>
      <c r="AJ108" s="3"/>
      <c r="AK108" s="3"/>
      <c r="AL108" s="3"/>
      <c r="AM108" s="3"/>
      <c r="AN108" s="3"/>
      <c r="AO108" s="40"/>
      <c r="AP108" s="209"/>
      <c r="AQ108" s="3"/>
      <c r="AR108" s="40"/>
      <c r="AS108" s="238"/>
    </row>
    <row r="109" spans="1:45" s="229" customFormat="1">
      <c r="A109" s="83" t="s">
        <v>321</v>
      </c>
      <c r="B109" s="386">
        <v>2.5602</v>
      </c>
      <c r="C109" s="229" t="s">
        <v>259</v>
      </c>
      <c r="D109" s="229" t="s">
        <v>622</v>
      </c>
      <c r="F109" s="229">
        <v>367</v>
      </c>
      <c r="G109" s="40">
        <f>F109/311</f>
        <v>1.180064308681672</v>
      </c>
      <c r="H109" s="14">
        <v>0</v>
      </c>
      <c r="I109" s="229">
        <v>0</v>
      </c>
      <c r="J109" s="229">
        <v>1</v>
      </c>
      <c r="K109" s="26">
        <v>0</v>
      </c>
      <c r="L109" s="14">
        <v>0</v>
      </c>
      <c r="M109" s="229">
        <v>0</v>
      </c>
      <c r="N109" s="229">
        <v>0</v>
      </c>
      <c r="O109" s="229">
        <v>0</v>
      </c>
      <c r="P109" s="26">
        <v>0</v>
      </c>
      <c r="Q109" s="14">
        <v>0</v>
      </c>
      <c r="R109" s="229">
        <v>0</v>
      </c>
      <c r="S109" s="229">
        <v>0</v>
      </c>
      <c r="T109" s="229">
        <v>0</v>
      </c>
      <c r="U109" s="229">
        <v>0</v>
      </c>
      <c r="V109" s="229">
        <v>0</v>
      </c>
      <c r="W109" s="229">
        <v>0</v>
      </c>
      <c r="X109" s="229">
        <v>0</v>
      </c>
      <c r="Y109" s="229">
        <v>0</v>
      </c>
      <c r="Z109" s="229">
        <v>0</v>
      </c>
      <c r="AA109" s="229">
        <v>180</v>
      </c>
      <c r="AC109" s="12">
        <v>1</v>
      </c>
      <c r="AD109" s="14">
        <v>1</v>
      </c>
      <c r="AE109" s="14">
        <v>0</v>
      </c>
      <c r="AF109" s="26">
        <v>0</v>
      </c>
      <c r="AG109" s="12">
        <v>55</v>
      </c>
      <c r="AH109" s="14">
        <v>0</v>
      </c>
      <c r="AI109" s="209"/>
      <c r="AJ109" s="3"/>
      <c r="AK109" s="3"/>
      <c r="AL109" s="3"/>
      <c r="AM109" s="3"/>
      <c r="AN109" s="3"/>
      <c r="AO109" s="40"/>
      <c r="AP109" s="209"/>
      <c r="AQ109" s="3"/>
      <c r="AR109" s="40"/>
      <c r="AS109" s="238"/>
    </row>
    <row r="110" spans="1:45" s="229" customFormat="1">
      <c r="A110" s="83" t="s">
        <v>321</v>
      </c>
      <c r="B110" s="386">
        <v>2.5602</v>
      </c>
      <c r="C110" s="229" t="s">
        <v>259</v>
      </c>
      <c r="D110" s="229" t="s">
        <v>620</v>
      </c>
      <c r="F110" s="229">
        <v>524</v>
      </c>
      <c r="G110" s="40">
        <f>F110/449</f>
        <v>1.1670378619153674</v>
      </c>
      <c r="H110" s="14">
        <v>0</v>
      </c>
      <c r="I110" s="229">
        <v>0</v>
      </c>
      <c r="J110" s="229">
        <v>1</v>
      </c>
      <c r="K110" s="26">
        <v>0</v>
      </c>
      <c r="L110" s="14">
        <v>0</v>
      </c>
      <c r="M110" s="229">
        <v>0</v>
      </c>
      <c r="N110" s="229">
        <v>0</v>
      </c>
      <c r="O110" s="229">
        <v>0</v>
      </c>
      <c r="P110" s="26">
        <v>0</v>
      </c>
      <c r="Q110" s="14">
        <v>20</v>
      </c>
      <c r="R110" s="229">
        <v>0</v>
      </c>
      <c r="S110" s="229">
        <v>0</v>
      </c>
      <c r="T110" s="229">
        <v>0</v>
      </c>
      <c r="U110" s="229">
        <v>0</v>
      </c>
      <c r="V110" s="229">
        <v>0</v>
      </c>
      <c r="W110" s="229">
        <v>0</v>
      </c>
      <c r="X110" s="229">
        <v>0</v>
      </c>
      <c r="Y110" s="229">
        <v>0</v>
      </c>
      <c r="Z110" s="229">
        <v>69</v>
      </c>
      <c r="AA110" s="229">
        <v>178</v>
      </c>
      <c r="AC110" s="12">
        <v>1</v>
      </c>
      <c r="AD110" s="14">
        <v>1</v>
      </c>
      <c r="AE110" s="14">
        <v>0</v>
      </c>
      <c r="AF110" s="26">
        <v>0</v>
      </c>
      <c r="AG110" s="12">
        <v>55</v>
      </c>
      <c r="AH110" s="14">
        <v>0</v>
      </c>
      <c r="AI110" s="209"/>
      <c r="AJ110" s="3"/>
      <c r="AK110" s="3"/>
      <c r="AL110" s="3"/>
      <c r="AM110" s="3"/>
      <c r="AN110" s="3"/>
      <c r="AO110" s="40"/>
      <c r="AP110" s="209"/>
      <c r="AQ110" s="3"/>
      <c r="AR110" s="40"/>
      <c r="AS110" s="238"/>
    </row>
    <row r="111" spans="1:45" s="229" customFormat="1">
      <c r="A111" s="83" t="s">
        <v>321</v>
      </c>
      <c r="B111" s="386">
        <v>2.5602</v>
      </c>
      <c r="C111" s="229" t="s">
        <v>259</v>
      </c>
      <c r="D111" s="229" t="s">
        <v>629</v>
      </c>
      <c r="F111" s="229">
        <v>580</v>
      </c>
      <c r="G111" s="40">
        <f>F111/470</f>
        <v>1.2340425531914894</v>
      </c>
      <c r="H111" s="14">
        <v>0</v>
      </c>
      <c r="I111" s="229">
        <v>0</v>
      </c>
      <c r="J111" s="229">
        <v>1</v>
      </c>
      <c r="K111" s="26">
        <v>0</v>
      </c>
      <c r="L111" s="14">
        <v>0</v>
      </c>
      <c r="M111" s="229">
        <v>0</v>
      </c>
      <c r="N111" s="229">
        <v>0</v>
      </c>
      <c r="O111" s="229">
        <v>1</v>
      </c>
      <c r="P111" s="26">
        <v>1</v>
      </c>
      <c r="Q111" s="14">
        <v>10</v>
      </c>
      <c r="R111" s="229">
        <v>12</v>
      </c>
      <c r="S111" s="229">
        <v>21</v>
      </c>
      <c r="T111" s="229">
        <v>0</v>
      </c>
      <c r="U111" s="229">
        <v>0</v>
      </c>
      <c r="V111" s="229">
        <v>0</v>
      </c>
      <c r="W111" s="229">
        <v>0</v>
      </c>
      <c r="X111" s="229">
        <v>0</v>
      </c>
      <c r="Y111" s="229">
        <v>0</v>
      </c>
      <c r="Z111" s="229">
        <v>0</v>
      </c>
      <c r="AA111" s="229">
        <v>0</v>
      </c>
      <c r="AC111" s="12">
        <v>2</v>
      </c>
      <c r="AD111" s="14">
        <v>5</v>
      </c>
      <c r="AE111" s="14">
        <v>155</v>
      </c>
      <c r="AF111" s="26">
        <v>292</v>
      </c>
      <c r="AG111" s="12">
        <v>68</v>
      </c>
      <c r="AH111" s="14">
        <v>0</v>
      </c>
      <c r="AI111" s="209"/>
      <c r="AJ111" s="3"/>
      <c r="AK111" s="3"/>
      <c r="AL111" s="3"/>
      <c r="AM111" s="3"/>
      <c r="AN111" s="3"/>
      <c r="AO111" s="40"/>
      <c r="AP111" s="209"/>
      <c r="AQ111" s="3"/>
      <c r="AR111" s="40"/>
      <c r="AS111" s="238"/>
    </row>
    <row r="112" spans="1:45" s="229" customFormat="1">
      <c r="A112" s="83" t="s">
        <v>321</v>
      </c>
      <c r="B112" s="386">
        <v>2.5602</v>
      </c>
      <c r="C112" s="229" t="s">
        <v>259</v>
      </c>
      <c r="D112" s="229" t="s">
        <v>634</v>
      </c>
      <c r="F112" s="229">
        <v>851</v>
      </c>
      <c r="G112" s="40">
        <f>F112/383</f>
        <v>2.2219321148825064</v>
      </c>
      <c r="H112" s="14">
        <v>0</v>
      </c>
      <c r="I112" s="229">
        <v>0</v>
      </c>
      <c r="J112" s="229">
        <v>1</v>
      </c>
      <c r="K112" s="26">
        <v>0</v>
      </c>
      <c r="L112" s="14">
        <v>0</v>
      </c>
      <c r="M112" s="229">
        <v>0</v>
      </c>
      <c r="N112" s="229">
        <v>0</v>
      </c>
      <c r="O112" s="229">
        <v>0</v>
      </c>
      <c r="P112" s="26">
        <v>0</v>
      </c>
      <c r="Q112" s="14">
        <v>40</v>
      </c>
      <c r="R112" s="229">
        <v>0</v>
      </c>
      <c r="S112" s="229">
        <v>0</v>
      </c>
      <c r="T112" s="229">
        <v>0</v>
      </c>
      <c r="U112" s="229">
        <v>0</v>
      </c>
      <c r="V112" s="229">
        <v>27</v>
      </c>
      <c r="W112" s="229">
        <v>522</v>
      </c>
      <c r="X112" s="229">
        <v>0</v>
      </c>
      <c r="Y112" s="229">
        <v>0</v>
      </c>
      <c r="Z112" s="229">
        <v>0</v>
      </c>
      <c r="AA112" s="229">
        <v>220</v>
      </c>
      <c r="AC112" s="12">
        <v>1</v>
      </c>
      <c r="AD112" s="14">
        <v>1</v>
      </c>
      <c r="AE112" s="14">
        <v>0</v>
      </c>
      <c r="AF112" s="26">
        <v>0</v>
      </c>
      <c r="AG112" s="12">
        <v>104</v>
      </c>
      <c r="AH112" s="14">
        <v>0</v>
      </c>
      <c r="AI112" s="209"/>
      <c r="AJ112" s="3"/>
      <c r="AK112" s="3"/>
      <c r="AL112" s="3"/>
      <c r="AM112" s="3"/>
      <c r="AN112" s="3"/>
      <c r="AO112" s="40"/>
      <c r="AP112" s="209"/>
      <c r="AQ112" s="3"/>
      <c r="AR112" s="40"/>
      <c r="AS112" s="238"/>
    </row>
    <row r="113" spans="1:45" s="229" customFormat="1">
      <c r="A113" s="83" t="s">
        <v>321</v>
      </c>
      <c r="B113" s="386">
        <v>2.5602</v>
      </c>
      <c r="C113" s="229" t="s">
        <v>259</v>
      </c>
      <c r="D113" s="229" t="s">
        <v>625</v>
      </c>
      <c r="E113" s="229" t="s">
        <v>0</v>
      </c>
      <c r="F113" s="229">
        <v>326</v>
      </c>
      <c r="G113" s="40">
        <f>F113/188</f>
        <v>1.7340425531914894</v>
      </c>
      <c r="H113" s="14">
        <v>0</v>
      </c>
      <c r="I113" s="229">
        <v>0</v>
      </c>
      <c r="J113" s="229">
        <v>0</v>
      </c>
      <c r="K113" s="26">
        <v>1</v>
      </c>
      <c r="L113" s="14">
        <v>0</v>
      </c>
      <c r="M113" s="229">
        <v>0</v>
      </c>
      <c r="N113" s="229">
        <v>0</v>
      </c>
      <c r="O113" s="229">
        <v>0</v>
      </c>
      <c r="P113" s="26">
        <v>0</v>
      </c>
      <c r="Q113" s="14">
        <v>0</v>
      </c>
      <c r="R113" s="24">
        <v>0</v>
      </c>
      <c r="S113" s="24">
        <v>0</v>
      </c>
      <c r="T113" s="24">
        <v>0</v>
      </c>
      <c r="U113" s="24">
        <v>0</v>
      </c>
      <c r="V113" s="24">
        <v>0</v>
      </c>
      <c r="W113" s="24">
        <v>0</v>
      </c>
      <c r="X113" s="24">
        <v>0</v>
      </c>
      <c r="Y113" s="24">
        <v>0</v>
      </c>
      <c r="Z113" s="24">
        <v>0</v>
      </c>
      <c r="AA113" s="24">
        <v>0</v>
      </c>
      <c r="AB113" s="24"/>
      <c r="AC113" s="12">
        <v>1</v>
      </c>
      <c r="AD113" s="14">
        <v>1</v>
      </c>
      <c r="AE113" s="14">
        <v>0</v>
      </c>
      <c r="AF113" s="26">
        <v>0</v>
      </c>
      <c r="AG113" s="12">
        <v>73</v>
      </c>
      <c r="AH113" s="14">
        <v>0</v>
      </c>
      <c r="AI113" s="209"/>
      <c r="AJ113" s="3"/>
      <c r="AK113" s="3"/>
      <c r="AL113" s="3"/>
      <c r="AM113" s="3"/>
      <c r="AN113" s="3"/>
      <c r="AO113" s="40"/>
      <c r="AP113" s="209"/>
      <c r="AQ113" s="3"/>
      <c r="AR113" s="40"/>
      <c r="AS113" s="238"/>
    </row>
    <row r="114" spans="1:45" s="229" customFormat="1">
      <c r="A114" s="83" t="s">
        <v>321</v>
      </c>
      <c r="B114" s="386">
        <v>2.5602</v>
      </c>
      <c r="C114" s="229" t="s">
        <v>259</v>
      </c>
      <c r="D114" s="229" t="s">
        <v>625</v>
      </c>
      <c r="E114" s="229" t="s">
        <v>1</v>
      </c>
      <c r="F114" s="229">
        <v>290</v>
      </c>
      <c r="G114" s="40">
        <f>F114/186</f>
        <v>1.5591397849462365</v>
      </c>
      <c r="H114" s="14">
        <v>0</v>
      </c>
      <c r="I114" s="229">
        <v>0</v>
      </c>
      <c r="J114" s="229">
        <v>0</v>
      </c>
      <c r="K114" s="26">
        <v>1</v>
      </c>
      <c r="L114" s="14">
        <v>0</v>
      </c>
      <c r="M114" s="229">
        <v>0</v>
      </c>
      <c r="N114" s="229">
        <v>0</v>
      </c>
      <c r="O114" s="229">
        <v>0</v>
      </c>
      <c r="P114" s="26">
        <v>0</v>
      </c>
      <c r="Q114" s="14">
        <v>0</v>
      </c>
      <c r="R114" s="24">
        <v>0</v>
      </c>
      <c r="S114" s="24">
        <v>0</v>
      </c>
      <c r="T114" s="24">
        <v>0</v>
      </c>
      <c r="U114" s="24">
        <v>0</v>
      </c>
      <c r="V114" s="24">
        <v>0</v>
      </c>
      <c r="W114" s="24">
        <v>0</v>
      </c>
      <c r="X114" s="24">
        <v>0</v>
      </c>
      <c r="Y114" s="24">
        <v>0</v>
      </c>
      <c r="Z114" s="24">
        <v>0</v>
      </c>
      <c r="AA114" s="24">
        <v>0</v>
      </c>
      <c r="AB114" s="24"/>
      <c r="AC114" s="12">
        <v>1</v>
      </c>
      <c r="AD114" s="14">
        <v>1</v>
      </c>
      <c r="AE114" s="14">
        <v>0</v>
      </c>
      <c r="AF114" s="26">
        <v>0</v>
      </c>
      <c r="AG114" s="12">
        <v>73</v>
      </c>
      <c r="AH114" s="14">
        <v>0</v>
      </c>
      <c r="AI114" s="209"/>
      <c r="AJ114" s="3"/>
      <c r="AK114" s="3"/>
      <c r="AL114" s="3"/>
      <c r="AM114" s="3"/>
      <c r="AN114" s="3"/>
      <c r="AO114" s="40"/>
      <c r="AP114" s="209"/>
      <c r="AQ114" s="3"/>
      <c r="AR114" s="40"/>
      <c r="AS114" s="238"/>
    </row>
    <row r="115" spans="1:45" s="229" customFormat="1">
      <c r="A115" s="83" t="s">
        <v>321</v>
      </c>
      <c r="B115" s="386">
        <v>2.5602</v>
      </c>
      <c r="C115" s="229" t="s">
        <v>259</v>
      </c>
      <c r="D115" s="229" t="s">
        <v>625</v>
      </c>
      <c r="E115" s="229" t="s">
        <v>2</v>
      </c>
      <c r="F115" s="229">
        <v>215</v>
      </c>
      <c r="G115" s="40">
        <f>F115/163</f>
        <v>1.3190184049079754</v>
      </c>
      <c r="H115" s="14">
        <v>0</v>
      </c>
      <c r="I115" s="229">
        <v>0</v>
      </c>
      <c r="J115" s="229">
        <v>0</v>
      </c>
      <c r="K115" s="26">
        <v>1</v>
      </c>
      <c r="L115" s="14">
        <v>0</v>
      </c>
      <c r="M115" s="229">
        <v>0</v>
      </c>
      <c r="N115" s="229">
        <v>0</v>
      </c>
      <c r="O115" s="229">
        <v>0</v>
      </c>
      <c r="P115" s="26">
        <v>0</v>
      </c>
      <c r="Q115" s="14">
        <v>0</v>
      </c>
      <c r="R115" s="24">
        <v>0</v>
      </c>
      <c r="S115" s="24">
        <v>0</v>
      </c>
      <c r="T115" s="24">
        <v>0</v>
      </c>
      <c r="U115" s="24">
        <v>0</v>
      </c>
      <c r="V115" s="24">
        <v>0</v>
      </c>
      <c r="W115" s="24">
        <v>0</v>
      </c>
      <c r="X115" s="24">
        <v>0</v>
      </c>
      <c r="Y115" s="24">
        <v>0</v>
      </c>
      <c r="Z115" s="24">
        <v>0</v>
      </c>
      <c r="AA115" s="24">
        <v>0</v>
      </c>
      <c r="AB115" s="24"/>
      <c r="AC115" s="12">
        <v>1</v>
      </c>
      <c r="AD115" s="14">
        <v>1</v>
      </c>
      <c r="AE115" s="14">
        <v>0</v>
      </c>
      <c r="AF115" s="26">
        <v>0</v>
      </c>
      <c r="AG115" s="12">
        <v>73</v>
      </c>
      <c r="AH115" s="14">
        <v>0</v>
      </c>
      <c r="AI115" s="209"/>
      <c r="AJ115" s="3"/>
      <c r="AK115" s="3"/>
      <c r="AL115" s="3"/>
      <c r="AM115" s="3"/>
      <c r="AN115" s="3"/>
      <c r="AO115" s="40"/>
      <c r="AP115" s="209"/>
      <c r="AQ115" s="3"/>
      <c r="AR115" s="40"/>
      <c r="AS115" s="238"/>
    </row>
    <row r="116" spans="1:45" s="229" customFormat="1">
      <c r="A116" s="83" t="s">
        <v>321</v>
      </c>
      <c r="B116" s="386">
        <v>2.5602</v>
      </c>
      <c r="C116" s="229" t="s">
        <v>259</v>
      </c>
      <c r="D116" s="229" t="s">
        <v>625</v>
      </c>
      <c r="E116" s="229" t="s">
        <v>3</v>
      </c>
      <c r="F116" s="229">
        <v>302</v>
      </c>
      <c r="G116" s="40">
        <f>F116/152</f>
        <v>1.986842105263158</v>
      </c>
      <c r="H116" s="14">
        <v>1</v>
      </c>
      <c r="I116" s="229">
        <v>0</v>
      </c>
      <c r="J116" s="229">
        <v>0</v>
      </c>
      <c r="K116" s="26">
        <v>0</v>
      </c>
      <c r="L116" s="14">
        <v>0</v>
      </c>
      <c r="M116" s="229">
        <v>0</v>
      </c>
      <c r="N116" s="229">
        <v>0</v>
      </c>
      <c r="O116" s="229">
        <v>0</v>
      </c>
      <c r="P116" s="26">
        <v>0</v>
      </c>
      <c r="Q116" s="14">
        <v>0</v>
      </c>
      <c r="R116" s="24">
        <v>0</v>
      </c>
      <c r="S116" s="24">
        <v>0</v>
      </c>
      <c r="T116" s="24">
        <v>0</v>
      </c>
      <c r="U116" s="24">
        <v>0</v>
      </c>
      <c r="V116" s="24">
        <v>0</v>
      </c>
      <c r="W116" s="24">
        <v>0</v>
      </c>
      <c r="X116" s="24">
        <v>0</v>
      </c>
      <c r="Y116" s="24">
        <v>0</v>
      </c>
      <c r="Z116" s="24">
        <v>0</v>
      </c>
      <c r="AA116" s="24">
        <v>0</v>
      </c>
      <c r="AB116" s="24"/>
      <c r="AC116" s="12">
        <v>1</v>
      </c>
      <c r="AD116" s="14">
        <v>1</v>
      </c>
      <c r="AE116" s="14">
        <v>0</v>
      </c>
      <c r="AF116" s="26">
        <v>0</v>
      </c>
      <c r="AG116" s="12">
        <v>73</v>
      </c>
      <c r="AH116" s="14">
        <v>0</v>
      </c>
      <c r="AI116" s="209"/>
      <c r="AJ116" s="3"/>
      <c r="AK116" s="3"/>
      <c r="AL116" s="3"/>
      <c r="AM116" s="3"/>
      <c r="AN116" s="3"/>
      <c r="AO116" s="40"/>
      <c r="AP116" s="209"/>
      <c r="AQ116" s="3"/>
      <c r="AR116" s="40"/>
      <c r="AS116" s="238"/>
    </row>
    <row r="117" spans="1:45" s="229" customFormat="1">
      <c r="A117" s="83" t="s">
        <v>321</v>
      </c>
      <c r="B117" s="386">
        <v>2.5602</v>
      </c>
      <c r="C117" s="229" t="s">
        <v>259</v>
      </c>
      <c r="D117" s="24" t="s">
        <v>625</v>
      </c>
      <c r="E117" s="229" t="s">
        <v>4</v>
      </c>
      <c r="F117" s="229">
        <v>176</v>
      </c>
      <c r="G117" s="40">
        <f>F117/124</f>
        <v>1.4193548387096775</v>
      </c>
      <c r="H117" s="14">
        <v>0</v>
      </c>
      <c r="I117" s="229">
        <v>0</v>
      </c>
      <c r="J117" s="229">
        <v>0</v>
      </c>
      <c r="K117" s="26">
        <v>1</v>
      </c>
      <c r="L117" s="14">
        <v>0</v>
      </c>
      <c r="M117" s="229">
        <v>0</v>
      </c>
      <c r="N117" s="229">
        <v>0</v>
      </c>
      <c r="O117" s="229">
        <v>0</v>
      </c>
      <c r="P117" s="26">
        <v>0</v>
      </c>
      <c r="Q117" s="14">
        <v>0</v>
      </c>
      <c r="R117" s="24">
        <v>0</v>
      </c>
      <c r="S117" s="24">
        <v>0</v>
      </c>
      <c r="T117" s="24">
        <v>0</v>
      </c>
      <c r="U117" s="24">
        <v>0</v>
      </c>
      <c r="V117" s="24">
        <v>0</v>
      </c>
      <c r="W117" s="24">
        <v>19</v>
      </c>
      <c r="X117" s="24">
        <v>0</v>
      </c>
      <c r="Y117" s="24">
        <v>0</v>
      </c>
      <c r="Z117" s="24">
        <v>0</v>
      </c>
      <c r="AA117" s="24">
        <v>0</v>
      </c>
      <c r="AB117" s="24"/>
      <c r="AC117" s="12">
        <v>1</v>
      </c>
      <c r="AD117" s="14">
        <v>1</v>
      </c>
      <c r="AE117" s="14">
        <v>0</v>
      </c>
      <c r="AF117" s="26">
        <v>0</v>
      </c>
      <c r="AG117" s="12">
        <v>73</v>
      </c>
      <c r="AH117" s="14">
        <v>0</v>
      </c>
      <c r="AI117" s="209"/>
      <c r="AJ117" s="3"/>
      <c r="AK117" s="3"/>
      <c r="AL117" s="3"/>
      <c r="AM117" s="3"/>
      <c r="AN117" s="3"/>
      <c r="AO117" s="40"/>
      <c r="AP117" s="209"/>
      <c r="AQ117" s="3"/>
      <c r="AR117" s="40"/>
      <c r="AS117" s="238"/>
    </row>
    <row r="118" spans="1:45" s="229" customFormat="1">
      <c r="A118" s="83" t="s">
        <v>321</v>
      </c>
      <c r="B118" s="386">
        <v>2.5602</v>
      </c>
      <c r="C118" s="229" t="s">
        <v>259</v>
      </c>
      <c r="D118" s="229" t="s">
        <v>630</v>
      </c>
      <c r="F118" s="229">
        <v>534</v>
      </c>
      <c r="G118" s="40">
        <f>F118/455</f>
        <v>1.1736263736263737</v>
      </c>
      <c r="H118" s="14">
        <v>1</v>
      </c>
      <c r="I118" s="229">
        <v>0</v>
      </c>
      <c r="J118" s="229">
        <v>0</v>
      </c>
      <c r="K118" s="26">
        <v>0</v>
      </c>
      <c r="L118" s="14">
        <v>0</v>
      </c>
      <c r="M118" s="229">
        <v>0</v>
      </c>
      <c r="N118" s="229">
        <v>0</v>
      </c>
      <c r="O118" s="229">
        <v>0</v>
      </c>
      <c r="P118" s="26">
        <v>0</v>
      </c>
      <c r="Q118" s="14">
        <v>10</v>
      </c>
      <c r="R118" s="229">
        <v>15</v>
      </c>
      <c r="S118" s="229">
        <v>39</v>
      </c>
      <c r="T118" s="229">
        <v>0</v>
      </c>
      <c r="U118" s="229">
        <v>0</v>
      </c>
      <c r="V118" s="229">
        <v>20</v>
      </c>
      <c r="W118" s="229">
        <v>115</v>
      </c>
      <c r="X118" s="229">
        <v>0</v>
      </c>
      <c r="Y118" s="229">
        <v>0</v>
      </c>
      <c r="Z118" s="229">
        <v>0</v>
      </c>
      <c r="AA118" s="229">
        <v>0</v>
      </c>
      <c r="AC118" s="12">
        <v>1</v>
      </c>
      <c r="AD118" s="14">
        <v>1</v>
      </c>
      <c r="AE118" s="14">
        <v>0</v>
      </c>
      <c r="AF118" s="26">
        <v>0</v>
      </c>
      <c r="AG118" s="12">
        <v>45</v>
      </c>
      <c r="AH118" s="14">
        <v>0</v>
      </c>
      <c r="AI118" s="209"/>
      <c r="AJ118" s="3"/>
      <c r="AK118" s="3"/>
      <c r="AL118" s="3"/>
      <c r="AM118" s="3"/>
      <c r="AN118" s="3"/>
      <c r="AO118" s="40"/>
      <c r="AP118" s="209"/>
      <c r="AQ118" s="3"/>
      <c r="AR118" s="40"/>
      <c r="AS118" s="238"/>
    </row>
    <row r="119" spans="1:45" s="229" customFormat="1">
      <c r="A119" s="83" t="s">
        <v>321</v>
      </c>
      <c r="B119" s="386">
        <v>2.5602</v>
      </c>
      <c r="C119" s="229" t="s">
        <v>259</v>
      </c>
      <c r="D119" s="229" t="s">
        <v>638</v>
      </c>
      <c r="F119" s="229">
        <v>1226</v>
      </c>
      <c r="G119" s="40">
        <f>F119/730</f>
        <v>1.6794520547945206</v>
      </c>
      <c r="H119" s="14">
        <v>0</v>
      </c>
      <c r="I119" s="229">
        <v>0</v>
      </c>
      <c r="J119" s="229">
        <v>1</v>
      </c>
      <c r="K119" s="26">
        <v>0</v>
      </c>
      <c r="L119" s="14">
        <v>0</v>
      </c>
      <c r="M119" s="229">
        <v>0</v>
      </c>
      <c r="N119" s="229">
        <v>1</v>
      </c>
      <c r="O119" s="229">
        <v>0</v>
      </c>
      <c r="P119" s="26">
        <v>1</v>
      </c>
      <c r="Q119" s="14">
        <v>0</v>
      </c>
      <c r="R119" s="229">
        <v>0</v>
      </c>
      <c r="S119" s="229">
        <v>0</v>
      </c>
      <c r="T119" s="229">
        <v>0</v>
      </c>
      <c r="U119" s="229">
        <v>0</v>
      </c>
      <c r="V119" s="229">
        <v>0</v>
      </c>
      <c r="W119" s="229">
        <v>0</v>
      </c>
      <c r="X119" s="229">
        <v>0</v>
      </c>
      <c r="Y119" s="229">
        <v>0</v>
      </c>
      <c r="Z119" s="229">
        <v>0</v>
      </c>
      <c r="AA119" s="229">
        <v>0</v>
      </c>
      <c r="AC119" s="12">
        <v>2</v>
      </c>
      <c r="AD119" s="14">
        <v>5</v>
      </c>
      <c r="AE119" s="14">
        <v>341</v>
      </c>
      <c r="AF119" s="26">
        <v>854</v>
      </c>
      <c r="AG119" s="12">
        <v>119</v>
      </c>
      <c r="AH119" s="14">
        <v>0</v>
      </c>
      <c r="AI119" s="209"/>
      <c r="AJ119" s="3"/>
      <c r="AK119" s="3"/>
      <c r="AL119" s="3"/>
      <c r="AM119" s="3"/>
      <c r="AN119" s="3"/>
      <c r="AO119" s="40"/>
      <c r="AP119" s="209"/>
      <c r="AQ119" s="3"/>
      <c r="AR119" s="40"/>
      <c r="AS119" s="238"/>
    </row>
    <row r="120" spans="1:45" s="229" customFormat="1">
      <c r="A120" s="83" t="s">
        <v>321</v>
      </c>
      <c r="B120" s="386">
        <v>2.5602</v>
      </c>
      <c r="C120" s="229" t="s">
        <v>259</v>
      </c>
      <c r="D120" s="229" t="s">
        <v>644</v>
      </c>
      <c r="F120" s="229">
        <v>555</v>
      </c>
      <c r="G120" s="40">
        <f>F120/284</f>
        <v>1.954225352112676</v>
      </c>
      <c r="H120" s="14">
        <v>0</v>
      </c>
      <c r="I120" s="229">
        <v>0</v>
      </c>
      <c r="J120" s="229">
        <v>1</v>
      </c>
      <c r="K120" s="26">
        <v>0</v>
      </c>
      <c r="L120" s="14">
        <v>0</v>
      </c>
      <c r="M120" s="229">
        <v>0</v>
      </c>
      <c r="N120" s="229">
        <v>1</v>
      </c>
      <c r="O120" s="229">
        <v>0</v>
      </c>
      <c r="P120" s="26">
        <v>1</v>
      </c>
      <c r="Q120" s="14">
        <v>10</v>
      </c>
      <c r="R120" s="229">
        <v>0</v>
      </c>
      <c r="S120" s="229">
        <v>0</v>
      </c>
      <c r="T120" s="229">
        <v>0</v>
      </c>
      <c r="U120" s="229">
        <v>0</v>
      </c>
      <c r="V120" s="229">
        <v>101</v>
      </c>
      <c r="W120" s="229">
        <v>189</v>
      </c>
      <c r="X120" s="229">
        <v>0</v>
      </c>
      <c r="Y120" s="229">
        <v>0</v>
      </c>
      <c r="Z120" s="229">
        <v>0</v>
      </c>
      <c r="AA120" s="229">
        <v>0</v>
      </c>
      <c r="AC120" s="12">
        <v>1</v>
      </c>
      <c r="AD120" s="14">
        <v>1</v>
      </c>
      <c r="AE120" s="14">
        <v>0</v>
      </c>
      <c r="AF120" s="26">
        <v>0</v>
      </c>
      <c r="AG120" s="12">
        <v>110</v>
      </c>
      <c r="AH120" s="14">
        <v>0</v>
      </c>
      <c r="AI120" s="209"/>
      <c r="AJ120" s="3"/>
      <c r="AK120" s="3"/>
      <c r="AL120" s="3"/>
      <c r="AM120" s="3"/>
      <c r="AN120" s="3"/>
      <c r="AO120" s="40"/>
      <c r="AP120" s="209"/>
      <c r="AQ120" s="3"/>
      <c r="AR120" s="40"/>
      <c r="AS120" s="238"/>
    </row>
    <row r="121" spans="1:45" s="229" customFormat="1">
      <c r="A121" s="83" t="s">
        <v>321</v>
      </c>
      <c r="B121" s="386">
        <v>2.5602</v>
      </c>
      <c r="C121" s="229" t="s">
        <v>259</v>
      </c>
      <c r="D121" s="229" t="s">
        <v>644</v>
      </c>
      <c r="F121" s="229">
        <v>434</v>
      </c>
      <c r="G121" s="40">
        <f>F121/347</f>
        <v>1.2507204610951008</v>
      </c>
      <c r="H121" s="14">
        <v>0</v>
      </c>
      <c r="I121" s="229">
        <v>0</v>
      </c>
      <c r="J121" s="229">
        <v>1</v>
      </c>
      <c r="K121" s="26">
        <v>1</v>
      </c>
      <c r="L121" s="14">
        <v>0</v>
      </c>
      <c r="M121" s="229">
        <v>0</v>
      </c>
      <c r="N121" s="229">
        <v>1</v>
      </c>
      <c r="O121" s="229">
        <v>0</v>
      </c>
      <c r="P121" s="26">
        <v>1</v>
      </c>
      <c r="Q121" s="14">
        <v>0</v>
      </c>
      <c r="R121" s="229">
        <v>0</v>
      </c>
      <c r="S121" s="229">
        <v>0</v>
      </c>
      <c r="T121" s="229">
        <v>0</v>
      </c>
      <c r="U121" s="229">
        <v>0</v>
      </c>
      <c r="V121" s="229">
        <v>0</v>
      </c>
      <c r="W121" s="229">
        <v>0</v>
      </c>
      <c r="X121" s="229">
        <v>0</v>
      </c>
      <c r="Y121" s="229">
        <v>0</v>
      </c>
      <c r="Z121" s="229">
        <v>0</v>
      </c>
      <c r="AA121" s="229">
        <v>0</v>
      </c>
      <c r="AC121" s="12">
        <v>2</v>
      </c>
      <c r="AD121" s="14">
        <v>2</v>
      </c>
      <c r="AE121" s="14">
        <v>342</v>
      </c>
      <c r="AF121" s="26">
        <v>3677</v>
      </c>
      <c r="AG121" s="12">
        <v>110</v>
      </c>
      <c r="AH121" s="14">
        <v>0</v>
      </c>
      <c r="AI121" s="209"/>
      <c r="AJ121" s="3"/>
      <c r="AK121" s="3"/>
      <c r="AL121" s="3"/>
      <c r="AM121" s="3"/>
      <c r="AN121" s="3"/>
      <c r="AO121" s="40"/>
      <c r="AP121" s="209"/>
      <c r="AQ121" s="3"/>
      <c r="AR121" s="40"/>
      <c r="AS121" s="238"/>
    </row>
    <row r="122" spans="1:45" s="229" customFormat="1">
      <c r="A122" s="83" t="s">
        <v>321</v>
      </c>
      <c r="B122" s="386">
        <v>2.5602</v>
      </c>
      <c r="C122" s="229" t="s">
        <v>259</v>
      </c>
      <c r="D122" s="229" t="s">
        <v>645</v>
      </c>
      <c r="E122" s="229" t="s">
        <v>0</v>
      </c>
      <c r="F122" s="229">
        <v>261</v>
      </c>
      <c r="G122" s="40">
        <f>F122/204</f>
        <v>1.2794117647058822</v>
      </c>
      <c r="H122" s="14">
        <v>1</v>
      </c>
      <c r="I122" s="229">
        <v>0</v>
      </c>
      <c r="J122" s="229">
        <v>0</v>
      </c>
      <c r="K122" s="26">
        <v>0</v>
      </c>
      <c r="L122" s="14">
        <v>0</v>
      </c>
      <c r="M122" s="229">
        <v>0</v>
      </c>
      <c r="N122" s="229">
        <v>0</v>
      </c>
      <c r="O122" s="229">
        <v>0</v>
      </c>
      <c r="P122" s="26">
        <v>0</v>
      </c>
      <c r="Q122" s="14">
        <v>0</v>
      </c>
      <c r="R122" s="229">
        <v>0</v>
      </c>
      <c r="S122" s="229">
        <v>0</v>
      </c>
      <c r="T122" s="229">
        <v>0</v>
      </c>
      <c r="U122" s="229">
        <v>0</v>
      </c>
      <c r="V122" s="229">
        <v>0</v>
      </c>
      <c r="W122" s="229">
        <v>0</v>
      </c>
      <c r="X122" s="229">
        <v>0</v>
      </c>
      <c r="Y122" s="229">
        <v>0</v>
      </c>
      <c r="Z122" s="229">
        <v>0</v>
      </c>
      <c r="AA122" s="229">
        <v>0</v>
      </c>
      <c r="AC122" s="12">
        <v>1</v>
      </c>
      <c r="AD122" s="14">
        <v>1</v>
      </c>
      <c r="AE122" s="14">
        <v>0</v>
      </c>
      <c r="AF122" s="26">
        <v>0</v>
      </c>
      <c r="AG122" s="12">
        <v>85</v>
      </c>
      <c r="AH122" s="14">
        <v>0</v>
      </c>
      <c r="AI122" s="209"/>
      <c r="AJ122" s="3"/>
      <c r="AK122" s="3"/>
      <c r="AL122" s="3"/>
      <c r="AM122" s="3"/>
      <c r="AN122" s="3"/>
      <c r="AO122" s="40"/>
      <c r="AP122" s="209"/>
      <c r="AQ122" s="3"/>
      <c r="AR122" s="40"/>
      <c r="AS122" s="238"/>
    </row>
    <row r="123" spans="1:45" s="229" customFormat="1" ht="17" thickBot="1">
      <c r="A123" s="84" t="s">
        <v>321</v>
      </c>
      <c r="B123" s="385">
        <v>2.5602</v>
      </c>
      <c r="C123" s="36" t="s">
        <v>259</v>
      </c>
      <c r="D123" s="36" t="s">
        <v>645</v>
      </c>
      <c r="E123" s="36" t="s">
        <v>1</v>
      </c>
      <c r="F123" s="36">
        <v>652</v>
      </c>
      <c r="G123" s="48">
        <f>F123/495</f>
        <v>1.3171717171717172</v>
      </c>
      <c r="H123" s="34">
        <v>0</v>
      </c>
      <c r="I123" s="36">
        <v>0</v>
      </c>
      <c r="J123" s="36">
        <v>1</v>
      </c>
      <c r="K123" s="35">
        <v>0</v>
      </c>
      <c r="L123" s="34">
        <v>0</v>
      </c>
      <c r="M123" s="36">
        <v>0</v>
      </c>
      <c r="N123" s="36">
        <v>0</v>
      </c>
      <c r="O123" s="36">
        <v>0</v>
      </c>
      <c r="P123" s="35">
        <v>0</v>
      </c>
      <c r="Q123" s="34">
        <v>20</v>
      </c>
      <c r="R123" s="36">
        <v>0</v>
      </c>
      <c r="S123" s="36">
        <v>0</v>
      </c>
      <c r="T123" s="36">
        <v>0</v>
      </c>
      <c r="U123" s="36">
        <v>0</v>
      </c>
      <c r="V123" s="36">
        <v>0</v>
      </c>
      <c r="W123" s="36">
        <v>320</v>
      </c>
      <c r="X123" s="36">
        <v>0</v>
      </c>
      <c r="Y123" s="36">
        <v>0</v>
      </c>
      <c r="Z123" s="36">
        <v>0</v>
      </c>
      <c r="AA123" s="36">
        <v>0</v>
      </c>
      <c r="AB123" s="36"/>
      <c r="AC123" s="33">
        <v>1</v>
      </c>
      <c r="AD123" s="34">
        <v>1</v>
      </c>
      <c r="AE123" s="34">
        <v>0</v>
      </c>
      <c r="AF123" s="35">
        <v>0</v>
      </c>
      <c r="AG123" s="33">
        <v>85</v>
      </c>
      <c r="AH123" s="34">
        <v>0</v>
      </c>
      <c r="AI123" s="210"/>
      <c r="AJ123" s="51"/>
      <c r="AK123" s="51"/>
      <c r="AL123" s="51"/>
      <c r="AM123" s="51"/>
      <c r="AN123" s="51"/>
      <c r="AO123" s="48"/>
      <c r="AP123" s="210"/>
      <c r="AQ123" s="51"/>
      <c r="AR123" s="48"/>
      <c r="AS123" s="239"/>
    </row>
    <row r="124" spans="1:45" s="229" customFormat="1">
      <c r="A124" s="83" t="s">
        <v>321</v>
      </c>
      <c r="B124" s="386">
        <v>2.5602</v>
      </c>
      <c r="C124" s="8" t="s">
        <v>258</v>
      </c>
      <c r="D124" s="8" t="s">
        <v>636</v>
      </c>
      <c r="E124" s="8"/>
      <c r="F124" s="8">
        <v>1149</v>
      </c>
      <c r="G124" s="10">
        <f>F124/956</f>
        <v>1.2018828451882846</v>
      </c>
      <c r="H124" s="11">
        <v>0</v>
      </c>
      <c r="I124" s="8">
        <v>0</v>
      </c>
      <c r="J124" s="8">
        <v>1</v>
      </c>
      <c r="K124" s="41">
        <v>1</v>
      </c>
      <c r="L124" s="11">
        <v>0</v>
      </c>
      <c r="M124" s="8">
        <v>0</v>
      </c>
      <c r="N124" s="8">
        <v>1</v>
      </c>
      <c r="O124" s="8">
        <v>0</v>
      </c>
      <c r="P124" s="41">
        <v>1</v>
      </c>
      <c r="Q124" s="11">
        <v>25</v>
      </c>
      <c r="R124" s="8">
        <v>14</v>
      </c>
      <c r="S124" s="8">
        <v>31</v>
      </c>
      <c r="T124" s="8">
        <v>0</v>
      </c>
      <c r="U124" s="8">
        <v>0</v>
      </c>
      <c r="V124" s="8">
        <v>12</v>
      </c>
      <c r="W124" s="8">
        <v>391</v>
      </c>
      <c r="X124" s="8">
        <v>0</v>
      </c>
      <c r="Y124" s="8">
        <v>0</v>
      </c>
      <c r="Z124" s="8">
        <v>211</v>
      </c>
      <c r="AA124" s="8">
        <v>247</v>
      </c>
      <c r="AB124" s="8"/>
      <c r="AC124" s="9">
        <v>2</v>
      </c>
      <c r="AD124" s="11">
        <v>2</v>
      </c>
      <c r="AE124" s="11">
        <v>431</v>
      </c>
      <c r="AF124" s="41">
        <v>1149</v>
      </c>
      <c r="AG124" s="9">
        <v>131</v>
      </c>
      <c r="AH124" s="11">
        <v>1</v>
      </c>
      <c r="AI124" s="208">
        <v>89.5</v>
      </c>
      <c r="AJ124" s="54">
        <v>89.4</v>
      </c>
      <c r="AK124" s="54"/>
      <c r="AL124" s="54"/>
      <c r="AM124" s="54"/>
      <c r="AN124" s="54"/>
      <c r="AO124" s="10"/>
      <c r="AP124" s="208">
        <v>85.4</v>
      </c>
      <c r="AQ124" s="54"/>
      <c r="AR124" s="10"/>
      <c r="AS124" s="237"/>
    </row>
    <row r="125" spans="1:45" s="229" customFormat="1">
      <c r="A125" s="83" t="s">
        <v>321</v>
      </c>
      <c r="B125" s="386">
        <v>2.5602</v>
      </c>
      <c r="C125" s="229" t="s">
        <v>258</v>
      </c>
      <c r="D125" s="229" t="s">
        <v>622</v>
      </c>
      <c r="E125" s="229" t="s">
        <v>0</v>
      </c>
      <c r="F125" s="229">
        <v>1023</v>
      </c>
      <c r="G125" s="40">
        <f>F125/311</f>
        <v>3.289389067524116</v>
      </c>
      <c r="H125" s="14">
        <v>1</v>
      </c>
      <c r="I125" s="229">
        <v>0</v>
      </c>
      <c r="J125" s="229">
        <v>0</v>
      </c>
      <c r="K125" s="26">
        <v>0</v>
      </c>
      <c r="L125" s="14">
        <v>0</v>
      </c>
      <c r="M125" s="229">
        <v>0</v>
      </c>
      <c r="N125" s="229">
        <v>0</v>
      </c>
      <c r="O125" s="229">
        <v>0</v>
      </c>
      <c r="P125" s="26">
        <v>0</v>
      </c>
      <c r="Q125" s="14">
        <v>0</v>
      </c>
      <c r="R125" s="229">
        <v>0</v>
      </c>
      <c r="S125" s="229">
        <v>0</v>
      </c>
      <c r="T125" s="229">
        <v>0</v>
      </c>
      <c r="U125" s="229">
        <v>0</v>
      </c>
      <c r="V125" s="229">
        <v>0</v>
      </c>
      <c r="W125" s="229">
        <v>0</v>
      </c>
      <c r="X125" s="229">
        <v>0</v>
      </c>
      <c r="Y125" s="229">
        <v>0</v>
      </c>
      <c r="Z125" s="229">
        <v>0</v>
      </c>
      <c r="AA125" s="229">
        <v>0</v>
      </c>
      <c r="AC125" s="12">
        <v>1</v>
      </c>
      <c r="AD125" s="14">
        <v>1</v>
      </c>
      <c r="AE125" s="14">
        <v>0</v>
      </c>
      <c r="AF125" s="26">
        <v>0</v>
      </c>
      <c r="AG125" s="12"/>
      <c r="AH125" s="14">
        <v>0</v>
      </c>
      <c r="AI125" s="209"/>
      <c r="AJ125" s="3"/>
      <c r="AK125" s="3"/>
      <c r="AL125" s="3"/>
      <c r="AM125" s="3"/>
      <c r="AN125" s="3"/>
      <c r="AO125" s="40"/>
      <c r="AP125" s="209"/>
      <c r="AQ125" s="3"/>
      <c r="AR125" s="40"/>
      <c r="AS125" s="238"/>
    </row>
    <row r="126" spans="1:45" s="229" customFormat="1">
      <c r="A126" s="83" t="s">
        <v>321</v>
      </c>
      <c r="B126" s="386">
        <v>2.5602</v>
      </c>
      <c r="C126" s="229" t="s">
        <v>258</v>
      </c>
      <c r="D126" s="229" t="s">
        <v>622</v>
      </c>
      <c r="E126" s="229" t="s">
        <v>1</v>
      </c>
      <c r="F126" s="229">
        <v>2999</v>
      </c>
      <c r="G126" s="40">
        <f>F126/2158</f>
        <v>1.3897126969416127</v>
      </c>
      <c r="H126" s="14">
        <v>1</v>
      </c>
      <c r="I126" s="229">
        <v>0</v>
      </c>
      <c r="J126" s="229">
        <v>0</v>
      </c>
      <c r="K126" s="26">
        <v>0</v>
      </c>
      <c r="L126" s="14">
        <v>0</v>
      </c>
      <c r="M126" s="229">
        <v>0</v>
      </c>
      <c r="N126" s="229">
        <v>0</v>
      </c>
      <c r="O126" s="229">
        <v>0</v>
      </c>
      <c r="P126" s="26">
        <v>0</v>
      </c>
      <c r="Q126" s="14">
        <v>0</v>
      </c>
      <c r="R126" s="229">
        <v>0</v>
      </c>
      <c r="S126" s="229">
        <v>0</v>
      </c>
      <c r="T126" s="229">
        <v>0</v>
      </c>
      <c r="U126" s="229">
        <v>0</v>
      </c>
      <c r="V126" s="229">
        <v>0</v>
      </c>
      <c r="W126" s="229">
        <v>0</v>
      </c>
      <c r="X126" s="229">
        <v>0</v>
      </c>
      <c r="Y126" s="229">
        <v>0</v>
      </c>
      <c r="Z126" s="229">
        <v>0</v>
      </c>
      <c r="AA126" s="229">
        <v>0</v>
      </c>
      <c r="AC126" s="12">
        <v>1</v>
      </c>
      <c r="AD126" s="14">
        <v>1</v>
      </c>
      <c r="AE126" s="14">
        <v>0</v>
      </c>
      <c r="AF126" s="26">
        <v>0</v>
      </c>
      <c r="AG126" s="12"/>
      <c r="AH126" s="14">
        <v>0</v>
      </c>
      <c r="AI126" s="209"/>
      <c r="AJ126" s="3"/>
      <c r="AK126" s="3"/>
      <c r="AL126" s="3"/>
      <c r="AM126" s="3"/>
      <c r="AN126" s="3"/>
      <c r="AO126" s="40"/>
      <c r="AP126" s="209"/>
      <c r="AQ126" s="3"/>
      <c r="AR126" s="40"/>
      <c r="AS126" s="238"/>
    </row>
    <row r="127" spans="1:45" s="229" customFormat="1">
      <c r="A127" s="83" t="s">
        <v>321</v>
      </c>
      <c r="B127" s="386">
        <v>2.5602</v>
      </c>
      <c r="C127" s="229" t="s">
        <v>258</v>
      </c>
      <c r="D127" s="229" t="s">
        <v>646</v>
      </c>
      <c r="F127" s="229">
        <v>155</v>
      </c>
      <c r="G127" s="40">
        <f>F127/101</f>
        <v>1.5346534653465347</v>
      </c>
      <c r="H127" s="14">
        <v>0</v>
      </c>
      <c r="I127" s="229">
        <v>0</v>
      </c>
      <c r="J127" s="229">
        <v>1</v>
      </c>
      <c r="K127" s="26">
        <v>0</v>
      </c>
      <c r="L127" s="14">
        <v>0</v>
      </c>
      <c r="M127" s="229">
        <v>0</v>
      </c>
      <c r="N127" s="229">
        <v>0</v>
      </c>
      <c r="O127" s="229">
        <v>1</v>
      </c>
      <c r="P127" s="26">
        <v>1</v>
      </c>
      <c r="Q127" s="14">
        <v>5</v>
      </c>
      <c r="R127" s="229">
        <v>0</v>
      </c>
      <c r="S127" s="229">
        <v>0</v>
      </c>
      <c r="T127" s="229">
        <v>0</v>
      </c>
      <c r="U127" s="229">
        <v>0</v>
      </c>
      <c r="V127" s="229">
        <v>0</v>
      </c>
      <c r="W127" s="229">
        <v>18</v>
      </c>
      <c r="X127" s="229">
        <v>0</v>
      </c>
      <c r="Y127" s="229">
        <v>0</v>
      </c>
      <c r="Z127" s="229">
        <v>0</v>
      </c>
      <c r="AA127" s="229">
        <v>70</v>
      </c>
      <c r="AC127" s="12">
        <v>1</v>
      </c>
      <c r="AD127" s="14">
        <v>1</v>
      </c>
      <c r="AE127" s="14">
        <v>0</v>
      </c>
      <c r="AF127" s="26">
        <v>0</v>
      </c>
      <c r="AG127" s="12">
        <v>70</v>
      </c>
      <c r="AH127" s="14">
        <v>0</v>
      </c>
      <c r="AI127" s="209"/>
      <c r="AJ127" s="3"/>
      <c r="AK127" s="3"/>
      <c r="AL127" s="3"/>
      <c r="AM127" s="3"/>
      <c r="AN127" s="3"/>
      <c r="AO127" s="40"/>
      <c r="AP127" s="209"/>
      <c r="AQ127" s="3"/>
      <c r="AR127" s="40"/>
      <c r="AS127" s="238"/>
    </row>
    <row r="128" spans="1:45" s="229" customFormat="1">
      <c r="A128" s="83" t="s">
        <v>321</v>
      </c>
      <c r="B128" s="386">
        <v>2.5602</v>
      </c>
      <c r="C128" s="229" t="s">
        <v>258</v>
      </c>
      <c r="D128" s="229" t="s">
        <v>629</v>
      </c>
      <c r="F128" s="229">
        <v>561</v>
      </c>
      <c r="G128" s="40">
        <f>F128/344</f>
        <v>1.6308139534883721</v>
      </c>
      <c r="H128" s="14">
        <v>0</v>
      </c>
      <c r="I128" s="229">
        <v>0</v>
      </c>
      <c r="J128" s="229">
        <v>1</v>
      </c>
      <c r="K128" s="26">
        <v>0</v>
      </c>
      <c r="L128" s="14">
        <v>0</v>
      </c>
      <c r="M128" s="229">
        <v>0</v>
      </c>
      <c r="N128" s="229">
        <v>0</v>
      </c>
      <c r="O128" s="229">
        <v>1</v>
      </c>
      <c r="P128" s="26">
        <v>1</v>
      </c>
      <c r="Q128" s="14">
        <v>5</v>
      </c>
      <c r="R128" s="229">
        <v>0</v>
      </c>
      <c r="S128" s="229">
        <v>0</v>
      </c>
      <c r="T128" s="229">
        <v>0</v>
      </c>
      <c r="U128" s="229">
        <v>0</v>
      </c>
      <c r="V128" s="229">
        <v>0</v>
      </c>
      <c r="W128" s="229">
        <v>20</v>
      </c>
      <c r="X128" s="229">
        <v>0</v>
      </c>
      <c r="Y128" s="229">
        <v>0</v>
      </c>
      <c r="Z128" s="229">
        <v>0</v>
      </c>
      <c r="AA128" s="229">
        <v>143</v>
      </c>
      <c r="AC128" s="12">
        <v>1</v>
      </c>
      <c r="AD128" s="14">
        <v>1</v>
      </c>
      <c r="AE128" s="14">
        <v>0</v>
      </c>
      <c r="AF128" s="26">
        <v>0</v>
      </c>
      <c r="AG128" s="12">
        <v>103</v>
      </c>
      <c r="AH128" s="14">
        <v>0</v>
      </c>
      <c r="AI128" s="209"/>
      <c r="AJ128" s="3"/>
      <c r="AK128" s="3"/>
      <c r="AL128" s="3"/>
      <c r="AM128" s="3"/>
      <c r="AN128" s="3"/>
      <c r="AO128" s="40"/>
      <c r="AP128" s="209"/>
      <c r="AQ128" s="3"/>
      <c r="AR128" s="40"/>
      <c r="AS128" s="238"/>
    </row>
    <row r="129" spans="1:45" s="229" customFormat="1">
      <c r="A129" s="83" t="s">
        <v>321</v>
      </c>
      <c r="B129" s="386">
        <v>2.5602</v>
      </c>
      <c r="C129" s="229" t="s">
        <v>258</v>
      </c>
      <c r="D129" s="229" t="s">
        <v>634</v>
      </c>
      <c r="F129" s="229">
        <v>809</v>
      </c>
      <c r="G129" s="40">
        <f>F129/321</f>
        <v>2.5202492211838008</v>
      </c>
      <c r="H129" s="14">
        <v>0</v>
      </c>
      <c r="I129" s="229">
        <v>0</v>
      </c>
      <c r="J129" s="229">
        <v>1</v>
      </c>
      <c r="K129" s="26">
        <v>0</v>
      </c>
      <c r="L129" s="14">
        <v>0</v>
      </c>
      <c r="M129" s="229">
        <v>0</v>
      </c>
      <c r="N129" s="229">
        <v>1</v>
      </c>
      <c r="O129" s="229">
        <v>0</v>
      </c>
      <c r="P129" s="26">
        <v>1</v>
      </c>
      <c r="Q129" s="14">
        <v>0</v>
      </c>
      <c r="R129" s="229">
        <v>0</v>
      </c>
      <c r="S129" s="229">
        <v>0</v>
      </c>
      <c r="T129" s="229">
        <v>0</v>
      </c>
      <c r="U129" s="229">
        <v>0</v>
      </c>
      <c r="V129" s="229">
        <v>0</v>
      </c>
      <c r="W129" s="229">
        <v>0</v>
      </c>
      <c r="X129" s="229">
        <v>0</v>
      </c>
      <c r="Y129" s="229">
        <v>0</v>
      </c>
      <c r="Z129" s="229">
        <v>0</v>
      </c>
      <c r="AA129" s="229">
        <v>0</v>
      </c>
      <c r="AC129" s="12">
        <v>1</v>
      </c>
      <c r="AD129" s="14">
        <v>1</v>
      </c>
      <c r="AE129" s="14">
        <v>0</v>
      </c>
      <c r="AF129" s="26">
        <v>0</v>
      </c>
      <c r="AG129" s="12">
        <v>95</v>
      </c>
      <c r="AH129" s="14">
        <v>0</v>
      </c>
      <c r="AI129" s="209"/>
      <c r="AJ129" s="3"/>
      <c r="AK129" s="3"/>
      <c r="AL129" s="3"/>
      <c r="AM129" s="3"/>
      <c r="AN129" s="3"/>
      <c r="AO129" s="40"/>
      <c r="AP129" s="209"/>
      <c r="AQ129" s="3"/>
      <c r="AR129" s="40"/>
      <c r="AS129" s="238"/>
    </row>
    <row r="130" spans="1:45" s="229" customFormat="1">
      <c r="A130" s="83" t="s">
        <v>321</v>
      </c>
      <c r="B130" s="386">
        <v>2.5602</v>
      </c>
      <c r="C130" s="229" t="s">
        <v>258</v>
      </c>
      <c r="D130" s="229" t="s">
        <v>625</v>
      </c>
      <c r="F130" s="229">
        <v>835</v>
      </c>
      <c r="G130" s="40">
        <f>F130/648</f>
        <v>1.2885802469135803</v>
      </c>
      <c r="H130" s="14">
        <v>0</v>
      </c>
      <c r="I130" s="229">
        <v>0</v>
      </c>
      <c r="J130" s="229">
        <v>1</v>
      </c>
      <c r="K130" s="26">
        <v>0</v>
      </c>
      <c r="L130" s="14">
        <v>0</v>
      </c>
      <c r="M130" s="229">
        <v>0</v>
      </c>
      <c r="N130" s="229">
        <v>0</v>
      </c>
      <c r="O130" s="229">
        <v>0</v>
      </c>
      <c r="P130" s="26">
        <v>0</v>
      </c>
      <c r="Q130" s="14">
        <v>0</v>
      </c>
      <c r="R130" s="229">
        <v>0</v>
      </c>
      <c r="S130" s="229">
        <v>0</v>
      </c>
      <c r="T130" s="229">
        <v>0</v>
      </c>
      <c r="U130" s="229">
        <v>0</v>
      </c>
      <c r="V130" s="229">
        <v>0</v>
      </c>
      <c r="W130" s="229">
        <v>0</v>
      </c>
      <c r="X130" s="229">
        <v>0</v>
      </c>
      <c r="Y130" s="229">
        <v>0</v>
      </c>
      <c r="Z130" s="229">
        <v>0</v>
      </c>
      <c r="AA130" s="229">
        <v>0</v>
      </c>
      <c r="AC130" s="12">
        <v>1</v>
      </c>
      <c r="AD130" s="14">
        <v>1</v>
      </c>
      <c r="AE130" s="14">
        <v>0</v>
      </c>
      <c r="AF130" s="26">
        <v>0</v>
      </c>
      <c r="AG130" s="12">
        <v>164</v>
      </c>
      <c r="AH130" s="14">
        <v>0</v>
      </c>
      <c r="AI130" s="209"/>
      <c r="AJ130" s="3"/>
      <c r="AK130" s="3"/>
      <c r="AL130" s="3"/>
      <c r="AM130" s="3"/>
      <c r="AN130" s="3"/>
      <c r="AO130" s="40"/>
      <c r="AP130" s="209"/>
      <c r="AQ130" s="3"/>
      <c r="AR130" s="40"/>
      <c r="AS130" s="238"/>
    </row>
    <row r="131" spans="1:45" s="229" customFormat="1">
      <c r="A131" s="83" t="s">
        <v>321</v>
      </c>
      <c r="B131" s="386">
        <v>2.5602</v>
      </c>
      <c r="C131" s="229" t="s">
        <v>258</v>
      </c>
      <c r="D131" s="229" t="s">
        <v>630</v>
      </c>
      <c r="F131" s="229">
        <v>411</v>
      </c>
      <c r="G131" s="40">
        <f>F131/257</f>
        <v>1.5992217898832686</v>
      </c>
      <c r="H131" s="14">
        <v>0</v>
      </c>
      <c r="I131" s="229">
        <v>0</v>
      </c>
      <c r="J131" s="229">
        <v>1</v>
      </c>
      <c r="K131" s="26">
        <v>0</v>
      </c>
      <c r="L131" s="14">
        <v>0</v>
      </c>
      <c r="M131" s="229">
        <v>0</v>
      </c>
      <c r="N131" s="229">
        <v>1</v>
      </c>
      <c r="O131" s="229">
        <v>0</v>
      </c>
      <c r="P131" s="26">
        <v>1</v>
      </c>
      <c r="Q131" s="14">
        <v>20</v>
      </c>
      <c r="R131" s="229">
        <v>0</v>
      </c>
      <c r="S131" s="229">
        <v>0</v>
      </c>
      <c r="T131" s="229">
        <v>0</v>
      </c>
      <c r="U131" s="229">
        <v>0</v>
      </c>
      <c r="V131" s="229">
        <v>11</v>
      </c>
      <c r="W131" s="229">
        <v>23</v>
      </c>
      <c r="X131" s="229">
        <v>0</v>
      </c>
      <c r="Y131" s="229">
        <v>0</v>
      </c>
      <c r="Z131" s="229">
        <v>102</v>
      </c>
      <c r="AA131" s="229">
        <v>190</v>
      </c>
      <c r="AC131" s="12">
        <v>1</v>
      </c>
      <c r="AD131" s="14">
        <v>1</v>
      </c>
      <c r="AE131" s="14">
        <v>0</v>
      </c>
      <c r="AF131" s="26">
        <v>0</v>
      </c>
      <c r="AG131" s="12">
        <v>87</v>
      </c>
      <c r="AH131" s="14">
        <v>0</v>
      </c>
      <c r="AI131" s="209"/>
      <c r="AJ131" s="3"/>
      <c r="AK131" s="3"/>
      <c r="AL131" s="3"/>
      <c r="AM131" s="3"/>
      <c r="AN131" s="3"/>
      <c r="AO131" s="40"/>
      <c r="AP131" s="209"/>
      <c r="AQ131" s="3"/>
      <c r="AR131" s="40"/>
      <c r="AS131" s="238"/>
    </row>
    <row r="132" spans="1:45" s="229" customFormat="1">
      <c r="A132" s="83" t="s">
        <v>321</v>
      </c>
      <c r="B132" s="386">
        <v>2.5602</v>
      </c>
      <c r="C132" s="229" t="s">
        <v>258</v>
      </c>
      <c r="D132" s="229" t="s">
        <v>637</v>
      </c>
      <c r="F132" s="229">
        <v>375</v>
      </c>
      <c r="G132" s="40">
        <f>F132/146</f>
        <v>2.5684931506849313</v>
      </c>
      <c r="H132" s="14">
        <v>0</v>
      </c>
      <c r="I132" s="229">
        <v>0</v>
      </c>
      <c r="J132" s="229">
        <v>1</v>
      </c>
      <c r="K132" s="26">
        <v>0</v>
      </c>
      <c r="L132" s="14">
        <v>0</v>
      </c>
      <c r="M132" s="229">
        <v>0</v>
      </c>
      <c r="N132" s="229">
        <v>0</v>
      </c>
      <c r="O132" s="229">
        <v>0</v>
      </c>
      <c r="P132" s="26">
        <v>0</v>
      </c>
      <c r="Q132" s="14">
        <v>0</v>
      </c>
      <c r="R132" s="229">
        <v>0</v>
      </c>
      <c r="S132" s="229">
        <v>0</v>
      </c>
      <c r="T132" s="229">
        <v>0</v>
      </c>
      <c r="U132" s="229">
        <v>0</v>
      </c>
      <c r="V132" s="229">
        <v>0</v>
      </c>
      <c r="W132" s="229">
        <v>0</v>
      </c>
      <c r="X132" s="229">
        <v>0</v>
      </c>
      <c r="Y132" s="229">
        <v>0</v>
      </c>
      <c r="Z132" s="229">
        <v>0</v>
      </c>
      <c r="AA132" s="229">
        <v>0</v>
      </c>
      <c r="AC132" s="12">
        <v>1</v>
      </c>
      <c r="AD132" s="14">
        <v>1</v>
      </c>
      <c r="AE132" s="14">
        <v>0</v>
      </c>
      <c r="AF132" s="26">
        <v>0</v>
      </c>
      <c r="AG132" s="12">
        <v>94</v>
      </c>
      <c r="AH132" s="14">
        <v>0</v>
      </c>
      <c r="AI132" s="209"/>
      <c r="AJ132" s="3"/>
      <c r="AK132" s="3"/>
      <c r="AL132" s="3"/>
      <c r="AM132" s="3"/>
      <c r="AN132" s="3"/>
      <c r="AO132" s="40"/>
      <c r="AP132" s="209"/>
      <c r="AQ132" s="3"/>
      <c r="AR132" s="40"/>
      <c r="AS132" s="238"/>
    </row>
    <row r="133" spans="1:45" s="229" customFormat="1">
      <c r="A133" s="83" t="s">
        <v>321</v>
      </c>
      <c r="B133" s="386">
        <v>2.5602</v>
      </c>
      <c r="C133" s="229" t="s">
        <v>258</v>
      </c>
      <c r="D133" s="229" t="s">
        <v>637</v>
      </c>
      <c r="F133" s="229">
        <v>328</v>
      </c>
      <c r="G133" s="40">
        <f>F133/106</f>
        <v>3.0943396226415096</v>
      </c>
      <c r="H133" s="14">
        <v>0</v>
      </c>
      <c r="I133" s="229">
        <v>0</v>
      </c>
      <c r="J133" s="229">
        <v>1</v>
      </c>
      <c r="K133" s="26">
        <v>0</v>
      </c>
      <c r="L133" s="14">
        <v>0</v>
      </c>
      <c r="M133" s="229">
        <v>0</v>
      </c>
      <c r="N133" s="229">
        <v>1</v>
      </c>
      <c r="O133" s="229">
        <v>0</v>
      </c>
      <c r="P133" s="26">
        <v>1</v>
      </c>
      <c r="Q133" s="14">
        <v>0</v>
      </c>
      <c r="R133" s="229">
        <v>0</v>
      </c>
      <c r="S133" s="229">
        <v>0</v>
      </c>
      <c r="T133" s="229">
        <v>0</v>
      </c>
      <c r="U133" s="229">
        <v>0</v>
      </c>
      <c r="V133" s="229">
        <v>0</v>
      </c>
      <c r="W133" s="229">
        <v>0</v>
      </c>
      <c r="X133" s="229">
        <v>0</v>
      </c>
      <c r="Y133" s="229">
        <v>0</v>
      </c>
      <c r="Z133" s="229">
        <v>0</v>
      </c>
      <c r="AA133" s="229">
        <v>0</v>
      </c>
      <c r="AC133" s="12">
        <v>1</v>
      </c>
      <c r="AD133" s="14">
        <v>1</v>
      </c>
      <c r="AE133" s="14">
        <v>0</v>
      </c>
      <c r="AF133" s="26">
        <v>0</v>
      </c>
      <c r="AG133" s="12">
        <v>94</v>
      </c>
      <c r="AH133" s="14">
        <v>0</v>
      </c>
      <c r="AI133" s="209"/>
      <c r="AJ133" s="3"/>
      <c r="AK133" s="3"/>
      <c r="AL133" s="3"/>
      <c r="AM133" s="3"/>
      <c r="AN133" s="3"/>
      <c r="AO133" s="40"/>
      <c r="AP133" s="209"/>
      <c r="AQ133" s="3"/>
      <c r="AR133" s="40"/>
      <c r="AS133" s="238"/>
    </row>
    <row r="134" spans="1:45" s="229" customFormat="1">
      <c r="A134" s="83" t="s">
        <v>321</v>
      </c>
      <c r="B134" s="386">
        <v>2.5602</v>
      </c>
      <c r="C134" s="229" t="s">
        <v>258</v>
      </c>
      <c r="D134" s="229" t="s">
        <v>638</v>
      </c>
      <c r="E134" s="229" t="s">
        <v>0</v>
      </c>
      <c r="F134" s="229">
        <v>361</v>
      </c>
      <c r="G134" s="40">
        <f>F134/277</f>
        <v>1.3032490974729243</v>
      </c>
      <c r="H134" s="14">
        <v>0</v>
      </c>
      <c r="I134" s="229">
        <v>0</v>
      </c>
      <c r="J134" s="229">
        <v>1</v>
      </c>
      <c r="K134" s="26">
        <v>0</v>
      </c>
      <c r="L134" s="14">
        <v>0</v>
      </c>
      <c r="M134" s="229">
        <v>0</v>
      </c>
      <c r="N134" s="229">
        <v>1</v>
      </c>
      <c r="O134" s="229">
        <v>0</v>
      </c>
      <c r="P134" s="26">
        <v>1</v>
      </c>
      <c r="Q134" s="14">
        <v>10</v>
      </c>
      <c r="R134" s="229">
        <v>0</v>
      </c>
      <c r="S134" s="229">
        <v>0</v>
      </c>
      <c r="T134" s="229">
        <v>0</v>
      </c>
      <c r="U134" s="229">
        <v>0</v>
      </c>
      <c r="V134" s="229">
        <v>51</v>
      </c>
      <c r="W134" s="229">
        <v>231</v>
      </c>
      <c r="X134" s="229">
        <v>0</v>
      </c>
      <c r="Y134" s="229">
        <v>0</v>
      </c>
      <c r="Z134" s="229">
        <v>0</v>
      </c>
      <c r="AA134" s="229">
        <v>0</v>
      </c>
      <c r="AC134" s="12">
        <v>1</v>
      </c>
      <c r="AD134" s="14">
        <v>1</v>
      </c>
      <c r="AE134" s="14">
        <v>0</v>
      </c>
      <c r="AF134" s="26">
        <v>0</v>
      </c>
      <c r="AG134" s="12">
        <v>72</v>
      </c>
      <c r="AH134" s="14">
        <v>0</v>
      </c>
      <c r="AI134" s="209"/>
      <c r="AJ134" s="3"/>
      <c r="AK134" s="3"/>
      <c r="AL134" s="3"/>
      <c r="AM134" s="3"/>
      <c r="AN134" s="3"/>
      <c r="AO134" s="40"/>
      <c r="AP134" s="209"/>
      <c r="AQ134" s="3"/>
      <c r="AR134" s="40"/>
      <c r="AS134" s="238"/>
    </row>
    <row r="135" spans="1:45" s="229" customFormat="1">
      <c r="A135" s="83" t="s">
        <v>321</v>
      </c>
      <c r="B135" s="386">
        <v>2.5602</v>
      </c>
      <c r="C135" s="229" t="s">
        <v>258</v>
      </c>
      <c r="D135" s="229" t="s">
        <v>638</v>
      </c>
      <c r="E135" s="229" t="s">
        <v>1</v>
      </c>
      <c r="F135" s="229">
        <v>424</v>
      </c>
      <c r="G135" s="40">
        <f>F135/424</f>
        <v>1</v>
      </c>
      <c r="H135" s="14">
        <v>0</v>
      </c>
      <c r="I135" s="229">
        <v>0</v>
      </c>
      <c r="J135" s="229">
        <v>1</v>
      </c>
      <c r="K135" s="26">
        <v>0</v>
      </c>
      <c r="L135" s="14">
        <v>0</v>
      </c>
      <c r="M135" s="229">
        <v>0</v>
      </c>
      <c r="N135" s="229">
        <v>1</v>
      </c>
      <c r="O135" s="229">
        <v>0</v>
      </c>
      <c r="P135" s="26">
        <v>1</v>
      </c>
      <c r="Q135" s="14">
        <v>5</v>
      </c>
      <c r="R135" s="229">
        <v>0</v>
      </c>
      <c r="S135" s="229">
        <v>0</v>
      </c>
      <c r="T135" s="229">
        <v>0</v>
      </c>
      <c r="U135" s="229">
        <v>0</v>
      </c>
      <c r="V135" s="229">
        <v>36</v>
      </c>
      <c r="W135" s="229">
        <v>61</v>
      </c>
      <c r="X135" s="229">
        <v>0</v>
      </c>
      <c r="Y135" s="229">
        <v>0</v>
      </c>
      <c r="Z135" s="229">
        <v>0</v>
      </c>
      <c r="AA135" s="229">
        <v>0</v>
      </c>
      <c r="AC135" s="12">
        <v>1</v>
      </c>
      <c r="AD135" s="14">
        <v>1</v>
      </c>
      <c r="AE135" s="14">
        <v>0</v>
      </c>
      <c r="AF135" s="26">
        <v>0</v>
      </c>
      <c r="AG135" s="12">
        <v>72</v>
      </c>
      <c r="AH135" s="14">
        <v>0</v>
      </c>
      <c r="AI135" s="209"/>
      <c r="AJ135" s="3"/>
      <c r="AK135" s="3"/>
      <c r="AL135" s="3"/>
      <c r="AM135" s="3"/>
      <c r="AN135" s="3"/>
      <c r="AO135" s="40"/>
      <c r="AP135" s="209"/>
      <c r="AQ135" s="3"/>
      <c r="AR135" s="40"/>
      <c r="AS135" s="238"/>
    </row>
    <row r="136" spans="1:45" s="229" customFormat="1">
      <c r="A136" s="83" t="s">
        <v>321</v>
      </c>
      <c r="B136" s="386">
        <v>2.5602</v>
      </c>
      <c r="C136" s="229" t="s">
        <v>258</v>
      </c>
      <c r="D136" s="229" t="s">
        <v>639</v>
      </c>
      <c r="F136" s="229">
        <v>829</v>
      </c>
      <c r="G136" s="40">
        <f>F136/838</f>
        <v>0.98926014319809075</v>
      </c>
      <c r="H136" s="14">
        <v>0</v>
      </c>
      <c r="I136" s="229">
        <v>0</v>
      </c>
      <c r="J136" s="229">
        <v>1</v>
      </c>
      <c r="K136" s="26">
        <v>0</v>
      </c>
      <c r="L136" s="14">
        <v>0</v>
      </c>
      <c r="M136" s="229">
        <v>0</v>
      </c>
      <c r="N136" s="229">
        <v>1</v>
      </c>
      <c r="O136" s="229">
        <v>0</v>
      </c>
      <c r="P136" s="26">
        <v>1</v>
      </c>
      <c r="Q136" s="14"/>
      <c r="R136" s="229">
        <v>0</v>
      </c>
      <c r="S136" s="229">
        <v>0</v>
      </c>
      <c r="T136" s="229">
        <v>0</v>
      </c>
      <c r="U136" s="229">
        <v>0</v>
      </c>
      <c r="V136" s="229">
        <v>21</v>
      </c>
      <c r="W136" s="229">
        <v>123</v>
      </c>
      <c r="X136" s="229">
        <v>0</v>
      </c>
      <c r="Y136" s="229">
        <v>0</v>
      </c>
      <c r="Z136" s="229">
        <v>142</v>
      </c>
      <c r="AA136" s="229">
        <v>347</v>
      </c>
      <c r="AC136" s="12">
        <v>2</v>
      </c>
      <c r="AD136" s="14">
        <v>3</v>
      </c>
      <c r="AE136" s="14">
        <v>445</v>
      </c>
      <c r="AF136" s="26">
        <v>808</v>
      </c>
      <c r="AG136" s="12">
        <v>126</v>
      </c>
      <c r="AH136" s="14">
        <v>0</v>
      </c>
      <c r="AI136" s="209">
        <v>88</v>
      </c>
      <c r="AJ136" s="3"/>
      <c r="AK136" s="3"/>
      <c r="AL136" s="3"/>
      <c r="AM136" s="3"/>
      <c r="AN136" s="3"/>
      <c r="AO136" s="40"/>
      <c r="AP136" s="209">
        <v>85.8</v>
      </c>
      <c r="AQ136" s="3"/>
      <c r="AR136" s="40"/>
      <c r="AS136" s="238"/>
    </row>
    <row r="137" spans="1:45" s="229" customFormat="1">
      <c r="A137" s="83" t="s">
        <v>321</v>
      </c>
      <c r="B137" s="386">
        <v>2.5602</v>
      </c>
      <c r="C137" s="229" t="s">
        <v>258</v>
      </c>
      <c r="D137" s="229" t="s">
        <v>640</v>
      </c>
      <c r="F137" s="229">
        <v>552</v>
      </c>
      <c r="G137" s="40">
        <f>F137/312</f>
        <v>1.7692307692307692</v>
      </c>
      <c r="H137" s="14">
        <v>1</v>
      </c>
      <c r="I137" s="229">
        <v>0</v>
      </c>
      <c r="J137" s="229">
        <v>0</v>
      </c>
      <c r="K137" s="26">
        <v>0</v>
      </c>
      <c r="L137" s="14">
        <v>0</v>
      </c>
      <c r="M137" s="229">
        <v>0</v>
      </c>
      <c r="N137" s="229">
        <v>1</v>
      </c>
      <c r="O137" s="229">
        <v>0</v>
      </c>
      <c r="P137" s="26">
        <v>1</v>
      </c>
      <c r="Q137" s="14">
        <v>0</v>
      </c>
      <c r="R137" s="229">
        <v>0</v>
      </c>
      <c r="S137" s="229">
        <v>0</v>
      </c>
      <c r="T137" s="229">
        <v>0</v>
      </c>
      <c r="U137" s="229">
        <v>0</v>
      </c>
      <c r="V137" s="229">
        <v>0</v>
      </c>
      <c r="W137" s="229">
        <v>0</v>
      </c>
      <c r="X137" s="229">
        <v>0</v>
      </c>
      <c r="Y137" s="229">
        <v>0</v>
      </c>
      <c r="Z137" s="229">
        <v>0</v>
      </c>
      <c r="AA137" s="229">
        <v>0</v>
      </c>
      <c r="AC137" s="12">
        <v>1</v>
      </c>
      <c r="AD137" s="14">
        <v>1</v>
      </c>
      <c r="AE137" s="14">
        <v>0</v>
      </c>
      <c r="AF137" s="26">
        <v>0</v>
      </c>
      <c r="AG137" s="12">
        <v>67</v>
      </c>
      <c r="AH137" s="14">
        <v>0</v>
      </c>
      <c r="AI137" s="209">
        <v>85.1</v>
      </c>
      <c r="AJ137" s="3"/>
      <c r="AK137" s="3"/>
      <c r="AL137" s="3"/>
      <c r="AM137" s="3"/>
      <c r="AN137" s="3"/>
      <c r="AO137" s="40"/>
      <c r="AP137" s="209">
        <v>85.2</v>
      </c>
      <c r="AQ137" s="3">
        <v>85</v>
      </c>
      <c r="AR137" s="40"/>
      <c r="AS137" s="238"/>
    </row>
    <row r="138" spans="1:45" s="229" customFormat="1">
      <c r="A138" s="83" t="s">
        <v>321</v>
      </c>
      <c r="B138" s="386">
        <v>2.5602</v>
      </c>
      <c r="C138" s="229" t="s">
        <v>258</v>
      </c>
      <c r="D138" s="229" t="s">
        <v>641</v>
      </c>
      <c r="F138" s="229">
        <v>547</v>
      </c>
      <c r="G138" s="40">
        <f>F138/381</f>
        <v>1.4356955380577427</v>
      </c>
      <c r="H138" s="14">
        <v>0</v>
      </c>
      <c r="I138" s="229">
        <v>0</v>
      </c>
      <c r="J138" s="229">
        <v>1</v>
      </c>
      <c r="K138" s="26">
        <v>0</v>
      </c>
      <c r="L138" s="14">
        <v>0</v>
      </c>
      <c r="M138" s="229">
        <v>0</v>
      </c>
      <c r="N138" s="229">
        <v>0</v>
      </c>
      <c r="O138" s="229">
        <v>0</v>
      </c>
      <c r="P138" s="26">
        <v>0</v>
      </c>
      <c r="Q138" s="14">
        <v>10</v>
      </c>
      <c r="R138" s="229">
        <v>0</v>
      </c>
      <c r="S138" s="229">
        <v>0</v>
      </c>
      <c r="T138" s="229">
        <v>0</v>
      </c>
      <c r="U138" s="229">
        <v>0</v>
      </c>
      <c r="V138" s="229">
        <v>134</v>
      </c>
      <c r="W138" s="229">
        <v>196</v>
      </c>
      <c r="X138" s="229">
        <v>0</v>
      </c>
      <c r="Y138" s="229">
        <v>0</v>
      </c>
      <c r="Z138" s="229">
        <v>0</v>
      </c>
      <c r="AA138" s="229">
        <v>0</v>
      </c>
      <c r="AC138" s="12">
        <v>1</v>
      </c>
      <c r="AD138" s="14">
        <v>1</v>
      </c>
      <c r="AE138" s="14">
        <v>0</v>
      </c>
      <c r="AF138" s="26">
        <v>0</v>
      </c>
      <c r="AG138" s="12">
        <v>71</v>
      </c>
      <c r="AH138" s="14">
        <v>0</v>
      </c>
      <c r="AI138" s="209">
        <v>85</v>
      </c>
      <c r="AJ138" s="3"/>
      <c r="AK138" s="3"/>
      <c r="AL138" s="3"/>
      <c r="AM138" s="3"/>
      <c r="AN138" s="3"/>
      <c r="AO138" s="40"/>
      <c r="AP138" s="209">
        <v>85.1</v>
      </c>
      <c r="AQ138" s="3"/>
      <c r="AR138" s="40"/>
      <c r="AS138" s="238"/>
    </row>
    <row r="139" spans="1:45" s="229" customFormat="1">
      <c r="A139" s="83" t="s">
        <v>321</v>
      </c>
      <c r="B139" s="386">
        <v>2.5602</v>
      </c>
      <c r="C139" s="229" t="s">
        <v>258</v>
      </c>
      <c r="D139" s="229" t="s">
        <v>647</v>
      </c>
      <c r="F139" s="229">
        <v>325</v>
      </c>
      <c r="G139" s="40">
        <f>F139/233</f>
        <v>1.3948497854077253</v>
      </c>
      <c r="H139" s="14">
        <v>0</v>
      </c>
      <c r="I139" s="229">
        <v>0</v>
      </c>
      <c r="J139" s="229">
        <v>1</v>
      </c>
      <c r="K139" s="26">
        <v>0</v>
      </c>
      <c r="L139" s="14">
        <v>0</v>
      </c>
      <c r="M139" s="229">
        <v>0</v>
      </c>
      <c r="N139" s="229">
        <v>0</v>
      </c>
      <c r="O139" s="229">
        <v>1</v>
      </c>
      <c r="P139" s="26">
        <v>1</v>
      </c>
      <c r="Q139" s="14">
        <v>0</v>
      </c>
      <c r="R139" s="229">
        <v>0</v>
      </c>
      <c r="S139" s="229">
        <v>0</v>
      </c>
      <c r="T139" s="229">
        <v>0</v>
      </c>
      <c r="U139" s="229">
        <v>0</v>
      </c>
      <c r="V139" s="229">
        <v>0</v>
      </c>
      <c r="W139" s="229">
        <v>0</v>
      </c>
      <c r="X139" s="229">
        <v>0</v>
      </c>
      <c r="Y139" s="229">
        <v>0</v>
      </c>
      <c r="Z139" s="229">
        <v>0</v>
      </c>
      <c r="AA139" s="229">
        <v>0</v>
      </c>
      <c r="AC139" s="12">
        <v>2</v>
      </c>
      <c r="AD139" s="14">
        <v>2</v>
      </c>
      <c r="AE139" s="14">
        <v>120</v>
      </c>
      <c r="AF139" s="26">
        <v>325</v>
      </c>
      <c r="AG139" s="12">
        <v>53</v>
      </c>
      <c r="AH139" s="14">
        <v>0</v>
      </c>
      <c r="AI139" s="209"/>
      <c r="AJ139" s="3"/>
      <c r="AK139" s="3"/>
      <c r="AL139" s="3"/>
      <c r="AM139" s="3"/>
      <c r="AN139" s="3"/>
      <c r="AO139" s="40"/>
      <c r="AP139" s="209"/>
      <c r="AQ139" s="3"/>
      <c r="AR139" s="40"/>
      <c r="AS139" s="238"/>
    </row>
    <row r="140" spans="1:45" s="229" customFormat="1">
      <c r="A140" s="83" t="s">
        <v>321</v>
      </c>
      <c r="B140" s="386">
        <v>2.5602</v>
      </c>
      <c r="C140" s="229" t="s">
        <v>258</v>
      </c>
      <c r="D140" s="229" t="s">
        <v>648</v>
      </c>
      <c r="F140" s="229">
        <v>772</v>
      </c>
      <c r="G140" s="40">
        <f>F140/398</f>
        <v>1.9396984924623115</v>
      </c>
      <c r="H140" s="14">
        <v>0</v>
      </c>
      <c r="I140" s="229">
        <v>0</v>
      </c>
      <c r="J140" s="229">
        <v>1</v>
      </c>
      <c r="K140" s="26">
        <v>0</v>
      </c>
      <c r="L140" s="14">
        <v>0</v>
      </c>
      <c r="M140" s="229">
        <v>0</v>
      </c>
      <c r="N140" s="229">
        <v>0</v>
      </c>
      <c r="O140" s="229">
        <v>0</v>
      </c>
      <c r="P140" s="26">
        <v>0</v>
      </c>
      <c r="Q140" s="14">
        <v>0</v>
      </c>
      <c r="R140" s="229">
        <v>0</v>
      </c>
      <c r="S140" s="229">
        <v>0</v>
      </c>
      <c r="T140" s="229">
        <v>0</v>
      </c>
      <c r="U140" s="229">
        <v>0</v>
      </c>
      <c r="V140" s="229">
        <v>0</v>
      </c>
      <c r="W140" s="229">
        <v>0</v>
      </c>
      <c r="X140" s="229">
        <v>0</v>
      </c>
      <c r="Y140" s="229">
        <v>0</v>
      </c>
      <c r="Z140" s="229">
        <v>0</v>
      </c>
      <c r="AA140" s="229">
        <v>0</v>
      </c>
      <c r="AC140" s="12">
        <v>2</v>
      </c>
      <c r="AD140" s="14">
        <v>3</v>
      </c>
      <c r="AE140" s="14">
        <v>227</v>
      </c>
      <c r="AF140" s="26">
        <v>383</v>
      </c>
      <c r="AG140" s="12">
        <v>87</v>
      </c>
      <c r="AH140" s="14">
        <v>0</v>
      </c>
      <c r="AI140" s="209"/>
      <c r="AJ140" s="3"/>
      <c r="AK140" s="3"/>
      <c r="AL140" s="3"/>
      <c r="AM140" s="3"/>
      <c r="AN140" s="3"/>
      <c r="AO140" s="40"/>
      <c r="AP140" s="209"/>
      <c r="AQ140" s="3"/>
      <c r="AR140" s="40"/>
      <c r="AS140" s="238"/>
    </row>
    <row r="141" spans="1:45" s="229" customFormat="1">
      <c r="A141" s="83" t="s">
        <v>321</v>
      </c>
      <c r="B141" s="386">
        <v>2.5602</v>
      </c>
      <c r="C141" s="229" t="s">
        <v>258</v>
      </c>
      <c r="D141" s="229" t="s">
        <v>649</v>
      </c>
      <c r="F141" s="229">
        <v>633</v>
      </c>
      <c r="G141" s="40">
        <f>F141/538</f>
        <v>1.1765799256505576</v>
      </c>
      <c r="H141" s="14">
        <v>1</v>
      </c>
      <c r="I141" s="229">
        <v>0</v>
      </c>
      <c r="J141" s="229">
        <v>0</v>
      </c>
      <c r="K141" s="26">
        <v>1</v>
      </c>
      <c r="L141" s="14">
        <v>0</v>
      </c>
      <c r="M141" s="229">
        <v>0</v>
      </c>
      <c r="N141" s="229">
        <v>1</v>
      </c>
      <c r="O141" s="229">
        <v>0</v>
      </c>
      <c r="P141" s="26">
        <v>1</v>
      </c>
      <c r="Q141" s="14">
        <v>2</v>
      </c>
      <c r="R141" s="229">
        <v>0</v>
      </c>
      <c r="S141" s="229">
        <v>0</v>
      </c>
      <c r="T141" s="229">
        <v>0</v>
      </c>
      <c r="U141" s="229">
        <v>0</v>
      </c>
      <c r="V141" s="229">
        <v>15</v>
      </c>
      <c r="W141" s="229">
        <v>27</v>
      </c>
      <c r="X141" s="229">
        <v>0</v>
      </c>
      <c r="Y141" s="229">
        <v>0</v>
      </c>
      <c r="Z141" s="229">
        <v>0</v>
      </c>
      <c r="AA141" s="229">
        <v>0</v>
      </c>
      <c r="AC141" s="12">
        <v>2</v>
      </c>
      <c r="AD141" s="14">
        <v>5</v>
      </c>
      <c r="AE141" s="14">
        <v>91</v>
      </c>
      <c r="AF141" s="26">
        <v>466</v>
      </c>
      <c r="AG141" s="12">
        <v>190</v>
      </c>
      <c r="AH141" s="14">
        <v>0</v>
      </c>
      <c r="AI141" s="209"/>
      <c r="AJ141" s="3"/>
      <c r="AK141" s="3"/>
      <c r="AL141" s="3"/>
      <c r="AM141" s="3"/>
      <c r="AN141" s="3"/>
      <c r="AO141" s="40"/>
      <c r="AP141" s="209"/>
      <c r="AQ141" s="3"/>
      <c r="AR141" s="40"/>
      <c r="AS141" s="238"/>
    </row>
    <row r="142" spans="1:45" s="229" customFormat="1">
      <c r="A142" s="83" t="s">
        <v>321</v>
      </c>
      <c r="B142" s="386">
        <v>2.5602</v>
      </c>
      <c r="C142" s="229" t="s">
        <v>258</v>
      </c>
      <c r="D142" s="229" t="s">
        <v>59</v>
      </c>
      <c r="E142" s="229" t="s">
        <v>423</v>
      </c>
      <c r="F142" s="229">
        <v>639</v>
      </c>
      <c r="G142" s="40">
        <f>F142/277</f>
        <v>2.3068592057761732</v>
      </c>
      <c r="H142" s="14">
        <v>0</v>
      </c>
      <c r="I142" s="229">
        <v>0</v>
      </c>
      <c r="J142" s="229">
        <v>0</v>
      </c>
      <c r="K142" s="26">
        <v>1</v>
      </c>
      <c r="L142" s="14">
        <v>0</v>
      </c>
      <c r="M142" s="229">
        <v>0</v>
      </c>
      <c r="N142" s="229">
        <v>1</v>
      </c>
      <c r="O142" s="229">
        <v>0</v>
      </c>
      <c r="P142" s="26">
        <v>1</v>
      </c>
      <c r="Q142" s="14">
        <v>5</v>
      </c>
      <c r="R142" s="229">
        <v>0</v>
      </c>
      <c r="S142" s="229">
        <v>0</v>
      </c>
      <c r="T142" s="229">
        <v>0</v>
      </c>
      <c r="U142" s="229">
        <v>0</v>
      </c>
      <c r="V142" s="229">
        <v>0</v>
      </c>
      <c r="W142" s="229">
        <v>81</v>
      </c>
      <c r="X142" s="229">
        <v>0</v>
      </c>
      <c r="Y142" s="229">
        <v>0</v>
      </c>
      <c r="Z142" s="229">
        <v>0</v>
      </c>
      <c r="AA142" s="229">
        <v>0</v>
      </c>
      <c r="AB142" s="229">
        <v>0</v>
      </c>
      <c r="AC142" s="12">
        <v>3</v>
      </c>
      <c r="AD142" s="14">
        <v>1</v>
      </c>
      <c r="AE142" s="14">
        <v>0</v>
      </c>
      <c r="AF142" s="26">
        <v>0</v>
      </c>
      <c r="AG142" s="12">
        <v>104</v>
      </c>
      <c r="AH142" s="14">
        <v>0</v>
      </c>
      <c r="AI142" s="209">
        <v>88.1</v>
      </c>
      <c r="AJ142" s="3"/>
      <c r="AK142" s="3"/>
      <c r="AL142" s="3"/>
      <c r="AM142" s="3"/>
      <c r="AN142" s="3"/>
      <c r="AO142" s="40"/>
      <c r="AP142" s="209">
        <v>85.7</v>
      </c>
      <c r="AQ142" s="3"/>
      <c r="AR142" s="40"/>
      <c r="AS142" s="238"/>
    </row>
    <row r="143" spans="1:45" s="229" customFormat="1" ht="17" thickBot="1">
      <c r="A143" s="83" t="s">
        <v>321</v>
      </c>
      <c r="B143" s="385">
        <v>2.5602</v>
      </c>
      <c r="C143" s="229" t="s">
        <v>258</v>
      </c>
      <c r="D143" s="229" t="s">
        <v>59</v>
      </c>
      <c r="E143" s="229" t="s">
        <v>622</v>
      </c>
      <c r="F143" s="229">
        <v>585</v>
      </c>
      <c r="G143" s="40">
        <f>F143/506</f>
        <v>1.1561264822134387</v>
      </c>
      <c r="H143" s="34">
        <v>0</v>
      </c>
      <c r="I143" s="36">
        <v>0</v>
      </c>
      <c r="J143" s="36">
        <v>1</v>
      </c>
      <c r="K143" s="35">
        <v>0</v>
      </c>
      <c r="L143" s="34">
        <v>0</v>
      </c>
      <c r="M143" s="36">
        <v>0</v>
      </c>
      <c r="N143" s="36">
        <v>1</v>
      </c>
      <c r="O143" s="36">
        <v>0</v>
      </c>
      <c r="P143" s="35">
        <v>1</v>
      </c>
      <c r="Q143" s="34">
        <v>5</v>
      </c>
      <c r="R143" s="36">
        <v>0</v>
      </c>
      <c r="S143" s="36">
        <v>0</v>
      </c>
      <c r="T143" s="36">
        <v>0</v>
      </c>
      <c r="U143" s="36">
        <v>0</v>
      </c>
      <c r="V143" s="36">
        <v>0</v>
      </c>
      <c r="W143" s="36">
        <v>0</v>
      </c>
      <c r="X143" s="36">
        <v>0</v>
      </c>
      <c r="Y143" s="36">
        <v>0</v>
      </c>
      <c r="Z143" s="36">
        <v>0</v>
      </c>
      <c r="AA143" s="36">
        <v>138</v>
      </c>
      <c r="AB143" s="36">
        <v>0</v>
      </c>
      <c r="AC143" s="33">
        <v>3</v>
      </c>
      <c r="AD143" s="34">
        <v>0</v>
      </c>
      <c r="AE143" s="34">
        <v>0</v>
      </c>
      <c r="AF143" s="35">
        <v>0</v>
      </c>
      <c r="AG143" s="33">
        <v>104</v>
      </c>
      <c r="AH143" s="34">
        <v>1</v>
      </c>
      <c r="AI143" s="210">
        <v>88.3</v>
      </c>
      <c r="AJ143" s="51"/>
      <c r="AK143" s="51"/>
      <c r="AL143" s="51"/>
      <c r="AM143" s="51"/>
      <c r="AN143" s="51"/>
      <c r="AO143" s="48"/>
      <c r="AP143" s="210">
        <v>85.9</v>
      </c>
      <c r="AQ143" s="51"/>
      <c r="AR143" s="48"/>
      <c r="AS143" s="239"/>
    </row>
    <row r="144" spans="1:45" s="229" customFormat="1">
      <c r="A144" s="87" t="s">
        <v>321</v>
      </c>
      <c r="B144" s="384">
        <v>2.7285333333333335</v>
      </c>
      <c r="C144" s="8" t="s">
        <v>849</v>
      </c>
      <c r="D144" s="8" t="s">
        <v>423</v>
      </c>
      <c r="E144" s="8"/>
      <c r="F144" s="8">
        <v>1288</v>
      </c>
      <c r="G144" s="10">
        <f>F144/685</f>
        <v>1.8802919708029198</v>
      </c>
      <c r="H144" s="11">
        <v>0</v>
      </c>
      <c r="I144" s="8">
        <v>0</v>
      </c>
      <c r="J144" s="8">
        <v>0</v>
      </c>
      <c r="K144" s="41">
        <v>1</v>
      </c>
      <c r="L144" s="11">
        <v>0</v>
      </c>
      <c r="M144" s="8">
        <v>0</v>
      </c>
      <c r="N144" s="8">
        <v>0</v>
      </c>
      <c r="O144" s="8">
        <v>1</v>
      </c>
      <c r="P144" s="41">
        <v>1</v>
      </c>
      <c r="Q144" s="11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/>
      <c r="AC144" s="9">
        <v>2</v>
      </c>
      <c r="AD144" s="11">
        <v>2</v>
      </c>
      <c r="AE144" s="11">
        <v>676</v>
      </c>
      <c r="AF144" s="41">
        <v>885</v>
      </c>
      <c r="AG144" s="9">
        <v>99</v>
      </c>
      <c r="AH144" s="11">
        <v>0</v>
      </c>
      <c r="AI144" s="208">
        <v>87</v>
      </c>
      <c r="AJ144" s="54"/>
      <c r="AK144" s="54"/>
      <c r="AL144" s="54"/>
      <c r="AM144" s="54"/>
      <c r="AN144" s="54"/>
      <c r="AO144" s="10"/>
      <c r="AP144" s="208">
        <v>88.4</v>
      </c>
      <c r="AQ144" s="54"/>
      <c r="AR144" s="10"/>
      <c r="AS144" s="237"/>
    </row>
    <row r="145" spans="1:45" s="229" customFormat="1">
      <c r="A145" s="42" t="s">
        <v>321</v>
      </c>
      <c r="B145" s="386">
        <v>2.7285333333333335</v>
      </c>
      <c r="C145" s="229" t="s">
        <v>849</v>
      </c>
      <c r="D145" s="229" t="s">
        <v>622</v>
      </c>
      <c r="E145" s="229" t="s">
        <v>0</v>
      </c>
      <c r="F145" s="229">
        <v>690</v>
      </c>
      <c r="G145" s="40">
        <f>F145/586</f>
        <v>1.1774744027303754</v>
      </c>
      <c r="H145" s="14">
        <v>0</v>
      </c>
      <c r="I145" s="229">
        <v>0</v>
      </c>
      <c r="J145" s="229">
        <v>0</v>
      </c>
      <c r="K145" s="26">
        <v>1</v>
      </c>
      <c r="L145" s="14">
        <v>0</v>
      </c>
      <c r="M145" s="229">
        <v>0</v>
      </c>
      <c r="N145" s="229">
        <v>0</v>
      </c>
      <c r="O145" s="229">
        <v>0</v>
      </c>
      <c r="P145" s="26">
        <v>0</v>
      </c>
      <c r="Q145" s="14">
        <v>0</v>
      </c>
      <c r="R145" s="229">
        <v>0</v>
      </c>
      <c r="S145" s="229">
        <v>0</v>
      </c>
      <c r="T145" s="229">
        <v>0</v>
      </c>
      <c r="U145" s="229">
        <v>0</v>
      </c>
      <c r="V145" s="229">
        <v>0</v>
      </c>
      <c r="W145" s="229">
        <v>0</v>
      </c>
      <c r="X145" s="229">
        <v>0</v>
      </c>
      <c r="Y145" s="229">
        <v>0</v>
      </c>
      <c r="Z145" s="229">
        <v>0</v>
      </c>
      <c r="AA145" s="229">
        <v>0</v>
      </c>
      <c r="AC145" s="12">
        <v>1</v>
      </c>
      <c r="AD145" s="14">
        <v>1</v>
      </c>
      <c r="AE145" s="14">
        <v>0</v>
      </c>
      <c r="AF145" s="26">
        <v>0</v>
      </c>
      <c r="AG145" s="12">
        <v>121</v>
      </c>
      <c r="AH145" s="14">
        <v>0</v>
      </c>
      <c r="AI145" s="209"/>
      <c r="AJ145" s="3"/>
      <c r="AK145" s="3"/>
      <c r="AL145" s="3"/>
      <c r="AM145" s="3"/>
      <c r="AN145" s="3"/>
      <c r="AO145" s="40"/>
      <c r="AP145" s="209"/>
      <c r="AQ145" s="3"/>
      <c r="AR145" s="40"/>
      <c r="AS145" s="238"/>
    </row>
    <row r="146" spans="1:45" s="229" customFormat="1">
      <c r="A146" s="42" t="s">
        <v>321</v>
      </c>
      <c r="B146" s="386">
        <v>2.7285333333333335</v>
      </c>
      <c r="C146" s="229" t="s">
        <v>849</v>
      </c>
      <c r="D146" s="229" t="s">
        <v>622</v>
      </c>
      <c r="E146" s="229" t="s">
        <v>1</v>
      </c>
      <c r="F146" s="229">
        <v>414</v>
      </c>
      <c r="G146" s="40">
        <f>F146/317</f>
        <v>1.3059936908517351</v>
      </c>
      <c r="H146" s="14">
        <v>0</v>
      </c>
      <c r="I146" s="229">
        <v>0</v>
      </c>
      <c r="J146" s="229">
        <v>0</v>
      </c>
      <c r="K146" s="26">
        <v>1</v>
      </c>
      <c r="L146" s="14">
        <v>0</v>
      </c>
      <c r="M146" s="229">
        <v>0</v>
      </c>
      <c r="N146" s="229">
        <v>0</v>
      </c>
      <c r="O146" s="229">
        <v>0</v>
      </c>
      <c r="P146" s="26">
        <v>0</v>
      </c>
      <c r="Q146" s="14">
        <v>0</v>
      </c>
      <c r="R146" s="229">
        <v>0</v>
      </c>
      <c r="S146" s="229">
        <v>0</v>
      </c>
      <c r="T146" s="229">
        <v>0</v>
      </c>
      <c r="U146" s="229">
        <v>0</v>
      </c>
      <c r="V146" s="229">
        <v>0</v>
      </c>
      <c r="W146" s="229">
        <v>0</v>
      </c>
      <c r="X146" s="229">
        <v>0</v>
      </c>
      <c r="Y146" s="229">
        <v>0</v>
      </c>
      <c r="Z146" s="229">
        <v>0</v>
      </c>
      <c r="AA146" s="229">
        <v>0</v>
      </c>
      <c r="AC146" s="12">
        <v>1</v>
      </c>
      <c r="AD146" s="14">
        <v>1</v>
      </c>
      <c r="AE146" s="14">
        <v>0</v>
      </c>
      <c r="AF146" s="26">
        <v>0</v>
      </c>
      <c r="AG146" s="12">
        <v>121</v>
      </c>
      <c r="AH146" s="14">
        <v>0</v>
      </c>
      <c r="AI146" s="209"/>
      <c r="AJ146" s="3"/>
      <c r="AK146" s="3"/>
      <c r="AL146" s="3"/>
      <c r="AM146" s="3"/>
      <c r="AN146" s="3"/>
      <c r="AO146" s="40"/>
      <c r="AP146" s="209"/>
      <c r="AQ146" s="3"/>
      <c r="AR146" s="40"/>
      <c r="AS146" s="238"/>
    </row>
    <row r="147" spans="1:45" s="229" customFormat="1">
      <c r="A147" s="42" t="s">
        <v>321</v>
      </c>
      <c r="B147" s="386">
        <v>2.7285333333333335</v>
      </c>
      <c r="C147" s="229" t="s">
        <v>849</v>
      </c>
      <c r="D147" s="229" t="s">
        <v>620</v>
      </c>
      <c r="F147" s="229">
        <v>688</v>
      </c>
      <c r="G147" s="40">
        <f>F147/441</f>
        <v>1.5600907029478459</v>
      </c>
      <c r="H147" s="14">
        <v>0</v>
      </c>
      <c r="I147" s="229">
        <v>0</v>
      </c>
      <c r="J147" s="229">
        <v>0</v>
      </c>
      <c r="K147" s="26">
        <v>1</v>
      </c>
      <c r="L147" s="14">
        <v>0</v>
      </c>
      <c r="M147" s="229">
        <v>0</v>
      </c>
      <c r="N147" s="229">
        <v>0</v>
      </c>
      <c r="O147" s="229">
        <v>0</v>
      </c>
      <c r="P147" s="26">
        <v>0</v>
      </c>
      <c r="Q147" s="14">
        <v>0</v>
      </c>
      <c r="R147" s="229">
        <v>0</v>
      </c>
      <c r="S147" s="229">
        <v>0</v>
      </c>
      <c r="T147" s="229">
        <v>0</v>
      </c>
      <c r="U147" s="229">
        <v>0</v>
      </c>
      <c r="V147" s="229">
        <v>0</v>
      </c>
      <c r="W147" s="229">
        <v>0</v>
      </c>
      <c r="X147" s="229">
        <v>0</v>
      </c>
      <c r="Y147" s="229">
        <v>0</v>
      </c>
      <c r="Z147" s="229">
        <v>0</v>
      </c>
      <c r="AA147" s="229">
        <v>0</v>
      </c>
      <c r="AC147" s="12">
        <v>1</v>
      </c>
      <c r="AD147" s="14">
        <v>1</v>
      </c>
      <c r="AE147" s="14">
        <v>0</v>
      </c>
      <c r="AF147" s="26">
        <v>0</v>
      </c>
      <c r="AG147" s="12">
        <v>82</v>
      </c>
      <c r="AH147" s="14">
        <v>1</v>
      </c>
      <c r="AI147" s="209"/>
      <c r="AJ147" s="3"/>
      <c r="AK147" s="3"/>
      <c r="AL147" s="3"/>
      <c r="AM147" s="3"/>
      <c r="AN147" s="3"/>
      <c r="AO147" s="40"/>
      <c r="AP147" s="209"/>
      <c r="AQ147" s="3"/>
      <c r="AR147" s="40"/>
      <c r="AS147" s="238"/>
    </row>
    <row r="148" spans="1:45" s="229" customFormat="1">
      <c r="A148" s="42" t="s">
        <v>321</v>
      </c>
      <c r="B148" s="386">
        <v>2.7285333333333335</v>
      </c>
      <c r="C148" s="229" t="s">
        <v>849</v>
      </c>
      <c r="D148" s="229" t="s">
        <v>629</v>
      </c>
      <c r="F148" s="229">
        <v>1734</v>
      </c>
      <c r="G148" s="40">
        <f>F148/935</f>
        <v>1.8545454545454545</v>
      </c>
      <c r="H148" s="14">
        <v>0</v>
      </c>
      <c r="I148" s="229">
        <v>0</v>
      </c>
      <c r="J148" s="229">
        <v>0</v>
      </c>
      <c r="K148" s="26">
        <v>1</v>
      </c>
      <c r="L148" s="14">
        <v>0</v>
      </c>
      <c r="M148" s="229">
        <v>0</v>
      </c>
      <c r="N148" s="229">
        <v>0</v>
      </c>
      <c r="O148" s="229">
        <v>0</v>
      </c>
      <c r="P148" s="26">
        <v>0</v>
      </c>
      <c r="Q148" s="14">
        <v>0</v>
      </c>
      <c r="R148" s="229">
        <v>0</v>
      </c>
      <c r="S148" s="229">
        <v>0</v>
      </c>
      <c r="T148" s="229">
        <v>0</v>
      </c>
      <c r="U148" s="229">
        <v>0</v>
      </c>
      <c r="V148" s="229">
        <v>0</v>
      </c>
      <c r="W148" s="229">
        <v>0</v>
      </c>
      <c r="X148" s="229">
        <v>0</v>
      </c>
      <c r="Y148" s="229">
        <v>0</v>
      </c>
      <c r="Z148" s="229">
        <v>0</v>
      </c>
      <c r="AA148" s="229">
        <v>0</v>
      </c>
      <c r="AC148" s="12">
        <v>2</v>
      </c>
      <c r="AD148" s="14">
        <v>2</v>
      </c>
      <c r="AE148" s="14">
        <v>1189</v>
      </c>
      <c r="AF148" s="26">
        <v>1199</v>
      </c>
      <c r="AG148" s="12">
        <v>133</v>
      </c>
      <c r="AH148" s="14">
        <v>0</v>
      </c>
      <c r="AI148" s="209"/>
      <c r="AJ148" s="3"/>
      <c r="AK148" s="3"/>
      <c r="AL148" s="3"/>
      <c r="AM148" s="3"/>
      <c r="AN148" s="3"/>
      <c r="AO148" s="40"/>
      <c r="AP148" s="209"/>
      <c r="AQ148" s="3"/>
      <c r="AR148" s="40"/>
      <c r="AS148" s="238"/>
    </row>
    <row r="149" spans="1:45" s="229" customFormat="1">
      <c r="A149" s="42" t="s">
        <v>321</v>
      </c>
      <c r="B149" s="386">
        <v>2.7285333333333335</v>
      </c>
      <c r="C149" s="229" t="s">
        <v>849</v>
      </c>
      <c r="D149" s="229" t="s">
        <v>634</v>
      </c>
      <c r="F149" s="229">
        <v>937</v>
      </c>
      <c r="G149" s="40">
        <f>F149/829</f>
        <v>1.1302774427020508</v>
      </c>
      <c r="H149" s="14">
        <v>0</v>
      </c>
      <c r="I149" s="229">
        <v>0</v>
      </c>
      <c r="J149" s="229">
        <v>0</v>
      </c>
      <c r="K149" s="26">
        <v>1</v>
      </c>
      <c r="L149" s="14">
        <v>0</v>
      </c>
      <c r="M149" s="229">
        <v>0</v>
      </c>
      <c r="N149" s="229">
        <v>0</v>
      </c>
      <c r="O149" s="229">
        <v>1</v>
      </c>
      <c r="P149" s="26">
        <v>1</v>
      </c>
      <c r="Q149" s="14">
        <v>0</v>
      </c>
      <c r="R149" s="229">
        <v>0</v>
      </c>
      <c r="S149" s="229">
        <v>0</v>
      </c>
      <c r="T149" s="229">
        <v>0</v>
      </c>
      <c r="U149" s="229">
        <v>0</v>
      </c>
      <c r="V149" s="229">
        <v>0</v>
      </c>
      <c r="W149" s="229">
        <v>0</v>
      </c>
      <c r="X149" s="229">
        <v>0</v>
      </c>
      <c r="Y149" s="229">
        <v>0</v>
      </c>
      <c r="Z149" s="229">
        <v>0</v>
      </c>
      <c r="AA149" s="229">
        <v>0</v>
      </c>
      <c r="AC149" s="12">
        <v>1</v>
      </c>
      <c r="AD149" s="14">
        <v>1</v>
      </c>
      <c r="AE149" s="14">
        <v>0</v>
      </c>
      <c r="AF149" s="26">
        <v>0</v>
      </c>
      <c r="AG149" s="12">
        <v>113</v>
      </c>
      <c r="AH149" s="14">
        <v>0</v>
      </c>
      <c r="AI149" s="209">
        <v>87.9</v>
      </c>
      <c r="AJ149" s="3"/>
      <c r="AK149" s="3"/>
      <c r="AL149" s="3"/>
      <c r="AM149" s="3"/>
      <c r="AN149" s="3"/>
      <c r="AO149" s="40"/>
      <c r="AP149" s="209">
        <v>88.5</v>
      </c>
      <c r="AQ149" s="3"/>
      <c r="AR149" s="40"/>
      <c r="AS149" s="238"/>
    </row>
    <row r="150" spans="1:45" s="229" customFormat="1">
      <c r="A150" s="42" t="s">
        <v>321</v>
      </c>
      <c r="B150" s="386">
        <v>2.7285333333333335</v>
      </c>
      <c r="C150" s="229" t="s">
        <v>849</v>
      </c>
      <c r="D150" s="229" t="s">
        <v>625</v>
      </c>
      <c r="F150" s="229">
        <v>1256</v>
      </c>
      <c r="G150" s="40">
        <f>F150/453</f>
        <v>2.7726269315673289</v>
      </c>
      <c r="H150" s="14">
        <v>1</v>
      </c>
      <c r="I150" s="229">
        <v>0</v>
      </c>
      <c r="J150" s="229">
        <v>0</v>
      </c>
      <c r="K150" s="26">
        <v>1</v>
      </c>
      <c r="L150" s="14">
        <v>0</v>
      </c>
      <c r="M150" s="229">
        <v>0</v>
      </c>
      <c r="N150" s="229">
        <v>0</v>
      </c>
      <c r="O150" s="229">
        <v>1</v>
      </c>
      <c r="P150" s="26">
        <v>1</v>
      </c>
      <c r="Q150" s="14">
        <v>0</v>
      </c>
      <c r="R150" s="229">
        <v>0</v>
      </c>
      <c r="S150" s="229">
        <v>0</v>
      </c>
      <c r="T150" s="229">
        <v>0</v>
      </c>
      <c r="U150" s="229">
        <v>0</v>
      </c>
      <c r="V150" s="229">
        <v>0</v>
      </c>
      <c r="W150" s="229">
        <v>0</v>
      </c>
      <c r="X150" s="229">
        <v>0</v>
      </c>
      <c r="Y150" s="229">
        <v>0</v>
      </c>
      <c r="Z150" s="229">
        <v>0</v>
      </c>
      <c r="AA150" s="229">
        <v>0</v>
      </c>
      <c r="AC150" s="12">
        <v>2</v>
      </c>
      <c r="AD150" s="14">
        <v>2</v>
      </c>
      <c r="AE150" s="14">
        <v>344</v>
      </c>
      <c r="AF150" s="26">
        <v>927</v>
      </c>
      <c r="AG150" s="12">
        <v>119</v>
      </c>
      <c r="AH150" s="14">
        <v>0</v>
      </c>
      <c r="AI150" s="209">
        <v>85.9</v>
      </c>
      <c r="AJ150" s="3"/>
      <c r="AK150" s="3"/>
      <c r="AL150" s="3"/>
      <c r="AM150" s="3"/>
      <c r="AN150" s="3"/>
      <c r="AO150" s="40"/>
      <c r="AP150" s="209">
        <v>88.2</v>
      </c>
      <c r="AQ150" s="3"/>
      <c r="AR150" s="40"/>
      <c r="AS150" s="238"/>
    </row>
    <row r="151" spans="1:45" s="229" customFormat="1">
      <c r="A151" s="42" t="s">
        <v>321</v>
      </c>
      <c r="B151" s="386">
        <v>2.7285333333333335</v>
      </c>
      <c r="C151" s="229" t="s">
        <v>602</v>
      </c>
      <c r="D151" s="229" t="s">
        <v>423</v>
      </c>
      <c r="F151" s="229">
        <v>2703</v>
      </c>
      <c r="G151" s="40">
        <f>F151/1652</f>
        <v>1.6361985472154963</v>
      </c>
      <c r="H151" s="14">
        <v>0</v>
      </c>
      <c r="I151" s="229">
        <v>0</v>
      </c>
      <c r="J151" s="229">
        <v>0</v>
      </c>
      <c r="K151" s="26">
        <v>1</v>
      </c>
      <c r="L151" s="14">
        <v>0</v>
      </c>
      <c r="M151" s="229">
        <v>0</v>
      </c>
      <c r="N151" s="229">
        <v>0</v>
      </c>
      <c r="O151" s="229">
        <v>1</v>
      </c>
      <c r="P151" s="26">
        <v>1</v>
      </c>
      <c r="Q151" s="14">
        <v>1</v>
      </c>
      <c r="R151" s="229">
        <v>0</v>
      </c>
      <c r="S151" s="229">
        <v>0</v>
      </c>
      <c r="T151" s="229">
        <v>0</v>
      </c>
      <c r="U151" s="229">
        <v>0</v>
      </c>
      <c r="V151" s="229">
        <v>0</v>
      </c>
      <c r="W151" s="229">
        <v>47</v>
      </c>
      <c r="X151" s="229">
        <v>0</v>
      </c>
      <c r="Y151" s="229">
        <v>0</v>
      </c>
      <c r="Z151" s="229">
        <v>0</v>
      </c>
      <c r="AA151" s="229">
        <v>0</v>
      </c>
      <c r="AC151" s="12">
        <v>1</v>
      </c>
      <c r="AD151" s="14">
        <v>1</v>
      </c>
      <c r="AE151" s="14">
        <v>0</v>
      </c>
      <c r="AF151" s="26">
        <v>0</v>
      </c>
      <c r="AG151" s="12">
        <v>142</v>
      </c>
      <c r="AH151" s="14">
        <v>0</v>
      </c>
      <c r="AI151" s="209">
        <v>87.9</v>
      </c>
      <c r="AJ151" s="3"/>
      <c r="AK151" s="3"/>
      <c r="AL151" s="3"/>
      <c r="AM151" s="3"/>
      <c r="AN151" s="3"/>
      <c r="AO151" s="40"/>
      <c r="AP151" s="209">
        <v>88.5</v>
      </c>
      <c r="AQ151" s="3"/>
      <c r="AR151" s="40"/>
      <c r="AS151" s="238"/>
    </row>
    <row r="152" spans="1:45" s="229" customFormat="1">
      <c r="A152" s="42" t="s">
        <v>321</v>
      </c>
      <c r="B152" s="386">
        <v>2.7285333333333335</v>
      </c>
      <c r="C152" s="229" t="s">
        <v>602</v>
      </c>
      <c r="D152" s="229" t="s">
        <v>622</v>
      </c>
      <c r="F152" s="229">
        <v>3071</v>
      </c>
      <c r="G152" s="40">
        <f>F152/1772</f>
        <v>1.7330699774266365</v>
      </c>
      <c r="H152" s="14">
        <v>0</v>
      </c>
      <c r="I152" s="229">
        <v>0</v>
      </c>
      <c r="J152" s="229">
        <v>0</v>
      </c>
      <c r="K152" s="26">
        <v>1</v>
      </c>
      <c r="L152" s="14">
        <v>0</v>
      </c>
      <c r="M152" s="229">
        <v>0</v>
      </c>
      <c r="N152" s="229">
        <v>0</v>
      </c>
      <c r="O152" s="229">
        <v>1</v>
      </c>
      <c r="P152" s="26">
        <v>1</v>
      </c>
      <c r="Q152" s="14">
        <v>2</v>
      </c>
      <c r="R152" s="229">
        <v>0</v>
      </c>
      <c r="S152" s="229">
        <v>0</v>
      </c>
      <c r="T152" s="229">
        <v>0</v>
      </c>
      <c r="U152" s="229">
        <v>0</v>
      </c>
      <c r="V152" s="229">
        <v>0</v>
      </c>
      <c r="W152" s="229">
        <v>0</v>
      </c>
      <c r="X152" s="229">
        <v>0</v>
      </c>
      <c r="Y152" s="229">
        <v>0</v>
      </c>
      <c r="Z152" s="229">
        <v>0</v>
      </c>
      <c r="AA152" s="229">
        <v>271</v>
      </c>
      <c r="AC152" s="12">
        <v>1</v>
      </c>
      <c r="AD152" s="14">
        <v>1</v>
      </c>
      <c r="AE152" s="14">
        <v>0</v>
      </c>
      <c r="AF152" s="26">
        <v>0</v>
      </c>
      <c r="AG152" s="12">
        <v>145</v>
      </c>
      <c r="AH152" s="14">
        <v>0</v>
      </c>
      <c r="AI152" s="209"/>
      <c r="AJ152" s="3"/>
      <c r="AK152" s="3"/>
      <c r="AL152" s="3"/>
      <c r="AM152" s="3"/>
      <c r="AN152" s="3"/>
      <c r="AO152" s="40"/>
      <c r="AP152" s="209"/>
      <c r="AQ152" s="3"/>
      <c r="AR152" s="40"/>
      <c r="AS152" s="238"/>
    </row>
    <row r="153" spans="1:45" s="229" customFormat="1">
      <c r="A153" s="42" t="s">
        <v>321</v>
      </c>
      <c r="B153" s="386">
        <v>2.7285333333333335</v>
      </c>
      <c r="C153" s="229" t="s">
        <v>602</v>
      </c>
      <c r="D153" s="229" t="s">
        <v>620</v>
      </c>
      <c r="F153" s="229">
        <v>1806</v>
      </c>
      <c r="G153" s="40">
        <f>F153/1691</f>
        <v>1.0680070963926671</v>
      </c>
      <c r="H153" s="14">
        <v>0</v>
      </c>
      <c r="I153" s="229">
        <v>0</v>
      </c>
      <c r="J153" s="229">
        <v>0</v>
      </c>
      <c r="K153" s="26">
        <v>1</v>
      </c>
      <c r="L153" s="14">
        <v>0</v>
      </c>
      <c r="M153" s="229">
        <v>0</v>
      </c>
      <c r="N153" s="229">
        <v>0</v>
      </c>
      <c r="O153" s="229">
        <v>0</v>
      </c>
      <c r="P153" s="26">
        <v>0</v>
      </c>
      <c r="Q153" s="14">
        <v>2</v>
      </c>
      <c r="R153" s="229">
        <v>0</v>
      </c>
      <c r="S153" s="229">
        <v>0</v>
      </c>
      <c r="T153" s="229">
        <v>0</v>
      </c>
      <c r="U153" s="229">
        <v>0</v>
      </c>
      <c r="V153" s="229">
        <v>0</v>
      </c>
      <c r="W153" s="229">
        <v>123</v>
      </c>
      <c r="X153" s="229">
        <v>0</v>
      </c>
      <c r="Y153" s="229">
        <v>0</v>
      </c>
      <c r="Z153" s="229">
        <v>0</v>
      </c>
      <c r="AA153" s="229">
        <v>0</v>
      </c>
      <c r="AC153" s="12">
        <v>1</v>
      </c>
      <c r="AD153" s="14">
        <v>1</v>
      </c>
      <c r="AE153" s="14">
        <v>0</v>
      </c>
      <c r="AF153" s="26">
        <v>0</v>
      </c>
      <c r="AG153" s="12">
        <v>137</v>
      </c>
      <c r="AH153" s="14">
        <v>0</v>
      </c>
      <c r="AI153" s="209">
        <v>88.5</v>
      </c>
      <c r="AJ153" s="3"/>
      <c r="AK153" s="3"/>
      <c r="AL153" s="3"/>
      <c r="AM153" s="3"/>
      <c r="AN153" s="3"/>
      <c r="AO153" s="40"/>
      <c r="AP153" s="209">
        <v>88.5</v>
      </c>
      <c r="AQ153" s="3"/>
      <c r="AR153" s="40"/>
      <c r="AS153" s="238"/>
    </row>
    <row r="154" spans="1:45" s="229" customFormat="1">
      <c r="A154" s="42" t="s">
        <v>321</v>
      </c>
      <c r="B154" s="386">
        <v>2.7285333333333335</v>
      </c>
      <c r="C154" s="229" t="s">
        <v>602</v>
      </c>
      <c r="D154" s="229" t="s">
        <v>650</v>
      </c>
      <c r="E154" s="229" t="s">
        <v>0</v>
      </c>
      <c r="F154" s="229">
        <v>735</v>
      </c>
      <c r="G154" s="40">
        <f>F154/442</f>
        <v>1.66289592760181</v>
      </c>
      <c r="H154" s="14">
        <v>0</v>
      </c>
      <c r="I154" s="229">
        <v>0</v>
      </c>
      <c r="J154" s="229">
        <v>0</v>
      </c>
      <c r="K154" s="26">
        <v>1</v>
      </c>
      <c r="L154" s="14">
        <v>0</v>
      </c>
      <c r="M154" s="229">
        <v>0</v>
      </c>
      <c r="N154" s="229">
        <v>1</v>
      </c>
      <c r="O154" s="229">
        <v>0</v>
      </c>
      <c r="P154" s="26">
        <v>1</v>
      </c>
      <c r="Q154" s="14">
        <v>2</v>
      </c>
      <c r="R154" s="229">
        <v>0</v>
      </c>
      <c r="S154" s="229">
        <v>0</v>
      </c>
      <c r="T154" s="229">
        <v>0</v>
      </c>
      <c r="U154" s="229">
        <v>0</v>
      </c>
      <c r="V154" s="229">
        <v>0</v>
      </c>
      <c r="W154" s="229">
        <v>32</v>
      </c>
      <c r="X154" s="229">
        <v>0</v>
      </c>
      <c r="Y154" s="229">
        <v>0</v>
      </c>
      <c r="Z154" s="229">
        <v>0</v>
      </c>
      <c r="AA154" s="229">
        <v>0</v>
      </c>
      <c r="AC154" s="12">
        <v>1</v>
      </c>
      <c r="AD154" s="14">
        <v>1</v>
      </c>
      <c r="AE154" s="14">
        <v>0</v>
      </c>
      <c r="AF154" s="26">
        <v>0</v>
      </c>
      <c r="AG154" s="12">
        <v>132</v>
      </c>
      <c r="AH154" s="14">
        <v>0</v>
      </c>
      <c r="AI154" s="217">
        <v>89.4</v>
      </c>
      <c r="AJ154" s="248">
        <v>89.9</v>
      </c>
      <c r="AK154" s="248"/>
      <c r="AL154" s="248"/>
      <c r="AM154" s="248"/>
      <c r="AN154" s="248"/>
      <c r="AO154" s="249"/>
      <c r="AP154" s="209">
        <v>88.6</v>
      </c>
      <c r="AQ154" s="3"/>
      <c r="AR154" s="40"/>
      <c r="AS154" s="238"/>
    </row>
    <row r="155" spans="1:45" s="229" customFormat="1">
      <c r="A155" s="42" t="s">
        <v>321</v>
      </c>
      <c r="B155" s="386">
        <v>2.7285333333333335</v>
      </c>
      <c r="C155" s="229" t="s">
        <v>602</v>
      </c>
      <c r="D155" s="229" t="s">
        <v>650</v>
      </c>
      <c r="E155" s="229" t="s">
        <v>1</v>
      </c>
      <c r="F155" s="229">
        <v>1530</v>
      </c>
      <c r="G155" s="40">
        <f>F155/1384</f>
        <v>1.1054913294797688</v>
      </c>
      <c r="H155" s="14">
        <v>1</v>
      </c>
      <c r="I155" s="229">
        <v>0</v>
      </c>
      <c r="J155" s="229">
        <v>0</v>
      </c>
      <c r="K155" s="26">
        <v>1</v>
      </c>
      <c r="L155" s="14">
        <v>0</v>
      </c>
      <c r="M155" s="229">
        <v>0</v>
      </c>
      <c r="N155" s="229">
        <v>1</v>
      </c>
      <c r="O155" s="229">
        <v>0</v>
      </c>
      <c r="P155" s="26">
        <v>1</v>
      </c>
      <c r="Q155" s="14">
        <v>2</v>
      </c>
      <c r="R155" s="229">
        <v>0</v>
      </c>
      <c r="S155" s="229">
        <v>28</v>
      </c>
      <c r="T155" s="229">
        <v>0</v>
      </c>
      <c r="U155" s="229">
        <v>0</v>
      </c>
      <c r="V155" s="229">
        <v>0</v>
      </c>
      <c r="W155" s="229">
        <v>23</v>
      </c>
      <c r="X155" s="229">
        <v>0</v>
      </c>
      <c r="Y155" s="229">
        <v>0</v>
      </c>
      <c r="Z155" s="229">
        <v>0</v>
      </c>
      <c r="AA155" s="229">
        <v>0</v>
      </c>
      <c r="AC155" s="12">
        <v>2</v>
      </c>
      <c r="AD155" s="14">
        <v>5</v>
      </c>
      <c r="AE155" s="14">
        <v>316</v>
      </c>
      <c r="AF155" s="26">
        <v>1183</v>
      </c>
      <c r="AG155" s="12">
        <v>132</v>
      </c>
      <c r="AH155" s="14">
        <v>1</v>
      </c>
      <c r="AI155" s="209">
        <v>89</v>
      </c>
      <c r="AJ155" s="3"/>
      <c r="AK155" s="3"/>
      <c r="AL155" s="3"/>
      <c r="AM155" s="3"/>
      <c r="AN155" s="3"/>
      <c r="AO155" s="40"/>
      <c r="AP155" s="209">
        <v>88.5</v>
      </c>
      <c r="AQ155" s="3"/>
      <c r="AR155" s="40"/>
      <c r="AS155" s="238"/>
    </row>
    <row r="156" spans="1:45" s="229" customFormat="1">
      <c r="A156" s="42" t="s">
        <v>321</v>
      </c>
      <c r="B156" s="386">
        <v>2.7285333333333335</v>
      </c>
      <c r="C156" s="229" t="s">
        <v>602</v>
      </c>
      <c r="D156" s="229" t="s">
        <v>427</v>
      </c>
      <c r="F156" s="229">
        <v>438</v>
      </c>
      <c r="G156" s="40">
        <f>F156/423</f>
        <v>1.0354609929078014</v>
      </c>
      <c r="H156" s="14">
        <v>0</v>
      </c>
      <c r="I156" s="229">
        <v>0</v>
      </c>
      <c r="J156" s="229">
        <v>1</v>
      </c>
      <c r="K156" s="26">
        <v>0</v>
      </c>
      <c r="L156" s="14">
        <v>0</v>
      </c>
      <c r="M156" s="229">
        <v>0</v>
      </c>
      <c r="N156" s="229">
        <v>1</v>
      </c>
      <c r="O156" s="229">
        <v>0</v>
      </c>
      <c r="P156" s="26">
        <v>1</v>
      </c>
      <c r="Q156" s="14">
        <v>0</v>
      </c>
      <c r="R156" s="229">
        <v>0</v>
      </c>
      <c r="S156" s="229">
        <v>0</v>
      </c>
      <c r="T156" s="229">
        <v>0</v>
      </c>
      <c r="U156" s="229">
        <v>0</v>
      </c>
      <c r="V156" s="229">
        <v>0</v>
      </c>
      <c r="W156" s="229">
        <v>0</v>
      </c>
      <c r="X156" s="229">
        <v>0</v>
      </c>
      <c r="Y156" s="229">
        <v>0</v>
      </c>
      <c r="Z156" s="229">
        <v>0</v>
      </c>
      <c r="AA156" s="229">
        <v>0</v>
      </c>
      <c r="AC156" s="12">
        <v>1</v>
      </c>
      <c r="AD156" s="14">
        <v>1</v>
      </c>
      <c r="AE156" s="14">
        <v>0</v>
      </c>
      <c r="AF156" s="26">
        <v>0</v>
      </c>
      <c r="AG156" s="12">
        <v>126</v>
      </c>
      <c r="AH156" s="14">
        <v>1</v>
      </c>
      <c r="AI156" s="209"/>
      <c r="AJ156" s="3"/>
      <c r="AK156" s="3"/>
      <c r="AL156" s="3"/>
      <c r="AM156" s="3"/>
      <c r="AN156" s="3"/>
      <c r="AO156" s="40"/>
      <c r="AP156" s="209"/>
      <c r="AQ156" s="3"/>
      <c r="AR156" s="40"/>
      <c r="AS156" s="238"/>
    </row>
    <row r="157" spans="1:45" s="229" customFormat="1">
      <c r="A157" s="42" t="s">
        <v>321</v>
      </c>
      <c r="B157" s="386">
        <v>2.7285333333333335</v>
      </c>
      <c r="C157" s="229" t="s">
        <v>602</v>
      </c>
      <c r="D157" s="229" t="s">
        <v>630</v>
      </c>
      <c r="F157" s="229">
        <v>775</v>
      </c>
      <c r="G157" s="40">
        <f>F157/256</f>
        <v>3.02734375</v>
      </c>
      <c r="H157" s="14">
        <v>0</v>
      </c>
      <c r="I157" s="229">
        <v>0</v>
      </c>
      <c r="J157" s="229">
        <v>0</v>
      </c>
      <c r="K157" s="26">
        <v>1</v>
      </c>
      <c r="L157" s="14">
        <v>0</v>
      </c>
      <c r="M157" s="229">
        <v>0</v>
      </c>
      <c r="N157" s="229">
        <v>1</v>
      </c>
      <c r="O157" s="229">
        <v>0</v>
      </c>
      <c r="P157" s="26">
        <v>1</v>
      </c>
      <c r="Q157" s="14">
        <v>10</v>
      </c>
      <c r="R157" s="229">
        <v>0</v>
      </c>
      <c r="S157" s="229">
        <v>0</v>
      </c>
      <c r="T157" s="229">
        <v>0</v>
      </c>
      <c r="U157" s="229">
        <v>0</v>
      </c>
      <c r="V157" s="229">
        <v>0</v>
      </c>
      <c r="W157" s="229">
        <v>0</v>
      </c>
      <c r="X157" s="229">
        <v>0</v>
      </c>
      <c r="Y157" s="229">
        <v>0</v>
      </c>
      <c r="Z157" s="229">
        <v>0</v>
      </c>
      <c r="AA157" s="229">
        <v>118</v>
      </c>
      <c r="AC157" s="12">
        <v>1</v>
      </c>
      <c r="AD157" s="14">
        <v>1</v>
      </c>
      <c r="AE157" s="14">
        <v>0</v>
      </c>
      <c r="AF157" s="26">
        <v>0</v>
      </c>
      <c r="AG157" s="12">
        <v>144</v>
      </c>
      <c r="AH157" s="14">
        <v>1</v>
      </c>
      <c r="AI157" s="209"/>
      <c r="AJ157" s="3"/>
      <c r="AK157" s="3"/>
      <c r="AL157" s="3"/>
      <c r="AM157" s="3"/>
      <c r="AN157" s="3"/>
      <c r="AO157" s="40"/>
      <c r="AP157" s="209"/>
      <c r="AQ157" s="3"/>
      <c r="AR157" s="40"/>
      <c r="AS157" s="238"/>
    </row>
    <row r="158" spans="1:45" s="229" customFormat="1">
      <c r="A158" s="42" t="s">
        <v>321</v>
      </c>
      <c r="B158" s="386">
        <v>2.7285333333333335</v>
      </c>
      <c r="C158" s="229" t="s">
        <v>602</v>
      </c>
      <c r="D158" s="229" t="s">
        <v>651</v>
      </c>
      <c r="E158" s="229" t="s">
        <v>0</v>
      </c>
      <c r="F158" s="229">
        <v>935</v>
      </c>
      <c r="G158" s="40">
        <f>F158/825</f>
        <v>1.1333333333333333</v>
      </c>
      <c r="H158" s="14">
        <v>0</v>
      </c>
      <c r="I158" s="229">
        <v>0</v>
      </c>
      <c r="J158" s="229">
        <v>0</v>
      </c>
      <c r="K158" s="26">
        <v>1</v>
      </c>
      <c r="L158" s="14">
        <v>0</v>
      </c>
      <c r="M158" s="229">
        <v>0</v>
      </c>
      <c r="N158" s="229">
        <v>1</v>
      </c>
      <c r="O158" s="229">
        <v>0</v>
      </c>
      <c r="P158" s="26">
        <v>1</v>
      </c>
      <c r="Q158" s="14">
        <v>0</v>
      </c>
      <c r="R158" s="229">
        <v>0</v>
      </c>
      <c r="S158" s="229">
        <v>0</v>
      </c>
      <c r="T158" s="229">
        <v>0</v>
      </c>
      <c r="U158" s="229">
        <v>0</v>
      </c>
      <c r="V158" s="229">
        <v>0</v>
      </c>
      <c r="W158" s="229">
        <v>0</v>
      </c>
      <c r="X158" s="229">
        <v>0</v>
      </c>
      <c r="Y158" s="229">
        <v>0</v>
      </c>
      <c r="Z158" s="229">
        <v>0</v>
      </c>
      <c r="AA158" s="229">
        <v>0</v>
      </c>
      <c r="AC158" s="12">
        <v>2</v>
      </c>
      <c r="AD158" s="14">
        <v>2</v>
      </c>
      <c r="AE158" s="14">
        <v>557</v>
      </c>
      <c r="AF158" s="26">
        <v>977</v>
      </c>
      <c r="AG158" s="12">
        <v>141</v>
      </c>
      <c r="AH158" s="14">
        <v>0</v>
      </c>
      <c r="AI158" s="209"/>
      <c r="AJ158" s="3"/>
      <c r="AK158" s="3"/>
      <c r="AL158" s="3"/>
      <c r="AM158" s="3"/>
      <c r="AN158" s="3"/>
      <c r="AO158" s="40"/>
      <c r="AP158" s="209"/>
      <c r="AQ158" s="3"/>
      <c r="AR158" s="40"/>
      <c r="AS158" s="238"/>
    </row>
    <row r="159" spans="1:45" s="229" customFormat="1" ht="17" thickBot="1">
      <c r="A159" s="55" t="s">
        <v>321</v>
      </c>
      <c r="B159" s="385">
        <v>2.7285333333333335</v>
      </c>
      <c r="C159" s="36" t="s">
        <v>602</v>
      </c>
      <c r="D159" s="36" t="s">
        <v>651</v>
      </c>
      <c r="E159" s="36" t="s">
        <v>1</v>
      </c>
      <c r="F159" s="36">
        <v>640</v>
      </c>
      <c r="G159" s="48">
        <f>F159/508</f>
        <v>1.2598425196850394</v>
      </c>
      <c r="H159" s="34">
        <v>0</v>
      </c>
      <c r="I159" s="36">
        <v>0</v>
      </c>
      <c r="J159" s="36">
        <v>0</v>
      </c>
      <c r="K159" s="35">
        <v>1</v>
      </c>
      <c r="L159" s="34">
        <v>0</v>
      </c>
      <c r="M159" s="36">
        <v>0</v>
      </c>
      <c r="N159" s="36">
        <v>1</v>
      </c>
      <c r="O159" s="36">
        <v>0</v>
      </c>
      <c r="P159" s="35">
        <v>1</v>
      </c>
      <c r="Q159" s="34">
        <v>0</v>
      </c>
      <c r="R159" s="36">
        <v>0</v>
      </c>
      <c r="S159" s="36">
        <v>0</v>
      </c>
      <c r="T159" s="36">
        <v>0</v>
      </c>
      <c r="U159" s="36">
        <v>0</v>
      </c>
      <c r="V159" s="36">
        <v>0</v>
      </c>
      <c r="W159" s="36">
        <v>0</v>
      </c>
      <c r="X159" s="36">
        <v>0</v>
      </c>
      <c r="Y159" s="36">
        <v>0</v>
      </c>
      <c r="Z159" s="36">
        <v>0</v>
      </c>
      <c r="AA159" s="36">
        <v>0</v>
      </c>
      <c r="AB159" s="36"/>
      <c r="AC159" s="33">
        <v>2</v>
      </c>
      <c r="AD159" s="34">
        <v>2</v>
      </c>
      <c r="AE159" s="34">
        <v>309</v>
      </c>
      <c r="AF159" s="35">
        <v>640</v>
      </c>
      <c r="AG159" s="33">
        <v>141</v>
      </c>
      <c r="AH159" s="34">
        <v>0</v>
      </c>
      <c r="AI159" s="210"/>
      <c r="AJ159" s="51"/>
      <c r="AK159" s="51"/>
      <c r="AL159" s="51"/>
      <c r="AM159" s="51"/>
      <c r="AN159" s="51"/>
      <c r="AO159" s="48"/>
      <c r="AP159" s="210"/>
      <c r="AQ159" s="51"/>
      <c r="AR159" s="48"/>
      <c r="AS159" s="239"/>
    </row>
    <row r="160" spans="1:45" s="229" customFormat="1">
      <c r="A160" s="147" t="s">
        <v>321</v>
      </c>
      <c r="B160" s="384">
        <v>2.7285333333333335</v>
      </c>
      <c r="C160" s="229" t="s">
        <v>231</v>
      </c>
      <c r="D160" s="229" t="s">
        <v>652</v>
      </c>
      <c r="F160" s="229">
        <v>95</v>
      </c>
      <c r="G160" s="40">
        <f>F160/49</f>
        <v>1.9387755102040816</v>
      </c>
      <c r="H160" s="14">
        <v>1</v>
      </c>
      <c r="I160" s="229">
        <v>0</v>
      </c>
      <c r="J160" s="229">
        <v>0</v>
      </c>
      <c r="K160" s="26">
        <v>0</v>
      </c>
      <c r="L160" s="14">
        <v>0</v>
      </c>
      <c r="M160" s="229">
        <v>0</v>
      </c>
      <c r="N160" s="229">
        <v>0</v>
      </c>
      <c r="O160" s="229">
        <v>0</v>
      </c>
      <c r="P160" s="26">
        <v>0</v>
      </c>
      <c r="Q160" s="14">
        <v>0</v>
      </c>
      <c r="R160" s="24">
        <v>0</v>
      </c>
      <c r="S160" s="24">
        <v>0</v>
      </c>
      <c r="T160" s="24">
        <v>0</v>
      </c>
      <c r="U160" s="24">
        <v>0</v>
      </c>
      <c r="V160" s="24">
        <v>0</v>
      </c>
      <c r="W160" s="24">
        <v>0</v>
      </c>
      <c r="X160" s="24">
        <v>0</v>
      </c>
      <c r="Y160" s="24">
        <v>0</v>
      </c>
      <c r="Z160" s="24">
        <v>0</v>
      </c>
      <c r="AA160" s="24">
        <v>0</v>
      </c>
      <c r="AB160" s="24"/>
      <c r="AC160" s="12">
        <v>1</v>
      </c>
      <c r="AD160" s="14">
        <v>1</v>
      </c>
      <c r="AE160" s="14">
        <v>0</v>
      </c>
      <c r="AF160" s="26">
        <v>0</v>
      </c>
      <c r="AG160" s="12">
        <v>81</v>
      </c>
      <c r="AH160" s="14">
        <v>1</v>
      </c>
      <c r="AI160" s="209">
        <v>88.509642107482946</v>
      </c>
      <c r="AJ160" s="3"/>
      <c r="AK160" s="3"/>
      <c r="AL160" s="3"/>
      <c r="AM160" s="3"/>
      <c r="AN160" s="3"/>
      <c r="AO160" s="40"/>
      <c r="AP160" s="209"/>
      <c r="AQ160" s="3"/>
      <c r="AR160" s="40"/>
      <c r="AS160" s="238"/>
    </row>
    <row r="161" spans="1:45" s="229" customFormat="1">
      <c r="A161" s="83" t="s">
        <v>321</v>
      </c>
      <c r="B161" s="386">
        <v>2.7285333333333335</v>
      </c>
      <c r="C161" s="229" t="s">
        <v>231</v>
      </c>
      <c r="D161" s="229" t="s">
        <v>653</v>
      </c>
      <c r="E161" s="229" t="s">
        <v>0</v>
      </c>
      <c r="F161" s="229">
        <v>507</v>
      </c>
      <c r="G161" s="40">
        <f>F161/169</f>
        <v>3</v>
      </c>
      <c r="H161" s="14">
        <v>1</v>
      </c>
      <c r="I161" s="229">
        <v>0</v>
      </c>
      <c r="J161" s="229">
        <v>0</v>
      </c>
      <c r="K161" s="26">
        <v>1</v>
      </c>
      <c r="L161" s="14">
        <v>0</v>
      </c>
      <c r="M161" s="229">
        <v>0</v>
      </c>
      <c r="N161" s="229">
        <v>1</v>
      </c>
      <c r="O161" s="229">
        <v>0</v>
      </c>
      <c r="P161" s="26">
        <v>1</v>
      </c>
      <c r="Q161" s="14">
        <v>1</v>
      </c>
      <c r="R161" s="24">
        <v>0</v>
      </c>
      <c r="S161" s="24">
        <v>0</v>
      </c>
      <c r="T161" s="24">
        <v>0</v>
      </c>
      <c r="U161" s="24">
        <v>0</v>
      </c>
      <c r="V161" s="24">
        <v>0</v>
      </c>
      <c r="W161" s="24">
        <v>19</v>
      </c>
      <c r="X161" s="24">
        <v>0</v>
      </c>
      <c r="Y161" s="24">
        <v>0</v>
      </c>
      <c r="Z161" s="24">
        <v>0</v>
      </c>
      <c r="AA161" s="24">
        <v>0</v>
      </c>
      <c r="AB161" s="24"/>
      <c r="AC161" s="12">
        <v>2</v>
      </c>
      <c r="AD161" s="14">
        <v>2</v>
      </c>
      <c r="AE161" s="14">
        <v>292</v>
      </c>
      <c r="AF161" s="26">
        <v>397</v>
      </c>
      <c r="AG161" s="12">
        <v>94</v>
      </c>
      <c r="AH161" s="14">
        <v>1</v>
      </c>
      <c r="AI161" s="209"/>
      <c r="AJ161" s="3"/>
      <c r="AK161" s="3"/>
      <c r="AL161" s="3"/>
      <c r="AM161" s="3"/>
      <c r="AN161" s="3"/>
      <c r="AO161" s="40"/>
      <c r="AP161" s="209"/>
      <c r="AQ161" s="3"/>
      <c r="AR161" s="40"/>
      <c r="AS161" s="238"/>
    </row>
    <row r="162" spans="1:45" s="229" customFormat="1">
      <c r="A162" s="83" t="s">
        <v>321</v>
      </c>
      <c r="B162" s="386">
        <v>2.7285333333333335</v>
      </c>
      <c r="C162" s="229" t="s">
        <v>231</v>
      </c>
      <c r="D162" s="229" t="s">
        <v>653</v>
      </c>
      <c r="E162" s="229" t="s">
        <v>1</v>
      </c>
      <c r="F162" s="229">
        <v>187</v>
      </c>
      <c r="G162" s="40">
        <f>F162/90</f>
        <v>2.0777777777777779</v>
      </c>
      <c r="H162" s="14">
        <v>0</v>
      </c>
      <c r="I162" s="229">
        <v>0</v>
      </c>
      <c r="J162" s="229">
        <v>0</v>
      </c>
      <c r="K162" s="26">
        <v>1</v>
      </c>
      <c r="L162" s="14">
        <v>0</v>
      </c>
      <c r="M162" s="229">
        <v>0</v>
      </c>
      <c r="N162" s="229">
        <v>1</v>
      </c>
      <c r="O162" s="229">
        <v>0</v>
      </c>
      <c r="P162" s="26">
        <v>1</v>
      </c>
      <c r="Q162" s="14">
        <v>0</v>
      </c>
      <c r="R162" s="24">
        <v>0</v>
      </c>
      <c r="S162" s="24">
        <v>0</v>
      </c>
      <c r="T162" s="24">
        <v>0</v>
      </c>
      <c r="U162" s="24">
        <v>0</v>
      </c>
      <c r="V162" s="24">
        <v>0</v>
      </c>
      <c r="W162" s="24">
        <v>0</v>
      </c>
      <c r="X162" s="24">
        <v>0</v>
      </c>
      <c r="Y162" s="24">
        <v>0</v>
      </c>
      <c r="Z162" s="24">
        <v>0</v>
      </c>
      <c r="AA162" s="24">
        <v>0</v>
      </c>
      <c r="AB162" s="24"/>
      <c r="AC162" s="12">
        <v>1</v>
      </c>
      <c r="AD162" s="14">
        <v>1</v>
      </c>
      <c r="AE162" s="14">
        <v>0</v>
      </c>
      <c r="AF162" s="26">
        <v>0</v>
      </c>
      <c r="AG162" s="12">
        <v>94</v>
      </c>
      <c r="AH162" s="14">
        <v>0</v>
      </c>
      <c r="AI162" s="209"/>
      <c r="AJ162" s="3"/>
      <c r="AK162" s="3"/>
      <c r="AL162" s="3"/>
      <c r="AM162" s="3"/>
      <c r="AN162" s="3"/>
      <c r="AO162" s="40"/>
      <c r="AP162" s="209"/>
      <c r="AQ162" s="3"/>
      <c r="AR162" s="40"/>
      <c r="AS162" s="238"/>
    </row>
    <row r="163" spans="1:45" s="229" customFormat="1">
      <c r="A163" s="83" t="s">
        <v>321</v>
      </c>
      <c r="B163" s="386">
        <v>2.7285333333333335</v>
      </c>
      <c r="C163" s="229" t="s">
        <v>231</v>
      </c>
      <c r="D163" s="229" t="s">
        <v>629</v>
      </c>
      <c r="F163" s="229">
        <v>325</v>
      </c>
      <c r="G163" s="40">
        <f>F163/185</f>
        <v>1.7567567567567568</v>
      </c>
      <c r="H163" s="14">
        <v>0</v>
      </c>
      <c r="I163" s="229">
        <v>0</v>
      </c>
      <c r="J163" s="229">
        <v>0</v>
      </c>
      <c r="K163" s="26">
        <v>1</v>
      </c>
      <c r="L163" s="14">
        <v>0</v>
      </c>
      <c r="M163" s="229">
        <v>0</v>
      </c>
      <c r="N163" s="229">
        <v>0</v>
      </c>
      <c r="O163" s="229">
        <v>0</v>
      </c>
      <c r="P163" s="26">
        <v>0</v>
      </c>
      <c r="Q163" s="14">
        <v>0</v>
      </c>
      <c r="R163" s="24">
        <v>0</v>
      </c>
      <c r="S163" s="24">
        <v>0</v>
      </c>
      <c r="T163" s="24">
        <v>0</v>
      </c>
      <c r="U163" s="24">
        <v>0</v>
      </c>
      <c r="V163" s="24">
        <v>0</v>
      </c>
      <c r="W163" s="24">
        <v>0</v>
      </c>
      <c r="X163" s="24">
        <v>0</v>
      </c>
      <c r="Y163" s="24">
        <v>0</v>
      </c>
      <c r="Z163" s="24">
        <v>0</v>
      </c>
      <c r="AA163" s="24">
        <v>0</v>
      </c>
      <c r="AB163" s="24"/>
      <c r="AC163" s="12">
        <v>1</v>
      </c>
      <c r="AD163" s="14">
        <v>1</v>
      </c>
      <c r="AE163" s="14">
        <v>0</v>
      </c>
      <c r="AF163" s="26">
        <v>0</v>
      </c>
      <c r="AG163" s="12">
        <v>58</v>
      </c>
      <c r="AH163" s="14">
        <v>0</v>
      </c>
      <c r="AI163" s="209">
        <v>88.199159266025418</v>
      </c>
      <c r="AJ163" s="3"/>
      <c r="AK163" s="3"/>
      <c r="AL163" s="3"/>
      <c r="AM163" s="3"/>
      <c r="AN163" s="3"/>
      <c r="AO163" s="40"/>
      <c r="AP163" s="209">
        <v>88.482042430972868</v>
      </c>
      <c r="AQ163" s="3"/>
      <c r="AR163" s="40"/>
      <c r="AS163" s="238"/>
    </row>
    <row r="164" spans="1:45" s="229" customFormat="1" ht="17" thickBot="1">
      <c r="A164" s="84" t="s">
        <v>321</v>
      </c>
      <c r="B164" s="385">
        <v>2.7285333333333335</v>
      </c>
      <c r="C164" s="229" t="s">
        <v>231</v>
      </c>
      <c r="D164" s="229" t="s">
        <v>634</v>
      </c>
      <c r="F164" s="229">
        <v>582</v>
      </c>
      <c r="G164" s="40">
        <f>F164/416</f>
        <v>1.3990384615384615</v>
      </c>
      <c r="H164" s="14">
        <v>1</v>
      </c>
      <c r="I164" s="229">
        <v>0</v>
      </c>
      <c r="J164" s="229">
        <v>0</v>
      </c>
      <c r="K164" s="26">
        <v>0</v>
      </c>
      <c r="L164" s="14">
        <v>0</v>
      </c>
      <c r="M164" s="229">
        <v>0</v>
      </c>
      <c r="N164" s="229">
        <v>0</v>
      </c>
      <c r="O164" s="229">
        <v>1</v>
      </c>
      <c r="P164" s="26">
        <v>1</v>
      </c>
      <c r="Q164" s="14">
        <v>0</v>
      </c>
      <c r="R164" s="24">
        <v>0</v>
      </c>
      <c r="S164" s="24">
        <v>0</v>
      </c>
      <c r="T164" s="24">
        <v>0</v>
      </c>
      <c r="U164" s="24">
        <v>0</v>
      </c>
      <c r="V164" s="24">
        <v>0</v>
      </c>
      <c r="W164" s="24">
        <v>0</v>
      </c>
      <c r="X164" s="24">
        <v>0</v>
      </c>
      <c r="Y164" s="24">
        <v>0</v>
      </c>
      <c r="Z164" s="24">
        <v>0</v>
      </c>
      <c r="AA164" s="24">
        <v>0</v>
      </c>
      <c r="AB164" s="24"/>
      <c r="AC164" s="12">
        <v>1</v>
      </c>
      <c r="AD164" s="14">
        <v>1</v>
      </c>
      <c r="AE164" s="14">
        <v>0</v>
      </c>
      <c r="AF164" s="26">
        <v>0</v>
      </c>
      <c r="AG164" s="12">
        <v>153</v>
      </c>
      <c r="AH164" s="14">
        <v>0</v>
      </c>
      <c r="AI164" s="209"/>
      <c r="AJ164" s="3"/>
      <c r="AK164" s="3"/>
      <c r="AL164" s="3"/>
      <c r="AM164" s="3"/>
      <c r="AN164" s="3"/>
      <c r="AO164" s="40"/>
      <c r="AP164" s="209"/>
      <c r="AQ164" s="3"/>
      <c r="AR164" s="40"/>
      <c r="AS164" s="238"/>
    </row>
    <row r="165" spans="1:45" s="229" customFormat="1">
      <c r="A165" s="83" t="s">
        <v>321</v>
      </c>
      <c r="B165" s="384">
        <v>2.7285333333333335</v>
      </c>
      <c r="C165" s="8" t="s">
        <v>257</v>
      </c>
      <c r="D165" s="8" t="s">
        <v>423</v>
      </c>
      <c r="E165" s="8"/>
      <c r="F165" s="8">
        <v>910</v>
      </c>
      <c r="G165" s="10">
        <f>F165/750</f>
        <v>1.2133333333333334</v>
      </c>
      <c r="H165" s="11">
        <v>1</v>
      </c>
      <c r="I165" s="8">
        <v>0</v>
      </c>
      <c r="J165" s="8">
        <v>0</v>
      </c>
      <c r="K165" s="41">
        <v>0</v>
      </c>
      <c r="L165" s="11">
        <v>1</v>
      </c>
      <c r="M165" s="8">
        <v>0</v>
      </c>
      <c r="N165" s="8">
        <v>0</v>
      </c>
      <c r="O165" s="8">
        <v>0</v>
      </c>
      <c r="P165" s="41">
        <v>1</v>
      </c>
      <c r="Q165" s="11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/>
      <c r="AC165" s="9">
        <v>1</v>
      </c>
      <c r="AD165" s="11">
        <v>1</v>
      </c>
      <c r="AE165" s="11">
        <v>0</v>
      </c>
      <c r="AF165" s="41">
        <v>0</v>
      </c>
      <c r="AG165" s="9">
        <v>130</v>
      </c>
      <c r="AH165" s="11">
        <v>1</v>
      </c>
      <c r="AI165" s="208">
        <v>88.350867830679348</v>
      </c>
      <c r="AJ165" s="54"/>
      <c r="AK165" s="54"/>
      <c r="AL165" s="54"/>
      <c r="AM165" s="54"/>
      <c r="AN165" s="54"/>
      <c r="AO165" s="10"/>
      <c r="AP165" s="208">
        <v>89.814149435606339</v>
      </c>
      <c r="AQ165" s="54"/>
      <c r="AR165" s="10"/>
      <c r="AS165" s="237"/>
    </row>
    <row r="166" spans="1:45" s="229" customFormat="1">
      <c r="A166" s="83" t="s">
        <v>321</v>
      </c>
      <c r="B166" s="386">
        <v>2.7285333333333335</v>
      </c>
      <c r="C166" s="229" t="s">
        <v>257</v>
      </c>
      <c r="D166" s="229" t="s">
        <v>622</v>
      </c>
      <c r="E166" s="229" t="s">
        <v>0</v>
      </c>
      <c r="F166" s="229">
        <v>1122</v>
      </c>
      <c r="G166" s="40">
        <f>F166/765</f>
        <v>1.4666666666666666</v>
      </c>
      <c r="H166" s="14">
        <v>0</v>
      </c>
      <c r="I166" s="229">
        <v>1</v>
      </c>
      <c r="J166" s="229">
        <v>0</v>
      </c>
      <c r="K166" s="26">
        <v>1</v>
      </c>
      <c r="L166" s="14">
        <v>0</v>
      </c>
      <c r="M166" s="229">
        <v>0</v>
      </c>
      <c r="N166" s="229">
        <v>0</v>
      </c>
      <c r="O166" s="229">
        <v>0</v>
      </c>
      <c r="P166" s="26">
        <v>0</v>
      </c>
      <c r="Q166" s="14">
        <v>0</v>
      </c>
      <c r="R166" s="229">
        <v>0</v>
      </c>
      <c r="S166" s="229">
        <v>0</v>
      </c>
      <c r="T166" s="229">
        <v>0</v>
      </c>
      <c r="U166" s="229">
        <v>0</v>
      </c>
      <c r="V166" s="229">
        <v>0</v>
      </c>
      <c r="W166" s="229">
        <v>0</v>
      </c>
      <c r="X166" s="229">
        <v>0</v>
      </c>
      <c r="Y166" s="229">
        <v>0</v>
      </c>
      <c r="Z166" s="229">
        <v>0</v>
      </c>
      <c r="AA166" s="229">
        <v>0</v>
      </c>
      <c r="AC166" s="12">
        <v>2</v>
      </c>
      <c r="AD166" s="14">
        <v>6</v>
      </c>
      <c r="AE166" s="14">
        <v>28</v>
      </c>
      <c r="AF166" s="26">
        <v>1122</v>
      </c>
      <c r="AG166" s="12">
        <v>56</v>
      </c>
      <c r="AH166" s="14">
        <v>0</v>
      </c>
      <c r="AI166" s="209">
        <v>88.222347209845779</v>
      </c>
      <c r="AJ166" s="3"/>
      <c r="AK166" s="3"/>
      <c r="AL166" s="3"/>
      <c r="AM166" s="3"/>
      <c r="AN166" s="3"/>
      <c r="AO166" s="40"/>
      <c r="AP166" s="209">
        <v>88.572699042059796</v>
      </c>
      <c r="AQ166" s="3"/>
      <c r="AR166" s="40"/>
      <c r="AS166" s="238"/>
    </row>
    <row r="167" spans="1:45" s="229" customFormat="1">
      <c r="A167" s="83" t="s">
        <v>321</v>
      </c>
      <c r="B167" s="386">
        <v>2.7285333333333335</v>
      </c>
      <c r="C167" s="229" t="s">
        <v>257</v>
      </c>
      <c r="D167" s="229" t="s">
        <v>622</v>
      </c>
      <c r="E167" s="229" t="s">
        <v>1</v>
      </c>
      <c r="F167" s="229">
        <v>373</v>
      </c>
      <c r="G167" s="40">
        <f>F167/276</f>
        <v>1.3514492753623188</v>
      </c>
      <c r="H167" s="14">
        <v>1</v>
      </c>
      <c r="I167" s="229">
        <v>1</v>
      </c>
      <c r="J167" s="229">
        <v>0</v>
      </c>
      <c r="K167" s="26">
        <v>0</v>
      </c>
      <c r="L167" s="14">
        <v>0</v>
      </c>
      <c r="M167" s="229">
        <v>0</v>
      </c>
      <c r="N167" s="229">
        <v>0</v>
      </c>
      <c r="O167" s="229">
        <v>0</v>
      </c>
      <c r="P167" s="26">
        <v>0</v>
      </c>
      <c r="Q167" s="14">
        <v>0</v>
      </c>
      <c r="R167" s="229">
        <v>0</v>
      </c>
      <c r="S167" s="229">
        <v>0</v>
      </c>
      <c r="T167" s="229">
        <v>0</v>
      </c>
      <c r="U167" s="229">
        <v>0</v>
      </c>
      <c r="V167" s="229">
        <v>0</v>
      </c>
      <c r="W167" s="229">
        <v>0</v>
      </c>
      <c r="X167" s="229">
        <v>0</v>
      </c>
      <c r="Y167" s="229">
        <v>0</v>
      </c>
      <c r="Z167" s="229">
        <v>0</v>
      </c>
      <c r="AA167" s="229">
        <v>0</v>
      </c>
      <c r="AC167" s="12">
        <v>2</v>
      </c>
      <c r="AD167" s="14">
        <v>7</v>
      </c>
      <c r="AE167" s="14">
        <v>25</v>
      </c>
      <c r="AF167" s="26">
        <v>373</v>
      </c>
      <c r="AG167" s="12">
        <v>56</v>
      </c>
      <c r="AH167" s="14">
        <v>0</v>
      </c>
      <c r="AI167" s="209"/>
      <c r="AJ167" s="3"/>
      <c r="AK167" s="3"/>
      <c r="AL167" s="3"/>
      <c r="AM167" s="3"/>
      <c r="AN167" s="3"/>
      <c r="AO167" s="40"/>
      <c r="AP167" s="209"/>
      <c r="AQ167" s="3"/>
      <c r="AR167" s="40"/>
      <c r="AS167" s="238"/>
    </row>
    <row r="168" spans="1:45" s="229" customFormat="1">
      <c r="A168" s="83" t="s">
        <v>321</v>
      </c>
      <c r="B168" s="386">
        <v>2.7285333333333335</v>
      </c>
      <c r="C168" s="229" t="s">
        <v>257</v>
      </c>
      <c r="D168" s="229" t="s">
        <v>620</v>
      </c>
      <c r="E168" s="229" t="s">
        <v>0</v>
      </c>
      <c r="F168" s="229">
        <v>268</v>
      </c>
      <c r="G168" s="40">
        <f>F168/243</f>
        <v>1.1028806584362141</v>
      </c>
      <c r="H168" s="14">
        <v>0</v>
      </c>
      <c r="I168" s="229">
        <v>1</v>
      </c>
      <c r="J168" s="229">
        <v>0</v>
      </c>
      <c r="K168" s="26">
        <v>0</v>
      </c>
      <c r="L168" s="14">
        <v>0</v>
      </c>
      <c r="M168" s="229">
        <v>0</v>
      </c>
      <c r="N168" s="229">
        <v>1</v>
      </c>
      <c r="O168" s="229">
        <v>0</v>
      </c>
      <c r="P168" s="26">
        <v>1</v>
      </c>
      <c r="Q168" s="14">
        <v>5</v>
      </c>
      <c r="R168" s="229">
        <v>6</v>
      </c>
      <c r="S168" s="229">
        <v>22</v>
      </c>
      <c r="T168" s="229">
        <v>0</v>
      </c>
      <c r="U168" s="229">
        <v>0</v>
      </c>
      <c r="V168" s="229">
        <v>0</v>
      </c>
      <c r="W168" s="229">
        <v>0</v>
      </c>
      <c r="X168" s="229">
        <v>0</v>
      </c>
      <c r="Y168" s="229">
        <v>0</v>
      </c>
      <c r="Z168" s="229">
        <v>0</v>
      </c>
      <c r="AA168" s="229">
        <v>0</v>
      </c>
      <c r="AC168" s="12">
        <v>1</v>
      </c>
      <c r="AD168" s="14">
        <v>1</v>
      </c>
      <c r="AE168" s="14">
        <v>0</v>
      </c>
      <c r="AF168" s="26">
        <v>0</v>
      </c>
      <c r="AG168" s="12">
        <v>65</v>
      </c>
      <c r="AH168" s="14">
        <v>1</v>
      </c>
      <c r="AI168" s="209"/>
      <c r="AJ168" s="3"/>
      <c r="AK168" s="3"/>
      <c r="AL168" s="3"/>
      <c r="AM168" s="3"/>
      <c r="AN168" s="3"/>
      <c r="AO168" s="40"/>
      <c r="AP168" s="209"/>
      <c r="AQ168" s="3"/>
      <c r="AR168" s="40"/>
      <c r="AS168" s="238"/>
    </row>
    <row r="169" spans="1:45" s="229" customFormat="1">
      <c r="A169" s="83" t="s">
        <v>321</v>
      </c>
      <c r="B169" s="386">
        <v>2.7285333333333335</v>
      </c>
      <c r="C169" s="229" t="s">
        <v>257</v>
      </c>
      <c r="D169" s="229" t="s">
        <v>620</v>
      </c>
      <c r="E169" s="229" t="s">
        <v>1</v>
      </c>
      <c r="F169" s="229">
        <v>367</v>
      </c>
      <c r="G169" s="40">
        <f>F169/235</f>
        <v>1.5617021276595744</v>
      </c>
      <c r="H169" s="14">
        <v>0</v>
      </c>
      <c r="I169" s="229">
        <v>1</v>
      </c>
      <c r="J169" s="229">
        <v>0</v>
      </c>
      <c r="K169" s="26">
        <v>0</v>
      </c>
      <c r="L169" s="14">
        <v>0</v>
      </c>
      <c r="M169" s="229">
        <v>0</v>
      </c>
      <c r="N169" s="229">
        <v>1</v>
      </c>
      <c r="O169" s="229">
        <v>0</v>
      </c>
      <c r="P169" s="26">
        <v>1</v>
      </c>
      <c r="Q169" s="14">
        <v>5</v>
      </c>
      <c r="R169" s="229">
        <v>6</v>
      </c>
      <c r="S169" s="229">
        <v>37</v>
      </c>
      <c r="T169" s="229">
        <v>0</v>
      </c>
      <c r="U169" s="229">
        <v>0</v>
      </c>
      <c r="V169" s="229">
        <v>0</v>
      </c>
      <c r="W169" s="229">
        <v>0</v>
      </c>
      <c r="X169" s="229">
        <v>0</v>
      </c>
      <c r="Y169" s="229">
        <v>0</v>
      </c>
      <c r="Z169" s="229">
        <v>0</v>
      </c>
      <c r="AA169" s="229">
        <v>0</v>
      </c>
      <c r="AC169" s="12">
        <v>1</v>
      </c>
      <c r="AD169" s="14">
        <v>1</v>
      </c>
      <c r="AE169" s="14">
        <v>0</v>
      </c>
      <c r="AF169" s="26">
        <v>0</v>
      </c>
      <c r="AG169" s="12">
        <v>65</v>
      </c>
      <c r="AH169" s="14">
        <v>1</v>
      </c>
      <c r="AI169" s="209"/>
      <c r="AJ169" s="3"/>
      <c r="AK169" s="3"/>
      <c r="AL169" s="3"/>
      <c r="AM169" s="3"/>
      <c r="AN169" s="3"/>
      <c r="AO169" s="40"/>
      <c r="AP169" s="209"/>
      <c r="AQ169" s="3"/>
      <c r="AR169" s="40"/>
      <c r="AS169" s="238"/>
    </row>
    <row r="170" spans="1:45" s="229" customFormat="1">
      <c r="A170" s="83" t="s">
        <v>321</v>
      </c>
      <c r="B170" s="386">
        <v>2.7285333333333335</v>
      </c>
      <c r="C170" s="229" t="s">
        <v>257</v>
      </c>
      <c r="D170" s="229" t="s">
        <v>629</v>
      </c>
      <c r="E170" s="229" t="s">
        <v>0</v>
      </c>
      <c r="F170" s="229">
        <v>1264</v>
      </c>
      <c r="G170" s="40">
        <f>F170/729</f>
        <v>1.7338820301783264</v>
      </c>
      <c r="H170" s="14">
        <v>1</v>
      </c>
      <c r="I170" s="229">
        <v>0</v>
      </c>
      <c r="J170" s="229">
        <v>0</v>
      </c>
      <c r="K170" s="26">
        <v>0</v>
      </c>
      <c r="L170" s="14">
        <v>0</v>
      </c>
      <c r="M170" s="229">
        <v>0</v>
      </c>
      <c r="N170" s="229">
        <v>0</v>
      </c>
      <c r="O170" s="229">
        <v>0</v>
      </c>
      <c r="P170" s="26">
        <v>0</v>
      </c>
      <c r="Q170" s="14">
        <v>0</v>
      </c>
      <c r="R170" s="229">
        <v>0</v>
      </c>
      <c r="S170" s="229">
        <v>0</v>
      </c>
      <c r="T170" s="229">
        <v>0</v>
      </c>
      <c r="U170" s="229">
        <v>0</v>
      </c>
      <c r="V170" s="229">
        <v>0</v>
      </c>
      <c r="W170" s="229">
        <v>0</v>
      </c>
      <c r="X170" s="229">
        <v>0</v>
      </c>
      <c r="Y170" s="229">
        <v>0</v>
      </c>
      <c r="Z170" s="229">
        <v>0</v>
      </c>
      <c r="AA170" s="229">
        <v>0</v>
      </c>
      <c r="AC170" s="12">
        <v>2</v>
      </c>
      <c r="AD170" s="14">
        <v>2</v>
      </c>
      <c r="AE170" s="14">
        <v>307</v>
      </c>
      <c r="AF170" s="26">
        <v>1098</v>
      </c>
      <c r="AG170" s="12">
        <v>58</v>
      </c>
      <c r="AH170" s="14">
        <v>0</v>
      </c>
      <c r="AI170" s="209"/>
      <c r="AJ170" s="3"/>
      <c r="AK170" s="3"/>
      <c r="AL170" s="3"/>
      <c r="AM170" s="3"/>
      <c r="AN170" s="3"/>
      <c r="AO170" s="40"/>
      <c r="AP170" s="209"/>
      <c r="AQ170" s="3"/>
      <c r="AR170" s="40"/>
      <c r="AS170" s="238"/>
    </row>
    <row r="171" spans="1:45" s="229" customFormat="1">
      <c r="A171" s="83" t="s">
        <v>321</v>
      </c>
      <c r="B171" s="386">
        <v>2.7285333333333335</v>
      </c>
      <c r="C171" s="229" t="s">
        <v>257</v>
      </c>
      <c r="D171" s="229" t="s">
        <v>629</v>
      </c>
      <c r="E171" s="229" t="s">
        <v>1</v>
      </c>
      <c r="F171" s="229">
        <v>619</v>
      </c>
      <c r="G171" s="40">
        <f>F171/590</f>
        <v>1.0491525423728814</v>
      </c>
      <c r="H171" s="14">
        <v>0</v>
      </c>
      <c r="I171" s="229">
        <v>1</v>
      </c>
      <c r="J171" s="229">
        <v>0</v>
      </c>
      <c r="K171" s="26">
        <v>1</v>
      </c>
      <c r="L171" s="14">
        <v>0</v>
      </c>
      <c r="M171" s="229">
        <v>0</v>
      </c>
      <c r="N171" s="229">
        <v>0</v>
      </c>
      <c r="O171" s="229">
        <v>0</v>
      </c>
      <c r="P171" s="26">
        <v>0</v>
      </c>
      <c r="Q171" s="14">
        <v>1</v>
      </c>
      <c r="R171" s="229">
        <v>0</v>
      </c>
      <c r="S171" s="229">
        <v>12</v>
      </c>
      <c r="T171" s="229">
        <v>0</v>
      </c>
      <c r="U171" s="229">
        <v>0</v>
      </c>
      <c r="V171" s="229">
        <v>0</v>
      </c>
      <c r="W171" s="229">
        <v>0</v>
      </c>
      <c r="X171" s="229">
        <v>0</v>
      </c>
      <c r="Y171" s="229">
        <v>0</v>
      </c>
      <c r="Z171" s="229">
        <v>0</v>
      </c>
      <c r="AA171" s="229">
        <v>0</v>
      </c>
      <c r="AC171" s="12">
        <v>2</v>
      </c>
      <c r="AD171" s="14">
        <v>2</v>
      </c>
      <c r="AE171" s="14">
        <v>313</v>
      </c>
      <c r="AF171" s="26">
        <v>619</v>
      </c>
      <c r="AG171" s="12">
        <v>58</v>
      </c>
      <c r="AH171" s="14">
        <v>0</v>
      </c>
      <c r="AI171" s="209"/>
      <c r="AJ171" s="3"/>
      <c r="AK171" s="3"/>
      <c r="AL171" s="3"/>
      <c r="AM171" s="3"/>
      <c r="AN171" s="3"/>
      <c r="AO171" s="40"/>
      <c r="AP171" s="209"/>
      <c r="AQ171" s="3"/>
      <c r="AR171" s="40"/>
      <c r="AS171" s="238"/>
    </row>
    <row r="172" spans="1:45" s="229" customFormat="1">
      <c r="A172" s="83" t="s">
        <v>321</v>
      </c>
      <c r="B172" s="386">
        <v>2.7285333333333335</v>
      </c>
      <c r="C172" s="229" t="s">
        <v>257</v>
      </c>
      <c r="D172" s="229" t="s">
        <v>634</v>
      </c>
      <c r="E172" s="229" t="s">
        <v>0</v>
      </c>
      <c r="F172" s="229">
        <v>946</v>
      </c>
      <c r="G172" s="40">
        <f>F172/849</f>
        <v>1.1142520612485276</v>
      </c>
      <c r="H172" s="14">
        <v>1</v>
      </c>
      <c r="I172" s="229">
        <v>0</v>
      </c>
      <c r="J172" s="229">
        <v>0</v>
      </c>
      <c r="K172" s="26">
        <v>1</v>
      </c>
      <c r="L172" s="14">
        <v>0</v>
      </c>
      <c r="M172" s="229">
        <v>0</v>
      </c>
      <c r="N172" s="229">
        <v>1</v>
      </c>
      <c r="O172" s="229">
        <v>0</v>
      </c>
      <c r="P172" s="26">
        <v>1</v>
      </c>
      <c r="Q172" s="14">
        <v>0</v>
      </c>
      <c r="R172" s="229">
        <v>0</v>
      </c>
      <c r="S172" s="229">
        <v>0</v>
      </c>
      <c r="T172" s="229">
        <v>0</v>
      </c>
      <c r="U172" s="229">
        <v>0</v>
      </c>
      <c r="V172" s="229">
        <v>0</v>
      </c>
      <c r="W172" s="229">
        <v>0</v>
      </c>
      <c r="X172" s="229">
        <v>0</v>
      </c>
      <c r="Y172" s="229">
        <v>0</v>
      </c>
      <c r="Z172" s="229">
        <v>0</v>
      </c>
      <c r="AA172" s="229">
        <v>0</v>
      </c>
      <c r="AC172" s="12">
        <v>2</v>
      </c>
      <c r="AD172" s="14">
        <v>2</v>
      </c>
      <c r="AE172" s="14">
        <v>946</v>
      </c>
      <c r="AF172" s="26">
        <v>252</v>
      </c>
      <c r="AG172" s="12">
        <v>58</v>
      </c>
      <c r="AH172" s="14">
        <v>1</v>
      </c>
      <c r="AI172" s="209"/>
      <c r="AJ172" s="3"/>
      <c r="AK172" s="3"/>
      <c r="AL172" s="3"/>
      <c r="AM172" s="3"/>
      <c r="AN172" s="3"/>
      <c r="AO172" s="40"/>
      <c r="AP172" s="209"/>
      <c r="AQ172" s="3"/>
      <c r="AR172" s="40"/>
      <c r="AS172" s="238"/>
    </row>
    <row r="173" spans="1:45" s="229" customFormat="1">
      <c r="A173" s="83" t="s">
        <v>321</v>
      </c>
      <c r="B173" s="386">
        <v>2.7285333333333335</v>
      </c>
      <c r="C173" s="229" t="s">
        <v>257</v>
      </c>
      <c r="D173" s="229" t="s">
        <v>634</v>
      </c>
      <c r="E173" s="229" t="s">
        <v>1</v>
      </c>
      <c r="F173" s="229">
        <v>73</v>
      </c>
      <c r="G173" s="40">
        <f>F173/64</f>
        <v>1.140625</v>
      </c>
      <c r="H173" s="14">
        <v>1</v>
      </c>
      <c r="I173" s="229">
        <v>0</v>
      </c>
      <c r="J173" s="229">
        <v>0</v>
      </c>
      <c r="K173" s="26">
        <v>0</v>
      </c>
      <c r="L173" s="14">
        <v>0</v>
      </c>
      <c r="M173" s="229">
        <v>0</v>
      </c>
      <c r="N173" s="229">
        <v>0</v>
      </c>
      <c r="O173" s="229">
        <v>0</v>
      </c>
      <c r="P173" s="26">
        <v>0</v>
      </c>
      <c r="Q173" s="14">
        <v>0</v>
      </c>
      <c r="R173" s="229">
        <v>0</v>
      </c>
      <c r="S173" s="229">
        <v>0</v>
      </c>
      <c r="T173" s="229">
        <v>0</v>
      </c>
      <c r="U173" s="229">
        <v>0</v>
      </c>
      <c r="V173" s="229">
        <v>0</v>
      </c>
      <c r="W173" s="229">
        <v>0</v>
      </c>
      <c r="X173" s="229">
        <v>0</v>
      </c>
      <c r="Y173" s="229">
        <v>0</v>
      </c>
      <c r="Z173" s="229">
        <v>0</v>
      </c>
      <c r="AA173" s="229">
        <v>0</v>
      </c>
      <c r="AC173" s="12">
        <v>1</v>
      </c>
      <c r="AD173" s="14">
        <v>1</v>
      </c>
      <c r="AE173" s="14">
        <v>0</v>
      </c>
      <c r="AF173" s="26">
        <v>0</v>
      </c>
      <c r="AG173" s="12">
        <v>58</v>
      </c>
      <c r="AH173" s="14">
        <v>0</v>
      </c>
      <c r="AI173" s="209"/>
      <c r="AJ173" s="3"/>
      <c r="AK173" s="3"/>
      <c r="AL173" s="3"/>
      <c r="AM173" s="3"/>
      <c r="AN173" s="3"/>
      <c r="AO173" s="40"/>
      <c r="AP173" s="209"/>
      <c r="AQ173" s="3"/>
      <c r="AR173" s="40"/>
      <c r="AS173" s="238"/>
    </row>
    <row r="174" spans="1:45" s="229" customFormat="1">
      <c r="A174" s="83" t="s">
        <v>321</v>
      </c>
      <c r="B174" s="386">
        <v>2.7285333333333335</v>
      </c>
      <c r="C174" s="229" t="s">
        <v>257</v>
      </c>
      <c r="D174" s="229" t="s">
        <v>625</v>
      </c>
      <c r="F174" s="229">
        <v>1292</v>
      </c>
      <c r="G174" s="40">
        <f>F174/641</f>
        <v>2.0156006240249611</v>
      </c>
      <c r="H174" s="14">
        <v>0</v>
      </c>
      <c r="I174" s="229">
        <v>0</v>
      </c>
      <c r="J174" s="229">
        <v>0</v>
      </c>
      <c r="K174" s="26">
        <v>1</v>
      </c>
      <c r="L174" s="14">
        <v>0</v>
      </c>
      <c r="M174" s="229">
        <v>0</v>
      </c>
      <c r="N174" s="229">
        <v>0</v>
      </c>
      <c r="O174" s="229">
        <v>1</v>
      </c>
      <c r="P174" s="26">
        <v>1</v>
      </c>
      <c r="Q174" s="14">
        <v>2</v>
      </c>
      <c r="R174" s="229">
        <v>0</v>
      </c>
      <c r="S174" s="229">
        <v>0</v>
      </c>
      <c r="T174" s="229">
        <v>0</v>
      </c>
      <c r="U174" s="229">
        <v>71</v>
      </c>
      <c r="V174" s="229">
        <v>0</v>
      </c>
      <c r="W174" s="229">
        <v>0</v>
      </c>
      <c r="X174" s="229">
        <v>0</v>
      </c>
      <c r="Y174" s="229">
        <v>0</v>
      </c>
      <c r="Z174" s="229">
        <v>0</v>
      </c>
      <c r="AA174" s="229">
        <v>0</v>
      </c>
      <c r="AC174" s="12">
        <v>1</v>
      </c>
      <c r="AD174" s="14">
        <v>1</v>
      </c>
      <c r="AE174" s="14">
        <v>0</v>
      </c>
      <c r="AF174" s="26">
        <v>0</v>
      </c>
      <c r="AG174" s="12">
        <v>119</v>
      </c>
      <c r="AH174" s="14">
        <v>1</v>
      </c>
      <c r="AI174" s="209">
        <v>89.654709406287466</v>
      </c>
      <c r="AJ174" s="3"/>
      <c r="AK174" s="3"/>
      <c r="AL174" s="3"/>
      <c r="AM174" s="3"/>
      <c r="AN174" s="3"/>
      <c r="AO174" s="40"/>
      <c r="AP174" s="209">
        <v>89.268314926085409</v>
      </c>
      <c r="AQ174" s="3"/>
      <c r="AR174" s="40"/>
      <c r="AS174" s="238"/>
    </row>
    <row r="175" spans="1:45" s="229" customFormat="1">
      <c r="A175" s="83" t="s">
        <v>321</v>
      </c>
      <c r="B175" s="386">
        <v>2.7285333333333335</v>
      </c>
      <c r="C175" s="229" t="s">
        <v>257</v>
      </c>
      <c r="D175" s="229" t="s">
        <v>630</v>
      </c>
      <c r="F175" s="229">
        <v>803</v>
      </c>
      <c r="G175" s="40">
        <f>F175/677</f>
        <v>1.1861152141802067</v>
      </c>
      <c r="H175" s="14">
        <v>1</v>
      </c>
      <c r="I175" s="229">
        <v>0</v>
      </c>
      <c r="J175" s="229">
        <v>0</v>
      </c>
      <c r="K175" s="26">
        <v>1</v>
      </c>
      <c r="L175" s="14">
        <v>0</v>
      </c>
      <c r="M175" s="229">
        <v>0</v>
      </c>
      <c r="N175" s="229">
        <v>0</v>
      </c>
      <c r="O175" s="229">
        <v>0</v>
      </c>
      <c r="P175" s="26">
        <v>0</v>
      </c>
      <c r="Q175" s="14">
        <v>0</v>
      </c>
      <c r="R175" s="229">
        <v>0</v>
      </c>
      <c r="S175" s="229">
        <v>0</v>
      </c>
      <c r="T175" s="229">
        <v>0</v>
      </c>
      <c r="U175" s="229">
        <v>0</v>
      </c>
      <c r="V175" s="229">
        <v>0</v>
      </c>
      <c r="W175" s="229">
        <v>0</v>
      </c>
      <c r="X175" s="229">
        <v>0</v>
      </c>
      <c r="Y175" s="229">
        <v>0</v>
      </c>
      <c r="Z175" s="229">
        <v>0</v>
      </c>
      <c r="AA175" s="229">
        <v>0</v>
      </c>
      <c r="AC175" s="12">
        <v>2</v>
      </c>
      <c r="AD175" s="14">
        <v>2</v>
      </c>
      <c r="AE175" s="14">
        <v>239</v>
      </c>
      <c r="AF175" s="26">
        <v>803</v>
      </c>
      <c r="AG175" s="12">
        <v>79</v>
      </c>
      <c r="AH175" s="14">
        <v>0</v>
      </c>
      <c r="AI175" s="209"/>
      <c r="AJ175" s="3"/>
      <c r="AK175" s="3"/>
      <c r="AL175" s="3"/>
      <c r="AM175" s="3"/>
      <c r="AN175" s="3"/>
      <c r="AO175" s="40"/>
      <c r="AP175" s="209"/>
      <c r="AQ175" s="3"/>
      <c r="AR175" s="40"/>
      <c r="AS175" s="238"/>
    </row>
    <row r="176" spans="1:45" s="229" customFormat="1">
      <c r="A176" s="83" t="s">
        <v>321</v>
      </c>
      <c r="B176" s="386">
        <v>2.7285333333333335</v>
      </c>
      <c r="C176" s="229" t="s">
        <v>257</v>
      </c>
      <c r="D176" s="229" t="s">
        <v>637</v>
      </c>
      <c r="F176" s="229">
        <v>647</v>
      </c>
      <c r="G176" s="40">
        <f>F176/540</f>
        <v>1.1981481481481482</v>
      </c>
      <c r="H176" s="14">
        <v>0</v>
      </c>
      <c r="I176" s="229">
        <v>1</v>
      </c>
      <c r="J176" s="229">
        <v>0</v>
      </c>
      <c r="K176" s="26">
        <v>0</v>
      </c>
      <c r="L176" s="14">
        <v>0</v>
      </c>
      <c r="M176" s="229">
        <v>0</v>
      </c>
      <c r="N176" s="229">
        <v>1</v>
      </c>
      <c r="O176" s="229">
        <v>0</v>
      </c>
      <c r="P176" s="26">
        <v>1</v>
      </c>
      <c r="Q176" s="14">
        <v>0</v>
      </c>
      <c r="R176" s="229">
        <v>0</v>
      </c>
      <c r="S176" s="229">
        <v>0</v>
      </c>
      <c r="T176" s="229">
        <v>0</v>
      </c>
      <c r="U176" s="229">
        <v>0</v>
      </c>
      <c r="V176" s="229">
        <v>0</v>
      </c>
      <c r="W176" s="229">
        <v>0</v>
      </c>
      <c r="X176" s="229">
        <v>0</v>
      </c>
      <c r="Y176" s="229">
        <v>0</v>
      </c>
      <c r="Z176" s="229">
        <v>0</v>
      </c>
      <c r="AA176" s="229">
        <v>0</v>
      </c>
      <c r="AC176" s="12">
        <v>1</v>
      </c>
      <c r="AD176" s="14">
        <v>1</v>
      </c>
      <c r="AE176" s="14">
        <v>0</v>
      </c>
      <c r="AF176" s="26">
        <v>0</v>
      </c>
      <c r="AG176" s="12">
        <v>98</v>
      </c>
      <c r="AH176" s="14">
        <v>0</v>
      </c>
      <c r="AI176" s="209"/>
      <c r="AJ176" s="3"/>
      <c r="AK176" s="3"/>
      <c r="AL176" s="3"/>
      <c r="AM176" s="3"/>
      <c r="AN176" s="3"/>
      <c r="AO176" s="40"/>
      <c r="AP176" s="209"/>
      <c r="AQ176" s="3"/>
      <c r="AR176" s="40"/>
      <c r="AS176" s="238"/>
    </row>
    <row r="177" spans="1:45" s="229" customFormat="1">
      <c r="A177" s="83" t="s">
        <v>321</v>
      </c>
      <c r="B177" s="386">
        <v>2.7285333333333335</v>
      </c>
      <c r="C177" s="229" t="s">
        <v>257</v>
      </c>
      <c r="D177" s="229" t="s">
        <v>638</v>
      </c>
      <c r="F177" s="229">
        <v>1693</v>
      </c>
      <c r="G177" s="40">
        <f>F177/898</f>
        <v>1.8853006681514477</v>
      </c>
      <c r="H177" s="14">
        <v>0</v>
      </c>
      <c r="I177" s="229">
        <v>1</v>
      </c>
      <c r="J177" s="229">
        <v>0</v>
      </c>
      <c r="K177" s="26">
        <v>1</v>
      </c>
      <c r="L177" s="14">
        <v>0</v>
      </c>
      <c r="M177" s="229">
        <v>0</v>
      </c>
      <c r="N177" s="229">
        <v>0</v>
      </c>
      <c r="O177" s="229">
        <v>1</v>
      </c>
      <c r="P177" s="26">
        <v>1</v>
      </c>
      <c r="Q177" s="14">
        <v>0</v>
      </c>
      <c r="R177" s="229">
        <v>0</v>
      </c>
      <c r="S177" s="229">
        <v>0</v>
      </c>
      <c r="T177" s="229">
        <v>0</v>
      </c>
      <c r="U177" s="229">
        <v>0</v>
      </c>
      <c r="V177" s="229">
        <v>0</v>
      </c>
      <c r="W177" s="229">
        <v>0</v>
      </c>
      <c r="X177" s="229">
        <v>0</v>
      </c>
      <c r="Y177" s="229">
        <v>0</v>
      </c>
      <c r="Z177" s="229">
        <v>0</v>
      </c>
      <c r="AA177" s="229">
        <v>0</v>
      </c>
      <c r="AC177" s="12">
        <v>2</v>
      </c>
      <c r="AD177" s="14">
        <v>2</v>
      </c>
      <c r="AE177" s="14">
        <v>219</v>
      </c>
      <c r="AF177" s="26">
        <v>1693</v>
      </c>
      <c r="AG177" s="12">
        <v>109</v>
      </c>
      <c r="AH177" s="14">
        <v>0</v>
      </c>
      <c r="AI177" s="209">
        <v>87.978611023616622</v>
      </c>
      <c r="AJ177" s="3"/>
      <c r="AK177" s="3"/>
      <c r="AL177" s="3"/>
      <c r="AM177" s="3"/>
      <c r="AN177" s="3"/>
      <c r="AO177" s="40"/>
      <c r="AP177" s="209">
        <v>88.978780295798643</v>
      </c>
      <c r="AQ177" s="3"/>
      <c r="AR177" s="40"/>
      <c r="AS177" s="238"/>
    </row>
    <row r="178" spans="1:45" s="229" customFormat="1">
      <c r="A178" s="83" t="s">
        <v>321</v>
      </c>
      <c r="B178" s="386">
        <v>2.7285333333333335</v>
      </c>
      <c r="C178" s="229" t="s">
        <v>257</v>
      </c>
      <c r="D178" s="229" t="s">
        <v>639</v>
      </c>
      <c r="F178" s="229">
        <v>864</v>
      </c>
      <c r="G178" s="40">
        <f>F178/642</f>
        <v>1.3457943925233644</v>
      </c>
      <c r="H178" s="14">
        <v>0</v>
      </c>
      <c r="I178" s="229">
        <v>1</v>
      </c>
      <c r="J178" s="229">
        <v>0</v>
      </c>
      <c r="K178" s="26">
        <v>0</v>
      </c>
      <c r="L178" s="14">
        <v>1</v>
      </c>
      <c r="M178" s="229">
        <v>0</v>
      </c>
      <c r="N178" s="229">
        <v>0</v>
      </c>
      <c r="O178" s="229">
        <v>0</v>
      </c>
      <c r="P178" s="26">
        <v>1</v>
      </c>
      <c r="Q178" s="14">
        <v>2</v>
      </c>
      <c r="R178" s="229">
        <v>9</v>
      </c>
      <c r="S178" s="229">
        <v>12</v>
      </c>
      <c r="T178" s="229">
        <v>0</v>
      </c>
      <c r="U178" s="229">
        <v>0</v>
      </c>
      <c r="V178" s="229">
        <v>0</v>
      </c>
      <c r="W178" s="229">
        <v>0</v>
      </c>
      <c r="X178" s="229">
        <v>0</v>
      </c>
      <c r="Y178" s="229">
        <v>0</v>
      </c>
      <c r="Z178" s="229">
        <v>11</v>
      </c>
      <c r="AA178" s="229">
        <v>16</v>
      </c>
      <c r="AC178" s="12">
        <v>2</v>
      </c>
      <c r="AD178" s="14">
        <v>2</v>
      </c>
      <c r="AE178" s="14">
        <v>310</v>
      </c>
      <c r="AF178" s="26">
        <v>707</v>
      </c>
      <c r="AG178" s="12">
        <v>106</v>
      </c>
      <c r="AH178" s="14">
        <v>0</v>
      </c>
      <c r="AI178" s="209"/>
      <c r="AJ178" s="3"/>
      <c r="AK178" s="3"/>
      <c r="AL178" s="3"/>
      <c r="AM178" s="3"/>
      <c r="AN178" s="3"/>
      <c r="AO178" s="40"/>
      <c r="AP178" s="209"/>
      <c r="AQ178" s="3"/>
      <c r="AR178" s="40"/>
      <c r="AS178" s="238"/>
    </row>
    <row r="179" spans="1:45" s="229" customFormat="1">
      <c r="A179" s="83" t="s">
        <v>321</v>
      </c>
      <c r="B179" s="386">
        <v>2.7285333333333335</v>
      </c>
      <c r="C179" s="229" t="s">
        <v>257</v>
      </c>
      <c r="D179" s="229" t="s">
        <v>640</v>
      </c>
      <c r="F179" s="229">
        <v>351</v>
      </c>
      <c r="G179" s="40">
        <f>F179/258</f>
        <v>1.3604651162790697</v>
      </c>
      <c r="H179" s="14">
        <v>0</v>
      </c>
      <c r="I179" s="229">
        <v>0</v>
      </c>
      <c r="J179" s="229">
        <v>0</v>
      </c>
      <c r="K179" s="26">
        <v>1</v>
      </c>
      <c r="L179" s="14">
        <v>0</v>
      </c>
      <c r="M179" s="229">
        <v>0</v>
      </c>
      <c r="N179" s="229">
        <v>1</v>
      </c>
      <c r="O179" s="229">
        <v>0</v>
      </c>
      <c r="P179" s="26">
        <v>1</v>
      </c>
      <c r="Q179" s="14">
        <v>0</v>
      </c>
      <c r="R179" s="229">
        <v>0</v>
      </c>
      <c r="S179" s="229">
        <v>0</v>
      </c>
      <c r="T179" s="229">
        <v>0</v>
      </c>
      <c r="U179" s="229">
        <v>0</v>
      </c>
      <c r="V179" s="229">
        <v>0</v>
      </c>
      <c r="W179" s="229">
        <v>0</v>
      </c>
      <c r="X179" s="229">
        <v>0</v>
      </c>
      <c r="Y179" s="229">
        <v>0</v>
      </c>
      <c r="Z179" s="229">
        <v>0</v>
      </c>
      <c r="AA179" s="229">
        <v>0</v>
      </c>
      <c r="AC179" s="12">
        <v>2</v>
      </c>
      <c r="AD179" s="14">
        <v>3</v>
      </c>
      <c r="AE179" s="14">
        <v>106</v>
      </c>
      <c r="AF179" s="26">
        <v>249</v>
      </c>
      <c r="AG179" s="12">
        <v>80</v>
      </c>
      <c r="AH179" s="14">
        <v>1</v>
      </c>
      <c r="AI179" s="209">
        <v>90.532468012565332</v>
      </c>
      <c r="AJ179" s="3">
        <v>90.501811268619761</v>
      </c>
      <c r="AK179" s="3"/>
      <c r="AL179" s="3"/>
      <c r="AM179" s="3"/>
      <c r="AN179" s="3"/>
      <c r="AO179" s="40"/>
      <c r="AP179" s="209">
        <v>88.79232833945612</v>
      </c>
      <c r="AQ179" s="3">
        <v>88.91150388914933</v>
      </c>
      <c r="AR179" s="40"/>
      <c r="AS179" s="238"/>
    </row>
    <row r="180" spans="1:45" s="229" customFormat="1">
      <c r="A180" s="83" t="s">
        <v>321</v>
      </c>
      <c r="B180" s="386">
        <v>2.7285333333333335</v>
      </c>
      <c r="C180" s="229" t="s">
        <v>257</v>
      </c>
      <c r="D180" s="229" t="s">
        <v>641</v>
      </c>
      <c r="F180" s="229">
        <v>2819</v>
      </c>
      <c r="G180" s="40">
        <f>F180/2174</f>
        <v>1.296688132474701</v>
      </c>
      <c r="H180" s="14">
        <v>1</v>
      </c>
      <c r="I180" s="229">
        <v>1</v>
      </c>
      <c r="J180" s="229">
        <v>0</v>
      </c>
      <c r="K180" s="26">
        <v>1</v>
      </c>
      <c r="L180" s="14">
        <v>0</v>
      </c>
      <c r="M180" s="229">
        <v>0</v>
      </c>
      <c r="N180" s="229">
        <v>0</v>
      </c>
      <c r="O180" s="229">
        <v>0</v>
      </c>
      <c r="P180" s="26">
        <v>0</v>
      </c>
      <c r="Q180" s="14">
        <v>0</v>
      </c>
      <c r="R180" s="229">
        <v>0</v>
      </c>
      <c r="S180" s="229">
        <v>0</v>
      </c>
      <c r="T180" s="229">
        <v>0</v>
      </c>
      <c r="U180" s="229">
        <v>0</v>
      </c>
      <c r="V180" s="229">
        <v>0</v>
      </c>
      <c r="W180" s="229">
        <v>0</v>
      </c>
      <c r="X180" s="229">
        <v>0</v>
      </c>
      <c r="Y180" s="229">
        <v>0</v>
      </c>
      <c r="Z180" s="229">
        <v>0</v>
      </c>
      <c r="AA180" s="229">
        <v>0</v>
      </c>
      <c r="AC180" s="12">
        <v>2</v>
      </c>
      <c r="AD180" s="14">
        <v>5</v>
      </c>
      <c r="AE180" s="14">
        <v>375</v>
      </c>
      <c r="AF180" s="26">
        <v>2316</v>
      </c>
      <c r="AG180" s="12">
        <v>127</v>
      </c>
      <c r="AH180" s="14">
        <v>1</v>
      </c>
      <c r="AI180" s="209"/>
      <c r="AJ180" s="3"/>
      <c r="AK180" s="3"/>
      <c r="AL180" s="3"/>
      <c r="AM180" s="3"/>
      <c r="AN180" s="3"/>
      <c r="AO180" s="40"/>
      <c r="AP180" s="209"/>
      <c r="AQ180" s="3"/>
      <c r="AR180" s="40"/>
      <c r="AS180" s="238"/>
    </row>
    <row r="181" spans="1:45" s="229" customFormat="1">
      <c r="A181" s="83" t="s">
        <v>321</v>
      </c>
      <c r="B181" s="386">
        <v>2.7285333333333335</v>
      </c>
      <c r="C181" s="229" t="s">
        <v>257</v>
      </c>
      <c r="D181" s="229" t="s">
        <v>647</v>
      </c>
      <c r="E181" s="229" t="s">
        <v>0</v>
      </c>
      <c r="F181" s="229">
        <v>765</v>
      </c>
      <c r="G181" s="40">
        <f>F181/367</f>
        <v>2.084468664850136</v>
      </c>
      <c r="H181" s="14">
        <v>0</v>
      </c>
      <c r="I181" s="229">
        <v>0</v>
      </c>
      <c r="J181" s="229">
        <v>1</v>
      </c>
      <c r="K181" s="26">
        <v>0</v>
      </c>
      <c r="L181" s="14">
        <v>0</v>
      </c>
      <c r="M181" s="229">
        <v>0</v>
      </c>
      <c r="N181" s="229">
        <v>1</v>
      </c>
      <c r="O181" s="229">
        <v>0</v>
      </c>
      <c r="P181" s="26">
        <v>1</v>
      </c>
      <c r="Q181" s="14">
        <v>2</v>
      </c>
      <c r="R181" s="229">
        <v>9</v>
      </c>
      <c r="S181" s="229">
        <v>22</v>
      </c>
      <c r="T181" s="229">
        <v>0</v>
      </c>
      <c r="U181" s="229">
        <v>0</v>
      </c>
      <c r="V181" s="229">
        <v>0</v>
      </c>
      <c r="W181" s="229">
        <v>0</v>
      </c>
      <c r="X181" s="229">
        <v>0</v>
      </c>
      <c r="Y181" s="229">
        <v>0</v>
      </c>
      <c r="Z181" s="229">
        <v>12</v>
      </c>
      <c r="AA181" s="229">
        <v>42</v>
      </c>
      <c r="AC181" s="12">
        <v>1</v>
      </c>
      <c r="AD181" s="14">
        <v>1</v>
      </c>
      <c r="AE181" s="14">
        <v>0</v>
      </c>
      <c r="AF181" s="26">
        <v>0</v>
      </c>
      <c r="AG181" s="12">
        <v>58</v>
      </c>
      <c r="AH181" s="14">
        <v>1</v>
      </c>
      <c r="AI181" s="209">
        <v>89.062107329651482</v>
      </c>
      <c r="AJ181" s="3"/>
      <c r="AK181" s="3"/>
      <c r="AL181" s="3"/>
      <c r="AM181" s="3"/>
      <c r="AN181" s="3"/>
      <c r="AO181" s="40"/>
      <c r="AP181" s="209">
        <v>88.528983401962265</v>
      </c>
      <c r="AQ181" s="3"/>
      <c r="AR181" s="40"/>
      <c r="AS181" s="238"/>
    </row>
    <row r="182" spans="1:45" s="229" customFormat="1">
      <c r="A182" s="83" t="s">
        <v>321</v>
      </c>
      <c r="B182" s="386">
        <v>2.7285333333333335</v>
      </c>
      <c r="C182" s="229" t="s">
        <v>257</v>
      </c>
      <c r="D182" s="229" t="s">
        <v>647</v>
      </c>
      <c r="E182" s="229" t="s">
        <v>1</v>
      </c>
      <c r="F182" s="229">
        <v>79</v>
      </c>
      <c r="G182" s="40">
        <f>F182/33</f>
        <v>2.393939393939394</v>
      </c>
      <c r="H182" s="14">
        <v>1</v>
      </c>
      <c r="I182" s="229">
        <v>0</v>
      </c>
      <c r="J182" s="229">
        <v>0</v>
      </c>
      <c r="K182" s="26">
        <v>0</v>
      </c>
      <c r="L182" s="14">
        <v>0</v>
      </c>
      <c r="M182" s="229">
        <v>0</v>
      </c>
      <c r="N182" s="229">
        <v>0</v>
      </c>
      <c r="O182" s="229">
        <v>0</v>
      </c>
      <c r="P182" s="26">
        <v>0</v>
      </c>
      <c r="Q182" s="14">
        <v>0</v>
      </c>
      <c r="R182" s="229">
        <v>0</v>
      </c>
      <c r="S182" s="229">
        <v>0</v>
      </c>
      <c r="T182" s="229">
        <v>0</v>
      </c>
      <c r="U182" s="229">
        <v>0</v>
      </c>
      <c r="V182" s="229">
        <v>0</v>
      </c>
      <c r="W182" s="229">
        <v>0</v>
      </c>
      <c r="X182" s="229">
        <v>0</v>
      </c>
      <c r="Y182" s="229">
        <v>0</v>
      </c>
      <c r="Z182" s="229">
        <v>0</v>
      </c>
      <c r="AA182" s="229">
        <v>0</v>
      </c>
      <c r="AC182" s="12">
        <v>2</v>
      </c>
      <c r="AD182" s="14">
        <v>2</v>
      </c>
      <c r="AE182" s="14">
        <v>25</v>
      </c>
      <c r="AF182" s="26">
        <v>58</v>
      </c>
      <c r="AG182" s="12">
        <v>58</v>
      </c>
      <c r="AH182" s="14">
        <v>0</v>
      </c>
      <c r="AI182" s="209"/>
      <c r="AJ182" s="3"/>
      <c r="AK182" s="3"/>
      <c r="AL182" s="3"/>
      <c r="AM182" s="3"/>
      <c r="AN182" s="3"/>
      <c r="AO182" s="40"/>
      <c r="AP182" s="209"/>
      <c r="AQ182" s="3"/>
      <c r="AR182" s="40"/>
      <c r="AS182" s="238"/>
    </row>
    <row r="183" spans="1:45" s="229" customFormat="1">
      <c r="A183" s="83" t="s">
        <v>321</v>
      </c>
      <c r="B183" s="386">
        <v>2.7285333333333335</v>
      </c>
      <c r="C183" s="229" t="s">
        <v>257</v>
      </c>
      <c r="D183" s="229" t="s">
        <v>648</v>
      </c>
      <c r="F183" s="229">
        <v>2428</v>
      </c>
      <c r="G183" s="40">
        <f>F183/1572</f>
        <v>1.5445292620865141</v>
      </c>
      <c r="H183" s="14">
        <v>0</v>
      </c>
      <c r="I183" s="229">
        <v>0</v>
      </c>
      <c r="J183" s="229">
        <v>1</v>
      </c>
      <c r="K183" s="26">
        <v>0</v>
      </c>
      <c r="L183" s="14">
        <v>1</v>
      </c>
      <c r="M183" s="229">
        <v>0</v>
      </c>
      <c r="N183" s="229">
        <v>0</v>
      </c>
      <c r="O183" s="229">
        <v>0</v>
      </c>
      <c r="P183" s="26">
        <v>1</v>
      </c>
      <c r="Q183" s="14">
        <v>2</v>
      </c>
      <c r="R183" s="229">
        <v>0</v>
      </c>
      <c r="S183" s="229">
        <v>0</v>
      </c>
      <c r="T183" s="229">
        <v>0</v>
      </c>
      <c r="U183" s="229">
        <v>0</v>
      </c>
      <c r="V183" s="229">
        <v>12</v>
      </c>
      <c r="W183" s="229">
        <v>141</v>
      </c>
      <c r="X183" s="229">
        <v>0</v>
      </c>
      <c r="Y183" s="229">
        <v>0</v>
      </c>
      <c r="Z183" s="229">
        <v>0</v>
      </c>
      <c r="AA183" s="229">
        <v>0</v>
      </c>
      <c r="AC183" s="12">
        <v>1</v>
      </c>
      <c r="AD183" s="14">
        <v>1</v>
      </c>
      <c r="AE183" s="14">
        <v>0</v>
      </c>
      <c r="AF183" s="26">
        <v>0</v>
      </c>
      <c r="AG183" s="12">
        <v>107</v>
      </c>
      <c r="AH183" s="14">
        <v>1</v>
      </c>
      <c r="AI183" s="209">
        <v>87.953498554180314</v>
      </c>
      <c r="AJ183" s="3"/>
      <c r="AK183" s="3"/>
      <c r="AL183" s="3"/>
      <c r="AM183" s="3"/>
      <c r="AN183" s="3"/>
      <c r="AO183" s="40"/>
      <c r="AP183" s="209">
        <v>88.841686564575951</v>
      </c>
      <c r="AQ183" s="3"/>
      <c r="AR183" s="40"/>
      <c r="AS183" s="238"/>
    </row>
    <row r="184" spans="1:45" s="229" customFormat="1">
      <c r="A184" s="83" t="s">
        <v>321</v>
      </c>
      <c r="B184" s="386">
        <v>2.7285333333333335</v>
      </c>
      <c r="C184" s="229" t="s">
        <v>257</v>
      </c>
      <c r="D184" s="229" t="s">
        <v>649</v>
      </c>
      <c r="E184" s="229" t="s">
        <v>0</v>
      </c>
      <c r="F184" s="229">
        <v>510</v>
      </c>
      <c r="G184" s="40">
        <f>F184/384</f>
        <v>1.328125</v>
      </c>
      <c r="H184" s="14">
        <v>0</v>
      </c>
      <c r="I184" s="229">
        <v>0</v>
      </c>
      <c r="J184" s="229">
        <v>0</v>
      </c>
      <c r="K184" s="26">
        <v>1</v>
      </c>
      <c r="L184" s="14">
        <v>1</v>
      </c>
      <c r="M184" s="229">
        <v>0</v>
      </c>
      <c r="N184" s="229">
        <v>0</v>
      </c>
      <c r="O184" s="229">
        <v>0</v>
      </c>
      <c r="P184" s="26">
        <v>1</v>
      </c>
      <c r="Q184" s="14">
        <v>1</v>
      </c>
      <c r="R184" s="229">
        <v>0</v>
      </c>
      <c r="S184" s="229">
        <v>0</v>
      </c>
      <c r="T184" s="229">
        <v>0</v>
      </c>
      <c r="U184" s="229">
        <v>0</v>
      </c>
      <c r="V184" s="229">
        <v>0</v>
      </c>
      <c r="W184" s="229">
        <v>18</v>
      </c>
      <c r="X184" s="229">
        <v>0</v>
      </c>
      <c r="Y184" s="229">
        <v>0</v>
      </c>
      <c r="Z184" s="229">
        <v>0</v>
      </c>
      <c r="AA184" s="229">
        <v>0</v>
      </c>
      <c r="AC184" s="12">
        <v>1</v>
      </c>
      <c r="AD184" s="14">
        <v>1</v>
      </c>
      <c r="AE184" s="14">
        <v>0</v>
      </c>
      <c r="AF184" s="26">
        <v>0</v>
      </c>
      <c r="AG184" s="12">
        <v>148</v>
      </c>
      <c r="AH184" s="14">
        <v>0</v>
      </c>
      <c r="AI184" s="209"/>
      <c r="AJ184" s="3"/>
      <c r="AK184" s="3"/>
      <c r="AL184" s="3"/>
      <c r="AM184" s="3"/>
      <c r="AN184" s="3"/>
      <c r="AO184" s="40"/>
      <c r="AP184" s="209"/>
      <c r="AQ184" s="3"/>
      <c r="AR184" s="40"/>
      <c r="AS184" s="238"/>
    </row>
    <row r="185" spans="1:45" s="229" customFormat="1">
      <c r="A185" s="83" t="s">
        <v>321</v>
      </c>
      <c r="B185" s="386">
        <v>2.7285333333333335</v>
      </c>
      <c r="C185" s="229" t="s">
        <v>257</v>
      </c>
      <c r="D185" s="229" t="s">
        <v>649</v>
      </c>
      <c r="E185" s="229" t="s">
        <v>1</v>
      </c>
      <c r="F185" s="229">
        <v>433</v>
      </c>
      <c r="G185" s="40">
        <f>F185/308</f>
        <v>1.4058441558441559</v>
      </c>
      <c r="H185" s="14">
        <v>1</v>
      </c>
      <c r="I185" s="229">
        <v>0</v>
      </c>
      <c r="J185" s="229">
        <v>0</v>
      </c>
      <c r="K185" s="26">
        <v>0</v>
      </c>
      <c r="L185" s="14">
        <v>0</v>
      </c>
      <c r="M185" s="229">
        <v>0</v>
      </c>
      <c r="N185" s="229">
        <v>1</v>
      </c>
      <c r="O185" s="229">
        <v>0</v>
      </c>
      <c r="P185" s="26">
        <v>1</v>
      </c>
      <c r="Q185" s="14">
        <v>0</v>
      </c>
      <c r="R185" s="229">
        <v>0</v>
      </c>
      <c r="S185" s="229">
        <v>0</v>
      </c>
      <c r="T185" s="229">
        <v>0</v>
      </c>
      <c r="U185" s="229">
        <v>0</v>
      </c>
      <c r="V185" s="229">
        <v>0</v>
      </c>
      <c r="W185" s="229">
        <v>0</v>
      </c>
      <c r="X185" s="229">
        <v>0</v>
      </c>
      <c r="Y185" s="229">
        <v>0</v>
      </c>
      <c r="Z185" s="229">
        <v>0</v>
      </c>
      <c r="AA185" s="229">
        <v>0</v>
      </c>
      <c r="AC185" s="12">
        <v>1</v>
      </c>
      <c r="AD185" s="14">
        <v>1</v>
      </c>
      <c r="AE185" s="14">
        <v>0</v>
      </c>
      <c r="AF185" s="26">
        <v>0</v>
      </c>
      <c r="AG185" s="12">
        <v>148</v>
      </c>
      <c r="AH185" s="14">
        <v>0</v>
      </c>
      <c r="AI185" s="209"/>
      <c r="AJ185" s="3"/>
      <c r="AK185" s="3"/>
      <c r="AL185" s="3"/>
      <c r="AM185" s="3"/>
      <c r="AN185" s="3"/>
      <c r="AO185" s="40"/>
      <c r="AP185" s="209"/>
      <c r="AQ185" s="3"/>
      <c r="AR185" s="40"/>
      <c r="AS185" s="238"/>
    </row>
    <row r="186" spans="1:45" s="229" customFormat="1" ht="17" thickBot="1">
      <c r="A186" s="83" t="s">
        <v>321</v>
      </c>
      <c r="B186" s="385">
        <v>2.7285333333333335</v>
      </c>
      <c r="C186" s="36" t="s">
        <v>257</v>
      </c>
      <c r="D186" s="36" t="s">
        <v>649</v>
      </c>
      <c r="E186" s="36" t="s">
        <v>2</v>
      </c>
      <c r="F186" s="36">
        <v>1295</v>
      </c>
      <c r="G186" s="48">
        <f>F186/979</f>
        <v>1.3227783452502553</v>
      </c>
      <c r="H186" s="34">
        <v>0</v>
      </c>
      <c r="I186" s="36">
        <v>1</v>
      </c>
      <c r="J186" s="36">
        <v>0</v>
      </c>
      <c r="K186" s="35">
        <v>0</v>
      </c>
      <c r="L186" s="34">
        <v>1</v>
      </c>
      <c r="M186" s="36">
        <v>0</v>
      </c>
      <c r="N186" s="36">
        <v>0</v>
      </c>
      <c r="O186" s="36">
        <v>0</v>
      </c>
      <c r="P186" s="35">
        <v>1</v>
      </c>
      <c r="Q186" s="34">
        <v>0</v>
      </c>
      <c r="R186" s="36">
        <v>0</v>
      </c>
      <c r="S186" s="36">
        <v>0</v>
      </c>
      <c r="T186" s="36">
        <v>0</v>
      </c>
      <c r="U186" s="36">
        <v>0</v>
      </c>
      <c r="V186" s="36">
        <v>0</v>
      </c>
      <c r="W186" s="36">
        <v>0</v>
      </c>
      <c r="X186" s="36">
        <v>0</v>
      </c>
      <c r="Y186" s="36">
        <v>0</v>
      </c>
      <c r="Z186" s="36">
        <v>0</v>
      </c>
      <c r="AA186" s="36">
        <v>0</v>
      </c>
      <c r="AB186" s="36"/>
      <c r="AC186" s="33">
        <v>1</v>
      </c>
      <c r="AD186" s="34">
        <v>1</v>
      </c>
      <c r="AE186" s="34">
        <v>0</v>
      </c>
      <c r="AF186" s="35">
        <v>0</v>
      </c>
      <c r="AG186" s="33">
        <v>148</v>
      </c>
      <c r="AH186" s="34">
        <v>0</v>
      </c>
      <c r="AI186" s="210"/>
      <c r="AJ186" s="51"/>
      <c r="AK186" s="51"/>
      <c r="AL186" s="51"/>
      <c r="AM186" s="51"/>
      <c r="AN186" s="51"/>
      <c r="AO186" s="48"/>
      <c r="AP186" s="210"/>
      <c r="AQ186" s="51"/>
      <c r="AR186" s="48"/>
      <c r="AS186" s="239"/>
    </row>
    <row r="187" spans="1:45" s="229" customFormat="1">
      <c r="A187" s="147" t="s">
        <v>321</v>
      </c>
      <c r="B187" s="384">
        <v>2.7285333333333335</v>
      </c>
      <c r="C187" s="229" t="s">
        <v>223</v>
      </c>
      <c r="D187" s="229" t="s">
        <v>423</v>
      </c>
      <c r="E187" s="229" t="s">
        <v>0</v>
      </c>
      <c r="F187" s="229">
        <v>323</v>
      </c>
      <c r="G187" s="40">
        <f>F187/257</f>
        <v>1.2568093385214008</v>
      </c>
      <c r="H187" s="14">
        <v>0</v>
      </c>
      <c r="I187" s="229">
        <v>0</v>
      </c>
      <c r="J187" s="229">
        <v>0</v>
      </c>
      <c r="K187" s="26">
        <v>1</v>
      </c>
      <c r="L187" s="14">
        <v>0</v>
      </c>
      <c r="M187" s="229">
        <v>0</v>
      </c>
      <c r="N187" s="229">
        <v>0</v>
      </c>
      <c r="O187" s="229">
        <v>0</v>
      </c>
      <c r="P187" s="26">
        <v>0</v>
      </c>
      <c r="Q187" s="14">
        <v>0</v>
      </c>
      <c r="R187" s="229">
        <v>0</v>
      </c>
      <c r="S187" s="229">
        <v>0</v>
      </c>
      <c r="T187" s="229">
        <v>0</v>
      </c>
      <c r="U187" s="229">
        <v>0</v>
      </c>
      <c r="V187" s="229">
        <v>0</v>
      </c>
      <c r="W187" s="229">
        <v>0</v>
      </c>
      <c r="X187" s="229">
        <v>0</v>
      </c>
      <c r="Y187" s="229">
        <v>0</v>
      </c>
      <c r="Z187" s="229">
        <v>0</v>
      </c>
      <c r="AA187" s="229">
        <v>0</v>
      </c>
      <c r="AC187" s="12">
        <v>1</v>
      </c>
      <c r="AD187" s="14">
        <v>1</v>
      </c>
      <c r="AE187" s="14">
        <v>0</v>
      </c>
      <c r="AF187" s="26">
        <v>0</v>
      </c>
      <c r="AG187" s="12">
        <v>102</v>
      </c>
      <c r="AH187" s="14">
        <v>0</v>
      </c>
      <c r="AI187" s="209"/>
      <c r="AJ187" s="3"/>
      <c r="AK187" s="3"/>
      <c r="AL187" s="3"/>
      <c r="AM187" s="3"/>
      <c r="AN187" s="3"/>
      <c r="AO187" s="40"/>
      <c r="AP187" s="209"/>
      <c r="AQ187" s="3"/>
      <c r="AR187" s="40"/>
      <c r="AS187" s="238"/>
    </row>
    <row r="188" spans="1:45" s="229" customFormat="1">
      <c r="A188" s="83" t="s">
        <v>321</v>
      </c>
      <c r="B188" s="386">
        <v>2.7285333333333335</v>
      </c>
      <c r="C188" s="229" t="s">
        <v>223</v>
      </c>
      <c r="D188" s="229" t="s">
        <v>423</v>
      </c>
      <c r="E188" s="229" t="s">
        <v>1</v>
      </c>
      <c r="F188" s="229">
        <v>1407</v>
      </c>
      <c r="G188" s="40">
        <f>F188/1273</f>
        <v>1.1052631578947369</v>
      </c>
      <c r="H188" s="14">
        <v>0</v>
      </c>
      <c r="I188" s="229">
        <v>1</v>
      </c>
      <c r="J188" s="229">
        <v>0</v>
      </c>
      <c r="K188" s="26">
        <v>1</v>
      </c>
      <c r="L188" s="14">
        <v>0</v>
      </c>
      <c r="M188" s="229">
        <v>0</v>
      </c>
      <c r="N188" s="229">
        <v>0</v>
      </c>
      <c r="O188" s="229">
        <v>1</v>
      </c>
      <c r="P188" s="26">
        <v>1</v>
      </c>
      <c r="Q188" s="14">
        <v>1</v>
      </c>
      <c r="R188" s="229">
        <v>0</v>
      </c>
      <c r="S188" s="229">
        <v>0</v>
      </c>
      <c r="T188" s="229">
        <v>0</v>
      </c>
      <c r="U188" s="229">
        <v>0</v>
      </c>
      <c r="V188" s="229">
        <v>0</v>
      </c>
      <c r="W188" s="229">
        <v>11</v>
      </c>
      <c r="X188" s="229">
        <v>0</v>
      </c>
      <c r="Y188" s="229">
        <v>0</v>
      </c>
      <c r="Z188" s="229">
        <v>0</v>
      </c>
      <c r="AA188" s="229">
        <v>76</v>
      </c>
      <c r="AC188" s="12">
        <v>2</v>
      </c>
      <c r="AD188" s="14">
        <v>6</v>
      </c>
      <c r="AE188" s="14">
        <v>134</v>
      </c>
      <c r="AF188" s="26">
        <v>1123</v>
      </c>
      <c r="AG188" s="12">
        <v>102</v>
      </c>
      <c r="AH188" s="14">
        <v>0</v>
      </c>
      <c r="AI188" s="209"/>
      <c r="AJ188" s="3"/>
      <c r="AK188" s="3"/>
      <c r="AL188" s="3"/>
      <c r="AM188" s="3"/>
      <c r="AN188" s="3"/>
      <c r="AO188" s="40"/>
      <c r="AP188" s="209"/>
      <c r="AQ188" s="3"/>
      <c r="AR188" s="40"/>
      <c r="AS188" s="238"/>
    </row>
    <row r="189" spans="1:45" s="229" customFormat="1">
      <c r="A189" s="83" t="s">
        <v>321</v>
      </c>
      <c r="B189" s="386">
        <v>2.7285333333333335</v>
      </c>
      <c r="C189" s="229" t="s">
        <v>223</v>
      </c>
      <c r="D189" s="229" t="s">
        <v>622</v>
      </c>
      <c r="E189" s="229" t="s">
        <v>0</v>
      </c>
      <c r="F189" s="229">
        <v>938</v>
      </c>
      <c r="G189" s="40">
        <f>F189/437</f>
        <v>2.1464530892448512</v>
      </c>
      <c r="H189" s="14">
        <v>1</v>
      </c>
      <c r="I189" s="229">
        <v>0</v>
      </c>
      <c r="J189" s="229">
        <v>0</v>
      </c>
      <c r="K189" s="26">
        <v>1</v>
      </c>
      <c r="L189" s="14">
        <v>0</v>
      </c>
      <c r="M189" s="229">
        <v>0</v>
      </c>
      <c r="N189" s="229">
        <v>0</v>
      </c>
      <c r="O189" s="229">
        <v>1</v>
      </c>
      <c r="P189" s="26">
        <v>1</v>
      </c>
      <c r="Q189" s="14">
        <v>2</v>
      </c>
      <c r="R189" s="229">
        <v>0</v>
      </c>
      <c r="S189" s="229">
        <v>0</v>
      </c>
      <c r="T189" s="229">
        <v>0</v>
      </c>
      <c r="U189" s="229">
        <v>0</v>
      </c>
      <c r="V189" s="229">
        <v>0</v>
      </c>
      <c r="W189" s="229">
        <v>63</v>
      </c>
      <c r="X189" s="229">
        <v>0</v>
      </c>
      <c r="Y189" s="229">
        <v>0</v>
      </c>
      <c r="Z189" s="229">
        <v>0</v>
      </c>
      <c r="AA189" s="229">
        <v>0</v>
      </c>
      <c r="AC189" s="12">
        <v>2</v>
      </c>
      <c r="AD189" s="14">
        <v>2</v>
      </c>
      <c r="AE189" s="14">
        <v>599</v>
      </c>
      <c r="AF189" s="26">
        <v>726</v>
      </c>
      <c r="AG189" s="12">
        <v>115</v>
      </c>
      <c r="AH189" s="14">
        <v>0</v>
      </c>
      <c r="AI189" s="209"/>
      <c r="AJ189" s="3"/>
      <c r="AK189" s="3"/>
      <c r="AL189" s="3"/>
      <c r="AM189" s="3"/>
      <c r="AN189" s="3"/>
      <c r="AO189" s="40"/>
      <c r="AP189" s="209"/>
      <c r="AQ189" s="3"/>
      <c r="AR189" s="40"/>
      <c r="AS189" s="238"/>
    </row>
    <row r="190" spans="1:45" s="229" customFormat="1">
      <c r="A190" s="83" t="s">
        <v>321</v>
      </c>
      <c r="B190" s="386">
        <v>2.7285333333333335</v>
      </c>
      <c r="C190" s="229" t="s">
        <v>223</v>
      </c>
      <c r="D190" s="229" t="s">
        <v>622</v>
      </c>
      <c r="E190" s="229" t="s">
        <v>1</v>
      </c>
      <c r="F190" s="229">
        <v>139</v>
      </c>
      <c r="G190" s="40">
        <f>F190/122</f>
        <v>1.139344262295082</v>
      </c>
      <c r="H190" s="14">
        <v>1</v>
      </c>
      <c r="I190" s="229">
        <v>0</v>
      </c>
      <c r="J190" s="229">
        <v>0</v>
      </c>
      <c r="K190" s="26">
        <v>0</v>
      </c>
      <c r="L190" s="14">
        <v>0</v>
      </c>
      <c r="M190" s="229">
        <v>0</v>
      </c>
      <c r="N190" s="229">
        <v>0</v>
      </c>
      <c r="O190" s="229">
        <v>0</v>
      </c>
      <c r="P190" s="26">
        <v>0</v>
      </c>
      <c r="Q190" s="14">
        <v>0</v>
      </c>
      <c r="R190" s="229">
        <v>0</v>
      </c>
      <c r="S190" s="229">
        <v>0</v>
      </c>
      <c r="T190" s="229">
        <v>0</v>
      </c>
      <c r="U190" s="229">
        <v>0</v>
      </c>
      <c r="V190" s="229">
        <v>0</v>
      </c>
      <c r="W190" s="229">
        <v>0</v>
      </c>
      <c r="X190" s="229">
        <v>0</v>
      </c>
      <c r="Y190" s="229">
        <v>0</v>
      </c>
      <c r="Z190" s="229">
        <v>0</v>
      </c>
      <c r="AA190" s="229">
        <v>0</v>
      </c>
      <c r="AC190" s="12">
        <v>1</v>
      </c>
      <c r="AD190" s="14">
        <v>1</v>
      </c>
      <c r="AE190" s="14">
        <v>0</v>
      </c>
      <c r="AF190" s="26">
        <v>0</v>
      </c>
      <c r="AG190" s="12">
        <v>115</v>
      </c>
      <c r="AH190" s="14">
        <v>0</v>
      </c>
      <c r="AI190" s="209"/>
      <c r="AJ190" s="3"/>
      <c r="AK190" s="3"/>
      <c r="AL190" s="3"/>
      <c r="AM190" s="3"/>
      <c r="AN190" s="3"/>
      <c r="AO190" s="40"/>
      <c r="AP190" s="209"/>
      <c r="AQ190" s="3"/>
      <c r="AR190" s="40"/>
      <c r="AS190" s="238"/>
    </row>
    <row r="191" spans="1:45" s="229" customFormat="1">
      <c r="A191" s="83" t="s">
        <v>321</v>
      </c>
      <c r="B191" s="386">
        <v>2.7285333333333335</v>
      </c>
      <c r="C191" s="229" t="s">
        <v>223</v>
      </c>
      <c r="D191" s="229" t="s">
        <v>620</v>
      </c>
      <c r="E191" s="229" t="s">
        <v>0</v>
      </c>
      <c r="F191" s="229">
        <v>42</v>
      </c>
      <c r="G191" s="40">
        <f>F191/27</f>
        <v>1.5555555555555556</v>
      </c>
      <c r="H191" s="14">
        <v>1</v>
      </c>
      <c r="I191" s="229">
        <v>0</v>
      </c>
      <c r="J191" s="229">
        <v>0</v>
      </c>
      <c r="K191" s="26">
        <v>0</v>
      </c>
      <c r="L191" s="14">
        <v>0</v>
      </c>
      <c r="M191" s="229">
        <v>0</v>
      </c>
      <c r="N191" s="229">
        <v>0</v>
      </c>
      <c r="O191" s="229">
        <v>0</v>
      </c>
      <c r="P191" s="26">
        <v>0</v>
      </c>
      <c r="Q191" s="14">
        <v>0</v>
      </c>
      <c r="R191" s="229">
        <v>0</v>
      </c>
      <c r="S191" s="229">
        <v>0</v>
      </c>
      <c r="T191" s="229">
        <v>0</v>
      </c>
      <c r="U191" s="229">
        <v>0</v>
      </c>
      <c r="V191" s="229">
        <v>0</v>
      </c>
      <c r="W191" s="229">
        <v>0</v>
      </c>
      <c r="X191" s="229">
        <v>0</v>
      </c>
      <c r="Y191" s="229">
        <v>0</v>
      </c>
      <c r="Z191" s="229">
        <v>0</v>
      </c>
      <c r="AA191" s="229">
        <v>0</v>
      </c>
      <c r="AC191" s="12">
        <v>1</v>
      </c>
      <c r="AD191" s="14">
        <v>1</v>
      </c>
      <c r="AE191" s="14">
        <v>0</v>
      </c>
      <c r="AF191" s="26">
        <v>0</v>
      </c>
      <c r="AG191" s="12">
        <v>93</v>
      </c>
      <c r="AH191" s="14">
        <v>0</v>
      </c>
      <c r="AI191" s="209"/>
      <c r="AJ191" s="3"/>
      <c r="AK191" s="3"/>
      <c r="AL191" s="3"/>
      <c r="AM191" s="3"/>
      <c r="AN191" s="3"/>
      <c r="AO191" s="40"/>
      <c r="AP191" s="209"/>
      <c r="AQ191" s="3"/>
      <c r="AR191" s="40"/>
      <c r="AS191" s="238"/>
    </row>
    <row r="192" spans="1:45" s="229" customFormat="1">
      <c r="A192" s="83" t="s">
        <v>321</v>
      </c>
      <c r="B192" s="386">
        <v>2.7285333333333335</v>
      </c>
      <c r="C192" s="229" t="s">
        <v>223</v>
      </c>
      <c r="D192" s="229" t="s">
        <v>620</v>
      </c>
      <c r="E192" s="229" t="s">
        <v>1</v>
      </c>
      <c r="F192" s="229">
        <v>759</v>
      </c>
      <c r="G192" s="40">
        <f>F192/576</f>
        <v>1.3177083333333333</v>
      </c>
      <c r="H192" s="14">
        <v>1</v>
      </c>
      <c r="I192" s="229">
        <v>0</v>
      </c>
      <c r="J192" s="229">
        <v>0</v>
      </c>
      <c r="K192" s="26">
        <v>0</v>
      </c>
      <c r="L192" s="14">
        <v>0</v>
      </c>
      <c r="M192" s="229">
        <v>1</v>
      </c>
      <c r="N192" s="229">
        <v>0</v>
      </c>
      <c r="O192" s="229">
        <v>0</v>
      </c>
      <c r="P192" s="26">
        <v>1</v>
      </c>
      <c r="Q192" s="14">
        <v>0</v>
      </c>
      <c r="R192" s="229">
        <v>0</v>
      </c>
      <c r="S192" s="229">
        <v>0</v>
      </c>
      <c r="T192" s="229">
        <v>0</v>
      </c>
      <c r="U192" s="229">
        <v>0</v>
      </c>
      <c r="V192" s="229">
        <v>0</v>
      </c>
      <c r="W192" s="229">
        <v>0</v>
      </c>
      <c r="X192" s="229">
        <v>0</v>
      </c>
      <c r="Y192" s="229">
        <v>0</v>
      </c>
      <c r="Z192" s="229">
        <v>0</v>
      </c>
      <c r="AA192" s="229">
        <v>0</v>
      </c>
      <c r="AC192" s="12">
        <v>1</v>
      </c>
      <c r="AD192" s="14">
        <v>1</v>
      </c>
      <c r="AE192" s="14">
        <v>0</v>
      </c>
      <c r="AF192" s="26">
        <v>0</v>
      </c>
      <c r="AG192" s="12">
        <v>93</v>
      </c>
      <c r="AH192" s="14">
        <v>0</v>
      </c>
      <c r="AI192" s="209">
        <v>88.543063454690568</v>
      </c>
      <c r="AJ192" s="3"/>
      <c r="AK192" s="3"/>
      <c r="AL192" s="3"/>
      <c r="AM192" s="3"/>
      <c r="AN192" s="3"/>
      <c r="AO192" s="40"/>
      <c r="AP192" s="209">
        <v>88.540955134673453</v>
      </c>
      <c r="AQ192" s="3"/>
      <c r="AR192" s="40"/>
      <c r="AS192" s="238"/>
    </row>
    <row r="193" spans="1:45" s="229" customFormat="1">
      <c r="A193" s="83" t="s">
        <v>321</v>
      </c>
      <c r="B193" s="386">
        <v>2.7285333333333335</v>
      </c>
      <c r="C193" s="229" t="s">
        <v>223</v>
      </c>
      <c r="D193" s="229" t="s">
        <v>654</v>
      </c>
      <c r="E193" s="229" t="s">
        <v>0</v>
      </c>
      <c r="F193" s="229">
        <v>845</v>
      </c>
      <c r="G193" s="40">
        <f>F193/838</f>
        <v>1.0083532219570406</v>
      </c>
      <c r="H193" s="14">
        <v>0</v>
      </c>
      <c r="I193" s="229">
        <v>0</v>
      </c>
      <c r="J193" s="229">
        <v>0</v>
      </c>
      <c r="K193" s="26">
        <v>1</v>
      </c>
      <c r="L193" s="14">
        <v>0</v>
      </c>
      <c r="M193" s="229">
        <v>0</v>
      </c>
      <c r="N193" s="229">
        <v>0</v>
      </c>
      <c r="O193" s="229">
        <v>1</v>
      </c>
      <c r="P193" s="26">
        <v>1</v>
      </c>
      <c r="Q193" s="14">
        <v>0</v>
      </c>
      <c r="R193" s="229">
        <v>0</v>
      </c>
      <c r="S193" s="229">
        <v>0</v>
      </c>
      <c r="T193" s="229">
        <v>0</v>
      </c>
      <c r="U193" s="229">
        <v>0</v>
      </c>
      <c r="V193" s="229">
        <v>0</v>
      </c>
      <c r="W193" s="229">
        <v>0</v>
      </c>
      <c r="X193" s="229">
        <v>0</v>
      </c>
      <c r="Y193" s="229">
        <v>0</v>
      </c>
      <c r="Z193" s="229">
        <v>0</v>
      </c>
      <c r="AA193" s="229">
        <v>0</v>
      </c>
      <c r="AC193" s="12">
        <v>1</v>
      </c>
      <c r="AD193" s="14">
        <v>1</v>
      </c>
      <c r="AE193" s="14">
        <v>0</v>
      </c>
      <c r="AF193" s="26">
        <v>0</v>
      </c>
      <c r="AG193" s="12">
        <v>85</v>
      </c>
      <c r="AH193" s="14">
        <v>0</v>
      </c>
      <c r="AI193" s="209"/>
      <c r="AJ193" s="3"/>
      <c r="AK193" s="3"/>
      <c r="AL193" s="3"/>
      <c r="AM193" s="3"/>
      <c r="AN193" s="3"/>
      <c r="AO193" s="40"/>
      <c r="AP193" s="209"/>
      <c r="AQ193" s="3"/>
      <c r="AR193" s="40"/>
      <c r="AS193" s="238"/>
    </row>
    <row r="194" spans="1:45" s="229" customFormat="1">
      <c r="A194" s="83" t="s">
        <v>321</v>
      </c>
      <c r="B194" s="386">
        <v>2.7285333333333335</v>
      </c>
      <c r="C194" s="229" t="s">
        <v>223</v>
      </c>
      <c r="D194" s="229" t="s">
        <v>654</v>
      </c>
      <c r="E194" s="229" t="s">
        <v>1</v>
      </c>
      <c r="F194" s="229">
        <v>1022</v>
      </c>
      <c r="G194" s="40">
        <f>F194/892</f>
        <v>1.1457399103139014</v>
      </c>
      <c r="H194" s="14">
        <v>0</v>
      </c>
      <c r="I194" s="229">
        <v>1</v>
      </c>
      <c r="J194" s="229">
        <v>0</v>
      </c>
      <c r="K194" s="26">
        <v>0</v>
      </c>
      <c r="L194" s="14">
        <v>0</v>
      </c>
      <c r="M194" s="229">
        <v>0</v>
      </c>
      <c r="N194" s="229">
        <v>0</v>
      </c>
      <c r="O194" s="229">
        <v>1</v>
      </c>
      <c r="P194" s="26">
        <v>1</v>
      </c>
      <c r="Q194" s="14">
        <v>2</v>
      </c>
      <c r="R194" s="229">
        <v>0</v>
      </c>
      <c r="S194" s="229">
        <v>0</v>
      </c>
      <c r="T194" s="229">
        <v>0</v>
      </c>
      <c r="U194" s="229">
        <v>0</v>
      </c>
      <c r="V194" s="229">
        <v>0</v>
      </c>
      <c r="W194" s="229">
        <v>0</v>
      </c>
      <c r="X194" s="229">
        <v>0</v>
      </c>
      <c r="Y194" s="229">
        <v>0</v>
      </c>
      <c r="Z194" s="229">
        <v>0</v>
      </c>
      <c r="AA194" s="229">
        <v>57</v>
      </c>
      <c r="AC194" s="12">
        <v>1</v>
      </c>
      <c r="AD194" s="14">
        <v>1</v>
      </c>
      <c r="AE194" s="14">
        <v>0</v>
      </c>
      <c r="AF194" s="26">
        <v>0</v>
      </c>
      <c r="AG194" s="12">
        <v>85</v>
      </c>
      <c r="AH194" s="14">
        <v>0</v>
      </c>
      <c r="AI194" s="209"/>
      <c r="AJ194" s="3"/>
      <c r="AK194" s="3"/>
      <c r="AL194" s="3"/>
      <c r="AM194" s="3"/>
      <c r="AN194" s="3"/>
      <c r="AO194" s="40"/>
      <c r="AP194" s="209"/>
      <c r="AQ194" s="3"/>
      <c r="AR194" s="40"/>
      <c r="AS194" s="238"/>
    </row>
    <row r="195" spans="1:45" s="229" customFormat="1">
      <c r="A195" s="83" t="s">
        <v>321</v>
      </c>
      <c r="B195" s="386">
        <v>2.7285333333333335</v>
      </c>
      <c r="C195" s="229" t="s">
        <v>223</v>
      </c>
      <c r="D195" s="229" t="s">
        <v>629</v>
      </c>
      <c r="E195" s="229" t="s">
        <v>0</v>
      </c>
      <c r="F195" s="229">
        <v>617</v>
      </c>
      <c r="G195" s="40">
        <f>F195/383</f>
        <v>1.6109660574412532</v>
      </c>
      <c r="H195" s="14">
        <v>1</v>
      </c>
      <c r="I195" s="229">
        <v>1</v>
      </c>
      <c r="J195" s="229">
        <v>0</v>
      </c>
      <c r="K195" s="26">
        <v>0</v>
      </c>
      <c r="L195" s="14">
        <v>0</v>
      </c>
      <c r="M195" s="229">
        <v>0</v>
      </c>
      <c r="N195" s="229">
        <v>0</v>
      </c>
      <c r="O195" s="229">
        <v>0</v>
      </c>
      <c r="P195" s="26">
        <v>0</v>
      </c>
      <c r="Q195" s="14">
        <v>0</v>
      </c>
      <c r="R195" s="229">
        <v>0</v>
      </c>
      <c r="S195" s="229">
        <v>0</v>
      </c>
      <c r="T195" s="229">
        <v>0</v>
      </c>
      <c r="U195" s="229">
        <v>0</v>
      </c>
      <c r="V195" s="229">
        <v>0</v>
      </c>
      <c r="W195" s="229">
        <v>0</v>
      </c>
      <c r="X195" s="229">
        <v>0</v>
      </c>
      <c r="Y195" s="229">
        <v>0</v>
      </c>
      <c r="Z195" s="229">
        <v>0</v>
      </c>
      <c r="AA195" s="229">
        <v>0</v>
      </c>
      <c r="AC195" s="12">
        <v>2</v>
      </c>
      <c r="AD195" s="14">
        <v>2</v>
      </c>
      <c r="AE195" s="14">
        <v>98</v>
      </c>
      <c r="AF195" s="26">
        <v>617</v>
      </c>
      <c r="AG195" s="12">
        <v>57</v>
      </c>
      <c r="AH195" s="14">
        <v>0</v>
      </c>
      <c r="AI195" s="209"/>
      <c r="AJ195" s="3"/>
      <c r="AK195" s="3"/>
      <c r="AL195" s="3"/>
      <c r="AM195" s="3"/>
      <c r="AN195" s="3"/>
      <c r="AO195" s="40"/>
      <c r="AP195" s="209"/>
      <c r="AQ195" s="3"/>
      <c r="AR195" s="40"/>
      <c r="AS195" s="238"/>
    </row>
    <row r="196" spans="1:45" s="229" customFormat="1">
      <c r="A196" s="83" t="s">
        <v>321</v>
      </c>
      <c r="B196" s="386">
        <v>2.7285333333333335</v>
      </c>
      <c r="C196" s="229" t="s">
        <v>223</v>
      </c>
      <c r="D196" s="229" t="s">
        <v>629</v>
      </c>
      <c r="E196" s="229" t="s">
        <v>1</v>
      </c>
      <c r="F196" s="229">
        <v>323</v>
      </c>
      <c r="G196" s="40">
        <f>F196/257</f>
        <v>1.2568093385214008</v>
      </c>
      <c r="H196" s="14">
        <v>0</v>
      </c>
      <c r="I196" s="229">
        <v>0</v>
      </c>
      <c r="J196" s="229">
        <v>0</v>
      </c>
      <c r="K196" s="26">
        <v>1</v>
      </c>
      <c r="L196" s="14">
        <v>0</v>
      </c>
      <c r="M196" s="229">
        <v>0</v>
      </c>
      <c r="N196" s="229">
        <v>1</v>
      </c>
      <c r="O196" s="229">
        <v>0</v>
      </c>
      <c r="P196" s="26">
        <v>1</v>
      </c>
      <c r="Q196" s="14">
        <v>0</v>
      </c>
      <c r="R196" s="229">
        <v>0</v>
      </c>
      <c r="S196" s="229">
        <v>0</v>
      </c>
      <c r="T196" s="229">
        <v>0</v>
      </c>
      <c r="U196" s="229">
        <v>0</v>
      </c>
      <c r="V196" s="229">
        <v>0</v>
      </c>
      <c r="W196" s="229">
        <v>0</v>
      </c>
      <c r="X196" s="229">
        <v>0</v>
      </c>
      <c r="Y196" s="229">
        <v>0</v>
      </c>
      <c r="Z196" s="229">
        <v>0</v>
      </c>
      <c r="AA196" s="229">
        <v>0</v>
      </c>
      <c r="AC196" s="12">
        <v>1</v>
      </c>
      <c r="AD196" s="14">
        <v>1</v>
      </c>
      <c r="AE196" s="14">
        <v>0</v>
      </c>
      <c r="AF196" s="26">
        <v>0</v>
      </c>
      <c r="AG196" s="12">
        <v>57</v>
      </c>
      <c r="AH196" s="14">
        <v>0</v>
      </c>
      <c r="AI196" s="209"/>
      <c r="AJ196" s="3"/>
      <c r="AK196" s="3"/>
      <c r="AL196" s="3"/>
      <c r="AM196" s="3"/>
      <c r="AN196" s="3"/>
      <c r="AO196" s="40"/>
      <c r="AP196" s="209"/>
      <c r="AQ196" s="3"/>
      <c r="AR196" s="40"/>
      <c r="AS196" s="238"/>
    </row>
    <row r="197" spans="1:45" s="229" customFormat="1">
      <c r="A197" s="83" t="s">
        <v>321</v>
      </c>
      <c r="B197" s="386">
        <v>2.7285333333333335</v>
      </c>
      <c r="C197" s="229" t="s">
        <v>223</v>
      </c>
      <c r="D197" s="229" t="s">
        <v>629</v>
      </c>
      <c r="E197" s="229" t="s">
        <v>2</v>
      </c>
      <c r="F197" s="229">
        <v>775</v>
      </c>
      <c r="G197" s="40">
        <f>F197/520</f>
        <v>1.4903846153846154</v>
      </c>
      <c r="H197" s="14">
        <v>0</v>
      </c>
      <c r="I197" s="229">
        <v>0</v>
      </c>
      <c r="J197" s="229">
        <v>0</v>
      </c>
      <c r="K197" s="26">
        <v>1</v>
      </c>
      <c r="L197" s="14">
        <v>1</v>
      </c>
      <c r="M197" s="229">
        <v>0</v>
      </c>
      <c r="N197" s="229">
        <v>0</v>
      </c>
      <c r="O197" s="229">
        <v>0</v>
      </c>
      <c r="P197" s="26">
        <v>1</v>
      </c>
      <c r="Q197" s="14">
        <v>0</v>
      </c>
      <c r="R197" s="229">
        <v>0</v>
      </c>
      <c r="S197" s="229">
        <v>0</v>
      </c>
      <c r="T197" s="229">
        <v>0</v>
      </c>
      <c r="U197" s="229">
        <v>0</v>
      </c>
      <c r="V197" s="229">
        <v>0</v>
      </c>
      <c r="W197" s="229">
        <v>0</v>
      </c>
      <c r="X197" s="229">
        <v>0</v>
      </c>
      <c r="Y197" s="229">
        <v>0</v>
      </c>
      <c r="Z197" s="229">
        <v>0</v>
      </c>
      <c r="AA197" s="229">
        <v>0</v>
      </c>
      <c r="AC197" s="12">
        <v>1</v>
      </c>
      <c r="AD197" s="14">
        <v>1</v>
      </c>
      <c r="AE197" s="14">
        <v>0</v>
      </c>
      <c r="AF197" s="26">
        <v>0</v>
      </c>
      <c r="AG197" s="12">
        <v>57</v>
      </c>
      <c r="AH197" s="14">
        <v>0</v>
      </c>
      <c r="AI197" s="209"/>
      <c r="AJ197" s="3"/>
      <c r="AK197" s="3"/>
      <c r="AL197" s="3"/>
      <c r="AM197" s="3"/>
      <c r="AN197" s="3"/>
      <c r="AO197" s="40"/>
      <c r="AP197" s="209"/>
      <c r="AQ197" s="3"/>
      <c r="AR197" s="40"/>
      <c r="AS197" s="238"/>
    </row>
    <row r="198" spans="1:45" s="229" customFormat="1">
      <c r="A198" s="83" t="s">
        <v>321</v>
      </c>
      <c r="B198" s="386">
        <v>2.7285333333333335</v>
      </c>
      <c r="C198" s="229" t="s">
        <v>223</v>
      </c>
      <c r="D198" s="229" t="s">
        <v>629</v>
      </c>
      <c r="E198" s="229" t="s">
        <v>3</v>
      </c>
      <c r="F198" s="229">
        <v>74</v>
      </c>
      <c r="G198" s="40">
        <f>F198/48</f>
        <v>1.5416666666666667</v>
      </c>
      <c r="H198" s="14">
        <v>1</v>
      </c>
      <c r="I198" s="229">
        <v>0</v>
      </c>
      <c r="J198" s="229">
        <v>0</v>
      </c>
      <c r="K198" s="26">
        <v>0</v>
      </c>
      <c r="L198" s="14">
        <v>0</v>
      </c>
      <c r="M198" s="229">
        <v>0</v>
      </c>
      <c r="N198" s="229">
        <v>0</v>
      </c>
      <c r="O198" s="229">
        <v>0</v>
      </c>
      <c r="P198" s="26">
        <v>0</v>
      </c>
      <c r="Q198" s="14">
        <v>0</v>
      </c>
      <c r="R198" s="229">
        <v>0</v>
      </c>
      <c r="S198" s="229">
        <v>0</v>
      </c>
      <c r="T198" s="229">
        <v>0</v>
      </c>
      <c r="U198" s="229">
        <v>0</v>
      </c>
      <c r="V198" s="229">
        <v>0</v>
      </c>
      <c r="W198" s="229">
        <v>0</v>
      </c>
      <c r="X198" s="229">
        <v>0</v>
      </c>
      <c r="Y198" s="229">
        <v>0</v>
      </c>
      <c r="Z198" s="229">
        <v>0</v>
      </c>
      <c r="AA198" s="229">
        <v>0</v>
      </c>
      <c r="AC198" s="12">
        <v>1</v>
      </c>
      <c r="AD198" s="14">
        <v>1</v>
      </c>
      <c r="AE198" s="14">
        <v>0</v>
      </c>
      <c r="AF198" s="26">
        <v>0</v>
      </c>
      <c r="AG198" s="12">
        <v>57</v>
      </c>
      <c r="AH198" s="14">
        <v>0</v>
      </c>
      <c r="AI198" s="209"/>
      <c r="AJ198" s="3"/>
      <c r="AK198" s="3"/>
      <c r="AL198" s="3"/>
      <c r="AM198" s="3"/>
      <c r="AN198" s="3"/>
      <c r="AO198" s="40"/>
      <c r="AP198" s="209"/>
      <c r="AQ198" s="3"/>
      <c r="AR198" s="40"/>
      <c r="AS198" s="238"/>
    </row>
    <row r="199" spans="1:45" s="229" customFormat="1">
      <c r="A199" s="83" t="s">
        <v>321</v>
      </c>
      <c r="B199" s="386">
        <v>2.7285333333333335</v>
      </c>
      <c r="C199" s="229" t="s">
        <v>223</v>
      </c>
      <c r="D199" s="229" t="s">
        <v>625</v>
      </c>
      <c r="F199" s="229">
        <v>165</v>
      </c>
      <c r="G199" s="40">
        <f>F199/92</f>
        <v>1.7934782608695652</v>
      </c>
      <c r="H199" s="14">
        <v>0</v>
      </c>
      <c r="I199" s="229">
        <v>0</v>
      </c>
      <c r="J199" s="229">
        <v>0</v>
      </c>
      <c r="K199" s="26">
        <v>1</v>
      </c>
      <c r="L199" s="14">
        <v>0</v>
      </c>
      <c r="M199" s="229">
        <v>0</v>
      </c>
      <c r="N199" s="229">
        <v>0</v>
      </c>
      <c r="O199" s="229">
        <v>1</v>
      </c>
      <c r="P199" s="26">
        <v>1</v>
      </c>
      <c r="Q199" s="14">
        <v>0</v>
      </c>
      <c r="R199" s="229">
        <v>0</v>
      </c>
      <c r="S199" s="229">
        <v>0</v>
      </c>
      <c r="T199" s="229">
        <v>0</v>
      </c>
      <c r="U199" s="229">
        <v>0</v>
      </c>
      <c r="V199" s="229">
        <v>0</v>
      </c>
      <c r="W199" s="229">
        <v>0</v>
      </c>
      <c r="X199" s="229">
        <v>0</v>
      </c>
      <c r="Y199" s="229">
        <v>0</v>
      </c>
      <c r="Z199" s="229">
        <v>0</v>
      </c>
      <c r="AA199" s="229">
        <v>0</v>
      </c>
      <c r="AC199" s="12">
        <v>1</v>
      </c>
      <c r="AD199" s="14">
        <v>1</v>
      </c>
      <c r="AE199" s="14">
        <v>0</v>
      </c>
      <c r="AF199" s="26">
        <v>0</v>
      </c>
      <c r="AG199" s="12">
        <v>114</v>
      </c>
      <c r="AH199" s="14">
        <v>0</v>
      </c>
      <c r="AI199" s="209"/>
      <c r="AJ199" s="3"/>
      <c r="AK199" s="3"/>
      <c r="AL199" s="3"/>
      <c r="AM199" s="3"/>
      <c r="AN199" s="3"/>
      <c r="AO199" s="40"/>
      <c r="AP199" s="209"/>
      <c r="AQ199" s="3"/>
      <c r="AR199" s="40"/>
      <c r="AS199" s="238"/>
    </row>
    <row r="200" spans="1:45" s="229" customFormat="1">
      <c r="A200" s="83" t="s">
        <v>321</v>
      </c>
      <c r="B200" s="386">
        <v>2.7285333333333335</v>
      </c>
      <c r="C200" s="229" t="s">
        <v>223</v>
      </c>
      <c r="D200" s="229" t="s">
        <v>630</v>
      </c>
      <c r="E200" s="229" t="s">
        <v>0</v>
      </c>
      <c r="F200" s="229">
        <v>84</v>
      </c>
      <c r="G200" s="40">
        <f>F200/78</f>
        <v>1.0769230769230769</v>
      </c>
      <c r="H200" s="14">
        <v>1</v>
      </c>
      <c r="I200" s="229">
        <v>0</v>
      </c>
      <c r="J200" s="229">
        <v>0</v>
      </c>
      <c r="K200" s="26">
        <v>0</v>
      </c>
      <c r="L200" s="14">
        <v>0</v>
      </c>
      <c r="M200" s="229">
        <v>0</v>
      </c>
      <c r="N200" s="229">
        <v>0</v>
      </c>
      <c r="O200" s="229">
        <v>0</v>
      </c>
      <c r="P200" s="26">
        <v>0</v>
      </c>
      <c r="Q200" s="14">
        <v>0</v>
      </c>
      <c r="R200" s="229">
        <v>0</v>
      </c>
      <c r="S200" s="229">
        <v>0</v>
      </c>
      <c r="T200" s="229">
        <v>0</v>
      </c>
      <c r="U200" s="229">
        <v>0</v>
      </c>
      <c r="V200" s="229">
        <v>0</v>
      </c>
      <c r="W200" s="229">
        <v>0</v>
      </c>
      <c r="X200" s="229">
        <v>0</v>
      </c>
      <c r="Y200" s="229">
        <v>0</v>
      </c>
      <c r="Z200" s="229">
        <v>0</v>
      </c>
      <c r="AA200" s="229">
        <v>0</v>
      </c>
      <c r="AC200" s="12">
        <v>1</v>
      </c>
      <c r="AD200" s="14">
        <v>1</v>
      </c>
      <c r="AE200" s="14">
        <v>0</v>
      </c>
      <c r="AF200" s="26">
        <v>0</v>
      </c>
      <c r="AG200" s="12">
        <v>121</v>
      </c>
      <c r="AH200" s="14">
        <v>0</v>
      </c>
      <c r="AI200" s="209"/>
      <c r="AJ200" s="3"/>
      <c r="AK200" s="3"/>
      <c r="AL200" s="3"/>
      <c r="AM200" s="3"/>
      <c r="AN200" s="3"/>
      <c r="AO200" s="40"/>
      <c r="AP200" s="209"/>
      <c r="AQ200" s="3"/>
      <c r="AR200" s="40"/>
      <c r="AS200" s="238"/>
    </row>
    <row r="201" spans="1:45" s="229" customFormat="1">
      <c r="A201" s="83" t="s">
        <v>321</v>
      </c>
      <c r="B201" s="386">
        <v>2.7285333333333335</v>
      </c>
      <c r="C201" s="229" t="s">
        <v>223</v>
      </c>
      <c r="D201" s="229" t="s">
        <v>630</v>
      </c>
      <c r="E201" s="229" t="s">
        <v>1</v>
      </c>
      <c r="F201" s="229">
        <v>996</v>
      </c>
      <c r="G201" s="40">
        <f>F201/649</f>
        <v>1.534668721109399</v>
      </c>
      <c r="H201" s="14">
        <v>1</v>
      </c>
      <c r="I201" s="229">
        <v>0</v>
      </c>
      <c r="J201" s="229">
        <v>0</v>
      </c>
      <c r="K201" s="26">
        <v>0</v>
      </c>
      <c r="L201" s="14">
        <v>1</v>
      </c>
      <c r="M201" s="229">
        <v>0</v>
      </c>
      <c r="N201" s="229">
        <v>0</v>
      </c>
      <c r="O201" s="229">
        <v>0</v>
      </c>
      <c r="P201" s="26">
        <v>1</v>
      </c>
      <c r="Q201" s="14">
        <v>4</v>
      </c>
      <c r="R201" s="229">
        <v>0</v>
      </c>
      <c r="S201" s="229">
        <v>0</v>
      </c>
      <c r="T201" s="229">
        <v>0</v>
      </c>
      <c r="U201" s="229">
        <v>0</v>
      </c>
      <c r="V201" s="229">
        <v>0</v>
      </c>
      <c r="W201" s="229">
        <v>0</v>
      </c>
      <c r="X201" s="229">
        <v>0</v>
      </c>
      <c r="Y201" s="229">
        <v>56</v>
      </c>
      <c r="Z201" s="229">
        <v>0</v>
      </c>
      <c r="AA201" s="229">
        <v>0</v>
      </c>
      <c r="AC201" s="12">
        <v>1</v>
      </c>
      <c r="AD201" s="14">
        <v>1</v>
      </c>
      <c r="AE201" s="14">
        <v>0</v>
      </c>
      <c r="AF201" s="26">
        <v>0</v>
      </c>
      <c r="AG201" s="12">
        <v>121</v>
      </c>
      <c r="AH201" s="14">
        <v>1</v>
      </c>
      <c r="AI201" s="209"/>
      <c r="AJ201" s="3"/>
      <c r="AK201" s="3"/>
      <c r="AL201" s="3"/>
      <c r="AM201" s="3"/>
      <c r="AN201" s="3"/>
      <c r="AO201" s="40"/>
      <c r="AP201" s="209"/>
      <c r="AQ201" s="3"/>
      <c r="AR201" s="40"/>
      <c r="AS201" s="238"/>
    </row>
    <row r="202" spans="1:45" s="229" customFormat="1">
      <c r="A202" s="83" t="s">
        <v>321</v>
      </c>
      <c r="B202" s="386">
        <v>2.7285333333333335</v>
      </c>
      <c r="C202" s="229" t="s">
        <v>223</v>
      </c>
      <c r="D202" s="229" t="s">
        <v>637</v>
      </c>
      <c r="F202" s="229">
        <v>1668</v>
      </c>
      <c r="G202" s="40">
        <f>F202/728</f>
        <v>2.2912087912087911</v>
      </c>
      <c r="H202" s="14">
        <v>0</v>
      </c>
      <c r="I202" s="229">
        <v>1</v>
      </c>
      <c r="J202" s="229">
        <v>0</v>
      </c>
      <c r="K202" s="26">
        <v>1</v>
      </c>
      <c r="L202" s="14">
        <v>0</v>
      </c>
      <c r="M202" s="229">
        <v>0</v>
      </c>
      <c r="N202" s="229">
        <v>0</v>
      </c>
      <c r="O202" s="229">
        <v>1</v>
      </c>
      <c r="P202" s="26">
        <v>1</v>
      </c>
      <c r="Q202" s="14">
        <v>5</v>
      </c>
      <c r="R202" s="229">
        <v>0</v>
      </c>
      <c r="S202" s="229">
        <v>0</v>
      </c>
      <c r="T202" s="229">
        <v>0</v>
      </c>
      <c r="U202" s="229">
        <v>0</v>
      </c>
      <c r="V202" s="229">
        <v>11</v>
      </c>
      <c r="W202" s="229">
        <v>118</v>
      </c>
      <c r="X202" s="229">
        <v>0</v>
      </c>
      <c r="Y202" s="229">
        <v>0</v>
      </c>
      <c r="Z202" s="229">
        <v>0</v>
      </c>
      <c r="AA202" s="229">
        <v>0</v>
      </c>
      <c r="AC202" s="12">
        <v>2</v>
      </c>
      <c r="AD202" s="14">
        <v>4</v>
      </c>
      <c r="AE202" s="14">
        <v>198</v>
      </c>
      <c r="AF202" s="26">
        <v>1056</v>
      </c>
      <c r="AG202" s="12">
        <v>115</v>
      </c>
      <c r="AH202" s="14">
        <v>1</v>
      </c>
      <c r="AI202" s="209"/>
      <c r="AJ202" s="3"/>
      <c r="AK202" s="3"/>
      <c r="AL202" s="3"/>
      <c r="AM202" s="3"/>
      <c r="AN202" s="3"/>
      <c r="AO202" s="40"/>
      <c r="AP202" s="209"/>
      <c r="AQ202" s="3"/>
      <c r="AR202" s="40"/>
      <c r="AS202" s="238"/>
    </row>
    <row r="203" spans="1:45" s="229" customFormat="1">
      <c r="A203" s="83" t="s">
        <v>321</v>
      </c>
      <c r="B203" s="386">
        <v>2.7285333333333335</v>
      </c>
      <c r="C203" s="229" t="s">
        <v>223</v>
      </c>
      <c r="D203" s="229" t="s">
        <v>638</v>
      </c>
      <c r="F203" s="229">
        <v>1648</v>
      </c>
      <c r="G203" s="40">
        <f>F203/986</f>
        <v>1.6713995943204869</v>
      </c>
      <c r="H203" s="14">
        <v>0</v>
      </c>
      <c r="I203" s="229">
        <v>1</v>
      </c>
      <c r="J203" s="229">
        <v>0</v>
      </c>
      <c r="K203" s="26">
        <v>1</v>
      </c>
      <c r="L203" s="14">
        <v>0</v>
      </c>
      <c r="M203" s="229">
        <v>0</v>
      </c>
      <c r="N203" s="229">
        <v>0</v>
      </c>
      <c r="O203" s="229">
        <v>1</v>
      </c>
      <c r="P203" s="26">
        <v>1</v>
      </c>
      <c r="Q203" s="14">
        <v>0</v>
      </c>
      <c r="R203" s="229">
        <v>0</v>
      </c>
      <c r="S203" s="229">
        <v>0</v>
      </c>
      <c r="T203" s="229">
        <v>0</v>
      </c>
      <c r="U203" s="229">
        <v>0</v>
      </c>
      <c r="V203" s="229">
        <v>0</v>
      </c>
      <c r="W203" s="229">
        <v>0</v>
      </c>
      <c r="X203" s="229">
        <v>0</v>
      </c>
      <c r="Y203" s="229">
        <v>0</v>
      </c>
      <c r="Z203" s="229">
        <v>0</v>
      </c>
      <c r="AA203" s="229">
        <v>0</v>
      </c>
      <c r="AC203" s="12">
        <v>2</v>
      </c>
      <c r="AD203" s="14">
        <v>2</v>
      </c>
      <c r="AE203" s="14">
        <v>241</v>
      </c>
      <c r="AF203" s="26">
        <v>1648</v>
      </c>
      <c r="AG203" s="12">
        <v>128</v>
      </c>
      <c r="AH203" s="14">
        <v>0</v>
      </c>
      <c r="AI203" s="209"/>
      <c r="AJ203" s="3"/>
      <c r="AK203" s="3"/>
      <c r="AL203" s="3"/>
      <c r="AM203" s="3"/>
      <c r="AN203" s="3"/>
      <c r="AO203" s="40"/>
      <c r="AP203" s="209"/>
      <c r="AQ203" s="3"/>
      <c r="AR203" s="40"/>
      <c r="AS203" s="238"/>
    </row>
    <row r="204" spans="1:45" s="229" customFormat="1">
      <c r="A204" s="83" t="s">
        <v>321</v>
      </c>
      <c r="B204" s="386">
        <v>2.7285333333333335</v>
      </c>
      <c r="C204" s="229" t="s">
        <v>223</v>
      </c>
      <c r="D204" s="229" t="s">
        <v>640</v>
      </c>
      <c r="E204" s="229" t="s">
        <v>0</v>
      </c>
      <c r="F204" s="229">
        <v>345</v>
      </c>
      <c r="G204" s="40">
        <f>F204/256</f>
        <v>1.34765625</v>
      </c>
      <c r="H204" s="14">
        <v>0</v>
      </c>
      <c r="I204" s="229">
        <v>0</v>
      </c>
      <c r="J204" s="229">
        <v>0</v>
      </c>
      <c r="K204" s="26">
        <v>1</v>
      </c>
      <c r="L204" s="14">
        <v>0</v>
      </c>
      <c r="M204" s="229">
        <v>0</v>
      </c>
      <c r="N204" s="229">
        <v>1</v>
      </c>
      <c r="O204" s="229">
        <v>0</v>
      </c>
      <c r="P204" s="26">
        <v>1</v>
      </c>
      <c r="Q204" s="14">
        <v>0</v>
      </c>
      <c r="R204" s="229">
        <v>0</v>
      </c>
      <c r="S204" s="229">
        <v>0</v>
      </c>
      <c r="T204" s="229">
        <v>0</v>
      </c>
      <c r="U204" s="229">
        <v>0</v>
      </c>
      <c r="V204" s="229">
        <v>0</v>
      </c>
      <c r="W204" s="229">
        <v>0</v>
      </c>
      <c r="X204" s="229">
        <v>0</v>
      </c>
      <c r="Y204" s="229">
        <v>0</v>
      </c>
      <c r="Z204" s="229">
        <v>0</v>
      </c>
      <c r="AA204" s="229">
        <v>0</v>
      </c>
      <c r="AC204" s="12">
        <v>2</v>
      </c>
      <c r="AD204" s="14">
        <v>3</v>
      </c>
      <c r="AE204" s="14">
        <v>152</v>
      </c>
      <c r="AF204" s="26">
        <v>207</v>
      </c>
      <c r="AG204" s="12">
        <v>87</v>
      </c>
      <c r="AH204" s="14">
        <v>1</v>
      </c>
      <c r="AI204" s="209"/>
      <c r="AJ204" s="3"/>
      <c r="AK204" s="3"/>
      <c r="AL204" s="3"/>
      <c r="AM204" s="3"/>
      <c r="AN204" s="3"/>
      <c r="AO204" s="40"/>
      <c r="AP204" s="209"/>
      <c r="AQ204" s="3"/>
      <c r="AR204" s="40"/>
      <c r="AS204" s="238"/>
    </row>
    <row r="205" spans="1:45" s="229" customFormat="1" ht="17" thickBot="1">
      <c r="A205" s="84" t="s">
        <v>321</v>
      </c>
      <c r="B205" s="385">
        <v>2.7285333333333335</v>
      </c>
      <c r="C205" s="229" t="s">
        <v>223</v>
      </c>
      <c r="D205" s="229" t="s">
        <v>640</v>
      </c>
      <c r="E205" s="229" t="s">
        <v>1</v>
      </c>
      <c r="F205" s="229">
        <v>47</v>
      </c>
      <c r="G205" s="26">
        <f>F205/31</f>
        <v>1.5161290322580645</v>
      </c>
      <c r="H205" s="14">
        <v>1</v>
      </c>
      <c r="I205" s="229">
        <v>0</v>
      </c>
      <c r="J205" s="229">
        <v>0</v>
      </c>
      <c r="K205" s="26">
        <v>0</v>
      </c>
      <c r="L205" s="14">
        <v>0</v>
      </c>
      <c r="M205" s="229">
        <v>0</v>
      </c>
      <c r="N205" s="229">
        <v>0</v>
      </c>
      <c r="O205" s="229">
        <v>0</v>
      </c>
      <c r="P205" s="26">
        <v>0</v>
      </c>
      <c r="Q205" s="14">
        <v>0</v>
      </c>
      <c r="R205" s="229">
        <v>0</v>
      </c>
      <c r="S205" s="229">
        <v>0</v>
      </c>
      <c r="T205" s="229">
        <v>0</v>
      </c>
      <c r="U205" s="229">
        <v>0</v>
      </c>
      <c r="V205" s="229">
        <v>0</v>
      </c>
      <c r="W205" s="229">
        <v>0</v>
      </c>
      <c r="X205" s="229">
        <v>0</v>
      </c>
      <c r="Y205" s="229">
        <v>0</v>
      </c>
      <c r="Z205" s="229">
        <v>0</v>
      </c>
      <c r="AA205" s="229">
        <v>0</v>
      </c>
      <c r="AC205" s="12">
        <v>1</v>
      </c>
      <c r="AD205" s="14">
        <v>1</v>
      </c>
      <c r="AE205" s="14">
        <v>0</v>
      </c>
      <c r="AF205" s="26">
        <v>0</v>
      </c>
      <c r="AG205" s="12">
        <v>87</v>
      </c>
      <c r="AH205" s="14">
        <v>0</v>
      </c>
      <c r="AI205" s="209"/>
      <c r="AJ205" s="3"/>
      <c r="AK205" s="3"/>
      <c r="AL205" s="3"/>
      <c r="AM205" s="3"/>
      <c r="AN205" s="3"/>
      <c r="AO205" s="40"/>
      <c r="AP205" s="209"/>
      <c r="AQ205" s="3"/>
      <c r="AR205" s="40"/>
      <c r="AS205" s="238"/>
    </row>
    <row r="206" spans="1:45" s="229" customFormat="1">
      <c r="A206" s="83" t="s">
        <v>321</v>
      </c>
      <c r="B206" s="9">
        <v>3.105</v>
      </c>
      <c r="C206" s="8" t="s">
        <v>655</v>
      </c>
      <c r="D206" s="8" t="s">
        <v>423</v>
      </c>
      <c r="E206" s="8" t="s">
        <v>0</v>
      </c>
      <c r="F206" s="8">
        <v>1286</v>
      </c>
      <c r="G206" s="10">
        <f>F206/815</f>
        <v>1.5779141104294478</v>
      </c>
      <c r="H206" s="11">
        <v>1</v>
      </c>
      <c r="I206" s="8">
        <v>0</v>
      </c>
      <c r="J206" s="8">
        <v>0</v>
      </c>
      <c r="K206" s="41">
        <v>1</v>
      </c>
      <c r="L206" s="11">
        <v>0</v>
      </c>
      <c r="M206" s="8">
        <v>0</v>
      </c>
      <c r="N206" s="8">
        <v>0</v>
      </c>
      <c r="O206" s="8">
        <v>0</v>
      </c>
      <c r="P206" s="41">
        <v>0</v>
      </c>
      <c r="Q206" s="11">
        <v>1</v>
      </c>
      <c r="R206" s="8">
        <v>0</v>
      </c>
      <c r="S206" s="8">
        <v>27</v>
      </c>
      <c r="T206" s="8">
        <v>0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/>
      <c r="AC206" s="9">
        <v>2</v>
      </c>
      <c r="AD206" s="11">
        <v>6</v>
      </c>
      <c r="AE206" s="11">
        <v>104</v>
      </c>
      <c r="AF206" s="41">
        <v>747</v>
      </c>
      <c r="AG206" s="9">
        <v>125</v>
      </c>
      <c r="AH206" s="11">
        <v>1</v>
      </c>
      <c r="AI206" s="208"/>
      <c r="AJ206" s="54"/>
      <c r="AK206" s="54"/>
      <c r="AL206" s="54"/>
      <c r="AM206" s="54"/>
      <c r="AN206" s="54"/>
      <c r="AO206" s="10"/>
      <c r="AP206" s="208"/>
      <c r="AQ206" s="54"/>
      <c r="AR206" s="10"/>
      <c r="AS206" s="237"/>
    </row>
    <row r="207" spans="1:45" s="229" customFormat="1">
      <c r="A207" s="83" t="s">
        <v>321</v>
      </c>
      <c r="B207" s="12">
        <v>3.105</v>
      </c>
      <c r="C207" s="229" t="s">
        <v>655</v>
      </c>
      <c r="D207" s="229" t="s">
        <v>423</v>
      </c>
      <c r="E207" s="229" t="s">
        <v>1</v>
      </c>
      <c r="F207" s="229">
        <v>812</v>
      </c>
      <c r="G207" s="40">
        <f>F207/405</f>
        <v>2.0049382716049382</v>
      </c>
      <c r="H207" s="14">
        <v>0</v>
      </c>
      <c r="I207" s="229">
        <v>0</v>
      </c>
      <c r="J207" s="229">
        <v>1</v>
      </c>
      <c r="K207" s="26">
        <v>1</v>
      </c>
      <c r="L207" s="14">
        <v>0</v>
      </c>
      <c r="M207" s="229">
        <v>0</v>
      </c>
      <c r="N207" s="229">
        <v>0</v>
      </c>
      <c r="O207" s="229">
        <v>0</v>
      </c>
      <c r="P207" s="26">
        <v>0</v>
      </c>
      <c r="Q207" s="14">
        <v>0</v>
      </c>
      <c r="R207" s="229">
        <v>0</v>
      </c>
      <c r="S207" s="229">
        <v>0</v>
      </c>
      <c r="T207" s="229">
        <v>0</v>
      </c>
      <c r="U207" s="229">
        <v>0</v>
      </c>
      <c r="V207" s="229">
        <v>0</v>
      </c>
      <c r="W207" s="229">
        <v>0</v>
      </c>
      <c r="X207" s="229">
        <v>0</v>
      </c>
      <c r="Y207" s="229">
        <v>0</v>
      </c>
      <c r="Z207" s="229">
        <v>0</v>
      </c>
      <c r="AA207" s="229">
        <v>0</v>
      </c>
      <c r="AC207" s="12">
        <v>2</v>
      </c>
      <c r="AD207" s="14">
        <v>5</v>
      </c>
      <c r="AE207" s="14">
        <v>150</v>
      </c>
      <c r="AF207" s="26">
        <v>512</v>
      </c>
      <c r="AG207" s="12">
        <v>215</v>
      </c>
      <c r="AH207" s="14">
        <v>1</v>
      </c>
      <c r="AI207" s="209"/>
      <c r="AJ207" s="3"/>
      <c r="AK207" s="3"/>
      <c r="AL207" s="3"/>
      <c r="AM207" s="3"/>
      <c r="AN207" s="3"/>
      <c r="AO207" s="40"/>
      <c r="AP207" s="209"/>
      <c r="AQ207" s="3"/>
      <c r="AR207" s="40"/>
      <c r="AS207" s="238"/>
    </row>
    <row r="208" spans="1:45" s="229" customFormat="1">
      <c r="A208" s="83" t="s">
        <v>321</v>
      </c>
      <c r="B208" s="12">
        <v>3.105</v>
      </c>
      <c r="C208" s="229" t="s">
        <v>655</v>
      </c>
      <c r="D208" s="229" t="s">
        <v>423</v>
      </c>
      <c r="E208" s="229" t="s">
        <v>2</v>
      </c>
      <c r="F208" s="229">
        <v>430</v>
      </c>
      <c r="G208" s="40">
        <f>F208/382</f>
        <v>1.12565445026178</v>
      </c>
      <c r="H208" s="14">
        <v>0</v>
      </c>
      <c r="I208" s="229">
        <v>0</v>
      </c>
      <c r="J208" s="229">
        <v>0</v>
      </c>
      <c r="K208" s="26">
        <v>1</v>
      </c>
      <c r="L208" s="14">
        <v>0</v>
      </c>
      <c r="M208" s="229">
        <v>0</v>
      </c>
      <c r="N208" s="229">
        <v>0</v>
      </c>
      <c r="O208" s="229">
        <v>0</v>
      </c>
      <c r="P208" s="26">
        <v>0</v>
      </c>
      <c r="Q208" s="14">
        <v>4</v>
      </c>
      <c r="R208" s="229">
        <v>0</v>
      </c>
      <c r="S208" s="229">
        <v>0</v>
      </c>
      <c r="T208" s="229">
        <v>0</v>
      </c>
      <c r="U208" s="229">
        <v>0</v>
      </c>
      <c r="V208" s="229">
        <v>0</v>
      </c>
      <c r="W208" s="229">
        <v>0</v>
      </c>
      <c r="X208" s="229">
        <v>0</v>
      </c>
      <c r="Y208" s="229">
        <v>0</v>
      </c>
      <c r="Z208" s="229">
        <v>0</v>
      </c>
      <c r="AA208" s="229">
        <v>42</v>
      </c>
      <c r="AC208" s="12">
        <v>1</v>
      </c>
      <c r="AD208" s="14">
        <v>1</v>
      </c>
      <c r="AE208" s="14">
        <v>0</v>
      </c>
      <c r="AF208" s="26">
        <v>0</v>
      </c>
      <c r="AG208" s="12">
        <v>125</v>
      </c>
      <c r="AH208" s="14">
        <v>1</v>
      </c>
      <c r="AI208" s="209"/>
      <c r="AJ208" s="3"/>
      <c r="AK208" s="3"/>
      <c r="AL208" s="3"/>
      <c r="AM208" s="3"/>
      <c r="AN208" s="3"/>
      <c r="AO208" s="40"/>
      <c r="AP208" s="209"/>
      <c r="AQ208" s="3"/>
      <c r="AR208" s="40"/>
      <c r="AS208" s="238"/>
    </row>
    <row r="209" spans="1:45" s="229" customFormat="1">
      <c r="A209" s="83" t="s">
        <v>321</v>
      </c>
      <c r="B209" s="12">
        <v>3.105</v>
      </c>
      <c r="C209" s="229" t="s">
        <v>655</v>
      </c>
      <c r="D209" s="229" t="s">
        <v>423</v>
      </c>
      <c r="E209" s="229" t="s">
        <v>3</v>
      </c>
      <c r="F209" s="229">
        <v>1104</v>
      </c>
      <c r="G209" s="40">
        <f>F209/419</f>
        <v>2.6348448687350836</v>
      </c>
      <c r="H209" s="14">
        <v>1</v>
      </c>
      <c r="I209" s="229">
        <v>0</v>
      </c>
      <c r="J209" s="229">
        <v>0</v>
      </c>
      <c r="K209" s="26">
        <v>1</v>
      </c>
      <c r="L209" s="14">
        <v>0</v>
      </c>
      <c r="M209" s="229">
        <v>0</v>
      </c>
      <c r="N209" s="229">
        <v>0</v>
      </c>
      <c r="O209" s="229">
        <v>0</v>
      </c>
      <c r="P209" s="26">
        <v>0</v>
      </c>
      <c r="Q209" s="14">
        <v>4</v>
      </c>
      <c r="R209" s="229">
        <v>0</v>
      </c>
      <c r="S209" s="229">
        <v>64</v>
      </c>
      <c r="T209" s="229">
        <v>0</v>
      </c>
      <c r="U209" s="229">
        <v>0</v>
      </c>
      <c r="V209" s="229">
        <v>0</v>
      </c>
      <c r="W209" s="229">
        <v>0</v>
      </c>
      <c r="X209" s="229">
        <v>0</v>
      </c>
      <c r="Y209" s="229">
        <v>0</v>
      </c>
      <c r="Z209" s="229">
        <v>0</v>
      </c>
      <c r="AA209" s="229">
        <v>0</v>
      </c>
      <c r="AC209" s="12">
        <v>2</v>
      </c>
      <c r="AD209" s="14">
        <v>5</v>
      </c>
      <c r="AE209" s="14">
        <v>254</v>
      </c>
      <c r="AF209" s="26">
        <v>506</v>
      </c>
      <c r="AG209" s="12">
        <v>125</v>
      </c>
      <c r="AH209" s="14">
        <v>1</v>
      </c>
      <c r="AI209" s="209"/>
      <c r="AJ209" s="3"/>
      <c r="AK209" s="3"/>
      <c r="AL209" s="3"/>
      <c r="AM209" s="3"/>
      <c r="AN209" s="3"/>
      <c r="AO209" s="40"/>
      <c r="AP209" s="209"/>
      <c r="AQ209" s="3"/>
      <c r="AR209" s="40"/>
      <c r="AS209" s="238"/>
    </row>
    <row r="210" spans="1:45" s="229" customFormat="1">
      <c r="A210" s="83" t="s">
        <v>321</v>
      </c>
      <c r="B210" s="12">
        <v>3.105</v>
      </c>
      <c r="C210" s="229" t="s">
        <v>655</v>
      </c>
      <c r="D210" s="229" t="s">
        <v>622</v>
      </c>
      <c r="F210" s="229">
        <v>788</v>
      </c>
      <c r="G210" s="40">
        <f>F210/683</f>
        <v>1.1537335285505124</v>
      </c>
      <c r="H210" s="14">
        <v>0</v>
      </c>
      <c r="I210" s="229">
        <v>0</v>
      </c>
      <c r="J210" s="229">
        <v>0</v>
      </c>
      <c r="K210" s="26">
        <v>1</v>
      </c>
      <c r="L210" s="14">
        <v>0</v>
      </c>
      <c r="M210" s="229">
        <v>0</v>
      </c>
      <c r="N210" s="229">
        <v>0</v>
      </c>
      <c r="O210" s="229">
        <v>0</v>
      </c>
      <c r="P210" s="26">
        <v>0</v>
      </c>
      <c r="Q210" s="14">
        <v>0</v>
      </c>
      <c r="R210" s="229">
        <v>0</v>
      </c>
      <c r="S210" s="229">
        <v>0</v>
      </c>
      <c r="T210" s="229">
        <v>0</v>
      </c>
      <c r="U210" s="229">
        <v>0</v>
      </c>
      <c r="V210" s="229">
        <v>0</v>
      </c>
      <c r="W210" s="229">
        <v>0</v>
      </c>
      <c r="X210" s="229">
        <v>0</v>
      </c>
      <c r="Y210" s="229">
        <v>0</v>
      </c>
      <c r="Z210" s="229">
        <v>0</v>
      </c>
      <c r="AA210" s="229">
        <v>0</v>
      </c>
      <c r="AC210" s="12">
        <v>1</v>
      </c>
      <c r="AD210" s="14">
        <v>1</v>
      </c>
      <c r="AE210" s="14">
        <v>0</v>
      </c>
      <c r="AF210" s="26">
        <v>0</v>
      </c>
      <c r="AG210" s="12">
        <v>116</v>
      </c>
      <c r="AH210" s="14">
        <v>1</v>
      </c>
      <c r="AI210" s="209"/>
      <c r="AJ210" s="3"/>
      <c r="AK210" s="3"/>
      <c r="AL210" s="3"/>
      <c r="AM210" s="3"/>
      <c r="AN210" s="3"/>
      <c r="AO210" s="40"/>
      <c r="AP210" s="209"/>
      <c r="AQ210" s="3"/>
      <c r="AR210" s="40"/>
      <c r="AS210" s="238"/>
    </row>
    <row r="211" spans="1:45" s="229" customFormat="1">
      <c r="A211" s="83" t="s">
        <v>321</v>
      </c>
      <c r="B211" s="12">
        <v>3.105</v>
      </c>
      <c r="C211" s="229" t="s">
        <v>655</v>
      </c>
      <c r="D211" s="229" t="s">
        <v>656</v>
      </c>
      <c r="E211" s="229" t="s">
        <v>0</v>
      </c>
      <c r="F211" s="229">
        <v>2193</v>
      </c>
      <c r="G211" s="40">
        <f>F211/1707</f>
        <v>1.2847100175746924</v>
      </c>
      <c r="H211" s="14">
        <v>0</v>
      </c>
      <c r="I211" s="229">
        <v>1</v>
      </c>
      <c r="J211" s="229">
        <v>0</v>
      </c>
      <c r="K211" s="26">
        <v>1</v>
      </c>
      <c r="L211" s="14">
        <v>0</v>
      </c>
      <c r="M211" s="229">
        <v>0</v>
      </c>
      <c r="N211" s="229">
        <v>0</v>
      </c>
      <c r="O211" s="229">
        <v>0</v>
      </c>
      <c r="P211" s="26">
        <v>0</v>
      </c>
      <c r="Q211" s="14">
        <v>5</v>
      </c>
      <c r="R211" s="229">
        <v>11</v>
      </c>
      <c r="S211" s="229">
        <v>78</v>
      </c>
      <c r="T211" s="229">
        <v>0</v>
      </c>
      <c r="U211" s="229">
        <v>0</v>
      </c>
      <c r="V211" s="229">
        <v>0</v>
      </c>
      <c r="W211" s="229">
        <v>0</v>
      </c>
      <c r="X211" s="229">
        <v>0</v>
      </c>
      <c r="Y211" s="229">
        <v>0</v>
      </c>
      <c r="Z211" s="229">
        <v>0</v>
      </c>
      <c r="AA211" s="229">
        <v>0</v>
      </c>
      <c r="AC211" s="12">
        <v>2</v>
      </c>
      <c r="AD211" s="14">
        <v>22</v>
      </c>
      <c r="AE211" s="14">
        <v>99</v>
      </c>
      <c r="AF211" s="26">
        <v>1114</v>
      </c>
      <c r="AG211" s="12">
        <v>191</v>
      </c>
      <c r="AH211" s="14">
        <v>1</v>
      </c>
      <c r="AI211" s="209"/>
      <c r="AJ211" s="3"/>
      <c r="AK211" s="3"/>
      <c r="AL211" s="3"/>
      <c r="AM211" s="3"/>
      <c r="AN211" s="3"/>
      <c r="AO211" s="40"/>
      <c r="AP211" s="209"/>
      <c r="AQ211" s="3"/>
      <c r="AR211" s="40"/>
      <c r="AS211" s="238"/>
    </row>
    <row r="212" spans="1:45" s="229" customFormat="1">
      <c r="A212" s="83" t="s">
        <v>321</v>
      </c>
      <c r="B212" s="12">
        <v>3.105</v>
      </c>
      <c r="C212" s="229" t="s">
        <v>655</v>
      </c>
      <c r="D212" s="229" t="s">
        <v>656</v>
      </c>
      <c r="E212" s="229" t="s">
        <v>1</v>
      </c>
      <c r="F212" s="229">
        <v>471</v>
      </c>
      <c r="G212" s="40">
        <f>F212/250</f>
        <v>1.8839999999999999</v>
      </c>
      <c r="H212" s="14">
        <v>0</v>
      </c>
      <c r="I212" s="229">
        <v>0</v>
      </c>
      <c r="J212" s="229">
        <v>0</v>
      </c>
      <c r="K212" s="26">
        <v>1</v>
      </c>
      <c r="L212" s="14">
        <v>0</v>
      </c>
      <c r="M212" s="229">
        <v>0</v>
      </c>
      <c r="N212" s="229">
        <v>0</v>
      </c>
      <c r="O212" s="229">
        <v>0</v>
      </c>
      <c r="P212" s="26">
        <v>0</v>
      </c>
      <c r="Q212" s="14">
        <v>0</v>
      </c>
      <c r="R212" s="229">
        <v>0</v>
      </c>
      <c r="S212" s="229">
        <v>0</v>
      </c>
      <c r="T212" s="229">
        <v>0</v>
      </c>
      <c r="U212" s="229">
        <v>0</v>
      </c>
      <c r="V212" s="229">
        <v>0</v>
      </c>
      <c r="W212" s="229">
        <v>0</v>
      </c>
      <c r="X212" s="229">
        <v>0</v>
      </c>
      <c r="Y212" s="229">
        <v>0</v>
      </c>
      <c r="Z212" s="229">
        <v>0</v>
      </c>
      <c r="AA212" s="229">
        <v>0</v>
      </c>
      <c r="AC212" s="12">
        <v>1</v>
      </c>
      <c r="AD212" s="14">
        <v>1</v>
      </c>
      <c r="AE212" s="14">
        <v>0</v>
      </c>
      <c r="AF212" s="26">
        <v>0</v>
      </c>
      <c r="AG212" s="12">
        <v>191</v>
      </c>
      <c r="AH212" s="14">
        <v>1</v>
      </c>
      <c r="AI212" s="209"/>
      <c r="AJ212" s="3"/>
      <c r="AK212" s="3"/>
      <c r="AL212" s="3"/>
      <c r="AM212" s="3"/>
      <c r="AN212" s="3"/>
      <c r="AO212" s="40"/>
      <c r="AP212" s="209"/>
      <c r="AQ212" s="3"/>
      <c r="AR212" s="40"/>
      <c r="AS212" s="238"/>
    </row>
    <row r="213" spans="1:45" s="229" customFormat="1">
      <c r="A213" s="83" t="s">
        <v>321</v>
      </c>
      <c r="B213" s="12">
        <v>3.105</v>
      </c>
      <c r="C213" s="229" t="s">
        <v>655</v>
      </c>
      <c r="D213" s="229" t="s">
        <v>657</v>
      </c>
      <c r="E213" s="229" t="s">
        <v>0</v>
      </c>
      <c r="F213" s="229">
        <v>870</v>
      </c>
      <c r="G213" s="40">
        <f>F213/855</f>
        <v>1.0175438596491229</v>
      </c>
      <c r="H213" s="14">
        <v>0</v>
      </c>
      <c r="I213" s="229">
        <v>0</v>
      </c>
      <c r="J213" s="229">
        <v>0</v>
      </c>
      <c r="K213" s="26">
        <v>1</v>
      </c>
      <c r="L213" s="14">
        <v>0</v>
      </c>
      <c r="M213" s="229">
        <v>0</v>
      </c>
      <c r="N213" s="229">
        <v>1</v>
      </c>
      <c r="O213" s="229">
        <v>0</v>
      </c>
      <c r="P213" s="26">
        <v>1</v>
      </c>
      <c r="Q213" s="14">
        <v>0</v>
      </c>
      <c r="R213" s="229">
        <v>0</v>
      </c>
      <c r="S213" s="229">
        <v>0</v>
      </c>
      <c r="T213" s="229">
        <v>0</v>
      </c>
      <c r="U213" s="229">
        <v>0</v>
      </c>
      <c r="V213" s="229">
        <v>0</v>
      </c>
      <c r="W213" s="229">
        <v>0</v>
      </c>
      <c r="X213" s="229">
        <v>0</v>
      </c>
      <c r="Y213" s="229">
        <v>0</v>
      </c>
      <c r="Z213" s="229">
        <v>0</v>
      </c>
      <c r="AA213" s="229">
        <v>0</v>
      </c>
      <c r="AC213" s="12">
        <v>2</v>
      </c>
      <c r="AD213" s="14">
        <v>2</v>
      </c>
      <c r="AE213" s="14">
        <v>652</v>
      </c>
      <c r="AF213" s="26">
        <v>864</v>
      </c>
      <c r="AG213" s="12">
        <v>142</v>
      </c>
      <c r="AH213" s="14">
        <v>1</v>
      </c>
      <c r="AI213" s="209">
        <v>87.1</v>
      </c>
      <c r="AJ213" s="3"/>
      <c r="AK213" s="3"/>
      <c r="AL213" s="3"/>
      <c r="AM213" s="3"/>
      <c r="AN213" s="3"/>
      <c r="AO213" s="40"/>
      <c r="AP213" s="209">
        <v>87.1</v>
      </c>
      <c r="AQ213" s="3"/>
      <c r="AR213" s="40"/>
      <c r="AS213" s="238"/>
    </row>
    <row r="214" spans="1:45" s="229" customFormat="1">
      <c r="A214" s="83" t="s">
        <v>321</v>
      </c>
      <c r="B214" s="12">
        <v>3.105</v>
      </c>
      <c r="C214" s="229" t="s">
        <v>655</v>
      </c>
      <c r="D214" s="229" t="s">
        <v>657</v>
      </c>
      <c r="E214" s="229" t="s">
        <v>1</v>
      </c>
      <c r="F214" s="229">
        <v>621</v>
      </c>
      <c r="G214" s="40">
        <f>F214/333</f>
        <v>1.8648648648648649</v>
      </c>
      <c r="H214" s="14">
        <v>0</v>
      </c>
      <c r="I214" s="229">
        <v>0</v>
      </c>
      <c r="J214" s="229">
        <v>0</v>
      </c>
      <c r="K214" s="26">
        <v>1</v>
      </c>
      <c r="L214" s="14">
        <v>0</v>
      </c>
      <c r="M214" s="229">
        <v>0</v>
      </c>
      <c r="N214" s="229">
        <v>0</v>
      </c>
      <c r="O214" s="229">
        <v>0</v>
      </c>
      <c r="P214" s="26">
        <v>0</v>
      </c>
      <c r="Q214" s="14">
        <v>0</v>
      </c>
      <c r="R214" s="229">
        <v>0</v>
      </c>
      <c r="S214" s="229">
        <v>0</v>
      </c>
      <c r="T214" s="229">
        <v>0</v>
      </c>
      <c r="U214" s="229">
        <v>0</v>
      </c>
      <c r="V214" s="229">
        <v>0</v>
      </c>
      <c r="W214" s="229">
        <v>0</v>
      </c>
      <c r="X214" s="229">
        <v>0</v>
      </c>
      <c r="Y214" s="229">
        <v>0</v>
      </c>
      <c r="Z214" s="229">
        <v>0</v>
      </c>
      <c r="AA214" s="229">
        <v>0</v>
      </c>
      <c r="AC214" s="12">
        <v>1</v>
      </c>
      <c r="AD214" s="14">
        <v>1</v>
      </c>
      <c r="AE214" s="14">
        <v>0</v>
      </c>
      <c r="AF214" s="26">
        <v>0</v>
      </c>
      <c r="AG214" s="12">
        <v>142</v>
      </c>
      <c r="AH214" s="14">
        <v>1</v>
      </c>
      <c r="AI214" s="209">
        <v>87.1</v>
      </c>
      <c r="AJ214" s="3"/>
      <c r="AK214" s="3"/>
      <c r="AL214" s="3"/>
      <c r="AM214" s="3"/>
      <c r="AN214" s="3"/>
      <c r="AO214" s="40"/>
      <c r="AP214" s="209">
        <v>87.1</v>
      </c>
      <c r="AQ214" s="3"/>
      <c r="AR214" s="40"/>
      <c r="AS214" s="238"/>
    </row>
    <row r="215" spans="1:45" s="229" customFormat="1">
      <c r="A215" s="83" t="s">
        <v>321</v>
      </c>
      <c r="B215" s="12">
        <v>3.105</v>
      </c>
      <c r="C215" s="229" t="s">
        <v>655</v>
      </c>
      <c r="D215" s="229" t="s">
        <v>658</v>
      </c>
      <c r="F215" s="229">
        <v>695</v>
      </c>
      <c r="G215" s="40">
        <f>F215/417</f>
        <v>1.6666666666666667</v>
      </c>
      <c r="H215" s="14">
        <v>0</v>
      </c>
      <c r="I215" s="229">
        <v>0</v>
      </c>
      <c r="J215" s="229">
        <v>1</v>
      </c>
      <c r="K215" s="26">
        <v>0</v>
      </c>
      <c r="L215" s="14">
        <v>1</v>
      </c>
      <c r="M215" s="229">
        <v>0</v>
      </c>
      <c r="N215" s="229">
        <v>0</v>
      </c>
      <c r="O215" s="229">
        <v>0</v>
      </c>
      <c r="P215" s="26">
        <v>1</v>
      </c>
      <c r="Q215" s="14">
        <v>40</v>
      </c>
      <c r="R215" s="229">
        <v>0</v>
      </c>
      <c r="S215" s="229">
        <v>0</v>
      </c>
      <c r="T215" s="229">
        <v>0</v>
      </c>
      <c r="U215" s="229">
        <v>0</v>
      </c>
      <c r="V215" s="229">
        <v>0</v>
      </c>
      <c r="W215" s="229">
        <v>0</v>
      </c>
      <c r="X215" s="229">
        <v>0</v>
      </c>
      <c r="Y215" s="229">
        <v>0</v>
      </c>
      <c r="Z215" s="229">
        <v>212</v>
      </c>
      <c r="AA215" s="229">
        <v>302</v>
      </c>
      <c r="AC215" s="12">
        <v>2</v>
      </c>
      <c r="AD215" s="14">
        <v>2</v>
      </c>
      <c r="AE215" s="14">
        <v>334</v>
      </c>
      <c r="AF215" s="26">
        <v>580</v>
      </c>
      <c r="AG215" s="12">
        <v>78</v>
      </c>
      <c r="AH215" s="14">
        <v>1</v>
      </c>
      <c r="AI215" s="209">
        <v>87.1</v>
      </c>
      <c r="AJ215" s="3"/>
      <c r="AK215" s="3"/>
      <c r="AL215" s="3"/>
      <c r="AM215" s="3"/>
      <c r="AN215" s="3"/>
      <c r="AO215" s="40"/>
      <c r="AP215" s="209">
        <v>86.2</v>
      </c>
      <c r="AQ215" s="3">
        <v>85.8</v>
      </c>
      <c r="AR215" s="40"/>
      <c r="AS215" s="238"/>
    </row>
    <row r="216" spans="1:45" s="229" customFormat="1">
      <c r="A216" s="83" t="s">
        <v>321</v>
      </c>
      <c r="B216" s="12">
        <v>3.105</v>
      </c>
      <c r="C216" s="229" t="s">
        <v>655</v>
      </c>
      <c r="D216" s="229" t="s">
        <v>659</v>
      </c>
      <c r="F216" s="229">
        <v>1506</v>
      </c>
      <c r="G216" s="40">
        <f>F216/1069</f>
        <v>1.4087932647333956</v>
      </c>
      <c r="H216" s="14">
        <v>0</v>
      </c>
      <c r="I216" s="229">
        <v>0</v>
      </c>
      <c r="J216" s="229">
        <v>1</v>
      </c>
      <c r="K216" s="26">
        <v>0</v>
      </c>
      <c r="L216" s="14">
        <v>0</v>
      </c>
      <c r="M216" s="229">
        <v>0</v>
      </c>
      <c r="N216" s="229">
        <v>0</v>
      </c>
      <c r="O216" s="229">
        <v>1</v>
      </c>
      <c r="P216" s="26">
        <v>1</v>
      </c>
      <c r="Q216" s="14">
        <v>3</v>
      </c>
      <c r="R216" s="229">
        <v>0</v>
      </c>
      <c r="S216" s="229">
        <v>0</v>
      </c>
      <c r="T216" s="229">
        <v>0</v>
      </c>
      <c r="U216" s="229">
        <v>0</v>
      </c>
      <c r="V216" s="229">
        <v>27</v>
      </c>
      <c r="W216" s="229">
        <v>73</v>
      </c>
      <c r="X216" s="229">
        <v>0</v>
      </c>
      <c r="Y216" s="229">
        <v>0</v>
      </c>
      <c r="Z216" s="229">
        <v>0</v>
      </c>
      <c r="AA216" s="229">
        <v>0</v>
      </c>
      <c r="AC216" s="12">
        <v>1</v>
      </c>
      <c r="AD216" s="14">
        <v>1</v>
      </c>
      <c r="AE216" s="14">
        <v>0</v>
      </c>
      <c r="AF216" s="26">
        <v>0</v>
      </c>
      <c r="AG216" s="12">
        <v>160</v>
      </c>
      <c r="AH216" s="14">
        <v>1</v>
      </c>
      <c r="AI216" s="209">
        <v>86.4</v>
      </c>
      <c r="AJ216" s="3"/>
      <c r="AK216" s="3"/>
      <c r="AL216" s="3"/>
      <c r="AM216" s="3"/>
      <c r="AN216" s="3"/>
      <c r="AO216" s="40"/>
      <c r="AP216" s="209">
        <v>87.1</v>
      </c>
      <c r="AQ216" s="3"/>
      <c r="AR216" s="40"/>
      <c r="AS216" s="238"/>
    </row>
    <row r="217" spans="1:45" s="229" customFormat="1">
      <c r="A217" s="83" t="s">
        <v>321</v>
      </c>
      <c r="B217" s="12">
        <v>3.105</v>
      </c>
      <c r="C217" s="229" t="s">
        <v>655</v>
      </c>
      <c r="D217" s="229" t="s">
        <v>660</v>
      </c>
      <c r="F217" s="229">
        <v>1384</v>
      </c>
      <c r="G217" s="40">
        <f>F217/736</f>
        <v>1.8804347826086956</v>
      </c>
      <c r="H217" s="14">
        <v>0</v>
      </c>
      <c r="I217" s="229">
        <v>0</v>
      </c>
      <c r="J217" s="229">
        <v>1</v>
      </c>
      <c r="K217" s="26">
        <v>0</v>
      </c>
      <c r="L217" s="14">
        <v>0</v>
      </c>
      <c r="M217" s="229">
        <v>0</v>
      </c>
      <c r="N217" s="229">
        <v>0</v>
      </c>
      <c r="O217" s="229">
        <v>0</v>
      </c>
      <c r="P217" s="26">
        <v>0</v>
      </c>
      <c r="Q217" s="14">
        <v>2</v>
      </c>
      <c r="R217" s="229">
        <v>0</v>
      </c>
      <c r="S217" s="229">
        <v>0</v>
      </c>
      <c r="T217" s="229">
        <v>0</v>
      </c>
      <c r="U217" s="229">
        <v>0</v>
      </c>
      <c r="V217" s="229">
        <v>0</v>
      </c>
      <c r="W217" s="229">
        <v>172</v>
      </c>
      <c r="X217" s="229">
        <v>0</v>
      </c>
      <c r="Y217" s="229">
        <v>0</v>
      </c>
      <c r="Z217" s="229">
        <v>0</v>
      </c>
      <c r="AA217" s="229">
        <v>0</v>
      </c>
      <c r="AC217" s="12">
        <v>1</v>
      </c>
      <c r="AD217" s="14">
        <v>1</v>
      </c>
      <c r="AE217" s="14">
        <v>0</v>
      </c>
      <c r="AF217" s="26">
        <v>0</v>
      </c>
      <c r="AG217" s="12">
        <v>159</v>
      </c>
      <c r="AH217" s="14">
        <v>0</v>
      </c>
      <c r="AI217" s="209">
        <v>87.6</v>
      </c>
      <c r="AJ217" s="3"/>
      <c r="AK217" s="3"/>
      <c r="AL217" s="3"/>
      <c r="AM217" s="3"/>
      <c r="AN217" s="3"/>
      <c r="AO217" s="40"/>
      <c r="AP217" s="209">
        <v>87.1</v>
      </c>
      <c r="AQ217" s="3"/>
      <c r="AR217" s="40"/>
      <c r="AS217" s="238"/>
    </row>
    <row r="218" spans="1:45" s="229" customFormat="1">
      <c r="A218" s="83" t="s">
        <v>321</v>
      </c>
      <c r="B218" s="12">
        <v>3.105</v>
      </c>
      <c r="C218" s="229" t="s">
        <v>655</v>
      </c>
      <c r="D218" s="229" t="s">
        <v>661</v>
      </c>
      <c r="E218" s="229" t="s">
        <v>0</v>
      </c>
      <c r="F218" s="229">
        <v>1436</v>
      </c>
      <c r="G218" s="40">
        <f>F218/990</f>
        <v>1.4505050505050505</v>
      </c>
      <c r="H218" s="14">
        <v>0</v>
      </c>
      <c r="I218" s="229">
        <v>0</v>
      </c>
      <c r="J218" s="229">
        <v>0</v>
      </c>
      <c r="K218" s="26">
        <v>1</v>
      </c>
      <c r="L218" s="14">
        <v>0</v>
      </c>
      <c r="M218" s="229">
        <v>0</v>
      </c>
      <c r="N218" s="229">
        <v>0</v>
      </c>
      <c r="O218" s="229">
        <v>0</v>
      </c>
      <c r="P218" s="26">
        <v>0</v>
      </c>
      <c r="Q218" s="14">
        <v>5</v>
      </c>
      <c r="R218" s="229">
        <v>0</v>
      </c>
      <c r="S218" s="229">
        <v>0</v>
      </c>
      <c r="T218" s="229">
        <v>0</v>
      </c>
      <c r="U218" s="229">
        <v>0</v>
      </c>
      <c r="V218" s="229">
        <v>0</v>
      </c>
      <c r="W218" s="229">
        <v>0</v>
      </c>
      <c r="X218" s="229">
        <v>0</v>
      </c>
      <c r="Y218" s="229">
        <v>0</v>
      </c>
      <c r="Z218" s="229">
        <v>0</v>
      </c>
      <c r="AA218" s="229">
        <v>203</v>
      </c>
      <c r="AC218" s="12">
        <v>2</v>
      </c>
      <c r="AD218" s="14">
        <v>4</v>
      </c>
      <c r="AE218" s="14">
        <v>440</v>
      </c>
      <c r="AF218" s="26">
        <v>730</v>
      </c>
      <c r="AG218" s="12">
        <v>82</v>
      </c>
      <c r="AH218" s="14">
        <v>0</v>
      </c>
      <c r="AI218" s="209"/>
      <c r="AJ218" s="3"/>
      <c r="AK218" s="3"/>
      <c r="AL218" s="3"/>
      <c r="AM218" s="3"/>
      <c r="AN218" s="3"/>
      <c r="AO218" s="40"/>
      <c r="AP218" s="209"/>
      <c r="AQ218" s="3"/>
      <c r="AR218" s="40"/>
      <c r="AS218" s="238"/>
    </row>
    <row r="219" spans="1:45" s="229" customFormat="1">
      <c r="A219" s="83" t="s">
        <v>321</v>
      </c>
      <c r="B219" s="12">
        <v>3.105</v>
      </c>
      <c r="C219" s="229" t="s">
        <v>655</v>
      </c>
      <c r="D219" s="229" t="s">
        <v>661</v>
      </c>
      <c r="E219" s="229" t="s">
        <v>1</v>
      </c>
      <c r="F219" s="229">
        <v>274</v>
      </c>
      <c r="G219" s="40">
        <f>F219/182</f>
        <v>1.5054945054945055</v>
      </c>
      <c r="H219" s="14">
        <v>0</v>
      </c>
      <c r="I219" s="229">
        <v>0</v>
      </c>
      <c r="J219" s="229">
        <v>0</v>
      </c>
      <c r="K219" s="26">
        <v>1</v>
      </c>
      <c r="L219" s="14">
        <v>0</v>
      </c>
      <c r="M219" s="229">
        <v>0</v>
      </c>
      <c r="N219" s="229">
        <v>0</v>
      </c>
      <c r="O219" s="229">
        <v>0</v>
      </c>
      <c r="P219" s="26">
        <v>0</v>
      </c>
      <c r="Q219" s="14">
        <v>0</v>
      </c>
      <c r="R219" s="229">
        <v>0</v>
      </c>
      <c r="S219" s="229">
        <v>0</v>
      </c>
      <c r="T219" s="229">
        <v>0</v>
      </c>
      <c r="U219" s="229">
        <v>0</v>
      </c>
      <c r="V219" s="229">
        <v>0</v>
      </c>
      <c r="W219" s="229">
        <v>0</v>
      </c>
      <c r="X219" s="229">
        <v>0</v>
      </c>
      <c r="Y219" s="229">
        <v>0</v>
      </c>
      <c r="Z219" s="229">
        <v>0</v>
      </c>
      <c r="AA219" s="229">
        <v>0</v>
      </c>
      <c r="AC219" s="12">
        <v>1</v>
      </c>
      <c r="AD219" s="14">
        <v>1</v>
      </c>
      <c r="AE219" s="14">
        <v>0</v>
      </c>
      <c r="AF219" s="26">
        <v>0</v>
      </c>
      <c r="AG219" s="12">
        <v>82</v>
      </c>
      <c r="AH219" s="14">
        <v>1</v>
      </c>
      <c r="AI219" s="209"/>
      <c r="AJ219" s="3"/>
      <c r="AK219" s="3"/>
      <c r="AL219" s="3"/>
      <c r="AM219" s="3"/>
      <c r="AN219" s="3"/>
      <c r="AO219" s="40"/>
      <c r="AP219" s="209"/>
      <c r="AQ219" s="3"/>
      <c r="AR219" s="40"/>
      <c r="AS219" s="238"/>
    </row>
    <row r="220" spans="1:45" s="229" customFormat="1">
      <c r="A220" s="83" t="s">
        <v>321</v>
      </c>
      <c r="B220" s="12">
        <v>3.105</v>
      </c>
      <c r="C220" s="229" t="s">
        <v>655</v>
      </c>
      <c r="D220" s="229" t="s">
        <v>661</v>
      </c>
      <c r="E220" s="229" t="s">
        <v>2</v>
      </c>
      <c r="F220" s="229">
        <v>288</v>
      </c>
      <c r="G220" s="40">
        <f>F220/205</f>
        <v>1.4048780487804877</v>
      </c>
      <c r="H220" s="14">
        <v>0</v>
      </c>
      <c r="I220" s="229">
        <v>0</v>
      </c>
      <c r="J220" s="229">
        <v>0</v>
      </c>
      <c r="K220" s="26">
        <v>1</v>
      </c>
      <c r="L220" s="14">
        <v>0</v>
      </c>
      <c r="M220" s="229">
        <v>0</v>
      </c>
      <c r="N220" s="229">
        <v>0</v>
      </c>
      <c r="O220" s="229">
        <v>0</v>
      </c>
      <c r="P220" s="26">
        <v>0</v>
      </c>
      <c r="Q220" s="14">
        <v>5</v>
      </c>
      <c r="R220" s="229">
        <v>0</v>
      </c>
      <c r="S220" s="229">
        <v>27</v>
      </c>
      <c r="T220" s="229">
        <v>0</v>
      </c>
      <c r="U220" s="229">
        <v>0</v>
      </c>
      <c r="V220" s="229">
        <v>0</v>
      </c>
      <c r="W220" s="229">
        <v>0</v>
      </c>
      <c r="X220" s="229">
        <v>0</v>
      </c>
      <c r="Y220" s="229">
        <v>0</v>
      </c>
      <c r="Z220" s="229">
        <v>0</v>
      </c>
      <c r="AA220" s="229">
        <v>0</v>
      </c>
      <c r="AC220" s="12">
        <v>1</v>
      </c>
      <c r="AD220" s="14">
        <v>1</v>
      </c>
      <c r="AE220" s="14">
        <v>0</v>
      </c>
      <c r="AF220" s="26">
        <v>0</v>
      </c>
      <c r="AG220" s="12">
        <v>82</v>
      </c>
      <c r="AH220" s="14">
        <v>1</v>
      </c>
      <c r="AI220" s="209"/>
      <c r="AJ220" s="3"/>
      <c r="AK220" s="3"/>
      <c r="AL220" s="3"/>
      <c r="AM220" s="3"/>
      <c r="AN220" s="3"/>
      <c r="AO220" s="40"/>
      <c r="AP220" s="209"/>
      <c r="AQ220" s="3"/>
      <c r="AR220" s="40"/>
      <c r="AS220" s="238"/>
    </row>
    <row r="221" spans="1:45" s="229" customFormat="1">
      <c r="A221" s="83" t="s">
        <v>321</v>
      </c>
      <c r="B221" s="12">
        <v>3.105</v>
      </c>
      <c r="C221" s="229" t="s">
        <v>655</v>
      </c>
      <c r="D221" s="229" t="s">
        <v>661</v>
      </c>
      <c r="E221" s="229" t="s">
        <v>3</v>
      </c>
      <c r="F221" s="229">
        <v>863</v>
      </c>
      <c r="G221" s="40">
        <f>F221/349</f>
        <v>2.4727793696275073</v>
      </c>
      <c r="H221" s="14">
        <v>1</v>
      </c>
      <c r="I221" s="229">
        <v>0</v>
      </c>
      <c r="J221" s="229">
        <v>0</v>
      </c>
      <c r="K221" s="26">
        <v>1</v>
      </c>
      <c r="L221" s="14">
        <v>0</v>
      </c>
      <c r="M221" s="229">
        <v>0</v>
      </c>
      <c r="N221" s="229">
        <v>0</v>
      </c>
      <c r="O221" s="229">
        <v>0</v>
      </c>
      <c r="P221" s="26">
        <v>0</v>
      </c>
      <c r="Q221" s="14">
        <v>15</v>
      </c>
      <c r="R221" s="229">
        <v>20</v>
      </c>
      <c r="S221" s="229">
        <v>68</v>
      </c>
      <c r="T221" s="229">
        <v>0</v>
      </c>
      <c r="U221" s="229">
        <v>0</v>
      </c>
      <c r="V221" s="229">
        <v>0</v>
      </c>
      <c r="W221" s="229">
        <v>123</v>
      </c>
      <c r="X221" s="229">
        <v>0</v>
      </c>
      <c r="Y221" s="229">
        <v>0</v>
      </c>
      <c r="Z221" s="229">
        <v>0</v>
      </c>
      <c r="AA221" s="229">
        <v>0</v>
      </c>
      <c r="AC221" s="12">
        <v>2</v>
      </c>
      <c r="AD221" s="14">
        <v>4</v>
      </c>
      <c r="AE221" s="14">
        <v>102</v>
      </c>
      <c r="AF221" s="26">
        <v>518</v>
      </c>
      <c r="AG221" s="12">
        <v>82</v>
      </c>
      <c r="AH221" s="14">
        <v>1</v>
      </c>
      <c r="AI221" s="209"/>
      <c r="AJ221" s="3"/>
      <c r="AK221" s="3"/>
      <c r="AL221" s="3"/>
      <c r="AM221" s="3"/>
      <c r="AN221" s="3"/>
      <c r="AO221" s="40"/>
      <c r="AP221" s="209"/>
      <c r="AQ221" s="3"/>
      <c r="AR221" s="40"/>
      <c r="AS221" s="238"/>
    </row>
    <row r="222" spans="1:45" s="229" customFormat="1">
      <c r="A222" s="83" t="s">
        <v>321</v>
      </c>
      <c r="B222" s="12">
        <v>3.105</v>
      </c>
      <c r="C222" s="229" t="s">
        <v>655</v>
      </c>
      <c r="D222" s="229" t="s">
        <v>661</v>
      </c>
      <c r="E222" s="229" t="s">
        <v>4</v>
      </c>
      <c r="F222" s="229">
        <v>358</v>
      </c>
      <c r="G222" s="40">
        <f>F222/229</f>
        <v>1.5633187772925765</v>
      </c>
      <c r="H222" s="14">
        <v>1</v>
      </c>
      <c r="I222" s="229">
        <v>0</v>
      </c>
      <c r="J222" s="229">
        <v>0</v>
      </c>
      <c r="K222" s="26">
        <v>0</v>
      </c>
      <c r="L222" s="14">
        <v>0</v>
      </c>
      <c r="M222" s="229">
        <v>0</v>
      </c>
      <c r="N222" s="229">
        <v>0</v>
      </c>
      <c r="O222" s="229">
        <v>0</v>
      </c>
      <c r="P222" s="26">
        <v>0</v>
      </c>
      <c r="Q222" s="14">
        <v>2</v>
      </c>
      <c r="R222" s="229">
        <v>0</v>
      </c>
      <c r="S222" s="229">
        <v>9</v>
      </c>
      <c r="T222" s="229">
        <v>0</v>
      </c>
      <c r="U222" s="229">
        <v>0</v>
      </c>
      <c r="V222" s="229">
        <v>0</v>
      </c>
      <c r="W222" s="229">
        <v>0</v>
      </c>
      <c r="X222" s="229">
        <v>0</v>
      </c>
      <c r="Y222" s="229">
        <v>0</v>
      </c>
      <c r="Z222" s="229">
        <v>0</v>
      </c>
      <c r="AA222" s="229">
        <v>0</v>
      </c>
      <c r="AC222" s="12">
        <v>1</v>
      </c>
      <c r="AD222" s="14">
        <v>1</v>
      </c>
      <c r="AE222" s="14">
        <v>0</v>
      </c>
      <c r="AF222" s="26">
        <v>0</v>
      </c>
      <c r="AG222" s="12">
        <v>82</v>
      </c>
      <c r="AH222" s="14">
        <v>1</v>
      </c>
      <c r="AI222" s="209"/>
      <c r="AJ222" s="3"/>
      <c r="AK222" s="3"/>
      <c r="AL222" s="3"/>
      <c r="AM222" s="3"/>
      <c r="AN222" s="3"/>
      <c r="AO222" s="40"/>
      <c r="AP222" s="209"/>
      <c r="AQ222" s="3"/>
      <c r="AR222" s="40"/>
      <c r="AS222" s="238"/>
    </row>
    <row r="223" spans="1:45" s="229" customFormat="1">
      <c r="A223" s="83" t="s">
        <v>321</v>
      </c>
      <c r="B223" s="12">
        <v>3.105</v>
      </c>
      <c r="C223" s="229" t="s">
        <v>655</v>
      </c>
      <c r="D223" s="229" t="s">
        <v>662</v>
      </c>
      <c r="F223" s="229">
        <v>1478</v>
      </c>
      <c r="G223" s="40">
        <f>F223/1215</f>
        <v>1.2164609053497943</v>
      </c>
      <c r="H223" s="14">
        <v>0</v>
      </c>
      <c r="I223" s="229">
        <v>0</v>
      </c>
      <c r="J223" s="229">
        <v>1</v>
      </c>
      <c r="K223" s="26">
        <v>0</v>
      </c>
      <c r="L223" s="14">
        <v>0</v>
      </c>
      <c r="M223" s="229">
        <v>0</v>
      </c>
      <c r="N223" s="229">
        <v>0</v>
      </c>
      <c r="O223" s="229">
        <v>0</v>
      </c>
      <c r="P223" s="26">
        <v>0</v>
      </c>
      <c r="Q223" s="14">
        <v>5</v>
      </c>
      <c r="R223" s="229">
        <v>13</v>
      </c>
      <c r="S223" s="229">
        <v>24</v>
      </c>
      <c r="T223" s="229">
        <v>0</v>
      </c>
      <c r="U223" s="229">
        <v>0</v>
      </c>
      <c r="V223" s="229">
        <v>32</v>
      </c>
      <c r="W223" s="229">
        <v>166</v>
      </c>
      <c r="X223" s="229">
        <v>0</v>
      </c>
      <c r="Y223" s="229">
        <v>0</v>
      </c>
      <c r="Z223" s="229">
        <v>0</v>
      </c>
      <c r="AA223" s="229">
        <v>0</v>
      </c>
      <c r="AC223" s="12">
        <v>1</v>
      </c>
      <c r="AD223" s="14">
        <v>1</v>
      </c>
      <c r="AE223" s="14">
        <v>0</v>
      </c>
      <c r="AF223" s="26">
        <v>0</v>
      </c>
      <c r="AG223" s="12">
        <v>63</v>
      </c>
      <c r="AH223" s="14">
        <v>1</v>
      </c>
      <c r="AI223" s="209"/>
      <c r="AJ223" s="3"/>
      <c r="AK223" s="3"/>
      <c r="AL223" s="3"/>
      <c r="AM223" s="3"/>
      <c r="AN223" s="3"/>
      <c r="AO223" s="40"/>
      <c r="AP223" s="209"/>
      <c r="AQ223" s="3"/>
      <c r="AR223" s="40"/>
      <c r="AS223" s="238"/>
    </row>
    <row r="224" spans="1:45" s="229" customFormat="1">
      <c r="A224" s="83" t="s">
        <v>321</v>
      </c>
      <c r="B224" s="12">
        <v>3.105</v>
      </c>
      <c r="C224" s="229" t="s">
        <v>655</v>
      </c>
      <c r="D224" s="229" t="s">
        <v>663</v>
      </c>
      <c r="F224" s="229">
        <v>837</v>
      </c>
      <c r="G224" s="40">
        <f>F224/571</f>
        <v>1.4658493870402802</v>
      </c>
      <c r="H224" s="14">
        <v>1</v>
      </c>
      <c r="I224" s="229">
        <v>0</v>
      </c>
      <c r="J224" s="229">
        <v>0</v>
      </c>
      <c r="K224" s="26">
        <v>1</v>
      </c>
      <c r="L224" s="14">
        <v>0</v>
      </c>
      <c r="M224" s="229">
        <v>0</v>
      </c>
      <c r="N224" s="229">
        <v>0</v>
      </c>
      <c r="O224" s="229">
        <v>0</v>
      </c>
      <c r="P224" s="26">
        <v>0</v>
      </c>
      <c r="Q224" s="14">
        <v>5</v>
      </c>
      <c r="R224" s="229">
        <v>0</v>
      </c>
      <c r="S224" s="229">
        <v>14</v>
      </c>
      <c r="T224" s="229">
        <v>0</v>
      </c>
      <c r="U224" s="229">
        <v>0</v>
      </c>
      <c r="V224" s="229">
        <v>0</v>
      </c>
      <c r="W224" s="229">
        <v>0</v>
      </c>
      <c r="X224" s="229">
        <v>0</v>
      </c>
      <c r="Y224" s="229">
        <v>0</v>
      </c>
      <c r="Z224" s="229">
        <v>0</v>
      </c>
      <c r="AA224" s="229">
        <v>76</v>
      </c>
      <c r="AC224" s="12">
        <v>2</v>
      </c>
      <c r="AD224" s="14">
        <v>7</v>
      </c>
      <c r="AE224" s="14">
        <v>110</v>
      </c>
      <c r="AF224" s="26">
        <v>586</v>
      </c>
      <c r="AG224" s="12">
        <v>85</v>
      </c>
      <c r="AH224" s="14">
        <v>1</v>
      </c>
      <c r="AI224" s="209"/>
      <c r="AJ224" s="3"/>
      <c r="AK224" s="3"/>
      <c r="AL224" s="3"/>
      <c r="AM224" s="3"/>
      <c r="AN224" s="3"/>
      <c r="AO224" s="40"/>
      <c r="AP224" s="209"/>
      <c r="AQ224" s="3"/>
      <c r="AR224" s="40"/>
      <c r="AS224" s="238"/>
    </row>
    <row r="225" spans="1:45" s="229" customFormat="1">
      <c r="A225" s="83" t="s">
        <v>321</v>
      </c>
      <c r="B225" s="12">
        <v>3.105</v>
      </c>
      <c r="C225" s="229" t="s">
        <v>655</v>
      </c>
      <c r="D225" s="229" t="s">
        <v>664</v>
      </c>
      <c r="E225" s="229" t="s">
        <v>0</v>
      </c>
      <c r="F225" s="229">
        <v>1287</v>
      </c>
      <c r="G225" s="40">
        <f>F225/514</f>
        <v>2.5038910505836576</v>
      </c>
      <c r="H225" s="14">
        <v>1</v>
      </c>
      <c r="I225" s="229">
        <v>1</v>
      </c>
      <c r="J225" s="229">
        <v>0</v>
      </c>
      <c r="K225" s="26">
        <v>0</v>
      </c>
      <c r="L225" s="14">
        <v>0</v>
      </c>
      <c r="M225" s="229">
        <v>0</v>
      </c>
      <c r="N225" s="229">
        <v>0</v>
      </c>
      <c r="O225" s="229">
        <v>0</v>
      </c>
      <c r="P225" s="26">
        <v>0</v>
      </c>
      <c r="Q225" s="14">
        <v>0</v>
      </c>
      <c r="R225" s="229">
        <v>0</v>
      </c>
      <c r="S225" s="229">
        <v>0</v>
      </c>
      <c r="T225" s="229">
        <v>0</v>
      </c>
      <c r="U225" s="229">
        <v>0</v>
      </c>
      <c r="V225" s="229">
        <v>0</v>
      </c>
      <c r="W225" s="229">
        <v>0</v>
      </c>
      <c r="X225" s="229">
        <v>0</v>
      </c>
      <c r="Y225" s="229">
        <v>0</v>
      </c>
      <c r="Z225" s="229">
        <v>0</v>
      </c>
      <c r="AA225" s="229">
        <v>0</v>
      </c>
      <c r="AC225" s="12">
        <v>2</v>
      </c>
      <c r="AD225" s="14">
        <v>11</v>
      </c>
      <c r="AE225" s="14">
        <v>80</v>
      </c>
      <c r="AF225" s="26">
        <v>429</v>
      </c>
      <c r="AG225" s="12">
        <v>92</v>
      </c>
      <c r="AH225" s="14">
        <v>1</v>
      </c>
      <c r="AI225" s="209"/>
      <c r="AJ225" s="3"/>
      <c r="AK225" s="3"/>
      <c r="AL225" s="3"/>
      <c r="AM225" s="3"/>
      <c r="AN225" s="3"/>
      <c r="AO225" s="40"/>
      <c r="AP225" s="209"/>
      <c r="AQ225" s="3"/>
      <c r="AR225" s="40"/>
      <c r="AS225" s="238"/>
    </row>
    <row r="226" spans="1:45" s="229" customFormat="1">
      <c r="A226" s="83" t="s">
        <v>321</v>
      </c>
      <c r="B226" s="12">
        <v>3.105</v>
      </c>
      <c r="C226" s="229" t="s">
        <v>655</v>
      </c>
      <c r="D226" s="229" t="s">
        <v>664</v>
      </c>
      <c r="E226" s="229" t="s">
        <v>1</v>
      </c>
      <c r="F226" s="229">
        <v>362</v>
      </c>
      <c r="G226" s="40">
        <f>F226/240</f>
        <v>1.5083333333333333</v>
      </c>
      <c r="H226" s="14">
        <v>1</v>
      </c>
      <c r="I226" s="229">
        <v>0</v>
      </c>
      <c r="J226" s="229">
        <v>0</v>
      </c>
      <c r="K226" s="26">
        <v>0</v>
      </c>
      <c r="L226" s="14">
        <v>0</v>
      </c>
      <c r="M226" s="229">
        <v>0</v>
      </c>
      <c r="N226" s="229">
        <v>0</v>
      </c>
      <c r="O226" s="229">
        <v>0</v>
      </c>
      <c r="P226" s="26">
        <v>0</v>
      </c>
      <c r="Q226" s="14">
        <v>1</v>
      </c>
      <c r="R226" s="229">
        <v>0</v>
      </c>
      <c r="S226" s="229">
        <v>14</v>
      </c>
      <c r="T226" s="229">
        <v>0</v>
      </c>
      <c r="U226" s="229">
        <v>0</v>
      </c>
      <c r="V226" s="229">
        <v>0</v>
      </c>
      <c r="W226" s="229">
        <v>0</v>
      </c>
      <c r="X226" s="229">
        <v>0</v>
      </c>
      <c r="Y226" s="229">
        <v>0</v>
      </c>
      <c r="Z226" s="229">
        <v>0</v>
      </c>
      <c r="AA226" s="229">
        <v>0</v>
      </c>
      <c r="AC226" s="12">
        <v>1</v>
      </c>
      <c r="AD226" s="14">
        <v>1</v>
      </c>
      <c r="AE226" s="14">
        <v>0</v>
      </c>
      <c r="AF226" s="26">
        <v>0</v>
      </c>
      <c r="AG226" s="12">
        <v>92</v>
      </c>
      <c r="AH226" s="14">
        <v>1</v>
      </c>
      <c r="AI226" s="209"/>
      <c r="AJ226" s="3"/>
      <c r="AK226" s="3"/>
      <c r="AL226" s="3"/>
      <c r="AM226" s="3"/>
      <c r="AN226" s="3"/>
      <c r="AO226" s="40"/>
      <c r="AP226" s="209"/>
      <c r="AQ226" s="3"/>
      <c r="AR226" s="40"/>
      <c r="AS226" s="238"/>
    </row>
    <row r="227" spans="1:45" s="229" customFormat="1">
      <c r="A227" s="83" t="s">
        <v>321</v>
      </c>
      <c r="B227" s="12">
        <v>3.105</v>
      </c>
      <c r="C227" s="229" t="s">
        <v>655</v>
      </c>
      <c r="D227" s="229" t="s">
        <v>665</v>
      </c>
      <c r="F227" s="229">
        <v>1250</v>
      </c>
      <c r="G227" s="40">
        <f>F227/320</f>
        <v>3.90625</v>
      </c>
      <c r="H227" s="14">
        <v>0</v>
      </c>
      <c r="I227" s="229">
        <v>1</v>
      </c>
      <c r="J227" s="229">
        <v>0</v>
      </c>
      <c r="K227" s="26">
        <v>0</v>
      </c>
      <c r="L227" s="14">
        <v>0</v>
      </c>
      <c r="M227" s="229">
        <v>0</v>
      </c>
      <c r="N227" s="229">
        <v>0</v>
      </c>
      <c r="O227" s="229">
        <v>0</v>
      </c>
      <c r="P227" s="26">
        <v>0</v>
      </c>
      <c r="Q227" s="14">
        <v>0</v>
      </c>
      <c r="R227" s="229">
        <v>0</v>
      </c>
      <c r="S227" s="229">
        <v>0</v>
      </c>
      <c r="T227" s="229">
        <v>0</v>
      </c>
      <c r="U227" s="229">
        <v>0</v>
      </c>
      <c r="V227" s="229">
        <v>0</v>
      </c>
      <c r="W227" s="229">
        <v>0</v>
      </c>
      <c r="X227" s="229">
        <v>0</v>
      </c>
      <c r="Y227" s="229">
        <v>0</v>
      </c>
      <c r="Z227" s="229">
        <v>0</v>
      </c>
      <c r="AA227" s="229">
        <v>0</v>
      </c>
      <c r="AC227" s="12">
        <v>1</v>
      </c>
      <c r="AD227" s="14">
        <v>1</v>
      </c>
      <c r="AE227" s="14">
        <v>0</v>
      </c>
      <c r="AF227" s="26">
        <v>0</v>
      </c>
      <c r="AG227" s="12">
        <v>124</v>
      </c>
      <c r="AH227" s="14">
        <v>1</v>
      </c>
      <c r="AI227" s="209"/>
      <c r="AJ227" s="3"/>
      <c r="AK227" s="3"/>
      <c r="AL227" s="3"/>
      <c r="AM227" s="3"/>
      <c r="AN227" s="3"/>
      <c r="AO227" s="40"/>
      <c r="AP227" s="209"/>
      <c r="AQ227" s="3"/>
      <c r="AR227" s="40"/>
      <c r="AS227" s="238"/>
    </row>
    <row r="228" spans="1:45" s="229" customFormat="1">
      <c r="A228" s="83" t="s">
        <v>321</v>
      </c>
      <c r="B228" s="12">
        <v>3.105</v>
      </c>
      <c r="C228" s="229" t="s">
        <v>655</v>
      </c>
      <c r="D228" s="229" t="s">
        <v>666</v>
      </c>
      <c r="F228" s="229">
        <v>483</v>
      </c>
      <c r="G228" s="40">
        <f>F228/346</f>
        <v>1.3959537572254335</v>
      </c>
      <c r="H228" s="14">
        <v>0</v>
      </c>
      <c r="I228" s="229">
        <v>0</v>
      </c>
      <c r="J228" s="229">
        <v>1</v>
      </c>
      <c r="K228" s="26">
        <v>0</v>
      </c>
      <c r="L228" s="14">
        <v>0</v>
      </c>
      <c r="M228" s="229">
        <v>0</v>
      </c>
      <c r="N228" s="229">
        <v>0</v>
      </c>
      <c r="O228" s="229">
        <v>0</v>
      </c>
      <c r="P228" s="26">
        <v>0</v>
      </c>
      <c r="Q228" s="14">
        <v>1</v>
      </c>
      <c r="R228" s="229">
        <v>0</v>
      </c>
      <c r="S228" s="229">
        <v>0</v>
      </c>
      <c r="T228" s="229">
        <v>0</v>
      </c>
      <c r="U228" s="229">
        <v>0</v>
      </c>
      <c r="V228" s="229">
        <v>0</v>
      </c>
      <c r="W228" s="229">
        <v>16</v>
      </c>
      <c r="X228" s="229">
        <v>0</v>
      </c>
      <c r="Y228" s="229">
        <v>0</v>
      </c>
      <c r="Z228" s="229">
        <v>0</v>
      </c>
      <c r="AA228" s="229">
        <v>0</v>
      </c>
      <c r="AB228" s="229">
        <v>1</v>
      </c>
      <c r="AC228" s="12">
        <v>1</v>
      </c>
      <c r="AD228" s="14">
        <v>1</v>
      </c>
      <c r="AE228" s="14">
        <v>0</v>
      </c>
      <c r="AF228" s="26">
        <v>0</v>
      </c>
      <c r="AG228" s="12"/>
      <c r="AH228" s="14">
        <v>1</v>
      </c>
      <c r="AI228" s="209">
        <v>87</v>
      </c>
      <c r="AJ228" s="3"/>
      <c r="AK228" s="3"/>
      <c r="AL228" s="3"/>
      <c r="AM228" s="3"/>
      <c r="AN228" s="3"/>
      <c r="AO228" s="40"/>
      <c r="AP228" s="209">
        <v>86.9</v>
      </c>
      <c r="AQ228" s="3"/>
      <c r="AR228" s="40"/>
      <c r="AS228" s="238"/>
    </row>
    <row r="229" spans="1:45" s="229" customFormat="1" ht="17" thickBot="1">
      <c r="A229" s="83" t="s">
        <v>321</v>
      </c>
      <c r="B229" s="33">
        <v>3.105</v>
      </c>
      <c r="C229" s="36" t="s">
        <v>655</v>
      </c>
      <c r="D229" s="36" t="s">
        <v>667</v>
      </c>
      <c r="E229" s="36"/>
      <c r="F229" s="36">
        <v>689</v>
      </c>
      <c r="G229" s="48">
        <f>F229/383</f>
        <v>1.7989556135770235</v>
      </c>
      <c r="H229" s="34">
        <v>0</v>
      </c>
      <c r="I229" s="36">
        <v>1</v>
      </c>
      <c r="J229" s="36">
        <v>0</v>
      </c>
      <c r="K229" s="35">
        <v>1</v>
      </c>
      <c r="L229" s="34">
        <v>0</v>
      </c>
      <c r="M229" s="36">
        <v>0</v>
      </c>
      <c r="N229" s="36">
        <v>0</v>
      </c>
      <c r="O229" s="36">
        <v>0</v>
      </c>
      <c r="P229" s="35">
        <v>0</v>
      </c>
      <c r="Q229" s="34">
        <v>0</v>
      </c>
      <c r="R229" s="36">
        <v>0</v>
      </c>
      <c r="S229" s="36">
        <v>0</v>
      </c>
      <c r="T229" s="36">
        <v>0</v>
      </c>
      <c r="U229" s="36">
        <v>0</v>
      </c>
      <c r="V229" s="36">
        <v>0</v>
      </c>
      <c r="W229" s="36">
        <v>0</v>
      </c>
      <c r="X229" s="36">
        <v>0</v>
      </c>
      <c r="Y229" s="36">
        <v>0</v>
      </c>
      <c r="Z229" s="36">
        <v>0</v>
      </c>
      <c r="AA229" s="36">
        <v>0</v>
      </c>
      <c r="AB229" s="36"/>
      <c r="AC229" s="33">
        <v>2</v>
      </c>
      <c r="AD229" s="34">
        <v>3</v>
      </c>
      <c r="AE229" s="34">
        <v>217</v>
      </c>
      <c r="AF229" s="35">
        <v>392</v>
      </c>
      <c r="AG229" s="33">
        <v>44</v>
      </c>
      <c r="AH229" s="34">
        <v>1</v>
      </c>
      <c r="AI229" s="210"/>
      <c r="AJ229" s="51"/>
      <c r="AK229" s="51"/>
      <c r="AL229" s="51"/>
      <c r="AM229" s="51"/>
      <c r="AN229" s="51"/>
      <c r="AO229" s="48"/>
      <c r="AP229" s="210"/>
      <c r="AQ229" s="51"/>
      <c r="AR229" s="48"/>
      <c r="AS229" s="239"/>
    </row>
    <row r="230" spans="1:45" s="229" customFormat="1">
      <c r="A230" s="147" t="s">
        <v>321</v>
      </c>
      <c r="B230" s="9">
        <v>3.105</v>
      </c>
      <c r="C230" s="229" t="s">
        <v>668</v>
      </c>
      <c r="D230" s="229" t="s">
        <v>423</v>
      </c>
      <c r="F230" s="229">
        <v>292</v>
      </c>
      <c r="G230" s="40">
        <f>F230/241</f>
        <v>1.2116182572614107</v>
      </c>
      <c r="H230" s="14">
        <v>0</v>
      </c>
      <c r="I230" s="229">
        <v>0</v>
      </c>
      <c r="J230" s="229">
        <v>1</v>
      </c>
      <c r="K230" s="26">
        <v>0</v>
      </c>
      <c r="L230" s="14">
        <v>0</v>
      </c>
      <c r="M230" s="229">
        <v>0</v>
      </c>
      <c r="N230" s="229">
        <v>1</v>
      </c>
      <c r="O230" s="229">
        <v>0</v>
      </c>
      <c r="P230" s="26">
        <v>1</v>
      </c>
      <c r="Q230" s="14">
        <v>0</v>
      </c>
      <c r="R230" s="229">
        <v>0</v>
      </c>
      <c r="S230" s="229">
        <v>0</v>
      </c>
      <c r="T230" s="229">
        <v>0</v>
      </c>
      <c r="U230" s="229">
        <v>0</v>
      </c>
      <c r="V230" s="229">
        <v>0</v>
      </c>
      <c r="W230" s="229">
        <v>0</v>
      </c>
      <c r="X230" s="229">
        <v>0</v>
      </c>
      <c r="Y230" s="229">
        <v>0</v>
      </c>
      <c r="Z230" s="229">
        <v>0</v>
      </c>
      <c r="AA230" s="229">
        <v>0</v>
      </c>
      <c r="AC230" s="12">
        <v>1</v>
      </c>
      <c r="AD230" s="14">
        <v>1</v>
      </c>
      <c r="AE230" s="14">
        <v>0</v>
      </c>
      <c r="AF230" s="26">
        <v>0</v>
      </c>
      <c r="AG230" s="12">
        <v>41</v>
      </c>
      <c r="AH230" s="14">
        <v>0</v>
      </c>
      <c r="AI230" s="209"/>
      <c r="AJ230" s="3"/>
      <c r="AK230" s="3"/>
      <c r="AL230" s="3"/>
      <c r="AM230" s="3"/>
      <c r="AN230" s="3"/>
      <c r="AO230" s="40"/>
      <c r="AP230" s="209"/>
      <c r="AQ230" s="3"/>
      <c r="AR230" s="40"/>
      <c r="AS230" s="238"/>
    </row>
    <row r="231" spans="1:45" s="229" customFormat="1">
      <c r="A231" s="83" t="s">
        <v>321</v>
      </c>
      <c r="B231" s="12">
        <v>3.105</v>
      </c>
      <c r="C231" s="229" t="s">
        <v>668</v>
      </c>
      <c r="D231" s="229" t="s">
        <v>622</v>
      </c>
      <c r="E231" s="229" t="s">
        <v>0</v>
      </c>
      <c r="F231" s="229">
        <v>412</v>
      </c>
      <c r="G231" s="40">
        <f>F231/169</f>
        <v>2.4378698224852071</v>
      </c>
      <c r="H231" s="14">
        <v>1</v>
      </c>
      <c r="I231" s="229">
        <v>0</v>
      </c>
      <c r="J231" s="229">
        <v>0</v>
      </c>
      <c r="K231" s="26">
        <v>1</v>
      </c>
      <c r="L231" s="14">
        <v>0</v>
      </c>
      <c r="M231" s="229">
        <v>0</v>
      </c>
      <c r="N231" s="229">
        <v>0</v>
      </c>
      <c r="O231" s="229">
        <v>1</v>
      </c>
      <c r="P231" s="26">
        <v>1</v>
      </c>
      <c r="Q231" s="14">
        <v>0</v>
      </c>
      <c r="R231" s="229">
        <v>0</v>
      </c>
      <c r="S231" s="229">
        <v>0</v>
      </c>
      <c r="T231" s="229">
        <v>0</v>
      </c>
      <c r="U231" s="229">
        <v>0</v>
      </c>
      <c r="V231" s="229">
        <v>0</v>
      </c>
      <c r="W231" s="229">
        <v>0</v>
      </c>
      <c r="X231" s="229">
        <v>0</v>
      </c>
      <c r="Y231" s="229">
        <v>0</v>
      </c>
      <c r="Z231" s="229">
        <v>0</v>
      </c>
      <c r="AA231" s="229">
        <v>0</v>
      </c>
      <c r="AC231" s="12">
        <v>2</v>
      </c>
      <c r="AD231" s="14">
        <v>3</v>
      </c>
      <c r="AE231" s="14">
        <v>108</v>
      </c>
      <c r="AF231" s="26">
        <v>225</v>
      </c>
      <c r="AG231" s="12">
        <v>51</v>
      </c>
      <c r="AH231" s="14">
        <v>1</v>
      </c>
      <c r="AI231" s="209"/>
      <c r="AJ231" s="3"/>
      <c r="AK231" s="3"/>
      <c r="AL231" s="3"/>
      <c r="AM231" s="3"/>
      <c r="AN231" s="3"/>
      <c r="AO231" s="40"/>
      <c r="AP231" s="209"/>
      <c r="AQ231" s="3"/>
      <c r="AR231" s="40"/>
      <c r="AS231" s="238"/>
    </row>
    <row r="232" spans="1:45" s="229" customFormat="1">
      <c r="A232" s="83" t="s">
        <v>321</v>
      </c>
      <c r="B232" s="12">
        <v>3.105</v>
      </c>
      <c r="C232" s="229" t="s">
        <v>668</v>
      </c>
      <c r="D232" s="229" t="s">
        <v>622</v>
      </c>
      <c r="E232" s="229" t="s">
        <v>1</v>
      </c>
      <c r="F232" s="229">
        <v>419</v>
      </c>
      <c r="G232" s="40">
        <f>F232/367</f>
        <v>1.1416893732970028</v>
      </c>
      <c r="H232" s="14">
        <v>1</v>
      </c>
      <c r="I232" s="229">
        <v>0</v>
      </c>
      <c r="J232" s="229">
        <v>1</v>
      </c>
      <c r="K232" s="26">
        <v>1</v>
      </c>
      <c r="L232" s="14">
        <v>0</v>
      </c>
      <c r="M232" s="229">
        <v>0</v>
      </c>
      <c r="N232" s="229">
        <v>0</v>
      </c>
      <c r="O232" s="229">
        <v>0</v>
      </c>
      <c r="P232" s="26">
        <v>0</v>
      </c>
      <c r="Q232" s="14">
        <v>0</v>
      </c>
      <c r="R232" s="229">
        <v>0</v>
      </c>
      <c r="S232" s="229">
        <v>0</v>
      </c>
      <c r="T232" s="229">
        <v>0</v>
      </c>
      <c r="U232" s="229">
        <v>0</v>
      </c>
      <c r="V232" s="229">
        <v>0</v>
      </c>
      <c r="W232" s="229">
        <v>0</v>
      </c>
      <c r="X232" s="229">
        <v>0</v>
      </c>
      <c r="Y232" s="229">
        <v>0</v>
      </c>
      <c r="Z232" s="229">
        <v>0</v>
      </c>
      <c r="AA232" s="229">
        <v>0</v>
      </c>
      <c r="AC232" s="12">
        <v>2</v>
      </c>
      <c r="AD232" s="14">
        <v>4</v>
      </c>
      <c r="AE232" s="14">
        <v>79</v>
      </c>
      <c r="AF232" s="26">
        <v>358</v>
      </c>
      <c r="AG232" s="12">
        <v>51</v>
      </c>
      <c r="AH232" s="14">
        <v>1</v>
      </c>
      <c r="AI232" s="209"/>
      <c r="AJ232" s="3"/>
      <c r="AK232" s="3"/>
      <c r="AL232" s="3"/>
      <c r="AM232" s="3"/>
      <c r="AN232" s="3"/>
      <c r="AO232" s="40"/>
      <c r="AP232" s="209"/>
      <c r="AQ232" s="3"/>
      <c r="AR232" s="40"/>
      <c r="AS232" s="238"/>
    </row>
    <row r="233" spans="1:45" s="229" customFormat="1">
      <c r="A233" s="83" t="s">
        <v>321</v>
      </c>
      <c r="B233" s="12">
        <v>3.105</v>
      </c>
      <c r="C233" s="229" t="s">
        <v>668</v>
      </c>
      <c r="D233" s="229" t="s">
        <v>622</v>
      </c>
      <c r="E233" s="229" t="s">
        <v>2</v>
      </c>
      <c r="F233" s="229">
        <v>425</v>
      </c>
      <c r="G233" s="40">
        <f>F233/171</f>
        <v>2.4853801169590644</v>
      </c>
      <c r="H233" s="14">
        <v>1</v>
      </c>
      <c r="I233" s="229">
        <v>0</v>
      </c>
      <c r="J233" s="229">
        <v>0</v>
      </c>
      <c r="K233" s="26">
        <v>1</v>
      </c>
      <c r="L233" s="14">
        <v>0</v>
      </c>
      <c r="M233" s="229">
        <v>0</v>
      </c>
      <c r="N233" s="229">
        <v>0</v>
      </c>
      <c r="O233" s="229">
        <v>0</v>
      </c>
      <c r="P233" s="26">
        <v>0</v>
      </c>
      <c r="Q233" s="14">
        <v>0</v>
      </c>
      <c r="R233" s="229">
        <v>0</v>
      </c>
      <c r="S233" s="229">
        <v>0</v>
      </c>
      <c r="T233" s="229">
        <v>0</v>
      </c>
      <c r="U233" s="229">
        <v>0</v>
      </c>
      <c r="V233" s="229">
        <v>0</v>
      </c>
      <c r="W233" s="229">
        <v>0</v>
      </c>
      <c r="X233" s="229">
        <v>0</v>
      </c>
      <c r="Y233" s="229">
        <v>0</v>
      </c>
      <c r="Z233" s="229">
        <v>0</v>
      </c>
      <c r="AA233" s="229">
        <v>0</v>
      </c>
      <c r="AC233" s="12">
        <v>2</v>
      </c>
      <c r="AD233" s="14">
        <v>2</v>
      </c>
      <c r="AE233" s="14">
        <v>192</v>
      </c>
      <c r="AF233" s="26">
        <v>238</v>
      </c>
      <c r="AG233" s="12">
        <v>51</v>
      </c>
      <c r="AH233" s="14">
        <v>1</v>
      </c>
      <c r="AI233" s="209"/>
      <c r="AJ233" s="3"/>
      <c r="AK233" s="3"/>
      <c r="AL233" s="3"/>
      <c r="AM233" s="3"/>
      <c r="AN233" s="3"/>
      <c r="AO233" s="40"/>
      <c r="AP233" s="209"/>
      <c r="AQ233" s="3"/>
      <c r="AR233" s="40"/>
      <c r="AS233" s="238"/>
    </row>
    <row r="234" spans="1:45" s="229" customFormat="1">
      <c r="A234" s="83" t="s">
        <v>321</v>
      </c>
      <c r="B234" s="12">
        <v>3.105</v>
      </c>
      <c r="C234" s="229" t="s">
        <v>668</v>
      </c>
      <c r="D234" s="229" t="s">
        <v>620</v>
      </c>
      <c r="F234" s="229">
        <v>1807</v>
      </c>
      <c r="G234" s="40">
        <f>F234/733</f>
        <v>2.4652114597544337</v>
      </c>
      <c r="H234" s="14">
        <v>1</v>
      </c>
      <c r="I234" s="229">
        <v>0</v>
      </c>
      <c r="J234" s="229">
        <v>0</v>
      </c>
      <c r="K234" s="26">
        <v>0</v>
      </c>
      <c r="L234" s="14">
        <v>0</v>
      </c>
      <c r="M234" s="229">
        <v>0</v>
      </c>
      <c r="N234" s="229">
        <v>0</v>
      </c>
      <c r="O234" s="229">
        <v>0</v>
      </c>
      <c r="P234" s="26">
        <v>0</v>
      </c>
      <c r="Q234" s="14">
        <v>10</v>
      </c>
      <c r="R234" s="229">
        <v>56</v>
      </c>
      <c r="S234" s="229">
        <v>86</v>
      </c>
      <c r="T234" s="229">
        <v>0</v>
      </c>
      <c r="U234" s="229">
        <v>0</v>
      </c>
      <c r="V234" s="229">
        <v>0</v>
      </c>
      <c r="W234" s="229">
        <v>0</v>
      </c>
      <c r="X234" s="229">
        <v>0</v>
      </c>
      <c r="Y234" s="229">
        <v>0</v>
      </c>
      <c r="Z234" s="229">
        <v>0</v>
      </c>
      <c r="AA234" s="229">
        <v>461</v>
      </c>
      <c r="AC234" s="12">
        <v>1</v>
      </c>
      <c r="AD234" s="14">
        <v>1</v>
      </c>
      <c r="AE234" s="14">
        <v>0</v>
      </c>
      <c r="AF234" s="26">
        <v>0</v>
      </c>
      <c r="AG234" s="12">
        <v>83</v>
      </c>
      <c r="AH234" s="14">
        <v>1</v>
      </c>
      <c r="AI234" s="209">
        <v>87.3</v>
      </c>
      <c r="AJ234" s="3"/>
      <c r="AK234" s="3"/>
      <c r="AL234" s="3"/>
      <c r="AM234" s="3"/>
      <c r="AN234" s="3"/>
      <c r="AO234" s="40"/>
      <c r="AP234" s="209"/>
      <c r="AQ234" s="3"/>
      <c r="AR234" s="40"/>
      <c r="AS234" s="238"/>
    </row>
    <row r="235" spans="1:45" s="229" customFormat="1">
      <c r="A235" s="83" t="s">
        <v>321</v>
      </c>
      <c r="B235" s="12">
        <v>3.105</v>
      </c>
      <c r="C235" s="229" t="s">
        <v>668</v>
      </c>
      <c r="D235" s="229" t="s">
        <v>629</v>
      </c>
      <c r="E235" s="229" t="s">
        <v>0</v>
      </c>
      <c r="F235" s="229">
        <v>690</v>
      </c>
      <c r="G235" s="40">
        <f>F235/384</f>
        <v>1.796875</v>
      </c>
      <c r="H235" s="14">
        <v>1</v>
      </c>
      <c r="I235" s="229">
        <v>0</v>
      </c>
      <c r="J235" s="229">
        <v>0</v>
      </c>
      <c r="K235" s="26">
        <v>1</v>
      </c>
      <c r="L235" s="14">
        <v>0</v>
      </c>
      <c r="M235" s="229">
        <v>0</v>
      </c>
      <c r="N235" s="229">
        <v>0</v>
      </c>
      <c r="O235" s="229">
        <v>0</v>
      </c>
      <c r="P235" s="26">
        <v>0</v>
      </c>
      <c r="Q235" s="14">
        <v>1</v>
      </c>
      <c r="R235" s="229">
        <v>0</v>
      </c>
      <c r="S235" s="229">
        <v>11</v>
      </c>
      <c r="T235" s="229">
        <v>0</v>
      </c>
      <c r="U235" s="229">
        <v>0</v>
      </c>
      <c r="V235" s="229">
        <v>0</v>
      </c>
      <c r="W235" s="229">
        <v>0</v>
      </c>
      <c r="X235" s="229">
        <v>0</v>
      </c>
      <c r="Y235" s="229">
        <v>0</v>
      </c>
      <c r="Z235" s="229">
        <v>0</v>
      </c>
      <c r="AA235" s="229">
        <v>0</v>
      </c>
      <c r="AB235" s="229">
        <v>0</v>
      </c>
      <c r="AC235" s="12">
        <v>2</v>
      </c>
      <c r="AD235" s="14">
        <v>4</v>
      </c>
      <c r="AE235" s="14">
        <v>200</v>
      </c>
      <c r="AF235" s="26">
        <v>607</v>
      </c>
      <c r="AG235" s="12">
        <v>75</v>
      </c>
      <c r="AH235" s="14">
        <v>1</v>
      </c>
      <c r="AI235" s="209">
        <v>87.1</v>
      </c>
      <c r="AJ235" s="3"/>
      <c r="AK235" s="3"/>
      <c r="AL235" s="3"/>
      <c r="AM235" s="3"/>
      <c r="AN235" s="3"/>
      <c r="AO235" s="40"/>
      <c r="AP235" s="209">
        <v>87.2</v>
      </c>
      <c r="AQ235" s="3"/>
      <c r="AR235" s="40"/>
      <c r="AS235" s="238"/>
    </row>
    <row r="236" spans="1:45" s="229" customFormat="1">
      <c r="A236" s="83" t="s">
        <v>321</v>
      </c>
      <c r="B236" s="12">
        <v>3.105</v>
      </c>
      <c r="C236" s="229" t="s">
        <v>668</v>
      </c>
      <c r="D236" s="229" t="s">
        <v>629</v>
      </c>
      <c r="E236" s="229" t="s">
        <v>1</v>
      </c>
      <c r="F236" s="229">
        <v>124</v>
      </c>
      <c r="G236" s="40">
        <f>F236/82</f>
        <v>1.5121951219512195</v>
      </c>
      <c r="H236" s="14">
        <v>0</v>
      </c>
      <c r="I236" s="229">
        <v>0</v>
      </c>
      <c r="J236" s="229">
        <v>0</v>
      </c>
      <c r="K236" s="26">
        <v>1</v>
      </c>
      <c r="L236" s="14">
        <v>0</v>
      </c>
      <c r="M236" s="229">
        <v>0</v>
      </c>
      <c r="N236" s="229">
        <v>0</v>
      </c>
      <c r="O236" s="229">
        <v>0</v>
      </c>
      <c r="P236" s="26">
        <v>0</v>
      </c>
      <c r="Q236" s="14">
        <v>0</v>
      </c>
      <c r="R236" s="229">
        <v>0</v>
      </c>
      <c r="S236" s="229">
        <v>0</v>
      </c>
      <c r="T236" s="229">
        <v>0</v>
      </c>
      <c r="U236" s="229">
        <v>0</v>
      </c>
      <c r="V236" s="229">
        <v>0</v>
      </c>
      <c r="W236" s="229">
        <v>0</v>
      </c>
      <c r="X236" s="229">
        <v>0</v>
      </c>
      <c r="Y236" s="229">
        <v>0</v>
      </c>
      <c r="Z236" s="229">
        <v>0</v>
      </c>
      <c r="AA236" s="229">
        <v>0</v>
      </c>
      <c r="AC236" s="12">
        <v>1</v>
      </c>
      <c r="AD236" s="14">
        <v>1</v>
      </c>
      <c r="AE236" s="14">
        <v>0</v>
      </c>
      <c r="AF236" s="26">
        <v>0</v>
      </c>
      <c r="AG236" s="12">
        <v>75</v>
      </c>
      <c r="AH236" s="14">
        <v>0</v>
      </c>
      <c r="AI236" s="209"/>
      <c r="AJ236" s="3"/>
      <c r="AK236" s="3"/>
      <c r="AL236" s="3"/>
      <c r="AM236" s="3"/>
      <c r="AN236" s="3"/>
      <c r="AO236" s="40"/>
      <c r="AP236" s="209"/>
      <c r="AQ236" s="3"/>
      <c r="AR236" s="40"/>
      <c r="AS236" s="238"/>
    </row>
    <row r="237" spans="1:45" s="229" customFormat="1">
      <c r="A237" s="83" t="s">
        <v>321</v>
      </c>
      <c r="B237" s="12">
        <v>3.105</v>
      </c>
      <c r="C237" s="229" t="s">
        <v>668</v>
      </c>
      <c r="D237" s="229" t="s">
        <v>629</v>
      </c>
      <c r="E237" s="229" t="s">
        <v>2</v>
      </c>
      <c r="F237" s="229">
        <v>336</v>
      </c>
      <c r="G237" s="40">
        <f>F237/157</f>
        <v>2.1401273885350318</v>
      </c>
      <c r="H237" s="14">
        <v>0</v>
      </c>
      <c r="I237" s="229">
        <v>0</v>
      </c>
      <c r="J237" s="229">
        <v>0</v>
      </c>
      <c r="K237" s="26">
        <v>1</v>
      </c>
      <c r="L237" s="14">
        <v>0</v>
      </c>
      <c r="M237" s="229">
        <v>0</v>
      </c>
      <c r="N237" s="229">
        <v>0</v>
      </c>
      <c r="O237" s="229">
        <v>0</v>
      </c>
      <c r="P237" s="26">
        <v>0</v>
      </c>
      <c r="Q237" s="14">
        <v>0</v>
      </c>
      <c r="R237" s="229">
        <v>0</v>
      </c>
      <c r="S237" s="229">
        <v>0</v>
      </c>
      <c r="T237" s="229">
        <v>0</v>
      </c>
      <c r="U237" s="229">
        <v>0</v>
      </c>
      <c r="V237" s="229">
        <v>0</v>
      </c>
      <c r="W237" s="229">
        <v>0</v>
      </c>
      <c r="X237" s="229">
        <v>0</v>
      </c>
      <c r="Y237" s="229">
        <v>0</v>
      </c>
      <c r="Z237" s="229">
        <v>0</v>
      </c>
      <c r="AA237" s="229">
        <v>0</v>
      </c>
      <c r="AC237" s="12">
        <v>1</v>
      </c>
      <c r="AD237" s="14">
        <v>1</v>
      </c>
      <c r="AE237" s="14">
        <v>0</v>
      </c>
      <c r="AF237" s="26">
        <v>0</v>
      </c>
      <c r="AG237" s="12">
        <v>75</v>
      </c>
      <c r="AH237" s="14">
        <v>1</v>
      </c>
      <c r="AI237" s="209"/>
      <c r="AJ237" s="3"/>
      <c r="AK237" s="3"/>
      <c r="AL237" s="3"/>
      <c r="AM237" s="3"/>
      <c r="AN237" s="3"/>
      <c r="AO237" s="40"/>
      <c r="AP237" s="209"/>
      <c r="AQ237" s="3"/>
      <c r="AR237" s="40"/>
      <c r="AS237" s="238"/>
    </row>
    <row r="238" spans="1:45" s="229" customFormat="1">
      <c r="A238" s="83" t="s">
        <v>321</v>
      </c>
      <c r="B238" s="12">
        <v>3.105</v>
      </c>
      <c r="C238" s="229" t="s">
        <v>668</v>
      </c>
      <c r="D238" s="229" t="s">
        <v>634</v>
      </c>
      <c r="F238" s="229">
        <v>1550</v>
      </c>
      <c r="G238" s="40">
        <f>F238/948</f>
        <v>1.6350210970464134</v>
      </c>
      <c r="H238" s="14">
        <v>1</v>
      </c>
      <c r="I238" s="229">
        <v>0</v>
      </c>
      <c r="J238" s="229">
        <v>0</v>
      </c>
      <c r="K238" s="26">
        <v>1</v>
      </c>
      <c r="L238" s="14">
        <v>0</v>
      </c>
      <c r="M238" s="229">
        <v>0</v>
      </c>
      <c r="N238" s="229">
        <v>0</v>
      </c>
      <c r="O238" s="229">
        <v>0</v>
      </c>
      <c r="P238" s="26">
        <v>0</v>
      </c>
      <c r="Q238" s="14">
        <v>0</v>
      </c>
      <c r="R238" s="229">
        <v>0</v>
      </c>
      <c r="S238" s="229">
        <v>0</v>
      </c>
      <c r="T238" s="229">
        <v>0</v>
      </c>
      <c r="U238" s="229">
        <v>0</v>
      </c>
      <c r="V238" s="229">
        <v>0</v>
      </c>
      <c r="W238" s="229">
        <v>0</v>
      </c>
      <c r="X238" s="229">
        <v>0</v>
      </c>
      <c r="Y238" s="229">
        <v>0</v>
      </c>
      <c r="Z238" s="229">
        <v>0</v>
      </c>
      <c r="AA238" s="229">
        <v>0</v>
      </c>
      <c r="AC238" s="12">
        <v>2</v>
      </c>
      <c r="AD238" s="14">
        <v>8</v>
      </c>
      <c r="AE238" s="14">
        <v>103</v>
      </c>
      <c r="AF238" s="26">
        <v>654</v>
      </c>
      <c r="AG238" s="12">
        <v>117</v>
      </c>
      <c r="AH238" s="14">
        <v>1</v>
      </c>
      <c r="AI238" s="209"/>
      <c r="AJ238" s="3"/>
      <c r="AK238" s="3"/>
      <c r="AL238" s="3"/>
      <c r="AM238" s="3"/>
      <c r="AN238" s="3"/>
      <c r="AO238" s="40"/>
      <c r="AP238" s="209"/>
      <c r="AQ238" s="3"/>
      <c r="AR238" s="40"/>
      <c r="AS238" s="238"/>
    </row>
    <row r="239" spans="1:45" s="229" customFormat="1">
      <c r="A239" s="83" t="s">
        <v>321</v>
      </c>
      <c r="B239" s="12">
        <v>3.105</v>
      </c>
      <c r="C239" s="229" t="s">
        <v>668</v>
      </c>
      <c r="D239" s="229" t="s">
        <v>625</v>
      </c>
      <c r="E239" s="229" t="s">
        <v>0</v>
      </c>
      <c r="F239" s="229">
        <v>273</v>
      </c>
      <c r="G239" s="40">
        <f>F239/261</f>
        <v>1.0459770114942528</v>
      </c>
      <c r="H239" s="14">
        <v>1</v>
      </c>
      <c r="I239" s="229">
        <v>0</v>
      </c>
      <c r="J239" s="229">
        <v>0</v>
      </c>
      <c r="K239" s="26">
        <v>0</v>
      </c>
      <c r="L239" s="14">
        <v>0</v>
      </c>
      <c r="M239" s="229">
        <v>0</v>
      </c>
      <c r="N239" s="229">
        <v>0</v>
      </c>
      <c r="O239" s="229">
        <v>0</v>
      </c>
      <c r="P239" s="26">
        <v>0</v>
      </c>
      <c r="Q239" s="14">
        <v>0</v>
      </c>
      <c r="R239" s="229">
        <v>0</v>
      </c>
      <c r="S239" s="229">
        <v>0</v>
      </c>
      <c r="T239" s="229">
        <v>0</v>
      </c>
      <c r="U239" s="229">
        <v>0</v>
      </c>
      <c r="V239" s="229">
        <v>0</v>
      </c>
      <c r="W239" s="229">
        <v>0</v>
      </c>
      <c r="X239" s="229">
        <v>0</v>
      </c>
      <c r="Y239" s="229">
        <v>0</v>
      </c>
      <c r="Z239" s="229">
        <v>0</v>
      </c>
      <c r="AA239" s="229">
        <v>0</v>
      </c>
      <c r="AC239" s="12">
        <v>2</v>
      </c>
      <c r="AD239" s="14">
        <v>2</v>
      </c>
      <c r="AE239" s="14">
        <v>132</v>
      </c>
      <c r="AF239" s="26">
        <v>261</v>
      </c>
      <c r="AG239" s="12">
        <v>89</v>
      </c>
      <c r="AH239" s="14">
        <v>1</v>
      </c>
      <c r="AI239" s="209"/>
      <c r="AJ239" s="3"/>
      <c r="AK239" s="3"/>
      <c r="AL239" s="3"/>
      <c r="AM239" s="3"/>
      <c r="AN239" s="3"/>
      <c r="AO239" s="40"/>
      <c r="AP239" s="209"/>
      <c r="AQ239" s="3"/>
      <c r="AR239" s="40"/>
      <c r="AS239" s="238"/>
    </row>
    <row r="240" spans="1:45" s="229" customFormat="1">
      <c r="A240" s="83" t="s">
        <v>321</v>
      </c>
      <c r="B240" s="12">
        <v>3.105</v>
      </c>
      <c r="C240" s="229" t="s">
        <v>668</v>
      </c>
      <c r="D240" s="229" t="s">
        <v>625</v>
      </c>
      <c r="E240" s="229" t="s">
        <v>1</v>
      </c>
      <c r="F240" s="229">
        <v>151</v>
      </c>
      <c r="G240" s="40">
        <f>F240/118</f>
        <v>1.2796610169491525</v>
      </c>
      <c r="H240" s="14">
        <v>0</v>
      </c>
      <c r="I240" s="229">
        <v>0</v>
      </c>
      <c r="J240" s="229">
        <v>0</v>
      </c>
      <c r="K240" s="26">
        <v>1</v>
      </c>
      <c r="L240" s="14">
        <v>0</v>
      </c>
      <c r="M240" s="229">
        <v>0</v>
      </c>
      <c r="N240" s="229">
        <v>0</v>
      </c>
      <c r="O240" s="229">
        <v>0</v>
      </c>
      <c r="P240" s="26">
        <v>0</v>
      </c>
      <c r="Q240" s="14">
        <v>0</v>
      </c>
      <c r="R240" s="229">
        <v>0</v>
      </c>
      <c r="S240" s="229">
        <v>0</v>
      </c>
      <c r="T240" s="229">
        <v>0</v>
      </c>
      <c r="U240" s="229">
        <v>0</v>
      </c>
      <c r="V240" s="229">
        <v>0</v>
      </c>
      <c r="W240" s="229">
        <v>0</v>
      </c>
      <c r="X240" s="229">
        <v>0</v>
      </c>
      <c r="Y240" s="229">
        <v>0</v>
      </c>
      <c r="Z240" s="229">
        <v>0</v>
      </c>
      <c r="AA240" s="229">
        <v>0</v>
      </c>
      <c r="AC240" s="12">
        <v>1</v>
      </c>
      <c r="AD240" s="14">
        <v>1</v>
      </c>
      <c r="AE240" s="14">
        <v>0</v>
      </c>
      <c r="AF240" s="26">
        <v>0</v>
      </c>
      <c r="AG240" s="12">
        <v>89</v>
      </c>
      <c r="AH240" s="14">
        <v>0</v>
      </c>
      <c r="AI240" s="209"/>
      <c r="AJ240" s="3"/>
      <c r="AK240" s="3"/>
      <c r="AL240" s="3"/>
      <c r="AM240" s="3"/>
      <c r="AN240" s="3"/>
      <c r="AO240" s="40"/>
      <c r="AP240" s="209"/>
      <c r="AQ240" s="3"/>
      <c r="AR240" s="40"/>
      <c r="AS240" s="238"/>
    </row>
    <row r="241" spans="1:45" s="229" customFormat="1">
      <c r="A241" s="83" t="s">
        <v>321</v>
      </c>
      <c r="B241" s="12">
        <v>3.105</v>
      </c>
      <c r="C241" s="229" t="s">
        <v>668</v>
      </c>
      <c r="D241" s="229" t="s">
        <v>625</v>
      </c>
      <c r="E241" s="229" t="s">
        <v>2</v>
      </c>
      <c r="F241" s="229">
        <v>199</v>
      </c>
      <c r="G241" s="40">
        <f>F241/155</f>
        <v>1.2838709677419355</v>
      </c>
      <c r="H241" s="14">
        <v>1</v>
      </c>
      <c r="I241" s="229">
        <v>0</v>
      </c>
      <c r="J241" s="229">
        <v>0</v>
      </c>
      <c r="K241" s="26">
        <v>0</v>
      </c>
      <c r="L241" s="14">
        <v>0</v>
      </c>
      <c r="M241" s="229">
        <v>0</v>
      </c>
      <c r="N241" s="229">
        <v>0</v>
      </c>
      <c r="O241" s="229">
        <v>0</v>
      </c>
      <c r="P241" s="26">
        <v>0</v>
      </c>
      <c r="Q241" s="14">
        <v>0</v>
      </c>
      <c r="R241" s="229">
        <v>0</v>
      </c>
      <c r="S241" s="229">
        <v>0</v>
      </c>
      <c r="T241" s="229">
        <v>0</v>
      </c>
      <c r="U241" s="229">
        <v>0</v>
      </c>
      <c r="V241" s="229">
        <v>0</v>
      </c>
      <c r="W241" s="229">
        <v>0</v>
      </c>
      <c r="X241" s="229">
        <v>0</v>
      </c>
      <c r="Y241" s="229">
        <v>0</v>
      </c>
      <c r="Z241" s="229">
        <v>0</v>
      </c>
      <c r="AA241" s="229">
        <v>0</v>
      </c>
      <c r="AC241" s="12">
        <v>1</v>
      </c>
      <c r="AD241" s="14">
        <v>1</v>
      </c>
      <c r="AE241" s="14">
        <v>0</v>
      </c>
      <c r="AF241" s="26">
        <v>0</v>
      </c>
      <c r="AG241" s="12">
        <v>89</v>
      </c>
      <c r="AH241" s="14">
        <v>1</v>
      </c>
      <c r="AI241" s="209"/>
      <c r="AJ241" s="3"/>
      <c r="AK241" s="3"/>
      <c r="AL241" s="3"/>
      <c r="AM241" s="3"/>
      <c r="AN241" s="3"/>
      <c r="AO241" s="40"/>
      <c r="AP241" s="209"/>
      <c r="AQ241" s="3"/>
      <c r="AR241" s="40"/>
      <c r="AS241" s="238"/>
    </row>
    <row r="242" spans="1:45" s="229" customFormat="1">
      <c r="A242" s="83" t="s">
        <v>321</v>
      </c>
      <c r="B242" s="12">
        <v>3.105</v>
      </c>
      <c r="C242" s="229" t="s">
        <v>668</v>
      </c>
      <c r="D242" s="229" t="s">
        <v>630</v>
      </c>
      <c r="E242" s="229" t="s">
        <v>0</v>
      </c>
      <c r="F242" s="229">
        <v>827</v>
      </c>
      <c r="G242" s="40">
        <f>F242/427</f>
        <v>1.9367681498829039</v>
      </c>
      <c r="H242" s="14">
        <v>1</v>
      </c>
      <c r="I242" s="229">
        <v>1</v>
      </c>
      <c r="J242" s="229">
        <v>0</v>
      </c>
      <c r="K242" s="26">
        <v>1</v>
      </c>
      <c r="L242" s="14">
        <v>0</v>
      </c>
      <c r="M242" s="229">
        <v>0</v>
      </c>
      <c r="N242" s="229">
        <v>0</v>
      </c>
      <c r="O242" s="229">
        <v>0</v>
      </c>
      <c r="P242" s="26">
        <v>0</v>
      </c>
      <c r="Q242" s="14">
        <v>0</v>
      </c>
      <c r="R242" s="229">
        <v>0</v>
      </c>
      <c r="S242" s="229">
        <v>0</v>
      </c>
      <c r="T242" s="229">
        <v>0</v>
      </c>
      <c r="U242" s="229">
        <v>0</v>
      </c>
      <c r="V242" s="229">
        <v>0</v>
      </c>
      <c r="W242" s="229">
        <v>0</v>
      </c>
      <c r="X242" s="229">
        <v>0</v>
      </c>
      <c r="Y242" s="229">
        <v>0</v>
      </c>
      <c r="Z242" s="229">
        <v>0</v>
      </c>
      <c r="AA242" s="229">
        <v>0</v>
      </c>
      <c r="AC242" s="12">
        <v>2</v>
      </c>
      <c r="AD242" s="14">
        <v>4</v>
      </c>
      <c r="AE242" s="14">
        <v>112</v>
      </c>
      <c r="AF242" s="26">
        <v>489</v>
      </c>
      <c r="AG242" s="12">
        <v>91</v>
      </c>
      <c r="AH242" s="14">
        <v>1</v>
      </c>
      <c r="AI242" s="209"/>
      <c r="AJ242" s="3"/>
      <c r="AK242" s="3"/>
      <c r="AL242" s="3"/>
      <c r="AM242" s="3"/>
      <c r="AN242" s="3"/>
      <c r="AO242" s="40"/>
      <c r="AP242" s="209"/>
      <c r="AQ242" s="3"/>
      <c r="AR242" s="40"/>
      <c r="AS242" s="238"/>
    </row>
    <row r="243" spans="1:45" s="229" customFormat="1">
      <c r="A243" s="83" t="s">
        <v>321</v>
      </c>
      <c r="B243" s="12">
        <v>3.105</v>
      </c>
      <c r="C243" s="229" t="s">
        <v>668</v>
      </c>
      <c r="D243" s="229" t="s">
        <v>630</v>
      </c>
      <c r="E243" s="229" t="s">
        <v>1</v>
      </c>
      <c r="F243" s="229">
        <v>417</v>
      </c>
      <c r="G243" s="40">
        <f>F243/281</f>
        <v>1.4839857651245552</v>
      </c>
      <c r="H243" s="14">
        <v>0</v>
      </c>
      <c r="I243" s="229">
        <v>1</v>
      </c>
      <c r="J243" s="229">
        <v>1</v>
      </c>
      <c r="K243" s="26">
        <v>0</v>
      </c>
      <c r="L243" s="14">
        <v>0</v>
      </c>
      <c r="M243" s="229">
        <v>0</v>
      </c>
      <c r="N243" s="229">
        <v>0</v>
      </c>
      <c r="O243" s="229">
        <v>0</v>
      </c>
      <c r="P243" s="26">
        <v>0</v>
      </c>
      <c r="Q243" s="14">
        <v>1</v>
      </c>
      <c r="R243" s="229">
        <v>0</v>
      </c>
      <c r="S243" s="229">
        <v>11</v>
      </c>
      <c r="T243" s="229">
        <v>0</v>
      </c>
      <c r="U243" s="229">
        <v>0</v>
      </c>
      <c r="V243" s="229">
        <v>0</v>
      </c>
      <c r="W243" s="229">
        <v>11</v>
      </c>
      <c r="X243" s="229">
        <v>0</v>
      </c>
      <c r="Y243" s="229">
        <v>0</v>
      </c>
      <c r="Z243" s="229">
        <v>0</v>
      </c>
      <c r="AA243" s="229">
        <v>0</v>
      </c>
      <c r="AC243" s="12">
        <v>2</v>
      </c>
      <c r="AD243" s="14">
        <v>3</v>
      </c>
      <c r="AE243" s="14">
        <v>176</v>
      </c>
      <c r="AF243" s="26">
        <v>305</v>
      </c>
      <c r="AG243" s="12">
        <v>91</v>
      </c>
      <c r="AH243" s="14">
        <v>1</v>
      </c>
      <c r="AI243" s="209"/>
      <c r="AJ243" s="3"/>
      <c r="AK243" s="3"/>
      <c r="AL243" s="3"/>
      <c r="AM243" s="3"/>
      <c r="AN243" s="3"/>
      <c r="AO243" s="40"/>
      <c r="AP243" s="209"/>
      <c r="AQ243" s="3"/>
      <c r="AR243" s="40"/>
      <c r="AS243" s="238"/>
    </row>
    <row r="244" spans="1:45" s="229" customFormat="1">
      <c r="A244" s="83" t="s">
        <v>321</v>
      </c>
      <c r="B244" s="12">
        <v>3.105</v>
      </c>
      <c r="C244" s="229" t="s">
        <v>668</v>
      </c>
      <c r="D244" s="229" t="s">
        <v>630</v>
      </c>
      <c r="E244" s="229" t="s">
        <v>2</v>
      </c>
      <c r="F244" s="229">
        <v>473</v>
      </c>
      <c r="G244" s="40">
        <f>F244/308</f>
        <v>1.5357142857142858</v>
      </c>
      <c r="H244" s="14">
        <v>1</v>
      </c>
      <c r="I244" s="229">
        <v>0</v>
      </c>
      <c r="J244" s="229">
        <v>0</v>
      </c>
      <c r="K244" s="26">
        <v>0</v>
      </c>
      <c r="L244" s="14">
        <v>0</v>
      </c>
      <c r="M244" s="229">
        <v>0</v>
      </c>
      <c r="N244" s="229">
        <v>0</v>
      </c>
      <c r="O244" s="229">
        <v>0</v>
      </c>
      <c r="P244" s="26">
        <v>0</v>
      </c>
      <c r="Q244" s="14">
        <v>1</v>
      </c>
      <c r="R244" s="229">
        <v>0</v>
      </c>
      <c r="S244" s="229">
        <v>37</v>
      </c>
      <c r="T244" s="229">
        <v>0</v>
      </c>
      <c r="U244" s="229">
        <v>0</v>
      </c>
      <c r="V244" s="229">
        <v>0</v>
      </c>
      <c r="W244" s="229">
        <v>0</v>
      </c>
      <c r="X244" s="229">
        <v>0</v>
      </c>
      <c r="Y244" s="229">
        <v>0</v>
      </c>
      <c r="Z244" s="229">
        <v>0</v>
      </c>
      <c r="AA244" s="229">
        <v>0</v>
      </c>
      <c r="AC244" s="12">
        <v>2</v>
      </c>
      <c r="AD244" s="14">
        <v>5</v>
      </c>
      <c r="AE244" s="14">
        <v>126</v>
      </c>
      <c r="AF244" s="26">
        <v>203</v>
      </c>
      <c r="AG244" s="12">
        <v>91</v>
      </c>
      <c r="AH244" s="14">
        <v>0</v>
      </c>
      <c r="AI244" s="209"/>
      <c r="AJ244" s="3"/>
      <c r="AK244" s="3"/>
      <c r="AL244" s="3"/>
      <c r="AM244" s="3"/>
      <c r="AN244" s="3"/>
      <c r="AO244" s="40"/>
      <c r="AP244" s="209"/>
      <c r="AQ244" s="3"/>
      <c r="AR244" s="40"/>
      <c r="AS244" s="238"/>
    </row>
    <row r="245" spans="1:45" s="229" customFormat="1">
      <c r="A245" s="83" t="s">
        <v>321</v>
      </c>
      <c r="B245" s="12">
        <v>3.105</v>
      </c>
      <c r="C245" s="229" t="s">
        <v>668</v>
      </c>
      <c r="D245" s="229" t="s">
        <v>638</v>
      </c>
      <c r="E245" s="229" t="s">
        <v>0</v>
      </c>
      <c r="F245" s="229">
        <v>384</v>
      </c>
      <c r="G245" s="40">
        <f>F245/277</f>
        <v>1.3862815884476534</v>
      </c>
      <c r="H245" s="14">
        <v>1</v>
      </c>
      <c r="I245" s="229">
        <v>0</v>
      </c>
      <c r="J245" s="229">
        <v>0</v>
      </c>
      <c r="K245" s="26">
        <v>0</v>
      </c>
      <c r="L245" s="14">
        <v>0</v>
      </c>
      <c r="M245" s="229">
        <v>0</v>
      </c>
      <c r="N245" s="229">
        <v>0</v>
      </c>
      <c r="O245" s="229">
        <v>0</v>
      </c>
      <c r="P245" s="26">
        <v>0</v>
      </c>
      <c r="Q245" s="14">
        <v>10</v>
      </c>
      <c r="R245" s="229">
        <v>0</v>
      </c>
      <c r="S245" s="229">
        <v>0</v>
      </c>
      <c r="T245" s="229">
        <v>0</v>
      </c>
      <c r="U245" s="229">
        <v>0</v>
      </c>
      <c r="V245" s="229">
        <v>0</v>
      </c>
      <c r="W245" s="229">
        <v>0</v>
      </c>
      <c r="X245" s="229">
        <v>0</v>
      </c>
      <c r="Y245" s="229">
        <v>0</v>
      </c>
      <c r="Z245" s="229">
        <v>0</v>
      </c>
      <c r="AA245" s="229">
        <v>136</v>
      </c>
      <c r="AC245" s="12">
        <v>1</v>
      </c>
      <c r="AD245" s="14">
        <v>1</v>
      </c>
      <c r="AE245" s="14">
        <v>0</v>
      </c>
      <c r="AF245" s="26">
        <v>0</v>
      </c>
      <c r="AG245" s="12">
        <v>73</v>
      </c>
      <c r="AH245" s="14">
        <v>0</v>
      </c>
      <c r="AI245" s="209"/>
      <c r="AJ245" s="3"/>
      <c r="AK245" s="3"/>
      <c r="AL245" s="3"/>
      <c r="AM245" s="3"/>
      <c r="AN245" s="3"/>
      <c r="AO245" s="40"/>
      <c r="AP245" s="209"/>
      <c r="AQ245" s="3"/>
      <c r="AR245" s="40"/>
      <c r="AS245" s="238"/>
    </row>
    <row r="246" spans="1:45" s="229" customFormat="1">
      <c r="A246" s="83" t="s">
        <v>321</v>
      </c>
      <c r="B246" s="12">
        <v>3.105</v>
      </c>
      <c r="C246" s="229" t="s">
        <v>668</v>
      </c>
      <c r="D246" s="229" t="s">
        <v>638</v>
      </c>
      <c r="E246" s="229" t="s">
        <v>1</v>
      </c>
      <c r="F246" s="229">
        <v>1263</v>
      </c>
      <c r="G246" s="40">
        <f>F246/736</f>
        <v>1.7160326086956521</v>
      </c>
      <c r="H246" s="14">
        <v>1</v>
      </c>
      <c r="I246" s="229">
        <v>0</v>
      </c>
      <c r="J246" s="229">
        <v>0</v>
      </c>
      <c r="K246" s="26">
        <v>1</v>
      </c>
      <c r="L246" s="14">
        <v>0</v>
      </c>
      <c r="M246" s="229">
        <v>0</v>
      </c>
      <c r="N246" s="229">
        <v>0</v>
      </c>
      <c r="O246" s="229">
        <v>0</v>
      </c>
      <c r="P246" s="26">
        <v>0</v>
      </c>
      <c r="Q246" s="14">
        <v>0</v>
      </c>
      <c r="R246" s="229">
        <v>0</v>
      </c>
      <c r="S246" s="229">
        <v>0</v>
      </c>
      <c r="T246" s="229">
        <v>0</v>
      </c>
      <c r="U246" s="229">
        <v>0</v>
      </c>
      <c r="V246" s="229">
        <v>0</v>
      </c>
      <c r="W246" s="229">
        <v>0</v>
      </c>
      <c r="X246" s="229">
        <v>0</v>
      </c>
      <c r="Y246" s="229">
        <v>0</v>
      </c>
      <c r="Z246" s="229">
        <v>0</v>
      </c>
      <c r="AA246" s="229">
        <v>0</v>
      </c>
      <c r="AC246" s="12">
        <v>2</v>
      </c>
      <c r="AD246" s="14">
        <v>6</v>
      </c>
      <c r="AE246" s="14">
        <v>190</v>
      </c>
      <c r="AF246" s="26">
        <v>657</v>
      </c>
      <c r="AG246" s="12">
        <v>73</v>
      </c>
      <c r="AH246" s="14">
        <v>1</v>
      </c>
      <c r="AI246" s="209"/>
      <c r="AJ246" s="3"/>
      <c r="AK246" s="3"/>
      <c r="AL246" s="3"/>
      <c r="AM246" s="3"/>
      <c r="AN246" s="3"/>
      <c r="AO246" s="40"/>
      <c r="AP246" s="209"/>
      <c r="AQ246" s="3"/>
      <c r="AR246" s="40"/>
      <c r="AS246" s="238"/>
    </row>
    <row r="247" spans="1:45" s="229" customFormat="1">
      <c r="A247" s="83" t="s">
        <v>321</v>
      </c>
      <c r="B247" s="12">
        <v>3.105</v>
      </c>
      <c r="C247" s="229" t="s">
        <v>668</v>
      </c>
      <c r="D247" s="229" t="s">
        <v>638</v>
      </c>
      <c r="E247" s="229" t="s">
        <v>2</v>
      </c>
      <c r="F247" s="229">
        <v>449</v>
      </c>
      <c r="G247" s="40">
        <f>F247/300</f>
        <v>1.4966666666666666</v>
      </c>
      <c r="H247" s="14">
        <v>1</v>
      </c>
      <c r="I247" s="229">
        <v>0</v>
      </c>
      <c r="J247" s="229">
        <v>0</v>
      </c>
      <c r="K247" s="26">
        <v>1</v>
      </c>
      <c r="L247" s="14">
        <v>0</v>
      </c>
      <c r="M247" s="229">
        <v>0</v>
      </c>
      <c r="N247" s="229">
        <v>0</v>
      </c>
      <c r="O247" s="229">
        <v>0</v>
      </c>
      <c r="P247" s="26">
        <v>0</v>
      </c>
      <c r="Q247" s="14">
        <v>1</v>
      </c>
      <c r="R247" s="229">
        <v>6</v>
      </c>
      <c r="S247" s="229">
        <v>16</v>
      </c>
      <c r="T247" s="229">
        <v>0</v>
      </c>
      <c r="U247" s="229">
        <v>0</v>
      </c>
      <c r="V247" s="229">
        <v>0</v>
      </c>
      <c r="W247" s="229">
        <v>0</v>
      </c>
      <c r="X247" s="229">
        <v>0</v>
      </c>
      <c r="Y247" s="229">
        <v>0</v>
      </c>
      <c r="Z247" s="229">
        <v>0</v>
      </c>
      <c r="AA247" s="229">
        <v>0</v>
      </c>
      <c r="AC247" s="12">
        <v>2</v>
      </c>
      <c r="AD247" s="14">
        <v>7</v>
      </c>
      <c r="AE247" s="14">
        <v>91</v>
      </c>
      <c r="AF247" s="26">
        <v>220</v>
      </c>
      <c r="AG247" s="12">
        <v>73</v>
      </c>
      <c r="AH247" s="14">
        <v>0</v>
      </c>
      <c r="AI247" s="209"/>
      <c r="AJ247" s="3"/>
      <c r="AK247" s="3"/>
      <c r="AL247" s="3"/>
      <c r="AM247" s="3"/>
      <c r="AN247" s="3"/>
      <c r="AO247" s="40"/>
      <c r="AP247" s="209"/>
      <c r="AQ247" s="3"/>
      <c r="AR247" s="40"/>
      <c r="AS247" s="238"/>
    </row>
    <row r="248" spans="1:45" s="229" customFormat="1">
      <c r="A248" s="83" t="s">
        <v>321</v>
      </c>
      <c r="B248" s="12">
        <v>3.105</v>
      </c>
      <c r="C248" s="229" t="s">
        <v>668</v>
      </c>
      <c r="D248" s="229" t="s">
        <v>639</v>
      </c>
      <c r="E248" s="229" t="s">
        <v>0</v>
      </c>
      <c r="F248" s="229">
        <v>1147</v>
      </c>
      <c r="G248" s="40">
        <f>F248/558</f>
        <v>2.0555555555555554</v>
      </c>
      <c r="H248" s="14">
        <v>1</v>
      </c>
      <c r="I248" s="229">
        <v>0</v>
      </c>
      <c r="J248" s="229">
        <v>0</v>
      </c>
      <c r="K248" s="26">
        <v>1</v>
      </c>
      <c r="L248" s="14">
        <v>0</v>
      </c>
      <c r="M248" s="229">
        <v>0</v>
      </c>
      <c r="N248" s="229">
        <v>0</v>
      </c>
      <c r="O248" s="229">
        <v>0</v>
      </c>
      <c r="P248" s="26">
        <v>0</v>
      </c>
      <c r="Q248" s="14">
        <v>2</v>
      </c>
      <c r="R248" s="229">
        <v>6</v>
      </c>
      <c r="S248" s="229">
        <v>12</v>
      </c>
      <c r="T248" s="229">
        <v>0</v>
      </c>
      <c r="U248" s="229">
        <v>0</v>
      </c>
      <c r="V248" s="229">
        <v>0</v>
      </c>
      <c r="W248" s="229">
        <v>0</v>
      </c>
      <c r="X248" s="229">
        <v>0</v>
      </c>
      <c r="Y248" s="229">
        <v>0</v>
      </c>
      <c r="Z248" s="229">
        <v>0</v>
      </c>
      <c r="AA248" s="229">
        <v>0</v>
      </c>
      <c r="AC248" s="12">
        <v>2</v>
      </c>
      <c r="AD248" s="14">
        <v>9</v>
      </c>
      <c r="AE248" s="14">
        <v>94</v>
      </c>
      <c r="AF248" s="26">
        <v>561</v>
      </c>
      <c r="AG248" s="12">
        <v>93</v>
      </c>
      <c r="AH248" s="14">
        <v>1</v>
      </c>
      <c r="AI248" s="209"/>
      <c r="AJ248" s="3"/>
      <c r="AK248" s="3"/>
      <c r="AL248" s="3"/>
      <c r="AM248" s="3"/>
      <c r="AN248" s="3"/>
      <c r="AO248" s="40"/>
      <c r="AP248" s="209"/>
      <c r="AQ248" s="3"/>
      <c r="AR248" s="40"/>
      <c r="AS248" s="238"/>
    </row>
    <row r="249" spans="1:45" s="229" customFormat="1">
      <c r="A249" s="83" t="s">
        <v>321</v>
      </c>
      <c r="B249" s="12">
        <v>3.105</v>
      </c>
      <c r="C249" s="229" t="s">
        <v>668</v>
      </c>
      <c r="D249" s="229" t="s">
        <v>639</v>
      </c>
      <c r="E249" s="229" t="s">
        <v>1</v>
      </c>
      <c r="F249" s="229">
        <v>728</v>
      </c>
      <c r="G249" s="40">
        <f>F249/555</f>
        <v>1.3117117117117116</v>
      </c>
      <c r="H249" s="14">
        <v>0</v>
      </c>
      <c r="I249" s="229">
        <v>0</v>
      </c>
      <c r="J249" s="229">
        <v>0</v>
      </c>
      <c r="K249" s="26">
        <v>1</v>
      </c>
      <c r="L249" s="14">
        <v>0</v>
      </c>
      <c r="M249" s="229">
        <v>0</v>
      </c>
      <c r="N249" s="229">
        <v>0</v>
      </c>
      <c r="O249" s="229">
        <v>0</v>
      </c>
      <c r="P249" s="26">
        <v>0</v>
      </c>
      <c r="Q249" s="14">
        <v>5</v>
      </c>
      <c r="R249" s="229">
        <v>0</v>
      </c>
      <c r="S249" s="229">
        <v>62</v>
      </c>
      <c r="T249" s="229">
        <v>0</v>
      </c>
      <c r="U249" s="229">
        <v>0</v>
      </c>
      <c r="V249" s="229">
        <v>0</v>
      </c>
      <c r="W249" s="229">
        <v>0</v>
      </c>
      <c r="X249" s="229">
        <v>0</v>
      </c>
      <c r="Y249" s="229">
        <v>0</v>
      </c>
      <c r="Z249" s="229">
        <v>0</v>
      </c>
      <c r="AA249" s="229">
        <v>0</v>
      </c>
      <c r="AC249" s="12">
        <v>2</v>
      </c>
      <c r="AD249" s="14">
        <v>2</v>
      </c>
      <c r="AE249" s="14">
        <v>284</v>
      </c>
      <c r="AF249" s="26">
        <v>551</v>
      </c>
      <c r="AG249" s="12">
        <v>93</v>
      </c>
      <c r="AH249" s="14">
        <v>0</v>
      </c>
      <c r="AI249" s="209"/>
      <c r="AJ249" s="3"/>
      <c r="AK249" s="3"/>
      <c r="AL249" s="3"/>
      <c r="AM249" s="3"/>
      <c r="AN249" s="3"/>
      <c r="AO249" s="40"/>
      <c r="AP249" s="209"/>
      <c r="AQ249" s="3"/>
      <c r="AR249" s="40"/>
      <c r="AS249" s="238"/>
    </row>
    <row r="250" spans="1:45" s="229" customFormat="1">
      <c r="A250" s="83" t="s">
        <v>321</v>
      </c>
      <c r="B250" s="12">
        <v>3.105</v>
      </c>
      <c r="C250" s="229" t="s">
        <v>668</v>
      </c>
      <c r="D250" s="229" t="s">
        <v>640</v>
      </c>
      <c r="E250" s="229" t="s">
        <v>0</v>
      </c>
      <c r="F250" s="229">
        <v>524</v>
      </c>
      <c r="G250" s="40">
        <f>F250/383</f>
        <v>1.3681462140992167</v>
      </c>
      <c r="H250" s="14">
        <v>1</v>
      </c>
      <c r="I250" s="229">
        <v>0</v>
      </c>
      <c r="J250" s="229">
        <v>0</v>
      </c>
      <c r="K250" s="26">
        <v>1</v>
      </c>
      <c r="L250" s="14">
        <v>0</v>
      </c>
      <c r="M250" s="229">
        <v>0</v>
      </c>
      <c r="N250" s="229">
        <v>0</v>
      </c>
      <c r="O250" s="229">
        <v>0</v>
      </c>
      <c r="P250" s="26">
        <v>0</v>
      </c>
      <c r="Q250" s="14">
        <v>0</v>
      </c>
      <c r="R250" s="229">
        <v>0</v>
      </c>
      <c r="S250" s="229">
        <v>0</v>
      </c>
      <c r="T250" s="229">
        <v>0</v>
      </c>
      <c r="U250" s="229">
        <v>0</v>
      </c>
      <c r="V250" s="229">
        <v>0</v>
      </c>
      <c r="W250" s="229">
        <v>0</v>
      </c>
      <c r="X250" s="229">
        <v>0</v>
      </c>
      <c r="Y250" s="229">
        <v>0</v>
      </c>
      <c r="Z250" s="229">
        <v>0</v>
      </c>
      <c r="AA250" s="229">
        <v>0</v>
      </c>
      <c r="AC250" s="12">
        <v>2</v>
      </c>
      <c r="AD250" s="14">
        <v>4</v>
      </c>
      <c r="AE250" s="14">
        <v>109</v>
      </c>
      <c r="AF250" s="26">
        <v>287</v>
      </c>
      <c r="AG250" s="12">
        <v>70</v>
      </c>
      <c r="AH250" s="14">
        <v>1</v>
      </c>
      <c r="AI250" s="209"/>
      <c r="AJ250" s="3"/>
      <c r="AK250" s="3"/>
      <c r="AL250" s="3"/>
      <c r="AM250" s="3"/>
      <c r="AN250" s="3"/>
      <c r="AO250" s="40"/>
      <c r="AP250" s="209"/>
      <c r="AQ250" s="3"/>
      <c r="AR250" s="40"/>
      <c r="AS250" s="238"/>
    </row>
    <row r="251" spans="1:45" s="229" customFormat="1">
      <c r="A251" s="83" t="s">
        <v>321</v>
      </c>
      <c r="B251" s="12">
        <v>3.105</v>
      </c>
      <c r="C251" s="229" t="s">
        <v>668</v>
      </c>
      <c r="D251" s="229" t="s">
        <v>640</v>
      </c>
      <c r="E251" s="229" t="s">
        <v>1</v>
      </c>
      <c r="F251" s="229">
        <v>586</v>
      </c>
      <c r="G251" s="40">
        <f>F251/228</f>
        <v>2.5701754385964914</v>
      </c>
      <c r="H251" s="14">
        <v>1</v>
      </c>
      <c r="I251" s="229">
        <v>0</v>
      </c>
      <c r="J251" s="229">
        <v>0</v>
      </c>
      <c r="K251" s="26">
        <v>1</v>
      </c>
      <c r="L251" s="14">
        <v>0</v>
      </c>
      <c r="M251" s="229">
        <v>0</v>
      </c>
      <c r="N251" s="229">
        <v>0</v>
      </c>
      <c r="O251" s="229">
        <v>0</v>
      </c>
      <c r="P251" s="26">
        <v>0</v>
      </c>
      <c r="Q251" s="14">
        <v>5</v>
      </c>
      <c r="R251" s="229">
        <v>0</v>
      </c>
      <c r="S251" s="229">
        <v>0</v>
      </c>
      <c r="T251" s="229">
        <v>0</v>
      </c>
      <c r="U251" s="229">
        <v>0</v>
      </c>
      <c r="V251" s="229">
        <v>0</v>
      </c>
      <c r="W251" s="229">
        <v>29</v>
      </c>
      <c r="X251" s="229">
        <v>0</v>
      </c>
      <c r="Y251" s="229">
        <v>0</v>
      </c>
      <c r="Z251" s="229">
        <v>0</v>
      </c>
      <c r="AA251" s="229">
        <v>0</v>
      </c>
      <c r="AC251" s="12">
        <v>2</v>
      </c>
      <c r="AD251" s="14">
        <v>5</v>
      </c>
      <c r="AE251" s="14">
        <v>67</v>
      </c>
      <c r="AF251" s="26">
        <v>335</v>
      </c>
      <c r="AG251" s="12">
        <v>70</v>
      </c>
      <c r="AH251" s="14">
        <v>1</v>
      </c>
      <c r="AI251" s="209"/>
      <c r="AJ251" s="3"/>
      <c r="AK251" s="3"/>
      <c r="AL251" s="3"/>
      <c r="AM251" s="3"/>
      <c r="AN251" s="3"/>
      <c r="AO251" s="40"/>
      <c r="AP251" s="209"/>
      <c r="AQ251" s="3"/>
      <c r="AR251" s="40"/>
      <c r="AS251" s="238"/>
    </row>
    <row r="252" spans="1:45" s="229" customFormat="1">
      <c r="A252" s="83" t="s">
        <v>321</v>
      </c>
      <c r="B252" s="12">
        <v>3.105</v>
      </c>
      <c r="C252" s="229" t="s">
        <v>668</v>
      </c>
      <c r="D252" s="229" t="s">
        <v>640</v>
      </c>
      <c r="E252" s="229" t="s">
        <v>2</v>
      </c>
      <c r="F252" s="229">
        <v>616</v>
      </c>
      <c r="G252" s="40">
        <f>F252/347</f>
        <v>1.7752161383285303</v>
      </c>
      <c r="H252" s="14">
        <v>1</v>
      </c>
      <c r="I252" s="229">
        <v>0</v>
      </c>
      <c r="J252" s="229">
        <v>0</v>
      </c>
      <c r="K252" s="26">
        <v>0</v>
      </c>
      <c r="L252" s="14">
        <v>0</v>
      </c>
      <c r="M252" s="229">
        <v>0</v>
      </c>
      <c r="N252" s="229">
        <v>0</v>
      </c>
      <c r="O252" s="229">
        <v>0</v>
      </c>
      <c r="P252" s="26">
        <v>0</v>
      </c>
      <c r="Q252" s="14">
        <v>0</v>
      </c>
      <c r="R252" s="229">
        <v>0</v>
      </c>
      <c r="S252" s="229">
        <v>0</v>
      </c>
      <c r="T252" s="229">
        <v>0</v>
      </c>
      <c r="U252" s="229">
        <v>0</v>
      </c>
      <c r="V252" s="229">
        <v>0</v>
      </c>
      <c r="W252" s="229">
        <v>0</v>
      </c>
      <c r="X252" s="229">
        <v>0</v>
      </c>
      <c r="Y252" s="229">
        <v>0</v>
      </c>
      <c r="Z252" s="229">
        <v>0</v>
      </c>
      <c r="AA252" s="229">
        <v>0</v>
      </c>
      <c r="AC252" s="12">
        <v>1</v>
      </c>
      <c r="AD252" s="14">
        <v>1</v>
      </c>
      <c r="AE252" s="14">
        <v>0</v>
      </c>
      <c r="AF252" s="26">
        <v>0</v>
      </c>
      <c r="AG252" s="12">
        <v>70</v>
      </c>
      <c r="AH252" s="14">
        <v>1</v>
      </c>
      <c r="AI252" s="209"/>
      <c r="AJ252" s="3"/>
      <c r="AK252" s="3"/>
      <c r="AL252" s="3"/>
      <c r="AM252" s="3"/>
      <c r="AN252" s="3"/>
      <c r="AO252" s="40"/>
      <c r="AP252" s="209"/>
      <c r="AQ252" s="3"/>
      <c r="AR252" s="40"/>
      <c r="AS252" s="238"/>
    </row>
    <row r="253" spans="1:45" s="229" customFormat="1">
      <c r="A253" s="83" t="s">
        <v>321</v>
      </c>
      <c r="B253" s="12">
        <v>3.105</v>
      </c>
      <c r="C253" s="229" t="s">
        <v>668</v>
      </c>
      <c r="D253" s="229" t="s">
        <v>641</v>
      </c>
      <c r="E253" s="229" t="s">
        <v>0</v>
      </c>
      <c r="F253" s="229">
        <v>476</v>
      </c>
      <c r="G253" s="40">
        <f>F253/397</f>
        <v>1.198992443324937</v>
      </c>
      <c r="H253" s="14">
        <v>1</v>
      </c>
      <c r="I253" s="229">
        <v>0</v>
      </c>
      <c r="J253" s="229">
        <v>0</v>
      </c>
      <c r="K253" s="26">
        <v>1</v>
      </c>
      <c r="L253" s="14">
        <v>0</v>
      </c>
      <c r="M253" s="229">
        <v>0</v>
      </c>
      <c r="N253" s="229">
        <v>0</v>
      </c>
      <c r="O253" s="229">
        <v>0</v>
      </c>
      <c r="P253" s="26">
        <v>0</v>
      </c>
      <c r="Q253" s="14">
        <v>0</v>
      </c>
      <c r="R253" s="229">
        <v>0</v>
      </c>
      <c r="S253" s="229">
        <v>0</v>
      </c>
      <c r="T253" s="229">
        <v>0</v>
      </c>
      <c r="U253" s="229">
        <v>0</v>
      </c>
      <c r="V253" s="229">
        <v>0</v>
      </c>
      <c r="W253" s="229">
        <v>0</v>
      </c>
      <c r="X253" s="229">
        <v>0</v>
      </c>
      <c r="Y253" s="229">
        <v>0</v>
      </c>
      <c r="Z253" s="229">
        <v>0</v>
      </c>
      <c r="AA253" s="229">
        <v>0</v>
      </c>
      <c r="AC253" s="12">
        <v>2</v>
      </c>
      <c r="AD253" s="14">
        <v>5</v>
      </c>
      <c r="AE253" s="14">
        <v>141</v>
      </c>
      <c r="AF253" s="26">
        <v>185</v>
      </c>
      <c r="AG253" s="12">
        <v>133</v>
      </c>
      <c r="AH253" s="14">
        <v>1</v>
      </c>
      <c r="AI253" s="209"/>
      <c r="AJ253" s="3"/>
      <c r="AK253" s="3"/>
      <c r="AL253" s="3"/>
      <c r="AM253" s="3"/>
      <c r="AN253" s="3"/>
      <c r="AO253" s="40"/>
      <c r="AP253" s="209"/>
      <c r="AQ253" s="3"/>
      <c r="AR253" s="40"/>
      <c r="AS253" s="238"/>
    </row>
    <row r="254" spans="1:45" s="229" customFormat="1">
      <c r="A254" s="83" t="s">
        <v>321</v>
      </c>
      <c r="B254" s="12">
        <v>3.105</v>
      </c>
      <c r="C254" s="229" t="s">
        <v>668</v>
      </c>
      <c r="D254" s="229" t="s">
        <v>641</v>
      </c>
      <c r="E254" s="229" t="s">
        <v>1</v>
      </c>
      <c r="F254" s="229">
        <v>817</v>
      </c>
      <c r="G254" s="40">
        <f>F254/534</f>
        <v>1.5299625468164795</v>
      </c>
      <c r="H254" s="14">
        <v>1</v>
      </c>
      <c r="I254" s="229">
        <v>0</v>
      </c>
      <c r="J254" s="229">
        <v>0</v>
      </c>
      <c r="K254" s="26">
        <v>1</v>
      </c>
      <c r="L254" s="14">
        <v>0</v>
      </c>
      <c r="M254" s="229">
        <v>0</v>
      </c>
      <c r="N254" s="229">
        <v>0</v>
      </c>
      <c r="O254" s="229">
        <v>0</v>
      </c>
      <c r="P254" s="26">
        <v>0</v>
      </c>
      <c r="Q254" s="14">
        <v>5</v>
      </c>
      <c r="R254" s="229">
        <v>0</v>
      </c>
      <c r="S254" s="229">
        <v>0</v>
      </c>
      <c r="T254" s="229">
        <v>0</v>
      </c>
      <c r="U254" s="229">
        <v>0</v>
      </c>
      <c r="V254" s="229">
        <v>36</v>
      </c>
      <c r="W254" s="229">
        <v>66</v>
      </c>
      <c r="X254" s="229">
        <v>0</v>
      </c>
      <c r="Y254" s="229">
        <v>0</v>
      </c>
      <c r="Z254" s="229">
        <v>0</v>
      </c>
      <c r="AA254" s="229">
        <v>0</v>
      </c>
      <c r="AC254" s="12">
        <v>2</v>
      </c>
      <c r="AD254" s="14">
        <v>5</v>
      </c>
      <c r="AE254" s="14">
        <v>136</v>
      </c>
      <c r="AF254" s="26">
        <v>607</v>
      </c>
      <c r="AG254" s="12">
        <v>133</v>
      </c>
      <c r="AH254" s="14">
        <v>1</v>
      </c>
      <c r="AI254" s="209"/>
      <c r="AJ254" s="3"/>
      <c r="AK254" s="3"/>
      <c r="AL254" s="3"/>
      <c r="AM254" s="3"/>
      <c r="AN254" s="3"/>
      <c r="AO254" s="40"/>
      <c r="AP254" s="209"/>
      <c r="AQ254" s="3"/>
      <c r="AR254" s="40"/>
      <c r="AS254" s="238"/>
    </row>
    <row r="255" spans="1:45" s="229" customFormat="1">
      <c r="A255" s="83" t="s">
        <v>321</v>
      </c>
      <c r="B255" s="12">
        <v>3.105</v>
      </c>
      <c r="C255" s="229" t="s">
        <v>668</v>
      </c>
      <c r="D255" s="229" t="s">
        <v>647</v>
      </c>
      <c r="F255" s="229">
        <v>2073</v>
      </c>
      <c r="G255" s="40">
        <f>F255/1001</f>
        <v>2.0709290709290711</v>
      </c>
      <c r="H255" s="14">
        <v>0</v>
      </c>
      <c r="I255" s="229">
        <v>0</v>
      </c>
      <c r="J255" s="229">
        <v>1</v>
      </c>
      <c r="K255" s="26">
        <v>0</v>
      </c>
      <c r="L255" s="14">
        <v>0</v>
      </c>
      <c r="M255" s="229">
        <v>0</v>
      </c>
      <c r="N255" s="229">
        <v>1</v>
      </c>
      <c r="O255" s="229">
        <v>0</v>
      </c>
      <c r="P255" s="26">
        <v>1</v>
      </c>
      <c r="Q255" s="14">
        <v>10</v>
      </c>
      <c r="R255" s="229">
        <v>0</v>
      </c>
      <c r="S255" s="229">
        <v>51</v>
      </c>
      <c r="T255" s="229">
        <v>0</v>
      </c>
      <c r="U255" s="229">
        <v>0</v>
      </c>
      <c r="V255" s="229">
        <v>0</v>
      </c>
      <c r="W255" s="229">
        <v>46</v>
      </c>
      <c r="X255" s="229">
        <v>0</v>
      </c>
      <c r="Y255" s="229">
        <v>0</v>
      </c>
      <c r="Z255" s="229">
        <v>0</v>
      </c>
      <c r="AA255" s="229">
        <v>522</v>
      </c>
      <c r="AC255" s="12">
        <v>1</v>
      </c>
      <c r="AD255" s="14">
        <v>1</v>
      </c>
      <c r="AE255" s="14">
        <v>0</v>
      </c>
      <c r="AF255" s="26">
        <v>0</v>
      </c>
      <c r="AG255" s="12">
        <v>91</v>
      </c>
      <c r="AH255" s="14">
        <v>0</v>
      </c>
      <c r="AI255" s="209"/>
      <c r="AJ255" s="3"/>
      <c r="AK255" s="3"/>
      <c r="AL255" s="3"/>
      <c r="AM255" s="3"/>
      <c r="AN255" s="3"/>
      <c r="AO255" s="40"/>
      <c r="AP255" s="209"/>
      <c r="AQ255" s="3"/>
      <c r="AR255" s="40"/>
      <c r="AS255" s="238"/>
    </row>
    <row r="256" spans="1:45" s="229" customFormat="1">
      <c r="A256" s="83" t="s">
        <v>321</v>
      </c>
      <c r="B256" s="12">
        <v>3.105</v>
      </c>
      <c r="C256" s="229" t="s">
        <v>668</v>
      </c>
      <c r="D256" s="229" t="s">
        <v>648</v>
      </c>
      <c r="F256" s="229">
        <v>1384</v>
      </c>
      <c r="G256" s="40">
        <f>F256/733</f>
        <v>1.8881309686221011</v>
      </c>
      <c r="H256" s="14">
        <v>0</v>
      </c>
      <c r="I256" s="229">
        <v>0</v>
      </c>
      <c r="J256" s="229">
        <v>1</v>
      </c>
      <c r="K256" s="26">
        <v>0</v>
      </c>
      <c r="L256" s="14">
        <v>0</v>
      </c>
      <c r="M256" s="229">
        <v>0</v>
      </c>
      <c r="N256" s="229">
        <v>1</v>
      </c>
      <c r="O256" s="229">
        <v>0</v>
      </c>
      <c r="P256" s="26">
        <v>1</v>
      </c>
      <c r="Q256" s="14">
        <v>5</v>
      </c>
      <c r="R256" s="229">
        <v>12</v>
      </c>
      <c r="S256" s="229">
        <v>26</v>
      </c>
      <c r="T256" s="229">
        <v>0</v>
      </c>
      <c r="U256" s="229">
        <v>0</v>
      </c>
      <c r="V256" s="229">
        <v>0</v>
      </c>
      <c r="W256" s="229">
        <v>0</v>
      </c>
      <c r="X256" s="229">
        <v>0</v>
      </c>
      <c r="Y256" s="229">
        <v>0</v>
      </c>
      <c r="Z256" s="229">
        <v>0</v>
      </c>
      <c r="AA256" s="229">
        <v>0</v>
      </c>
      <c r="AC256" s="12">
        <v>1</v>
      </c>
      <c r="AD256" s="14">
        <v>1</v>
      </c>
      <c r="AE256" s="14">
        <v>0</v>
      </c>
      <c r="AF256" s="26">
        <v>0</v>
      </c>
      <c r="AG256" s="12">
        <v>86</v>
      </c>
      <c r="AH256" s="14">
        <v>1</v>
      </c>
      <c r="AI256" s="209">
        <v>87.6</v>
      </c>
      <c r="AJ256" s="3"/>
      <c r="AK256" s="3"/>
      <c r="AL256" s="3"/>
      <c r="AM256" s="3"/>
      <c r="AN256" s="3"/>
      <c r="AO256" s="40"/>
      <c r="AP256" s="209">
        <v>87.2</v>
      </c>
      <c r="AQ256" s="3"/>
      <c r="AR256" s="40"/>
      <c r="AS256" s="238"/>
    </row>
    <row r="257" spans="1:45" s="229" customFormat="1">
      <c r="A257" s="83" t="s">
        <v>321</v>
      </c>
      <c r="B257" s="12">
        <v>3.105</v>
      </c>
      <c r="C257" s="229" t="s">
        <v>668</v>
      </c>
      <c r="D257" s="229" t="s">
        <v>649</v>
      </c>
      <c r="F257" s="229">
        <v>2131</v>
      </c>
      <c r="G257" s="40">
        <f>F257/1267</f>
        <v>1.6819258089976321</v>
      </c>
      <c r="H257" s="14">
        <v>0</v>
      </c>
      <c r="I257" s="229">
        <v>0</v>
      </c>
      <c r="J257" s="229">
        <v>1</v>
      </c>
      <c r="K257" s="26">
        <v>0</v>
      </c>
      <c r="L257" s="14">
        <v>0</v>
      </c>
      <c r="M257" s="229">
        <v>0</v>
      </c>
      <c r="N257" s="229">
        <v>1</v>
      </c>
      <c r="O257" s="229">
        <v>0</v>
      </c>
      <c r="P257" s="26">
        <v>1</v>
      </c>
      <c r="Q257" s="14">
        <v>10</v>
      </c>
      <c r="R257" s="229">
        <v>0</v>
      </c>
      <c r="S257" s="229">
        <v>0</v>
      </c>
      <c r="T257" s="229">
        <v>0</v>
      </c>
      <c r="U257" s="229">
        <v>0</v>
      </c>
      <c r="V257" s="229">
        <v>134</v>
      </c>
      <c r="W257" s="229">
        <v>347</v>
      </c>
      <c r="X257" s="229">
        <v>0</v>
      </c>
      <c r="Y257" s="229">
        <v>201</v>
      </c>
      <c r="Z257" s="229">
        <v>0</v>
      </c>
      <c r="AA257" s="229">
        <v>0</v>
      </c>
      <c r="AC257" s="12">
        <v>1</v>
      </c>
      <c r="AD257" s="14">
        <v>1</v>
      </c>
      <c r="AE257" s="14">
        <v>0</v>
      </c>
      <c r="AF257" s="26">
        <v>0</v>
      </c>
      <c r="AG257" s="12">
        <v>94</v>
      </c>
      <c r="AH257" s="14">
        <v>0</v>
      </c>
      <c r="AI257" s="209"/>
      <c r="AJ257" s="3"/>
      <c r="AK257" s="3"/>
      <c r="AL257" s="3"/>
      <c r="AM257" s="3"/>
      <c r="AN257" s="3"/>
      <c r="AO257" s="40"/>
      <c r="AP257" s="209"/>
      <c r="AQ257" s="3"/>
      <c r="AR257" s="40"/>
      <c r="AS257" s="238"/>
    </row>
    <row r="258" spans="1:45" s="229" customFormat="1">
      <c r="A258" s="83" t="s">
        <v>321</v>
      </c>
      <c r="B258" s="12">
        <v>3.105</v>
      </c>
      <c r="C258" s="229" t="s">
        <v>668</v>
      </c>
      <c r="D258" s="229" t="s">
        <v>669</v>
      </c>
      <c r="F258" s="229">
        <v>837</v>
      </c>
      <c r="G258" s="40">
        <f>F258/796</f>
        <v>1.0515075376884422</v>
      </c>
      <c r="H258" s="14">
        <v>0</v>
      </c>
      <c r="I258" s="229">
        <v>0</v>
      </c>
      <c r="J258" s="229">
        <v>1</v>
      </c>
      <c r="K258" s="26">
        <v>0</v>
      </c>
      <c r="L258" s="14">
        <v>0</v>
      </c>
      <c r="M258" s="229">
        <v>0</v>
      </c>
      <c r="N258" s="229">
        <v>1</v>
      </c>
      <c r="O258" s="229">
        <v>0</v>
      </c>
      <c r="P258" s="26">
        <v>1</v>
      </c>
      <c r="Q258" s="14">
        <v>5</v>
      </c>
      <c r="R258" s="229">
        <v>0</v>
      </c>
      <c r="S258" s="229">
        <v>0</v>
      </c>
      <c r="T258" s="229">
        <v>0</v>
      </c>
      <c r="U258" s="229">
        <v>0</v>
      </c>
      <c r="V258" s="229">
        <v>0</v>
      </c>
      <c r="W258" s="229">
        <v>85</v>
      </c>
      <c r="X258" s="229">
        <v>0</v>
      </c>
      <c r="Y258" s="229">
        <v>0</v>
      </c>
      <c r="Z258" s="229">
        <v>0</v>
      </c>
      <c r="AA258" s="229">
        <v>0</v>
      </c>
      <c r="AC258" s="12">
        <v>1</v>
      </c>
      <c r="AD258" s="14">
        <v>1</v>
      </c>
      <c r="AE258" s="14">
        <v>0</v>
      </c>
      <c r="AF258" s="26">
        <v>0</v>
      </c>
      <c r="AG258" s="12">
        <v>95</v>
      </c>
      <c r="AH258" s="14">
        <v>0</v>
      </c>
      <c r="AI258" s="209"/>
      <c r="AJ258" s="3"/>
      <c r="AK258" s="3"/>
      <c r="AL258" s="3"/>
      <c r="AM258" s="3"/>
      <c r="AN258" s="3"/>
      <c r="AO258" s="40"/>
      <c r="AP258" s="209"/>
      <c r="AQ258" s="3"/>
      <c r="AR258" s="40"/>
      <c r="AS258" s="238"/>
    </row>
    <row r="259" spans="1:45" s="229" customFormat="1">
      <c r="A259" s="83" t="s">
        <v>321</v>
      </c>
      <c r="B259" s="12">
        <v>3.105</v>
      </c>
      <c r="C259" s="229" t="s">
        <v>668</v>
      </c>
      <c r="D259" s="229" t="s">
        <v>670</v>
      </c>
      <c r="E259" s="229" t="s">
        <v>0</v>
      </c>
      <c r="F259" s="229">
        <v>482</v>
      </c>
      <c r="G259" s="40">
        <f>F259/192</f>
        <v>2.5104166666666665</v>
      </c>
      <c r="H259" s="14">
        <v>1</v>
      </c>
      <c r="I259" s="229">
        <v>0</v>
      </c>
      <c r="J259" s="229">
        <v>0</v>
      </c>
      <c r="K259" s="26">
        <v>0</v>
      </c>
      <c r="L259" s="14">
        <v>0</v>
      </c>
      <c r="M259" s="229">
        <v>0</v>
      </c>
      <c r="N259" s="229">
        <v>0</v>
      </c>
      <c r="O259" s="229">
        <v>0</v>
      </c>
      <c r="P259" s="26">
        <v>0</v>
      </c>
      <c r="Q259" s="14">
        <v>0</v>
      </c>
      <c r="R259" s="229">
        <v>0</v>
      </c>
      <c r="S259" s="229">
        <v>0</v>
      </c>
      <c r="T259" s="229">
        <v>0</v>
      </c>
      <c r="U259" s="229">
        <v>0</v>
      </c>
      <c r="V259" s="229">
        <v>0</v>
      </c>
      <c r="W259" s="229">
        <v>0</v>
      </c>
      <c r="X259" s="229">
        <v>0</v>
      </c>
      <c r="Y259" s="229">
        <v>0</v>
      </c>
      <c r="Z259" s="229">
        <v>0</v>
      </c>
      <c r="AA259" s="229">
        <v>0</v>
      </c>
      <c r="AC259" s="12">
        <v>2</v>
      </c>
      <c r="AD259" s="14">
        <v>2</v>
      </c>
      <c r="AE259" s="14">
        <v>239</v>
      </c>
      <c r="AF259" s="26">
        <v>300</v>
      </c>
      <c r="AG259" s="12">
        <v>86</v>
      </c>
      <c r="AH259" s="14">
        <v>1</v>
      </c>
      <c r="AI259" s="209"/>
      <c r="AJ259" s="3"/>
      <c r="AK259" s="3"/>
      <c r="AL259" s="3"/>
      <c r="AM259" s="3"/>
      <c r="AN259" s="3"/>
      <c r="AO259" s="40"/>
      <c r="AP259" s="209"/>
      <c r="AQ259" s="3"/>
      <c r="AR259" s="40"/>
      <c r="AS259" s="238"/>
    </row>
    <row r="260" spans="1:45" s="229" customFormat="1">
      <c r="A260" s="83" t="s">
        <v>321</v>
      </c>
      <c r="B260" s="12">
        <v>3.105</v>
      </c>
      <c r="C260" s="229" t="s">
        <v>668</v>
      </c>
      <c r="D260" s="229" t="s">
        <v>670</v>
      </c>
      <c r="E260" s="229" t="s">
        <v>1</v>
      </c>
      <c r="F260" s="229">
        <v>651</v>
      </c>
      <c r="G260" s="40">
        <f>F260/459</f>
        <v>1.4183006535947713</v>
      </c>
      <c r="H260" s="14">
        <v>1</v>
      </c>
      <c r="I260" s="229">
        <v>0</v>
      </c>
      <c r="J260" s="229">
        <v>0</v>
      </c>
      <c r="K260" s="26">
        <v>1</v>
      </c>
      <c r="L260" s="14">
        <v>0</v>
      </c>
      <c r="M260" s="229">
        <v>0</v>
      </c>
      <c r="N260" s="229">
        <v>0</v>
      </c>
      <c r="O260" s="229">
        <v>0</v>
      </c>
      <c r="P260" s="26">
        <v>0</v>
      </c>
      <c r="Q260" s="14">
        <v>1</v>
      </c>
      <c r="R260" s="229">
        <v>0</v>
      </c>
      <c r="S260" s="229">
        <v>0</v>
      </c>
      <c r="T260" s="229">
        <v>0</v>
      </c>
      <c r="U260" s="229">
        <v>0</v>
      </c>
      <c r="V260" s="229">
        <v>0</v>
      </c>
      <c r="W260" s="229">
        <v>22</v>
      </c>
      <c r="X260" s="229">
        <v>0</v>
      </c>
      <c r="Y260" s="229">
        <v>0</v>
      </c>
      <c r="Z260" s="229">
        <v>0</v>
      </c>
      <c r="AA260" s="229">
        <v>0</v>
      </c>
      <c r="AC260" s="12">
        <v>2</v>
      </c>
      <c r="AD260" s="14">
        <v>8</v>
      </c>
      <c r="AE260" s="14">
        <v>52</v>
      </c>
      <c r="AF260" s="26">
        <v>315</v>
      </c>
      <c r="AG260" s="12">
        <v>86</v>
      </c>
      <c r="AH260" s="14">
        <v>1</v>
      </c>
      <c r="AI260" s="209"/>
      <c r="AJ260" s="3"/>
      <c r="AK260" s="3"/>
      <c r="AL260" s="3"/>
      <c r="AM260" s="3"/>
      <c r="AN260" s="3"/>
      <c r="AO260" s="40"/>
      <c r="AP260" s="209"/>
      <c r="AQ260" s="3"/>
      <c r="AR260" s="40"/>
      <c r="AS260" s="238"/>
    </row>
    <row r="261" spans="1:45" s="229" customFormat="1">
      <c r="A261" s="83" t="s">
        <v>321</v>
      </c>
      <c r="B261" s="12">
        <v>3.105</v>
      </c>
      <c r="C261" s="229" t="s">
        <v>668</v>
      </c>
      <c r="D261" s="229" t="s">
        <v>671</v>
      </c>
      <c r="E261" s="229" t="s">
        <v>0</v>
      </c>
      <c r="F261" s="229">
        <v>544</v>
      </c>
      <c r="G261" s="40">
        <f>F261/341</f>
        <v>1.595307917888563</v>
      </c>
      <c r="H261" s="14">
        <v>1</v>
      </c>
      <c r="I261" s="229">
        <v>0</v>
      </c>
      <c r="J261" s="229">
        <v>0</v>
      </c>
      <c r="K261" s="26">
        <v>1</v>
      </c>
      <c r="L261" s="14">
        <v>0</v>
      </c>
      <c r="M261" s="229">
        <v>0</v>
      </c>
      <c r="N261" s="229">
        <v>0</v>
      </c>
      <c r="O261" s="229">
        <v>0</v>
      </c>
      <c r="P261" s="26">
        <v>0</v>
      </c>
      <c r="Q261" s="14">
        <v>5</v>
      </c>
      <c r="R261" s="229">
        <v>14</v>
      </c>
      <c r="S261" s="229">
        <v>29</v>
      </c>
      <c r="T261" s="229">
        <v>0</v>
      </c>
      <c r="U261" s="229">
        <v>0</v>
      </c>
      <c r="V261" s="229">
        <v>0</v>
      </c>
      <c r="W261" s="229">
        <v>0</v>
      </c>
      <c r="X261" s="229">
        <v>0</v>
      </c>
      <c r="Y261" s="229">
        <v>0</v>
      </c>
      <c r="Z261" s="229">
        <v>15</v>
      </c>
      <c r="AA261" s="229">
        <v>27</v>
      </c>
      <c r="AC261" s="12">
        <v>2</v>
      </c>
      <c r="AD261" s="14">
        <v>2</v>
      </c>
      <c r="AE261" s="14">
        <v>340</v>
      </c>
      <c r="AF261" s="26">
        <v>353</v>
      </c>
      <c r="AG261" s="12">
        <v>73</v>
      </c>
      <c r="AH261" s="14">
        <v>1</v>
      </c>
      <c r="AI261" s="209"/>
      <c r="AJ261" s="3"/>
      <c r="AK261" s="3"/>
      <c r="AL261" s="3"/>
      <c r="AM261" s="3"/>
      <c r="AN261" s="3"/>
      <c r="AO261" s="40"/>
      <c r="AP261" s="209"/>
      <c r="AQ261" s="3"/>
      <c r="AR261" s="40"/>
      <c r="AS261" s="238"/>
    </row>
    <row r="262" spans="1:45" s="229" customFormat="1">
      <c r="A262" s="83" t="s">
        <v>321</v>
      </c>
      <c r="B262" s="12">
        <v>3.105</v>
      </c>
      <c r="C262" s="229" t="s">
        <v>668</v>
      </c>
      <c r="D262" s="229" t="s">
        <v>671</v>
      </c>
      <c r="E262" s="229" t="s">
        <v>1</v>
      </c>
      <c r="F262" s="229">
        <v>653</v>
      </c>
      <c r="G262" s="40">
        <f>F262/458</f>
        <v>1.4257641921397379</v>
      </c>
      <c r="H262" s="14">
        <v>1</v>
      </c>
      <c r="I262" s="229">
        <v>0</v>
      </c>
      <c r="J262" s="229">
        <v>0</v>
      </c>
      <c r="K262" s="26">
        <v>1</v>
      </c>
      <c r="L262" s="14">
        <v>0</v>
      </c>
      <c r="M262" s="229">
        <v>0</v>
      </c>
      <c r="N262" s="229">
        <v>0</v>
      </c>
      <c r="O262" s="229">
        <v>0</v>
      </c>
      <c r="P262" s="26">
        <v>0</v>
      </c>
      <c r="Q262" s="14">
        <v>0</v>
      </c>
      <c r="R262" s="229">
        <v>0</v>
      </c>
      <c r="S262" s="229">
        <v>0</v>
      </c>
      <c r="T262" s="229">
        <v>0</v>
      </c>
      <c r="U262" s="229">
        <v>0</v>
      </c>
      <c r="V262" s="229">
        <v>0</v>
      </c>
      <c r="W262" s="229">
        <v>0</v>
      </c>
      <c r="X262" s="229">
        <v>0</v>
      </c>
      <c r="Y262" s="229">
        <v>0</v>
      </c>
      <c r="Z262" s="229">
        <v>0</v>
      </c>
      <c r="AA262" s="229">
        <v>0</v>
      </c>
      <c r="AC262" s="12">
        <v>2</v>
      </c>
      <c r="AD262" s="14">
        <v>7</v>
      </c>
      <c r="AE262" s="14">
        <v>121</v>
      </c>
      <c r="AF262" s="26">
        <v>296</v>
      </c>
      <c r="AG262" s="12">
        <v>73</v>
      </c>
      <c r="AH262" s="14">
        <v>1</v>
      </c>
      <c r="AI262" s="209"/>
      <c r="AJ262" s="3"/>
      <c r="AK262" s="3"/>
      <c r="AL262" s="3"/>
      <c r="AM262" s="3"/>
      <c r="AN262" s="3"/>
      <c r="AO262" s="40"/>
      <c r="AP262" s="209"/>
      <c r="AQ262" s="3"/>
      <c r="AR262" s="40"/>
      <c r="AS262" s="238"/>
    </row>
    <row r="263" spans="1:45" s="229" customFormat="1">
      <c r="A263" s="83" t="s">
        <v>321</v>
      </c>
      <c r="B263" s="12">
        <v>3.105</v>
      </c>
      <c r="C263" s="229" t="s">
        <v>668</v>
      </c>
      <c r="D263" s="229" t="s">
        <v>672</v>
      </c>
      <c r="F263" s="229">
        <v>964</v>
      </c>
      <c r="G263" s="40">
        <f>F263/465</f>
        <v>2.0731182795698926</v>
      </c>
      <c r="H263" s="14">
        <v>1</v>
      </c>
      <c r="I263" s="229">
        <v>0</v>
      </c>
      <c r="J263" s="229">
        <v>1</v>
      </c>
      <c r="K263" s="26">
        <v>0</v>
      </c>
      <c r="L263" s="14">
        <v>0</v>
      </c>
      <c r="M263" s="229">
        <v>0</v>
      </c>
      <c r="N263" s="229">
        <v>1</v>
      </c>
      <c r="O263" s="229">
        <v>0</v>
      </c>
      <c r="P263" s="26">
        <v>1</v>
      </c>
      <c r="Q263" s="14">
        <v>3</v>
      </c>
      <c r="R263" s="229">
        <v>11</v>
      </c>
      <c r="S263" s="229">
        <v>27</v>
      </c>
      <c r="T263" s="229">
        <v>0</v>
      </c>
      <c r="U263" s="229">
        <v>0</v>
      </c>
      <c r="V263" s="229">
        <v>0</v>
      </c>
      <c r="W263" s="229">
        <v>0</v>
      </c>
      <c r="X263" s="229">
        <v>0</v>
      </c>
      <c r="Y263" s="229">
        <v>0</v>
      </c>
      <c r="Z263" s="229">
        <v>0</v>
      </c>
      <c r="AA263" s="229">
        <v>0</v>
      </c>
      <c r="AC263" s="12">
        <v>2</v>
      </c>
      <c r="AD263" s="14">
        <v>3</v>
      </c>
      <c r="AE263" s="14">
        <v>175</v>
      </c>
      <c r="AF263" s="26">
        <v>964</v>
      </c>
      <c r="AG263" s="12">
        <v>62</v>
      </c>
      <c r="AH263" s="14">
        <v>1</v>
      </c>
      <c r="AI263" s="209">
        <v>87.1</v>
      </c>
      <c r="AJ263" s="3"/>
      <c r="AK263" s="3"/>
      <c r="AL263" s="3"/>
      <c r="AM263" s="3"/>
      <c r="AN263" s="3"/>
      <c r="AO263" s="40"/>
      <c r="AP263" s="209">
        <v>87.3</v>
      </c>
      <c r="AQ263" s="3"/>
      <c r="AR263" s="40"/>
      <c r="AS263" s="238"/>
    </row>
    <row r="264" spans="1:45" s="229" customFormat="1">
      <c r="A264" s="83" t="s">
        <v>321</v>
      </c>
      <c r="B264" s="12">
        <v>3.105</v>
      </c>
      <c r="C264" s="229" t="s">
        <v>668</v>
      </c>
      <c r="D264" s="229" t="s">
        <v>673</v>
      </c>
      <c r="E264" s="229" t="s">
        <v>0</v>
      </c>
      <c r="F264" s="229">
        <v>828</v>
      </c>
      <c r="G264" s="40">
        <f>F264/651</f>
        <v>1.271889400921659</v>
      </c>
      <c r="H264" s="14">
        <v>1</v>
      </c>
      <c r="I264" s="229">
        <v>0</v>
      </c>
      <c r="J264" s="229">
        <v>0</v>
      </c>
      <c r="K264" s="26">
        <v>1</v>
      </c>
      <c r="L264" s="14">
        <v>0</v>
      </c>
      <c r="M264" s="229">
        <v>0</v>
      </c>
      <c r="N264" s="229">
        <v>1</v>
      </c>
      <c r="O264" s="229">
        <v>0</v>
      </c>
      <c r="P264" s="26">
        <v>1</v>
      </c>
      <c r="Q264" s="14">
        <v>2</v>
      </c>
      <c r="R264" s="229">
        <v>0</v>
      </c>
      <c r="S264" s="229">
        <v>0</v>
      </c>
      <c r="T264" s="229">
        <v>0</v>
      </c>
      <c r="U264" s="229">
        <v>0</v>
      </c>
      <c r="V264" s="229">
        <v>0</v>
      </c>
      <c r="W264" s="229">
        <v>34</v>
      </c>
      <c r="X264" s="229">
        <v>0</v>
      </c>
      <c r="Y264" s="229">
        <v>0</v>
      </c>
      <c r="Z264" s="229">
        <v>0</v>
      </c>
      <c r="AA264" s="229">
        <v>96</v>
      </c>
      <c r="AB264" s="229">
        <v>1</v>
      </c>
      <c r="AC264" s="12">
        <v>2</v>
      </c>
      <c r="AD264" s="14">
        <v>13</v>
      </c>
      <c r="AE264" s="14">
        <v>48</v>
      </c>
      <c r="AF264" s="26">
        <v>436</v>
      </c>
      <c r="AG264" s="12">
        <v>36</v>
      </c>
      <c r="AH264" s="14">
        <v>0</v>
      </c>
      <c r="AI264" s="209">
        <v>88</v>
      </c>
      <c r="AJ264" s="3"/>
      <c r="AK264" s="3"/>
      <c r="AL264" s="3"/>
      <c r="AM264" s="3"/>
      <c r="AN264" s="3"/>
      <c r="AO264" s="40"/>
      <c r="AP264" s="209">
        <v>87.2</v>
      </c>
      <c r="AQ264" s="3"/>
      <c r="AR264" s="40"/>
      <c r="AS264" s="238"/>
    </row>
    <row r="265" spans="1:45" s="229" customFormat="1">
      <c r="A265" s="83" t="s">
        <v>321</v>
      </c>
      <c r="B265" s="12">
        <v>3.105</v>
      </c>
      <c r="C265" s="229" t="s">
        <v>668</v>
      </c>
      <c r="D265" s="229" t="s">
        <v>673</v>
      </c>
      <c r="E265" s="229" t="s">
        <v>1</v>
      </c>
      <c r="F265" s="229">
        <v>466</v>
      </c>
      <c r="G265" s="40">
        <f>F265/141</f>
        <v>3.3049645390070923</v>
      </c>
      <c r="H265" s="14">
        <v>1</v>
      </c>
      <c r="I265" s="229">
        <v>0</v>
      </c>
      <c r="J265" s="229">
        <v>0</v>
      </c>
      <c r="K265" s="26">
        <v>0</v>
      </c>
      <c r="L265" s="14">
        <v>0</v>
      </c>
      <c r="M265" s="229">
        <v>0</v>
      </c>
      <c r="N265" s="229">
        <v>1</v>
      </c>
      <c r="O265" s="229">
        <v>0</v>
      </c>
      <c r="P265" s="26">
        <v>1</v>
      </c>
      <c r="Q265" s="14">
        <v>0</v>
      </c>
      <c r="R265" s="229">
        <v>0</v>
      </c>
      <c r="S265" s="229">
        <v>0</v>
      </c>
      <c r="T265" s="229">
        <v>0</v>
      </c>
      <c r="U265" s="229">
        <v>0</v>
      </c>
      <c r="V265" s="229">
        <v>0</v>
      </c>
      <c r="W265" s="229">
        <v>0</v>
      </c>
      <c r="X265" s="229">
        <v>0</v>
      </c>
      <c r="Y265" s="229">
        <v>0</v>
      </c>
      <c r="Z265" s="229">
        <v>0</v>
      </c>
      <c r="AA265" s="229">
        <v>0</v>
      </c>
      <c r="AB265" s="229">
        <v>0</v>
      </c>
      <c r="AC265" s="12">
        <v>1</v>
      </c>
      <c r="AD265" s="14">
        <v>1</v>
      </c>
      <c r="AE265" s="14">
        <v>0</v>
      </c>
      <c r="AF265" s="26">
        <v>0</v>
      </c>
      <c r="AG265" s="12">
        <v>36</v>
      </c>
      <c r="AH265" s="14">
        <v>0</v>
      </c>
      <c r="AI265" s="209">
        <v>87.9</v>
      </c>
      <c r="AJ265" s="3"/>
      <c r="AK265" s="3"/>
      <c r="AL265" s="3"/>
      <c r="AM265" s="3"/>
      <c r="AN265" s="3"/>
      <c r="AO265" s="40"/>
      <c r="AP265" s="209">
        <v>87.5</v>
      </c>
      <c r="AQ265" s="3"/>
      <c r="AR265" s="40"/>
      <c r="AS265" s="238"/>
    </row>
    <row r="266" spans="1:45" s="229" customFormat="1">
      <c r="A266" s="83" t="s">
        <v>321</v>
      </c>
      <c r="B266" s="12">
        <v>3.105</v>
      </c>
      <c r="C266" s="229" t="s">
        <v>668</v>
      </c>
      <c r="D266" s="229" t="s">
        <v>673</v>
      </c>
      <c r="E266" s="229" t="s">
        <v>3</v>
      </c>
      <c r="F266" s="229">
        <v>114</v>
      </c>
      <c r="G266" s="40">
        <f>F266/59</f>
        <v>1.9322033898305084</v>
      </c>
      <c r="H266" s="14">
        <v>1</v>
      </c>
      <c r="I266" s="229">
        <v>0</v>
      </c>
      <c r="J266" s="229">
        <v>0</v>
      </c>
      <c r="K266" s="26">
        <v>0</v>
      </c>
      <c r="L266" s="14">
        <v>0</v>
      </c>
      <c r="M266" s="229">
        <v>0</v>
      </c>
      <c r="N266" s="229">
        <v>0</v>
      </c>
      <c r="O266" s="229">
        <v>0</v>
      </c>
      <c r="P266" s="26">
        <v>0</v>
      </c>
      <c r="Q266" s="14">
        <v>0</v>
      </c>
      <c r="R266" s="229">
        <v>0</v>
      </c>
      <c r="S266" s="229">
        <v>0</v>
      </c>
      <c r="T266" s="229">
        <v>0</v>
      </c>
      <c r="U266" s="229">
        <v>0</v>
      </c>
      <c r="V266" s="229">
        <v>0</v>
      </c>
      <c r="W266" s="229">
        <v>0</v>
      </c>
      <c r="X266" s="229">
        <v>0</v>
      </c>
      <c r="Y266" s="229">
        <v>0</v>
      </c>
      <c r="Z266" s="229">
        <v>0</v>
      </c>
      <c r="AA266" s="229">
        <v>0</v>
      </c>
      <c r="AB266" s="229">
        <v>0</v>
      </c>
      <c r="AC266" s="12">
        <v>1</v>
      </c>
      <c r="AD266" s="14">
        <v>1</v>
      </c>
      <c r="AE266" s="14">
        <v>0</v>
      </c>
      <c r="AF266" s="26">
        <v>0</v>
      </c>
      <c r="AG266" s="12">
        <v>36</v>
      </c>
      <c r="AH266" s="14">
        <v>0</v>
      </c>
      <c r="AI266" s="209">
        <v>87.2</v>
      </c>
      <c r="AJ266" s="3"/>
      <c r="AK266" s="3"/>
      <c r="AL266" s="3"/>
      <c r="AM266" s="3"/>
      <c r="AN266" s="3"/>
      <c r="AO266" s="40"/>
      <c r="AP266" s="209"/>
      <c r="AQ266" s="3"/>
      <c r="AR266" s="40"/>
      <c r="AS266" s="238"/>
    </row>
    <row r="267" spans="1:45" s="229" customFormat="1">
      <c r="A267" s="83" t="s">
        <v>321</v>
      </c>
      <c r="B267" s="12">
        <v>3.105</v>
      </c>
      <c r="C267" s="229" t="s">
        <v>668</v>
      </c>
      <c r="D267" s="229" t="s">
        <v>673</v>
      </c>
      <c r="E267" s="229" t="s">
        <v>2</v>
      </c>
      <c r="F267" s="229">
        <v>397</v>
      </c>
      <c r="G267" s="40">
        <f>F267/238</f>
        <v>1.6680672268907564</v>
      </c>
      <c r="H267" s="14">
        <v>1</v>
      </c>
      <c r="I267" s="229">
        <v>0</v>
      </c>
      <c r="J267" s="229">
        <v>0</v>
      </c>
      <c r="K267" s="26">
        <v>1</v>
      </c>
      <c r="L267" s="14">
        <v>0</v>
      </c>
      <c r="M267" s="229">
        <v>0</v>
      </c>
      <c r="N267" s="229">
        <v>1</v>
      </c>
      <c r="O267" s="229">
        <v>0</v>
      </c>
      <c r="P267" s="26">
        <v>1</v>
      </c>
      <c r="Q267" s="14">
        <v>15</v>
      </c>
      <c r="R267" s="229">
        <v>0</v>
      </c>
      <c r="S267" s="229">
        <v>0</v>
      </c>
      <c r="T267" s="229">
        <v>0</v>
      </c>
      <c r="U267" s="229">
        <v>0</v>
      </c>
      <c r="V267" s="229">
        <v>0</v>
      </c>
      <c r="W267" s="229">
        <v>0</v>
      </c>
      <c r="X267" s="229">
        <v>0</v>
      </c>
      <c r="Y267" s="229">
        <v>0</v>
      </c>
      <c r="Z267" s="229">
        <v>0</v>
      </c>
      <c r="AA267" s="229">
        <v>116</v>
      </c>
      <c r="AB267" s="229">
        <v>0</v>
      </c>
      <c r="AC267" s="12">
        <v>2</v>
      </c>
      <c r="AD267" s="14">
        <v>3</v>
      </c>
      <c r="AE267" s="14">
        <v>138</v>
      </c>
      <c r="AF267" s="26">
        <v>266</v>
      </c>
      <c r="AG267" s="12">
        <v>36</v>
      </c>
      <c r="AH267" s="14">
        <v>1</v>
      </c>
      <c r="AI267" s="209"/>
      <c r="AJ267" s="3"/>
      <c r="AK267" s="3"/>
      <c r="AL267" s="3"/>
      <c r="AM267" s="3"/>
      <c r="AN267" s="3"/>
      <c r="AO267" s="40"/>
      <c r="AP267" s="209"/>
      <c r="AQ267" s="3"/>
      <c r="AR267" s="40"/>
      <c r="AS267" s="238"/>
    </row>
    <row r="268" spans="1:45" s="229" customFormat="1">
      <c r="A268" s="83" t="s">
        <v>321</v>
      </c>
      <c r="B268" s="12">
        <v>3.105</v>
      </c>
      <c r="C268" s="229" t="s">
        <v>668</v>
      </c>
      <c r="D268" s="229" t="s">
        <v>674</v>
      </c>
      <c r="F268" s="229">
        <v>975</v>
      </c>
      <c r="G268" s="40">
        <f>F268/247</f>
        <v>3.9473684210526314</v>
      </c>
      <c r="H268" s="14">
        <v>1</v>
      </c>
      <c r="I268" s="229">
        <v>0</v>
      </c>
      <c r="J268" s="229">
        <v>0</v>
      </c>
      <c r="K268" s="26">
        <v>1</v>
      </c>
      <c r="L268" s="14">
        <v>0</v>
      </c>
      <c r="M268" s="229">
        <v>0</v>
      </c>
      <c r="N268" s="229">
        <v>0</v>
      </c>
      <c r="O268" s="229">
        <v>0</v>
      </c>
      <c r="P268" s="26">
        <v>0</v>
      </c>
      <c r="Q268" s="14">
        <v>1</v>
      </c>
      <c r="R268" s="229">
        <v>0</v>
      </c>
      <c r="S268" s="229">
        <v>12</v>
      </c>
      <c r="T268" s="229">
        <v>0</v>
      </c>
      <c r="U268" s="229">
        <v>0</v>
      </c>
      <c r="V268" s="229">
        <v>0</v>
      </c>
      <c r="W268" s="229">
        <v>0</v>
      </c>
      <c r="X268" s="229">
        <v>0</v>
      </c>
      <c r="Y268" s="229">
        <v>0</v>
      </c>
      <c r="Z268" s="229">
        <v>0</v>
      </c>
      <c r="AA268" s="229">
        <v>0</v>
      </c>
      <c r="AC268" s="12">
        <v>2</v>
      </c>
      <c r="AD268" s="14">
        <v>9</v>
      </c>
      <c r="AE268" s="14">
        <v>160</v>
      </c>
      <c r="AF268" s="26">
        <v>347</v>
      </c>
      <c r="AG268" s="12">
        <v>84</v>
      </c>
      <c r="AH268" s="14">
        <v>1</v>
      </c>
      <c r="AI268" s="209"/>
      <c r="AJ268" s="3"/>
      <c r="AK268" s="3"/>
      <c r="AL268" s="3"/>
      <c r="AM268" s="3"/>
      <c r="AN268" s="3"/>
      <c r="AO268" s="40"/>
      <c r="AP268" s="209"/>
      <c r="AQ268" s="3"/>
      <c r="AR268" s="40"/>
      <c r="AS268" s="238"/>
    </row>
    <row r="269" spans="1:45" s="229" customFormat="1" ht="17" thickBot="1">
      <c r="A269" s="84" t="s">
        <v>321</v>
      </c>
      <c r="B269" s="33">
        <v>3.105</v>
      </c>
      <c r="C269" s="229" t="s">
        <v>668</v>
      </c>
      <c r="D269" s="229" t="s">
        <v>675</v>
      </c>
      <c r="F269" s="229">
        <v>813</v>
      </c>
      <c r="G269" s="40">
        <f>F269/510</f>
        <v>1.5941176470588236</v>
      </c>
      <c r="H269" s="14">
        <v>0</v>
      </c>
      <c r="I269" s="229">
        <v>0</v>
      </c>
      <c r="J269" s="229">
        <v>1</v>
      </c>
      <c r="K269" s="26">
        <v>0</v>
      </c>
      <c r="L269" s="14">
        <v>0</v>
      </c>
      <c r="M269" s="229">
        <v>0</v>
      </c>
      <c r="N269" s="229">
        <v>0</v>
      </c>
      <c r="O269" s="229">
        <v>0</v>
      </c>
      <c r="P269" s="26">
        <v>0</v>
      </c>
      <c r="Q269" s="14">
        <v>4</v>
      </c>
      <c r="R269" s="229">
        <v>26</v>
      </c>
      <c r="S269" s="229">
        <v>65</v>
      </c>
      <c r="T269" s="229">
        <v>0</v>
      </c>
      <c r="U269" s="229">
        <v>0</v>
      </c>
      <c r="V269" s="229">
        <v>0</v>
      </c>
      <c r="W269" s="229">
        <v>0</v>
      </c>
      <c r="X269" s="229">
        <v>0</v>
      </c>
      <c r="Y269" s="229">
        <v>0</v>
      </c>
      <c r="Z269" s="229">
        <v>0</v>
      </c>
      <c r="AA269" s="229">
        <v>0</v>
      </c>
      <c r="AC269" s="12">
        <v>1</v>
      </c>
      <c r="AD269" s="14">
        <v>1</v>
      </c>
      <c r="AE269" s="14">
        <v>0</v>
      </c>
      <c r="AF269" s="26">
        <v>0</v>
      </c>
      <c r="AG269" s="12">
        <v>42</v>
      </c>
      <c r="AH269" s="14">
        <v>1</v>
      </c>
      <c r="AI269" s="209">
        <v>87.3</v>
      </c>
      <c r="AJ269" s="3"/>
      <c r="AK269" s="3"/>
      <c r="AL269" s="3"/>
      <c r="AM269" s="3"/>
      <c r="AN269" s="3"/>
      <c r="AO269" s="40"/>
      <c r="AP269" s="209"/>
      <c r="AQ269" s="3"/>
      <c r="AR269" s="40"/>
      <c r="AS269" s="238"/>
    </row>
    <row r="270" spans="1:45" s="229" customFormat="1">
      <c r="A270" s="83" t="s">
        <v>321</v>
      </c>
      <c r="B270" s="9">
        <v>3.105</v>
      </c>
      <c r="C270" s="8" t="s">
        <v>676</v>
      </c>
      <c r="D270" s="8" t="s">
        <v>423</v>
      </c>
      <c r="E270" s="8"/>
      <c r="F270" s="8">
        <v>2370</v>
      </c>
      <c r="G270" s="10">
        <f>F270/770</f>
        <v>3.0779220779220777</v>
      </c>
      <c r="H270" s="11">
        <v>0</v>
      </c>
      <c r="I270" s="8">
        <v>0</v>
      </c>
      <c r="J270" s="8">
        <v>1</v>
      </c>
      <c r="K270" s="41">
        <v>1</v>
      </c>
      <c r="L270" s="11">
        <v>0</v>
      </c>
      <c r="M270" s="8">
        <v>0</v>
      </c>
      <c r="N270" s="8">
        <v>1</v>
      </c>
      <c r="O270" s="8">
        <v>0</v>
      </c>
      <c r="P270" s="41">
        <v>1</v>
      </c>
      <c r="Q270" s="11">
        <v>2</v>
      </c>
      <c r="R270" s="8">
        <v>9</v>
      </c>
      <c r="S270" s="8">
        <v>83</v>
      </c>
      <c r="T270" s="8">
        <v>0</v>
      </c>
      <c r="U270" s="8">
        <v>0</v>
      </c>
      <c r="V270" s="8">
        <v>0</v>
      </c>
      <c r="W270" s="8">
        <v>0</v>
      </c>
      <c r="X270" s="8">
        <v>0</v>
      </c>
      <c r="Y270" s="8">
        <v>0</v>
      </c>
      <c r="Z270" s="8">
        <v>0</v>
      </c>
      <c r="AA270" s="8">
        <v>0</v>
      </c>
      <c r="AB270" s="8"/>
      <c r="AC270" s="9">
        <v>2</v>
      </c>
      <c r="AD270" s="11">
        <v>5</v>
      </c>
      <c r="AE270" s="11">
        <v>346</v>
      </c>
      <c r="AF270" s="41">
        <v>1080</v>
      </c>
      <c r="AG270" s="9">
        <v>113</v>
      </c>
      <c r="AH270" s="11">
        <v>0</v>
      </c>
      <c r="AI270" s="208"/>
      <c r="AJ270" s="54"/>
      <c r="AK270" s="54"/>
      <c r="AL270" s="54"/>
      <c r="AM270" s="54"/>
      <c r="AN270" s="54"/>
      <c r="AO270" s="10"/>
      <c r="AP270" s="208"/>
      <c r="AQ270" s="54"/>
      <c r="AR270" s="10"/>
      <c r="AS270" s="237"/>
    </row>
    <row r="271" spans="1:45" s="229" customFormat="1">
      <c r="A271" s="83" t="s">
        <v>321</v>
      </c>
      <c r="B271" s="12">
        <v>3.105</v>
      </c>
      <c r="C271" s="229" t="s">
        <v>676</v>
      </c>
      <c r="D271" s="229" t="s">
        <v>622</v>
      </c>
      <c r="E271" s="229" t="s">
        <v>0</v>
      </c>
      <c r="F271" s="229">
        <v>576</v>
      </c>
      <c r="G271" s="40">
        <f>F271/264</f>
        <v>2.1818181818181817</v>
      </c>
      <c r="H271" s="14">
        <v>1</v>
      </c>
      <c r="I271" s="229">
        <v>0</v>
      </c>
      <c r="J271" s="229">
        <v>0</v>
      </c>
      <c r="K271" s="26">
        <v>1</v>
      </c>
      <c r="L271" s="14">
        <v>0</v>
      </c>
      <c r="M271" s="229">
        <v>0</v>
      </c>
      <c r="N271" s="229">
        <v>0</v>
      </c>
      <c r="O271" s="229">
        <v>0</v>
      </c>
      <c r="P271" s="26">
        <v>0</v>
      </c>
      <c r="Q271" s="14">
        <v>0</v>
      </c>
      <c r="R271" s="229">
        <v>0</v>
      </c>
      <c r="S271" s="229">
        <v>0</v>
      </c>
      <c r="T271" s="229">
        <v>0</v>
      </c>
      <c r="U271" s="229">
        <v>0</v>
      </c>
      <c r="V271" s="229">
        <v>0</v>
      </c>
      <c r="W271" s="229">
        <v>0</v>
      </c>
      <c r="X271" s="229">
        <v>0</v>
      </c>
      <c r="Y271" s="229">
        <v>0</v>
      </c>
      <c r="Z271" s="229">
        <v>0</v>
      </c>
      <c r="AA271" s="229">
        <v>0</v>
      </c>
      <c r="AC271" s="12">
        <v>2</v>
      </c>
      <c r="AD271" s="14">
        <v>4</v>
      </c>
      <c r="AE271" s="14">
        <v>71</v>
      </c>
      <c r="AF271" s="26">
        <v>366</v>
      </c>
      <c r="AG271" s="12">
        <v>68</v>
      </c>
      <c r="AH271" s="14">
        <v>1</v>
      </c>
      <c r="AI271" s="209"/>
      <c r="AJ271" s="3"/>
      <c r="AK271" s="3"/>
      <c r="AL271" s="3"/>
      <c r="AM271" s="3"/>
      <c r="AN271" s="3"/>
      <c r="AO271" s="40"/>
      <c r="AP271" s="209"/>
      <c r="AQ271" s="3"/>
      <c r="AR271" s="40"/>
      <c r="AS271" s="238"/>
    </row>
    <row r="272" spans="1:45" s="229" customFormat="1">
      <c r="A272" s="83" t="s">
        <v>321</v>
      </c>
      <c r="B272" s="12">
        <v>3.105</v>
      </c>
      <c r="C272" s="229" t="s">
        <v>676</v>
      </c>
      <c r="D272" s="229" t="s">
        <v>622</v>
      </c>
      <c r="E272" s="229" t="s">
        <v>1</v>
      </c>
      <c r="F272" s="229">
        <v>243</v>
      </c>
      <c r="G272" s="40">
        <f>F272/122</f>
        <v>1.9918032786885247</v>
      </c>
      <c r="H272" s="14">
        <v>0</v>
      </c>
      <c r="I272" s="229">
        <v>0</v>
      </c>
      <c r="J272" s="229">
        <v>0</v>
      </c>
      <c r="K272" s="26">
        <v>1</v>
      </c>
      <c r="L272" s="14">
        <v>0</v>
      </c>
      <c r="M272" s="229">
        <v>0</v>
      </c>
      <c r="N272" s="229">
        <v>0</v>
      </c>
      <c r="O272" s="229">
        <v>0</v>
      </c>
      <c r="P272" s="26">
        <v>0</v>
      </c>
      <c r="Q272" s="14">
        <v>1</v>
      </c>
      <c r="R272" s="229">
        <v>0</v>
      </c>
      <c r="S272" s="229">
        <v>10</v>
      </c>
      <c r="T272" s="229">
        <v>0</v>
      </c>
      <c r="U272" s="229">
        <v>0</v>
      </c>
      <c r="V272" s="229">
        <v>0</v>
      </c>
      <c r="W272" s="229">
        <v>0</v>
      </c>
      <c r="X272" s="229">
        <v>0</v>
      </c>
      <c r="Y272" s="229">
        <v>0</v>
      </c>
      <c r="Z272" s="229">
        <v>0</v>
      </c>
      <c r="AA272" s="229">
        <v>0</v>
      </c>
      <c r="AC272" s="12">
        <v>2</v>
      </c>
      <c r="AD272" s="14">
        <v>3</v>
      </c>
      <c r="AE272" s="14">
        <v>121</v>
      </c>
      <c r="AF272" s="26">
        <v>124</v>
      </c>
      <c r="AG272" s="12">
        <v>68</v>
      </c>
      <c r="AH272" s="14">
        <v>1</v>
      </c>
      <c r="AI272" s="209"/>
      <c r="AJ272" s="3"/>
      <c r="AK272" s="3"/>
      <c r="AL272" s="3"/>
      <c r="AM272" s="3"/>
      <c r="AN272" s="3"/>
      <c r="AO272" s="40"/>
      <c r="AP272" s="209"/>
      <c r="AQ272" s="3"/>
      <c r="AR272" s="40"/>
      <c r="AS272" s="238"/>
    </row>
    <row r="273" spans="1:45" s="229" customFormat="1">
      <c r="A273" s="83" t="s">
        <v>321</v>
      </c>
      <c r="B273" s="12">
        <v>3.105</v>
      </c>
      <c r="C273" s="229" t="s">
        <v>676</v>
      </c>
      <c r="D273" s="229" t="s">
        <v>622</v>
      </c>
      <c r="E273" s="229" t="s">
        <v>2</v>
      </c>
      <c r="F273" s="229">
        <v>310</v>
      </c>
      <c r="G273" s="40">
        <f>F273/175</f>
        <v>1.7714285714285714</v>
      </c>
      <c r="H273" s="14">
        <v>0</v>
      </c>
      <c r="I273" s="229">
        <v>0</v>
      </c>
      <c r="J273" s="229">
        <v>0</v>
      </c>
      <c r="K273" s="26">
        <v>1</v>
      </c>
      <c r="L273" s="14">
        <v>0</v>
      </c>
      <c r="M273" s="229">
        <v>0</v>
      </c>
      <c r="N273" s="229">
        <v>0</v>
      </c>
      <c r="O273" s="229">
        <v>0</v>
      </c>
      <c r="P273" s="26">
        <v>0</v>
      </c>
      <c r="Q273" s="14">
        <v>0</v>
      </c>
      <c r="R273" s="229">
        <v>0</v>
      </c>
      <c r="S273" s="229">
        <v>0</v>
      </c>
      <c r="T273" s="229">
        <v>0</v>
      </c>
      <c r="U273" s="229">
        <v>0</v>
      </c>
      <c r="V273" s="229">
        <v>0</v>
      </c>
      <c r="W273" s="229">
        <v>0</v>
      </c>
      <c r="X273" s="229">
        <v>0</v>
      </c>
      <c r="Y273" s="229">
        <v>0</v>
      </c>
      <c r="Z273" s="229">
        <v>0</v>
      </c>
      <c r="AA273" s="229">
        <v>0</v>
      </c>
      <c r="AC273" s="12">
        <v>2</v>
      </c>
      <c r="AD273" s="14">
        <v>2</v>
      </c>
      <c r="AE273" s="14">
        <v>124</v>
      </c>
      <c r="AF273" s="26">
        <v>283</v>
      </c>
      <c r="AG273" s="12">
        <v>68</v>
      </c>
      <c r="AH273" s="14">
        <v>1</v>
      </c>
      <c r="AI273" s="209"/>
      <c r="AJ273" s="3"/>
      <c r="AK273" s="3"/>
      <c r="AL273" s="3"/>
      <c r="AM273" s="3"/>
      <c r="AN273" s="3"/>
      <c r="AO273" s="40"/>
      <c r="AP273" s="209"/>
      <c r="AQ273" s="3"/>
      <c r="AR273" s="40"/>
      <c r="AS273" s="238"/>
    </row>
    <row r="274" spans="1:45" s="229" customFormat="1">
      <c r="A274" s="83" t="s">
        <v>321</v>
      </c>
      <c r="B274" s="12">
        <v>3.105</v>
      </c>
      <c r="C274" s="229" t="s">
        <v>676</v>
      </c>
      <c r="D274" s="229" t="s">
        <v>620</v>
      </c>
      <c r="E274" s="229" t="s">
        <v>0</v>
      </c>
      <c r="F274" s="229">
        <v>412</v>
      </c>
      <c r="G274" s="40">
        <f>F274/261</f>
        <v>1.578544061302682</v>
      </c>
      <c r="H274" s="14">
        <v>1</v>
      </c>
      <c r="I274" s="229">
        <v>0</v>
      </c>
      <c r="J274" s="229">
        <v>0</v>
      </c>
      <c r="K274" s="26">
        <v>1</v>
      </c>
      <c r="L274" s="14">
        <v>0</v>
      </c>
      <c r="M274" s="229">
        <v>0</v>
      </c>
      <c r="N274" s="229">
        <v>0</v>
      </c>
      <c r="O274" s="229">
        <v>0</v>
      </c>
      <c r="P274" s="26">
        <v>0</v>
      </c>
      <c r="Q274" s="14">
        <v>0</v>
      </c>
      <c r="R274" s="229">
        <v>0</v>
      </c>
      <c r="S274" s="229">
        <v>0</v>
      </c>
      <c r="T274" s="229">
        <v>0</v>
      </c>
      <c r="U274" s="229">
        <v>0</v>
      </c>
      <c r="V274" s="229">
        <v>0</v>
      </c>
      <c r="W274" s="229">
        <v>0</v>
      </c>
      <c r="X274" s="229">
        <v>0</v>
      </c>
      <c r="Y274" s="229">
        <v>0</v>
      </c>
      <c r="Z274" s="229">
        <v>0</v>
      </c>
      <c r="AA274" s="229">
        <v>0</v>
      </c>
      <c r="AC274" s="12">
        <v>2</v>
      </c>
      <c r="AD274" s="14">
        <v>5</v>
      </c>
      <c r="AE274" s="14">
        <v>48</v>
      </c>
      <c r="AF274" s="26">
        <v>257</v>
      </c>
      <c r="AG274" s="12">
        <v>63</v>
      </c>
      <c r="AH274" s="14">
        <v>1</v>
      </c>
      <c r="AI274" s="209"/>
      <c r="AJ274" s="3"/>
      <c r="AK274" s="3"/>
      <c r="AL274" s="3"/>
      <c r="AM274" s="3"/>
      <c r="AN274" s="3"/>
      <c r="AO274" s="40"/>
      <c r="AP274" s="209"/>
      <c r="AQ274" s="3"/>
      <c r="AR274" s="40"/>
      <c r="AS274" s="238"/>
    </row>
    <row r="275" spans="1:45" s="229" customFormat="1">
      <c r="A275" s="83" t="s">
        <v>321</v>
      </c>
      <c r="B275" s="12">
        <v>3.105</v>
      </c>
      <c r="C275" s="229" t="s">
        <v>676</v>
      </c>
      <c r="D275" s="229" t="s">
        <v>620</v>
      </c>
      <c r="E275" s="229" t="s">
        <v>1</v>
      </c>
      <c r="F275" s="229">
        <v>457</v>
      </c>
      <c r="G275" s="40">
        <f>F275/221</f>
        <v>2.067873303167421</v>
      </c>
      <c r="H275" s="14">
        <v>1</v>
      </c>
      <c r="I275" s="229">
        <v>0</v>
      </c>
      <c r="J275" s="229">
        <v>0</v>
      </c>
      <c r="K275" s="26">
        <v>0</v>
      </c>
      <c r="L275" s="14">
        <v>0</v>
      </c>
      <c r="M275" s="229">
        <v>0</v>
      </c>
      <c r="N275" s="229">
        <v>0</v>
      </c>
      <c r="O275" s="229">
        <v>0</v>
      </c>
      <c r="P275" s="26">
        <v>0</v>
      </c>
      <c r="Q275" s="14">
        <v>0</v>
      </c>
      <c r="R275" s="229">
        <v>0</v>
      </c>
      <c r="S275" s="229">
        <v>0</v>
      </c>
      <c r="T275" s="229">
        <v>0</v>
      </c>
      <c r="U275" s="229">
        <v>0</v>
      </c>
      <c r="V275" s="229">
        <v>0</v>
      </c>
      <c r="W275" s="229">
        <v>0</v>
      </c>
      <c r="X275" s="229">
        <v>0</v>
      </c>
      <c r="Y275" s="229">
        <v>0</v>
      </c>
      <c r="Z275" s="229">
        <v>0</v>
      </c>
      <c r="AA275" s="229">
        <v>0</v>
      </c>
      <c r="AC275" s="12">
        <v>2</v>
      </c>
      <c r="AD275" s="14">
        <v>2</v>
      </c>
      <c r="AE275" s="14">
        <v>190</v>
      </c>
      <c r="AF275" s="26">
        <v>227</v>
      </c>
      <c r="AG275" s="12">
        <v>63</v>
      </c>
      <c r="AH275" s="14">
        <v>1</v>
      </c>
      <c r="AI275" s="209"/>
      <c r="AJ275" s="3"/>
      <c r="AK275" s="3"/>
      <c r="AL275" s="3"/>
      <c r="AM275" s="3"/>
      <c r="AN275" s="3"/>
      <c r="AO275" s="40"/>
      <c r="AP275" s="209"/>
      <c r="AQ275" s="3"/>
      <c r="AR275" s="40"/>
      <c r="AS275" s="238"/>
    </row>
    <row r="276" spans="1:45" s="229" customFormat="1">
      <c r="A276" s="83" t="s">
        <v>321</v>
      </c>
      <c r="B276" s="12">
        <v>3.105</v>
      </c>
      <c r="C276" s="229" t="s">
        <v>676</v>
      </c>
      <c r="D276" s="229" t="s">
        <v>620</v>
      </c>
      <c r="E276" s="229" t="s">
        <v>2</v>
      </c>
      <c r="F276" s="229">
        <v>369</v>
      </c>
      <c r="G276" s="40">
        <f>F276/212</f>
        <v>1.7405660377358489</v>
      </c>
      <c r="H276" s="14">
        <v>1</v>
      </c>
      <c r="I276" s="229">
        <v>1</v>
      </c>
      <c r="J276" s="229">
        <v>0</v>
      </c>
      <c r="K276" s="26">
        <v>0</v>
      </c>
      <c r="L276" s="14">
        <v>0</v>
      </c>
      <c r="M276" s="229">
        <v>0</v>
      </c>
      <c r="N276" s="229">
        <v>0</v>
      </c>
      <c r="O276" s="229">
        <v>0</v>
      </c>
      <c r="P276" s="26">
        <v>0</v>
      </c>
      <c r="Q276" s="14">
        <v>0</v>
      </c>
      <c r="R276" s="229">
        <v>0</v>
      </c>
      <c r="S276" s="229">
        <v>0</v>
      </c>
      <c r="T276" s="229">
        <v>0</v>
      </c>
      <c r="U276" s="229">
        <v>0</v>
      </c>
      <c r="V276" s="229">
        <v>0</v>
      </c>
      <c r="W276" s="229">
        <v>0</v>
      </c>
      <c r="X276" s="229">
        <v>0</v>
      </c>
      <c r="Y276" s="229">
        <v>0</v>
      </c>
      <c r="Z276" s="229">
        <v>0</v>
      </c>
      <c r="AA276" s="229">
        <v>0</v>
      </c>
      <c r="AC276" s="12">
        <v>2</v>
      </c>
      <c r="AD276" s="14">
        <v>3</v>
      </c>
      <c r="AE276" s="14">
        <v>71</v>
      </c>
      <c r="AF276" s="26">
        <v>212</v>
      </c>
      <c r="AG276" s="12">
        <v>63</v>
      </c>
      <c r="AH276" s="14">
        <v>1</v>
      </c>
      <c r="AI276" s="209"/>
      <c r="AJ276" s="3"/>
      <c r="AK276" s="3"/>
      <c r="AL276" s="3"/>
      <c r="AM276" s="3"/>
      <c r="AN276" s="3"/>
      <c r="AO276" s="40"/>
      <c r="AP276" s="209"/>
      <c r="AQ276" s="3"/>
      <c r="AR276" s="40"/>
      <c r="AS276" s="238"/>
    </row>
    <row r="277" spans="1:45" s="229" customFormat="1">
      <c r="A277" s="83" t="s">
        <v>321</v>
      </c>
      <c r="B277" s="12">
        <v>3.105</v>
      </c>
      <c r="C277" s="229" t="s">
        <v>676</v>
      </c>
      <c r="D277" s="229" t="s">
        <v>629</v>
      </c>
      <c r="F277" s="229">
        <v>735</v>
      </c>
      <c r="G277" s="40">
        <f>F277/383</f>
        <v>1.9190600522193211</v>
      </c>
      <c r="H277" s="14">
        <v>0</v>
      </c>
      <c r="I277" s="229">
        <v>0</v>
      </c>
      <c r="J277" s="229">
        <v>1</v>
      </c>
      <c r="K277" s="26">
        <v>0</v>
      </c>
      <c r="L277" s="14">
        <v>0</v>
      </c>
      <c r="M277" s="229">
        <v>0</v>
      </c>
      <c r="N277" s="229">
        <v>0</v>
      </c>
      <c r="O277" s="229">
        <v>0</v>
      </c>
      <c r="P277" s="26">
        <v>0</v>
      </c>
      <c r="Q277" s="14">
        <v>10</v>
      </c>
      <c r="R277" s="229">
        <v>0</v>
      </c>
      <c r="S277" s="229">
        <v>0</v>
      </c>
      <c r="T277" s="229">
        <v>0</v>
      </c>
      <c r="U277" s="229">
        <v>0</v>
      </c>
      <c r="V277" s="229">
        <v>70</v>
      </c>
      <c r="W277" s="229">
        <v>89</v>
      </c>
      <c r="X277" s="229">
        <v>0</v>
      </c>
      <c r="Y277" s="229">
        <v>0</v>
      </c>
      <c r="Z277" s="229">
        <v>0</v>
      </c>
      <c r="AA277" s="229">
        <v>0</v>
      </c>
      <c r="AC277" s="12">
        <v>1</v>
      </c>
      <c r="AD277" s="14">
        <v>1</v>
      </c>
      <c r="AE277" s="14">
        <v>0</v>
      </c>
      <c r="AF277" s="26">
        <v>0</v>
      </c>
      <c r="AG277" s="12">
        <v>55</v>
      </c>
      <c r="AH277" s="14">
        <v>1</v>
      </c>
      <c r="AI277" s="209">
        <v>86.8</v>
      </c>
      <c r="AJ277" s="3"/>
      <c r="AK277" s="3"/>
      <c r="AL277" s="3"/>
      <c r="AM277" s="3"/>
      <c r="AN277" s="3"/>
      <c r="AO277" s="40"/>
      <c r="AP277" s="209">
        <v>87.1</v>
      </c>
      <c r="AQ277" s="3"/>
      <c r="AR277" s="40"/>
      <c r="AS277" s="238"/>
    </row>
    <row r="278" spans="1:45" s="229" customFormat="1">
      <c r="A278" s="83" t="s">
        <v>321</v>
      </c>
      <c r="B278" s="12">
        <v>3.105</v>
      </c>
      <c r="C278" s="229" t="s">
        <v>676</v>
      </c>
      <c r="D278" s="229" t="s">
        <v>634</v>
      </c>
      <c r="E278" s="229" t="s">
        <v>0</v>
      </c>
      <c r="F278" s="229">
        <v>183</v>
      </c>
      <c r="G278" s="40">
        <f>F278/164</f>
        <v>1.1158536585365855</v>
      </c>
      <c r="H278" s="14">
        <v>1</v>
      </c>
      <c r="I278" s="229">
        <v>0</v>
      </c>
      <c r="J278" s="229">
        <v>0</v>
      </c>
      <c r="K278" s="26">
        <v>0</v>
      </c>
      <c r="L278" s="14">
        <v>0</v>
      </c>
      <c r="M278" s="229">
        <v>0</v>
      </c>
      <c r="N278" s="229">
        <v>0</v>
      </c>
      <c r="O278" s="229">
        <v>0</v>
      </c>
      <c r="P278" s="26">
        <v>0</v>
      </c>
      <c r="Q278" s="14">
        <v>0</v>
      </c>
      <c r="R278" s="229">
        <v>0</v>
      </c>
      <c r="S278" s="229">
        <v>0</v>
      </c>
      <c r="T278" s="229">
        <v>0</v>
      </c>
      <c r="U278" s="229">
        <v>0</v>
      </c>
      <c r="V278" s="229">
        <v>0</v>
      </c>
      <c r="W278" s="229">
        <v>0</v>
      </c>
      <c r="X278" s="229">
        <v>0</v>
      </c>
      <c r="Y278" s="229">
        <v>0</v>
      </c>
      <c r="Z278" s="229">
        <v>0</v>
      </c>
      <c r="AA278" s="229">
        <v>0</v>
      </c>
      <c r="AC278" s="12">
        <v>1</v>
      </c>
      <c r="AD278" s="14">
        <v>1</v>
      </c>
      <c r="AE278" s="14">
        <v>0</v>
      </c>
      <c r="AF278" s="26">
        <v>0</v>
      </c>
      <c r="AG278" s="12">
        <v>81</v>
      </c>
      <c r="AH278" s="14">
        <v>1</v>
      </c>
      <c r="AI278" s="209"/>
      <c r="AJ278" s="3"/>
      <c r="AK278" s="3"/>
      <c r="AL278" s="3"/>
      <c r="AM278" s="3"/>
      <c r="AN278" s="3"/>
      <c r="AO278" s="40"/>
      <c r="AP278" s="209"/>
      <c r="AQ278" s="3"/>
      <c r="AR278" s="40"/>
      <c r="AS278" s="238"/>
    </row>
    <row r="279" spans="1:45" s="229" customFormat="1">
      <c r="A279" s="83" t="s">
        <v>321</v>
      </c>
      <c r="B279" s="12">
        <v>3.105</v>
      </c>
      <c r="C279" s="229" t="s">
        <v>676</v>
      </c>
      <c r="D279" s="229" t="s">
        <v>634</v>
      </c>
      <c r="E279" s="229" t="s">
        <v>1</v>
      </c>
      <c r="F279" s="229">
        <v>277</v>
      </c>
      <c r="G279" s="40">
        <f>F279/195</f>
        <v>1.4205128205128206</v>
      </c>
      <c r="H279" s="14">
        <v>1</v>
      </c>
      <c r="I279" s="229">
        <v>0</v>
      </c>
      <c r="J279" s="229">
        <v>0</v>
      </c>
      <c r="K279" s="26">
        <v>0</v>
      </c>
      <c r="L279" s="14">
        <v>0</v>
      </c>
      <c r="M279" s="229">
        <v>0</v>
      </c>
      <c r="N279" s="229">
        <v>0</v>
      </c>
      <c r="O279" s="229">
        <v>0</v>
      </c>
      <c r="P279" s="26">
        <v>0</v>
      </c>
      <c r="Q279" s="14">
        <v>0</v>
      </c>
      <c r="R279" s="229">
        <v>0</v>
      </c>
      <c r="S279" s="229">
        <v>0</v>
      </c>
      <c r="T279" s="229">
        <v>0</v>
      </c>
      <c r="U279" s="229">
        <v>0</v>
      </c>
      <c r="V279" s="229">
        <v>0</v>
      </c>
      <c r="W279" s="229">
        <v>0</v>
      </c>
      <c r="X279" s="229">
        <v>0</v>
      </c>
      <c r="Y279" s="229">
        <v>0</v>
      </c>
      <c r="Z279" s="229">
        <v>0</v>
      </c>
      <c r="AA279" s="229">
        <v>0</v>
      </c>
      <c r="AC279" s="12">
        <v>2</v>
      </c>
      <c r="AD279" s="14">
        <v>2</v>
      </c>
      <c r="AE279" s="14">
        <v>148</v>
      </c>
      <c r="AF279" s="26">
        <v>195</v>
      </c>
      <c r="AG279" s="12">
        <v>81</v>
      </c>
      <c r="AH279" s="14">
        <v>1</v>
      </c>
      <c r="AI279" s="209"/>
      <c r="AJ279" s="3"/>
      <c r="AK279" s="3"/>
      <c r="AL279" s="3"/>
      <c r="AM279" s="3"/>
      <c r="AN279" s="3"/>
      <c r="AO279" s="40"/>
      <c r="AP279" s="209"/>
      <c r="AQ279" s="3"/>
      <c r="AR279" s="40"/>
      <c r="AS279" s="238"/>
    </row>
    <row r="280" spans="1:45" s="229" customFormat="1">
      <c r="A280" s="83" t="s">
        <v>321</v>
      </c>
      <c r="B280" s="12">
        <v>3.105</v>
      </c>
      <c r="C280" s="229" t="s">
        <v>676</v>
      </c>
      <c r="D280" s="229" t="s">
        <v>634</v>
      </c>
      <c r="E280" s="229" t="s">
        <v>2</v>
      </c>
      <c r="F280" s="229">
        <v>688</v>
      </c>
      <c r="G280" s="40">
        <f>F280/388</f>
        <v>1.7731958762886597</v>
      </c>
      <c r="H280" s="14">
        <v>1</v>
      </c>
      <c r="I280" s="229">
        <v>0</v>
      </c>
      <c r="J280" s="229">
        <v>0</v>
      </c>
      <c r="K280" s="26">
        <v>1</v>
      </c>
      <c r="L280" s="14">
        <v>0</v>
      </c>
      <c r="M280" s="229">
        <v>0</v>
      </c>
      <c r="N280" s="229">
        <v>0</v>
      </c>
      <c r="O280" s="229">
        <v>0</v>
      </c>
      <c r="P280" s="26">
        <v>0</v>
      </c>
      <c r="Q280" s="14">
        <v>0</v>
      </c>
      <c r="R280" s="229">
        <v>0</v>
      </c>
      <c r="S280" s="229">
        <v>0</v>
      </c>
      <c r="T280" s="229">
        <v>0</v>
      </c>
      <c r="U280" s="229">
        <v>0</v>
      </c>
      <c r="V280" s="229">
        <v>0</v>
      </c>
      <c r="W280" s="229">
        <v>0</v>
      </c>
      <c r="X280" s="229">
        <v>0</v>
      </c>
      <c r="Y280" s="229">
        <v>0</v>
      </c>
      <c r="Z280" s="229">
        <v>0</v>
      </c>
      <c r="AA280" s="229">
        <v>0</v>
      </c>
      <c r="AC280" s="12">
        <v>2</v>
      </c>
      <c r="AD280" s="14">
        <v>8</v>
      </c>
      <c r="AE280" s="14">
        <v>64</v>
      </c>
      <c r="AF280" s="26">
        <v>279</v>
      </c>
      <c r="AG280" s="12">
        <v>81</v>
      </c>
      <c r="AH280" s="14">
        <v>1</v>
      </c>
      <c r="AI280" s="209"/>
      <c r="AJ280" s="3"/>
      <c r="AK280" s="3"/>
      <c r="AL280" s="3"/>
      <c r="AM280" s="3"/>
      <c r="AN280" s="3"/>
      <c r="AO280" s="40"/>
      <c r="AP280" s="209"/>
      <c r="AQ280" s="3"/>
      <c r="AR280" s="40"/>
      <c r="AS280" s="238"/>
    </row>
    <row r="281" spans="1:45" s="229" customFormat="1">
      <c r="A281" s="83" t="s">
        <v>321</v>
      </c>
      <c r="B281" s="12">
        <v>3.105</v>
      </c>
      <c r="C281" s="229" t="s">
        <v>676</v>
      </c>
      <c r="D281" s="229" t="s">
        <v>634</v>
      </c>
      <c r="E281" s="229" t="s">
        <v>3</v>
      </c>
      <c r="F281" s="229">
        <v>140</v>
      </c>
      <c r="G281" s="40">
        <f>F281/97</f>
        <v>1.4432989690721649</v>
      </c>
      <c r="H281" s="14">
        <v>1</v>
      </c>
      <c r="I281" s="229">
        <v>0</v>
      </c>
      <c r="J281" s="229">
        <v>0</v>
      </c>
      <c r="K281" s="26">
        <v>0</v>
      </c>
      <c r="L281" s="14">
        <v>0</v>
      </c>
      <c r="M281" s="229">
        <v>0</v>
      </c>
      <c r="N281" s="229">
        <v>0</v>
      </c>
      <c r="O281" s="229">
        <v>0</v>
      </c>
      <c r="P281" s="26">
        <v>0</v>
      </c>
      <c r="Q281" s="14">
        <v>5</v>
      </c>
      <c r="R281" s="229">
        <v>0</v>
      </c>
      <c r="S281" s="229">
        <v>12</v>
      </c>
      <c r="T281" s="229">
        <v>0</v>
      </c>
      <c r="U281" s="229">
        <v>0</v>
      </c>
      <c r="V281" s="229">
        <v>0</v>
      </c>
      <c r="W281" s="229">
        <v>13</v>
      </c>
      <c r="X281" s="229">
        <v>0</v>
      </c>
      <c r="Y281" s="229">
        <v>0</v>
      </c>
      <c r="Z281" s="229">
        <v>0</v>
      </c>
      <c r="AA281" s="229">
        <v>0</v>
      </c>
      <c r="AC281" s="12">
        <v>1</v>
      </c>
      <c r="AD281" s="14">
        <v>1</v>
      </c>
      <c r="AE281" s="14">
        <v>0</v>
      </c>
      <c r="AF281" s="26">
        <v>0</v>
      </c>
      <c r="AG281" s="12">
        <v>81</v>
      </c>
      <c r="AH281" s="14">
        <v>0</v>
      </c>
      <c r="AI281" s="209"/>
      <c r="AJ281" s="3"/>
      <c r="AK281" s="3"/>
      <c r="AL281" s="3"/>
      <c r="AM281" s="3"/>
      <c r="AN281" s="3"/>
      <c r="AO281" s="40"/>
      <c r="AP281" s="209"/>
      <c r="AQ281" s="3"/>
      <c r="AR281" s="40"/>
      <c r="AS281" s="238"/>
    </row>
    <row r="282" spans="1:45" s="229" customFormat="1">
      <c r="A282" s="83" t="s">
        <v>321</v>
      </c>
      <c r="B282" s="12">
        <v>3.105</v>
      </c>
      <c r="C282" s="229" t="s">
        <v>676</v>
      </c>
      <c r="D282" s="229" t="s">
        <v>625</v>
      </c>
      <c r="F282" s="229">
        <v>383</v>
      </c>
      <c r="G282" s="40">
        <f>F282/357</f>
        <v>1.072829131652661</v>
      </c>
      <c r="H282" s="14">
        <v>0</v>
      </c>
      <c r="I282" s="229">
        <v>0</v>
      </c>
      <c r="J282" s="229">
        <v>0</v>
      </c>
      <c r="K282" s="26">
        <v>1</v>
      </c>
      <c r="L282" s="14">
        <v>0</v>
      </c>
      <c r="M282" s="229">
        <v>0</v>
      </c>
      <c r="N282" s="229">
        <v>0</v>
      </c>
      <c r="O282" s="229">
        <v>0</v>
      </c>
      <c r="P282" s="26">
        <v>0</v>
      </c>
      <c r="Q282" s="14">
        <v>0</v>
      </c>
      <c r="R282" s="229">
        <v>0</v>
      </c>
      <c r="S282" s="229">
        <v>0</v>
      </c>
      <c r="T282" s="229">
        <v>0</v>
      </c>
      <c r="U282" s="229">
        <v>0</v>
      </c>
      <c r="V282" s="229">
        <v>0</v>
      </c>
      <c r="W282" s="229">
        <v>0</v>
      </c>
      <c r="X282" s="229">
        <v>0</v>
      </c>
      <c r="Y282" s="229">
        <v>0</v>
      </c>
      <c r="Z282" s="229">
        <v>0</v>
      </c>
      <c r="AA282" s="229">
        <v>0</v>
      </c>
      <c r="AC282" s="12">
        <v>1</v>
      </c>
      <c r="AD282" s="14">
        <v>1</v>
      </c>
      <c r="AE282" s="14">
        <v>0</v>
      </c>
      <c r="AF282" s="26">
        <v>0</v>
      </c>
      <c r="AG282" s="12">
        <v>70</v>
      </c>
      <c r="AH282" s="14">
        <v>1</v>
      </c>
      <c r="AI282" s="209"/>
      <c r="AJ282" s="3"/>
      <c r="AK282" s="3"/>
      <c r="AL282" s="3"/>
      <c r="AM282" s="3"/>
      <c r="AN282" s="3"/>
      <c r="AO282" s="40"/>
      <c r="AP282" s="209"/>
      <c r="AQ282" s="3"/>
      <c r="AR282" s="40"/>
      <c r="AS282" s="238"/>
    </row>
    <row r="283" spans="1:45" s="229" customFormat="1">
      <c r="A283" s="83" t="s">
        <v>321</v>
      </c>
      <c r="B283" s="12">
        <v>3.105</v>
      </c>
      <c r="C283" s="229" t="s">
        <v>676</v>
      </c>
      <c r="D283" s="229" t="s">
        <v>630</v>
      </c>
      <c r="E283" s="229" t="s">
        <v>0</v>
      </c>
      <c r="F283" s="229">
        <v>887</v>
      </c>
      <c r="G283" s="40">
        <f>F283/595</f>
        <v>1.4907563025210084</v>
      </c>
      <c r="H283" s="14">
        <v>1</v>
      </c>
      <c r="I283" s="229">
        <v>1</v>
      </c>
      <c r="J283" s="229">
        <v>0</v>
      </c>
      <c r="K283" s="26">
        <v>0</v>
      </c>
      <c r="L283" s="14">
        <v>0</v>
      </c>
      <c r="M283" s="229">
        <v>0</v>
      </c>
      <c r="N283" s="229">
        <v>0</v>
      </c>
      <c r="O283" s="229">
        <v>0</v>
      </c>
      <c r="P283" s="26">
        <v>0</v>
      </c>
      <c r="Q283" s="14">
        <v>0</v>
      </c>
      <c r="R283" s="229">
        <v>0</v>
      </c>
      <c r="S283" s="229">
        <v>0</v>
      </c>
      <c r="T283" s="229">
        <v>0</v>
      </c>
      <c r="U283" s="229">
        <v>0</v>
      </c>
      <c r="V283" s="229">
        <v>0</v>
      </c>
      <c r="W283" s="229">
        <v>0</v>
      </c>
      <c r="X283" s="229">
        <v>0</v>
      </c>
      <c r="Y283" s="229">
        <v>0</v>
      </c>
      <c r="Z283" s="229">
        <v>0</v>
      </c>
      <c r="AA283" s="229">
        <v>0</v>
      </c>
      <c r="AC283" s="12">
        <v>2</v>
      </c>
      <c r="AD283" s="14">
        <v>10</v>
      </c>
      <c r="AE283" s="14">
        <v>63</v>
      </c>
      <c r="AF283" s="26">
        <v>503</v>
      </c>
      <c r="AG283" s="12">
        <v>69</v>
      </c>
      <c r="AH283" s="14">
        <v>1</v>
      </c>
      <c r="AI283" s="209"/>
      <c r="AJ283" s="3"/>
      <c r="AK283" s="3"/>
      <c r="AL283" s="3"/>
      <c r="AM283" s="3"/>
      <c r="AN283" s="3"/>
      <c r="AO283" s="40"/>
      <c r="AP283" s="209"/>
      <c r="AQ283" s="3"/>
      <c r="AR283" s="40"/>
      <c r="AS283" s="238"/>
    </row>
    <row r="284" spans="1:45" s="229" customFormat="1">
      <c r="A284" s="83" t="s">
        <v>321</v>
      </c>
      <c r="B284" s="12">
        <v>3.105</v>
      </c>
      <c r="C284" s="229" t="s">
        <v>676</v>
      </c>
      <c r="D284" s="229" t="s">
        <v>630</v>
      </c>
      <c r="E284" s="229" t="s">
        <v>1</v>
      </c>
      <c r="F284" s="229">
        <v>169</v>
      </c>
      <c r="G284" s="40">
        <f>F284/139</f>
        <v>1.2158273381294964</v>
      </c>
      <c r="H284" s="14">
        <v>1</v>
      </c>
      <c r="I284" s="229">
        <v>0</v>
      </c>
      <c r="J284" s="229">
        <v>0</v>
      </c>
      <c r="K284" s="26">
        <v>0</v>
      </c>
      <c r="L284" s="14">
        <v>0</v>
      </c>
      <c r="M284" s="229">
        <v>0</v>
      </c>
      <c r="N284" s="229">
        <v>0</v>
      </c>
      <c r="O284" s="229">
        <v>0</v>
      </c>
      <c r="P284" s="26">
        <v>0</v>
      </c>
      <c r="Q284" s="14">
        <v>0</v>
      </c>
      <c r="R284" s="229">
        <v>0</v>
      </c>
      <c r="S284" s="229">
        <v>0</v>
      </c>
      <c r="T284" s="229">
        <v>0</v>
      </c>
      <c r="U284" s="229">
        <v>0</v>
      </c>
      <c r="V284" s="229">
        <v>0</v>
      </c>
      <c r="W284" s="229">
        <v>0</v>
      </c>
      <c r="X284" s="229">
        <v>0</v>
      </c>
      <c r="Y284" s="229">
        <v>0</v>
      </c>
      <c r="Z284" s="229">
        <v>0</v>
      </c>
      <c r="AA284" s="229">
        <v>0</v>
      </c>
      <c r="AC284" s="12">
        <v>1</v>
      </c>
      <c r="AD284" s="14">
        <v>1</v>
      </c>
      <c r="AE284" s="14">
        <v>0</v>
      </c>
      <c r="AF284" s="26">
        <v>0</v>
      </c>
      <c r="AG284" s="12">
        <v>69</v>
      </c>
      <c r="AH284" s="14">
        <v>1</v>
      </c>
      <c r="AI284" s="209"/>
      <c r="AJ284" s="3"/>
      <c r="AK284" s="3"/>
      <c r="AL284" s="3"/>
      <c r="AM284" s="3"/>
      <c r="AN284" s="3"/>
      <c r="AO284" s="40"/>
      <c r="AP284" s="209"/>
      <c r="AQ284" s="3"/>
      <c r="AR284" s="40"/>
      <c r="AS284" s="238"/>
    </row>
    <row r="285" spans="1:45" s="229" customFormat="1">
      <c r="A285" s="83" t="s">
        <v>321</v>
      </c>
      <c r="B285" s="12">
        <v>3.105</v>
      </c>
      <c r="C285" s="229" t="s">
        <v>676</v>
      </c>
      <c r="D285" s="229" t="s">
        <v>637</v>
      </c>
      <c r="E285" s="229" t="s">
        <v>0</v>
      </c>
      <c r="F285" s="229">
        <v>268</v>
      </c>
      <c r="G285" s="40">
        <f>F285/141</f>
        <v>1.9007092198581561</v>
      </c>
      <c r="H285" s="14">
        <v>1</v>
      </c>
      <c r="I285" s="229">
        <v>0</v>
      </c>
      <c r="J285" s="229">
        <v>0</v>
      </c>
      <c r="K285" s="26">
        <v>0</v>
      </c>
      <c r="L285" s="14">
        <v>0</v>
      </c>
      <c r="M285" s="229">
        <v>0</v>
      </c>
      <c r="N285" s="229">
        <v>0</v>
      </c>
      <c r="O285" s="229">
        <v>0</v>
      </c>
      <c r="P285" s="26">
        <v>0</v>
      </c>
      <c r="Q285" s="14">
        <v>0</v>
      </c>
      <c r="R285" s="229">
        <v>0</v>
      </c>
      <c r="S285" s="229">
        <v>0</v>
      </c>
      <c r="T285" s="229">
        <v>0</v>
      </c>
      <c r="U285" s="229">
        <v>0</v>
      </c>
      <c r="V285" s="229">
        <v>0</v>
      </c>
      <c r="W285" s="229">
        <v>0</v>
      </c>
      <c r="X285" s="229">
        <v>0</v>
      </c>
      <c r="Y285" s="229">
        <v>0</v>
      </c>
      <c r="Z285" s="229">
        <v>0</v>
      </c>
      <c r="AA285" s="229">
        <v>0</v>
      </c>
      <c r="AC285" s="12">
        <v>1</v>
      </c>
      <c r="AD285" s="14">
        <v>1</v>
      </c>
      <c r="AE285" s="14">
        <v>0</v>
      </c>
      <c r="AF285" s="26">
        <v>0</v>
      </c>
      <c r="AG285" s="12">
        <v>135</v>
      </c>
      <c r="AH285" s="14">
        <v>1</v>
      </c>
      <c r="AI285" s="209"/>
      <c r="AJ285" s="3"/>
      <c r="AK285" s="3"/>
      <c r="AL285" s="3"/>
      <c r="AM285" s="3"/>
      <c r="AN285" s="3"/>
      <c r="AO285" s="40"/>
      <c r="AP285" s="209"/>
      <c r="AQ285" s="3"/>
      <c r="AR285" s="40"/>
      <c r="AS285" s="238"/>
    </row>
    <row r="286" spans="1:45" s="229" customFormat="1">
      <c r="A286" s="83" t="s">
        <v>321</v>
      </c>
      <c r="B286" s="12">
        <v>3.105</v>
      </c>
      <c r="C286" s="229" t="s">
        <v>676</v>
      </c>
      <c r="D286" s="229" t="s">
        <v>637</v>
      </c>
      <c r="E286" s="229" t="s">
        <v>1</v>
      </c>
      <c r="F286" s="229">
        <v>607</v>
      </c>
      <c r="G286" s="40">
        <f>F286/423</f>
        <v>1.4349881796690307</v>
      </c>
      <c r="H286" s="14">
        <v>1</v>
      </c>
      <c r="I286" s="229">
        <v>0</v>
      </c>
      <c r="J286" s="229">
        <v>0</v>
      </c>
      <c r="K286" s="26">
        <v>1</v>
      </c>
      <c r="L286" s="14">
        <v>0</v>
      </c>
      <c r="M286" s="229">
        <v>0</v>
      </c>
      <c r="N286" s="229">
        <v>0</v>
      </c>
      <c r="O286" s="229">
        <v>0</v>
      </c>
      <c r="P286" s="26">
        <v>0</v>
      </c>
      <c r="Q286" s="14">
        <v>0</v>
      </c>
      <c r="R286" s="229">
        <v>0</v>
      </c>
      <c r="S286" s="229">
        <v>0</v>
      </c>
      <c r="T286" s="229">
        <v>0</v>
      </c>
      <c r="U286" s="229">
        <v>0</v>
      </c>
      <c r="V286" s="229">
        <v>0</v>
      </c>
      <c r="W286" s="229">
        <v>0</v>
      </c>
      <c r="X286" s="229">
        <v>0</v>
      </c>
      <c r="Y286" s="229">
        <v>0</v>
      </c>
      <c r="Z286" s="229">
        <v>0</v>
      </c>
      <c r="AA286" s="229">
        <v>0</v>
      </c>
      <c r="AC286" s="12">
        <v>2</v>
      </c>
      <c r="AD286" s="14">
        <v>4</v>
      </c>
      <c r="AE286" s="14">
        <v>44</v>
      </c>
      <c r="AF286" s="26">
        <v>519</v>
      </c>
      <c r="AG286" s="12">
        <v>135</v>
      </c>
      <c r="AH286" s="14">
        <v>1</v>
      </c>
      <c r="AI286" s="209"/>
      <c r="AJ286" s="3"/>
      <c r="AK286" s="3"/>
      <c r="AL286" s="3"/>
      <c r="AM286" s="3"/>
      <c r="AN286" s="3"/>
      <c r="AO286" s="40"/>
      <c r="AP286" s="209"/>
      <c r="AQ286" s="3"/>
      <c r="AR286" s="40"/>
      <c r="AS286" s="238"/>
    </row>
    <row r="287" spans="1:45" s="229" customFormat="1">
      <c r="A287" s="83" t="s">
        <v>321</v>
      </c>
      <c r="B287" s="12">
        <v>3.105</v>
      </c>
      <c r="C287" s="229" t="s">
        <v>676</v>
      </c>
      <c r="D287" s="229" t="s">
        <v>638</v>
      </c>
      <c r="E287" s="229" t="s">
        <v>0</v>
      </c>
      <c r="F287" s="229">
        <v>1125</v>
      </c>
      <c r="G287" s="40">
        <f>F287/537</f>
        <v>2.0949720670391061</v>
      </c>
      <c r="H287" s="14">
        <v>1</v>
      </c>
      <c r="I287" s="229">
        <v>0</v>
      </c>
      <c r="J287" s="229">
        <v>0</v>
      </c>
      <c r="K287" s="26">
        <v>1</v>
      </c>
      <c r="L287" s="14">
        <v>0</v>
      </c>
      <c r="M287" s="229">
        <v>0</v>
      </c>
      <c r="N287" s="229">
        <v>0</v>
      </c>
      <c r="O287" s="229">
        <v>0</v>
      </c>
      <c r="P287" s="26">
        <v>0</v>
      </c>
      <c r="Q287" s="14">
        <v>5</v>
      </c>
      <c r="R287" s="229">
        <v>4</v>
      </c>
      <c r="S287" s="229">
        <v>13</v>
      </c>
      <c r="T287" s="229">
        <v>0</v>
      </c>
      <c r="U287" s="229">
        <v>0</v>
      </c>
      <c r="V287" s="229">
        <v>20</v>
      </c>
      <c r="W287" s="229">
        <v>37</v>
      </c>
      <c r="X287" s="229">
        <v>0</v>
      </c>
      <c r="Y287" s="229">
        <v>0</v>
      </c>
      <c r="Z287" s="229">
        <v>0</v>
      </c>
      <c r="AA287" s="229">
        <v>0</v>
      </c>
      <c r="AC287" s="12">
        <v>2</v>
      </c>
      <c r="AD287" s="14">
        <v>5</v>
      </c>
      <c r="AE287" s="14">
        <v>160</v>
      </c>
      <c r="AF287" s="26">
        <v>718</v>
      </c>
      <c r="AG287" s="12">
        <v>96</v>
      </c>
      <c r="AH287" s="14">
        <v>1</v>
      </c>
      <c r="AI287" s="209"/>
      <c r="AJ287" s="3"/>
      <c r="AK287" s="3"/>
      <c r="AL287" s="3"/>
      <c r="AM287" s="3"/>
      <c r="AN287" s="3"/>
      <c r="AO287" s="40"/>
      <c r="AP287" s="209"/>
      <c r="AQ287" s="3"/>
      <c r="AR287" s="40"/>
      <c r="AS287" s="238"/>
    </row>
    <row r="288" spans="1:45" s="229" customFormat="1">
      <c r="A288" s="83" t="s">
        <v>321</v>
      </c>
      <c r="B288" s="12">
        <v>3.105</v>
      </c>
      <c r="C288" s="229" t="s">
        <v>676</v>
      </c>
      <c r="D288" s="229" t="s">
        <v>638</v>
      </c>
      <c r="E288" s="229" t="s">
        <v>1</v>
      </c>
      <c r="F288" s="229">
        <v>124</v>
      </c>
      <c r="G288" s="40">
        <f>F288/101</f>
        <v>1.2277227722772277</v>
      </c>
      <c r="H288" s="14">
        <v>1</v>
      </c>
      <c r="I288" s="229">
        <v>0</v>
      </c>
      <c r="J288" s="229">
        <v>0</v>
      </c>
      <c r="K288" s="26">
        <v>0</v>
      </c>
      <c r="L288" s="14">
        <v>0</v>
      </c>
      <c r="M288" s="229">
        <v>0</v>
      </c>
      <c r="N288" s="229">
        <v>0</v>
      </c>
      <c r="O288" s="229">
        <v>0</v>
      </c>
      <c r="P288" s="26">
        <v>0</v>
      </c>
      <c r="Q288" s="14">
        <v>0</v>
      </c>
      <c r="R288" s="229">
        <v>0</v>
      </c>
      <c r="S288" s="229">
        <v>0</v>
      </c>
      <c r="T288" s="229">
        <v>0</v>
      </c>
      <c r="U288" s="229">
        <v>0</v>
      </c>
      <c r="V288" s="229">
        <v>0</v>
      </c>
      <c r="W288" s="229">
        <v>0</v>
      </c>
      <c r="X288" s="229">
        <v>0</v>
      </c>
      <c r="Y288" s="229">
        <v>0</v>
      </c>
      <c r="Z288" s="229">
        <v>0</v>
      </c>
      <c r="AA288" s="229">
        <v>0</v>
      </c>
      <c r="AC288" s="12">
        <v>1</v>
      </c>
      <c r="AD288" s="14">
        <v>1</v>
      </c>
      <c r="AE288" s="14">
        <v>0</v>
      </c>
      <c r="AF288" s="26">
        <v>0</v>
      </c>
      <c r="AG288" s="12">
        <v>96</v>
      </c>
      <c r="AH288" s="14">
        <v>0</v>
      </c>
      <c r="AI288" s="209"/>
      <c r="AJ288" s="3"/>
      <c r="AK288" s="3"/>
      <c r="AL288" s="3"/>
      <c r="AM288" s="3"/>
      <c r="AN288" s="3"/>
      <c r="AO288" s="40"/>
      <c r="AP288" s="209"/>
      <c r="AQ288" s="3"/>
      <c r="AR288" s="40"/>
      <c r="AS288" s="238"/>
    </row>
    <row r="289" spans="1:45" s="229" customFormat="1">
      <c r="A289" s="83" t="s">
        <v>321</v>
      </c>
      <c r="B289" s="12">
        <v>3.105</v>
      </c>
      <c r="C289" s="229" t="s">
        <v>676</v>
      </c>
      <c r="D289" s="229" t="s">
        <v>638</v>
      </c>
      <c r="E289" s="229" t="s">
        <v>2</v>
      </c>
      <c r="F289" s="229">
        <v>117</v>
      </c>
      <c r="G289" s="40">
        <f>F289/97</f>
        <v>1.2061855670103092</v>
      </c>
      <c r="H289" s="14">
        <v>1</v>
      </c>
      <c r="I289" s="229">
        <v>0</v>
      </c>
      <c r="J289" s="229">
        <v>0</v>
      </c>
      <c r="K289" s="26">
        <v>0</v>
      </c>
      <c r="L289" s="14">
        <v>0</v>
      </c>
      <c r="M289" s="229">
        <v>0</v>
      </c>
      <c r="N289" s="229">
        <v>0</v>
      </c>
      <c r="O289" s="229">
        <v>0</v>
      </c>
      <c r="P289" s="26">
        <v>0</v>
      </c>
      <c r="Q289" s="14">
        <v>0</v>
      </c>
      <c r="R289" s="229">
        <v>0</v>
      </c>
      <c r="S289" s="229">
        <v>0</v>
      </c>
      <c r="T289" s="229">
        <v>0</v>
      </c>
      <c r="U289" s="229">
        <v>0</v>
      </c>
      <c r="V289" s="229">
        <v>0</v>
      </c>
      <c r="W289" s="229">
        <v>0</v>
      </c>
      <c r="X289" s="229">
        <v>0</v>
      </c>
      <c r="Y289" s="229">
        <v>0</v>
      </c>
      <c r="Z289" s="229">
        <v>0</v>
      </c>
      <c r="AA289" s="229">
        <v>0</v>
      </c>
      <c r="AC289" s="12">
        <v>1</v>
      </c>
      <c r="AD289" s="14">
        <v>1</v>
      </c>
      <c r="AE289" s="14">
        <v>0</v>
      </c>
      <c r="AF289" s="26">
        <v>0</v>
      </c>
      <c r="AG289" s="12">
        <v>96</v>
      </c>
      <c r="AH289" s="14">
        <v>1</v>
      </c>
      <c r="AI289" s="209"/>
      <c r="AJ289" s="3"/>
      <c r="AK289" s="3"/>
      <c r="AL289" s="3"/>
      <c r="AM289" s="3"/>
      <c r="AN289" s="3"/>
      <c r="AO289" s="40"/>
      <c r="AP289" s="209"/>
      <c r="AQ289" s="3"/>
      <c r="AR289" s="40"/>
      <c r="AS289" s="238"/>
    </row>
    <row r="290" spans="1:45" s="229" customFormat="1">
      <c r="A290" s="83" t="s">
        <v>321</v>
      </c>
      <c r="B290" s="12">
        <v>3.105</v>
      </c>
      <c r="C290" s="229" t="s">
        <v>676</v>
      </c>
      <c r="D290" s="229" t="s">
        <v>638</v>
      </c>
      <c r="E290" s="229" t="s">
        <v>3</v>
      </c>
      <c r="F290" s="229">
        <v>158</v>
      </c>
      <c r="G290" s="40">
        <f>F290/128</f>
        <v>1.234375</v>
      </c>
      <c r="H290" s="14">
        <v>1</v>
      </c>
      <c r="I290" s="229">
        <v>0</v>
      </c>
      <c r="J290" s="229">
        <v>0</v>
      </c>
      <c r="K290" s="26">
        <v>0</v>
      </c>
      <c r="L290" s="14">
        <v>0</v>
      </c>
      <c r="M290" s="229">
        <v>0</v>
      </c>
      <c r="N290" s="229">
        <v>0</v>
      </c>
      <c r="O290" s="229">
        <v>0</v>
      </c>
      <c r="P290" s="26">
        <v>0</v>
      </c>
      <c r="Q290" s="14">
        <v>0</v>
      </c>
      <c r="R290" s="229">
        <v>0</v>
      </c>
      <c r="S290" s="229">
        <v>0</v>
      </c>
      <c r="T290" s="229">
        <v>0</v>
      </c>
      <c r="U290" s="229">
        <v>0</v>
      </c>
      <c r="V290" s="229">
        <v>0</v>
      </c>
      <c r="W290" s="229">
        <v>0</v>
      </c>
      <c r="X290" s="229">
        <v>0</v>
      </c>
      <c r="Y290" s="229">
        <v>0</v>
      </c>
      <c r="Z290" s="229">
        <v>0</v>
      </c>
      <c r="AA290" s="229">
        <v>0</v>
      </c>
      <c r="AC290" s="12">
        <v>1</v>
      </c>
      <c r="AD290" s="14">
        <v>1</v>
      </c>
      <c r="AE290" s="14">
        <v>0</v>
      </c>
      <c r="AF290" s="26">
        <v>0</v>
      </c>
      <c r="AG290" s="12">
        <v>96</v>
      </c>
      <c r="AH290" s="14">
        <v>1</v>
      </c>
      <c r="AI290" s="209"/>
      <c r="AJ290" s="3"/>
      <c r="AK290" s="3"/>
      <c r="AL290" s="3"/>
      <c r="AM290" s="3"/>
      <c r="AN290" s="3"/>
      <c r="AO290" s="40"/>
      <c r="AP290" s="209"/>
      <c r="AQ290" s="3"/>
      <c r="AR290" s="40"/>
      <c r="AS290" s="238"/>
    </row>
    <row r="291" spans="1:45" s="229" customFormat="1">
      <c r="A291" s="83" t="s">
        <v>321</v>
      </c>
      <c r="B291" s="12">
        <v>3.105</v>
      </c>
      <c r="C291" s="229" t="s">
        <v>676</v>
      </c>
      <c r="D291" s="229" t="s">
        <v>639</v>
      </c>
      <c r="E291" s="229" t="s">
        <v>0</v>
      </c>
      <c r="F291" s="229">
        <v>1056</v>
      </c>
      <c r="G291" s="40">
        <f>F291/665</f>
        <v>1.58796992481203</v>
      </c>
      <c r="H291" s="14">
        <v>0</v>
      </c>
      <c r="I291" s="229">
        <v>0</v>
      </c>
      <c r="J291" s="229">
        <v>0</v>
      </c>
      <c r="K291" s="26">
        <v>1</v>
      </c>
      <c r="L291" s="14">
        <v>0</v>
      </c>
      <c r="M291" s="229">
        <v>0</v>
      </c>
      <c r="N291" s="229">
        <v>1</v>
      </c>
      <c r="O291" s="229">
        <v>0</v>
      </c>
      <c r="P291" s="26">
        <v>1</v>
      </c>
      <c r="Q291" s="14">
        <v>2</v>
      </c>
      <c r="R291" s="229">
        <v>0</v>
      </c>
      <c r="S291" s="229">
        <v>0</v>
      </c>
      <c r="T291" s="229">
        <v>0</v>
      </c>
      <c r="U291" s="229">
        <v>0</v>
      </c>
      <c r="V291" s="229">
        <v>0</v>
      </c>
      <c r="W291" s="229">
        <v>55</v>
      </c>
      <c r="X291" s="229">
        <v>0</v>
      </c>
      <c r="Y291" s="229">
        <v>0</v>
      </c>
      <c r="Z291" s="229">
        <v>0</v>
      </c>
      <c r="AA291" s="229">
        <v>0</v>
      </c>
      <c r="AC291" s="12">
        <v>2</v>
      </c>
      <c r="AD291" s="14">
        <v>3</v>
      </c>
      <c r="AE291" s="14">
        <v>190</v>
      </c>
      <c r="AF291" s="26">
        <v>787</v>
      </c>
      <c r="AG291" s="12">
        <v>56</v>
      </c>
      <c r="AH291" s="14">
        <v>0</v>
      </c>
      <c r="AI291" s="209"/>
      <c r="AJ291" s="3"/>
      <c r="AK291" s="3"/>
      <c r="AL291" s="3"/>
      <c r="AM291" s="3"/>
      <c r="AN291" s="3"/>
      <c r="AO291" s="40"/>
      <c r="AP291" s="209"/>
      <c r="AQ291" s="3"/>
      <c r="AR291" s="40"/>
      <c r="AS291" s="238"/>
    </row>
    <row r="292" spans="1:45" s="229" customFormat="1">
      <c r="A292" s="83" t="s">
        <v>321</v>
      </c>
      <c r="B292" s="12">
        <v>3.105</v>
      </c>
      <c r="C292" s="229" t="s">
        <v>676</v>
      </c>
      <c r="D292" s="229" t="s">
        <v>639</v>
      </c>
      <c r="E292" s="229" t="s">
        <v>1</v>
      </c>
      <c r="F292" s="229">
        <v>222</v>
      </c>
      <c r="G292" s="40">
        <f>F292/143</f>
        <v>1.5524475524475525</v>
      </c>
      <c r="H292" s="14">
        <v>0</v>
      </c>
      <c r="I292" s="229">
        <v>0</v>
      </c>
      <c r="J292" s="229">
        <v>1</v>
      </c>
      <c r="K292" s="26">
        <v>0</v>
      </c>
      <c r="L292" s="14">
        <v>0</v>
      </c>
      <c r="M292" s="229">
        <v>0</v>
      </c>
      <c r="N292" s="229">
        <v>0</v>
      </c>
      <c r="O292" s="229">
        <v>0</v>
      </c>
      <c r="P292" s="26">
        <v>0</v>
      </c>
      <c r="Q292" s="14">
        <v>0</v>
      </c>
      <c r="R292" s="229">
        <v>0</v>
      </c>
      <c r="S292" s="229">
        <v>0</v>
      </c>
      <c r="T292" s="229">
        <v>0</v>
      </c>
      <c r="U292" s="229">
        <v>0</v>
      </c>
      <c r="V292" s="229">
        <v>0</v>
      </c>
      <c r="W292" s="229">
        <v>0</v>
      </c>
      <c r="X292" s="229">
        <v>0</v>
      </c>
      <c r="Y292" s="229">
        <v>0</v>
      </c>
      <c r="Z292" s="229">
        <v>0</v>
      </c>
      <c r="AA292" s="229">
        <v>0</v>
      </c>
      <c r="AC292" s="12">
        <v>1</v>
      </c>
      <c r="AD292" s="14">
        <v>1</v>
      </c>
      <c r="AE292" s="14">
        <v>0</v>
      </c>
      <c r="AF292" s="26">
        <v>0</v>
      </c>
      <c r="AG292" s="12">
        <v>56</v>
      </c>
      <c r="AH292" s="14">
        <v>0</v>
      </c>
      <c r="AI292" s="209"/>
      <c r="AJ292" s="3"/>
      <c r="AK292" s="3"/>
      <c r="AL292" s="3"/>
      <c r="AM292" s="3"/>
      <c r="AN292" s="3"/>
      <c r="AO292" s="40"/>
      <c r="AP292" s="209"/>
      <c r="AQ292" s="3"/>
      <c r="AR292" s="40"/>
      <c r="AS292" s="238"/>
    </row>
    <row r="293" spans="1:45" s="229" customFormat="1">
      <c r="A293" s="83" t="s">
        <v>321</v>
      </c>
      <c r="B293" s="12">
        <v>3.105</v>
      </c>
      <c r="C293" s="229" t="s">
        <v>676</v>
      </c>
      <c r="D293" s="229" t="s">
        <v>640</v>
      </c>
      <c r="F293" s="229">
        <v>615</v>
      </c>
      <c r="G293" s="40">
        <f>F293/397</f>
        <v>1.54911838790932</v>
      </c>
      <c r="H293" s="14">
        <v>1</v>
      </c>
      <c r="I293" s="229">
        <v>0</v>
      </c>
      <c r="J293" s="229">
        <v>0</v>
      </c>
      <c r="K293" s="26">
        <v>0</v>
      </c>
      <c r="L293" s="14">
        <v>0</v>
      </c>
      <c r="M293" s="229">
        <v>0</v>
      </c>
      <c r="N293" s="229">
        <v>1</v>
      </c>
      <c r="O293" s="229">
        <v>0</v>
      </c>
      <c r="P293" s="26">
        <v>1</v>
      </c>
      <c r="Q293" s="14">
        <v>2</v>
      </c>
      <c r="R293" s="229">
        <v>13</v>
      </c>
      <c r="S293" s="229">
        <v>35</v>
      </c>
      <c r="T293" s="229">
        <v>0</v>
      </c>
      <c r="U293" s="229">
        <v>0</v>
      </c>
      <c r="V293" s="229">
        <v>0</v>
      </c>
      <c r="W293" s="229">
        <v>0</v>
      </c>
      <c r="X293" s="229">
        <v>0</v>
      </c>
      <c r="Y293" s="229">
        <v>0</v>
      </c>
      <c r="Z293" s="229">
        <v>0</v>
      </c>
      <c r="AA293" s="229">
        <v>0</v>
      </c>
      <c r="AC293" s="12">
        <v>1</v>
      </c>
      <c r="AD293" s="14">
        <v>1</v>
      </c>
      <c r="AE293" s="14">
        <v>0</v>
      </c>
      <c r="AF293" s="26">
        <v>0</v>
      </c>
      <c r="AG293" s="12">
        <v>75</v>
      </c>
      <c r="AH293" s="14">
        <v>0</v>
      </c>
      <c r="AI293" s="209"/>
      <c r="AJ293" s="3"/>
      <c r="AK293" s="3"/>
      <c r="AL293" s="3"/>
      <c r="AM293" s="3"/>
      <c r="AN293" s="3"/>
      <c r="AO293" s="40"/>
      <c r="AP293" s="209"/>
      <c r="AQ293" s="3"/>
      <c r="AR293" s="40"/>
      <c r="AS293" s="238"/>
    </row>
    <row r="294" spans="1:45" s="229" customFormat="1">
      <c r="A294" s="83" t="s">
        <v>321</v>
      </c>
      <c r="B294" s="12">
        <v>3.105</v>
      </c>
      <c r="C294" s="229" t="s">
        <v>676</v>
      </c>
      <c r="D294" s="229" t="s">
        <v>641</v>
      </c>
      <c r="F294" s="229">
        <v>929</v>
      </c>
      <c r="G294" s="40">
        <f>F294/497</f>
        <v>1.8692152917505029</v>
      </c>
      <c r="H294" s="14">
        <v>0</v>
      </c>
      <c r="I294" s="229">
        <v>0</v>
      </c>
      <c r="J294" s="229">
        <v>1</v>
      </c>
      <c r="K294" s="26">
        <v>0</v>
      </c>
      <c r="L294" s="14">
        <v>0</v>
      </c>
      <c r="M294" s="229">
        <v>0</v>
      </c>
      <c r="N294" s="229">
        <v>1</v>
      </c>
      <c r="O294" s="229">
        <v>0</v>
      </c>
      <c r="P294" s="26">
        <v>1</v>
      </c>
      <c r="Q294" s="14">
        <v>0</v>
      </c>
      <c r="R294" s="229">
        <v>0</v>
      </c>
      <c r="S294" s="229">
        <v>0</v>
      </c>
      <c r="T294" s="229">
        <v>0</v>
      </c>
      <c r="U294" s="229">
        <v>0</v>
      </c>
      <c r="V294" s="229">
        <v>0</v>
      </c>
      <c r="W294" s="229">
        <v>0</v>
      </c>
      <c r="X294" s="229">
        <v>0</v>
      </c>
      <c r="Y294" s="229">
        <v>0</v>
      </c>
      <c r="Z294" s="229">
        <v>0</v>
      </c>
      <c r="AA294" s="229">
        <v>0</v>
      </c>
      <c r="AC294" s="12">
        <v>1</v>
      </c>
      <c r="AD294" s="14">
        <v>1</v>
      </c>
      <c r="AE294" s="14">
        <v>0</v>
      </c>
      <c r="AF294" s="26">
        <v>0</v>
      </c>
      <c r="AG294" s="12">
        <v>56</v>
      </c>
      <c r="AH294" s="14">
        <v>0</v>
      </c>
      <c r="AI294" s="209">
        <v>87.9</v>
      </c>
      <c r="AJ294" s="3"/>
      <c r="AK294" s="3"/>
      <c r="AL294" s="3"/>
      <c r="AM294" s="3"/>
      <c r="AN294" s="3"/>
      <c r="AO294" s="40"/>
      <c r="AP294" s="209">
        <v>87.8</v>
      </c>
      <c r="AQ294" s="3"/>
      <c r="AR294" s="40"/>
      <c r="AS294" s="238"/>
    </row>
    <row r="295" spans="1:45" s="229" customFormat="1">
      <c r="A295" s="83" t="s">
        <v>321</v>
      </c>
      <c r="B295" s="12">
        <v>3.105</v>
      </c>
      <c r="C295" s="229" t="s">
        <v>676</v>
      </c>
      <c r="D295" s="229" t="s">
        <v>647</v>
      </c>
      <c r="E295" s="229" t="s">
        <v>0</v>
      </c>
      <c r="F295" s="229">
        <v>469</v>
      </c>
      <c r="G295" s="40">
        <f>F295/173</f>
        <v>2.7109826589595376</v>
      </c>
      <c r="H295" s="14">
        <v>1</v>
      </c>
      <c r="I295" s="229">
        <v>0</v>
      </c>
      <c r="J295" s="229">
        <v>0</v>
      </c>
      <c r="K295" s="26">
        <v>0</v>
      </c>
      <c r="L295" s="14">
        <v>0</v>
      </c>
      <c r="M295" s="229">
        <v>0</v>
      </c>
      <c r="N295" s="229">
        <v>0</v>
      </c>
      <c r="O295" s="229">
        <v>0</v>
      </c>
      <c r="P295" s="26">
        <v>0</v>
      </c>
      <c r="Q295" s="14">
        <v>0</v>
      </c>
      <c r="R295" s="229">
        <v>0</v>
      </c>
      <c r="S295" s="229">
        <v>0</v>
      </c>
      <c r="T295" s="229">
        <v>0</v>
      </c>
      <c r="U295" s="229">
        <v>0</v>
      </c>
      <c r="V295" s="229">
        <v>0</v>
      </c>
      <c r="W295" s="229">
        <v>0</v>
      </c>
      <c r="X295" s="229">
        <v>0</v>
      </c>
      <c r="Y295" s="229">
        <v>0</v>
      </c>
      <c r="Z295" s="229">
        <v>0</v>
      </c>
      <c r="AA295" s="229">
        <v>0</v>
      </c>
      <c r="AC295" s="12">
        <v>2</v>
      </c>
      <c r="AD295" s="14">
        <v>3</v>
      </c>
      <c r="AE295" s="14">
        <v>60</v>
      </c>
      <c r="AF295" s="26">
        <v>271</v>
      </c>
      <c r="AG295" s="12">
        <v>92</v>
      </c>
      <c r="AH295" s="14">
        <v>1</v>
      </c>
      <c r="AI295" s="209">
        <v>87.1</v>
      </c>
      <c r="AJ295" s="3">
        <v>87.1</v>
      </c>
      <c r="AK295" s="3"/>
      <c r="AL295" s="3"/>
      <c r="AM295" s="3"/>
      <c r="AN295" s="3"/>
      <c r="AO295" s="40"/>
      <c r="AP295" s="209">
        <v>87.2</v>
      </c>
      <c r="AQ295" s="3"/>
      <c r="AR295" s="40"/>
      <c r="AS295" s="238"/>
    </row>
    <row r="296" spans="1:45" s="229" customFormat="1">
      <c r="A296" s="83" t="s">
        <v>321</v>
      </c>
      <c r="B296" s="12">
        <v>3.105</v>
      </c>
      <c r="C296" s="229" t="s">
        <v>676</v>
      </c>
      <c r="D296" s="229" t="s">
        <v>647</v>
      </c>
      <c r="E296" s="229" t="s">
        <v>1</v>
      </c>
      <c r="F296" s="229">
        <v>1309</v>
      </c>
      <c r="G296" s="40">
        <f>F296/312</f>
        <v>4.1955128205128203</v>
      </c>
      <c r="H296" s="14">
        <v>1</v>
      </c>
      <c r="I296" s="229">
        <v>0</v>
      </c>
      <c r="J296" s="229">
        <v>0</v>
      </c>
      <c r="K296" s="26">
        <v>1</v>
      </c>
      <c r="L296" s="14">
        <v>0</v>
      </c>
      <c r="M296" s="229">
        <v>0</v>
      </c>
      <c r="N296" s="229">
        <v>0</v>
      </c>
      <c r="O296" s="229">
        <v>0</v>
      </c>
      <c r="P296" s="26">
        <v>0</v>
      </c>
      <c r="Q296" s="14">
        <v>5</v>
      </c>
      <c r="R296" s="229">
        <v>36</v>
      </c>
      <c r="S296" s="229">
        <v>42</v>
      </c>
      <c r="T296" s="229">
        <v>0</v>
      </c>
      <c r="U296" s="229">
        <v>0</v>
      </c>
      <c r="V296" s="229">
        <v>0</v>
      </c>
      <c r="W296" s="229">
        <v>0</v>
      </c>
      <c r="X296" s="229">
        <v>0</v>
      </c>
      <c r="Y296" s="229">
        <v>0</v>
      </c>
      <c r="Z296" s="229">
        <v>0</v>
      </c>
      <c r="AA296" s="229">
        <v>0</v>
      </c>
      <c r="AC296" s="12">
        <v>2</v>
      </c>
      <c r="AD296" s="14">
        <v>8</v>
      </c>
      <c r="AE296" s="14">
        <v>118</v>
      </c>
      <c r="AF296" s="26">
        <v>314</v>
      </c>
      <c r="AG296" s="12">
        <v>92</v>
      </c>
      <c r="AH296" s="14">
        <v>1</v>
      </c>
      <c r="AI296" s="209">
        <v>87</v>
      </c>
      <c r="AJ296" s="3"/>
      <c r="AK296" s="3"/>
      <c r="AL296" s="3"/>
      <c r="AM296" s="3"/>
      <c r="AN296" s="3"/>
      <c r="AO296" s="40"/>
      <c r="AP296" s="209">
        <v>87.1</v>
      </c>
      <c r="AQ296" s="3"/>
      <c r="AR296" s="40"/>
      <c r="AS296" s="238"/>
    </row>
    <row r="297" spans="1:45" s="229" customFormat="1">
      <c r="A297" s="83" t="s">
        <v>321</v>
      </c>
      <c r="B297" s="12">
        <v>3.105</v>
      </c>
      <c r="C297" s="229" t="s">
        <v>676</v>
      </c>
      <c r="D297" s="229" t="s">
        <v>648</v>
      </c>
      <c r="E297" s="229" t="s">
        <v>0</v>
      </c>
      <c r="F297" s="229">
        <v>207</v>
      </c>
      <c r="G297" s="40">
        <f>F297/115</f>
        <v>1.8</v>
      </c>
      <c r="H297" s="14">
        <v>0</v>
      </c>
      <c r="I297" s="229">
        <v>0</v>
      </c>
      <c r="J297" s="229">
        <v>1</v>
      </c>
      <c r="K297" s="26">
        <v>0</v>
      </c>
      <c r="L297" s="14">
        <v>0</v>
      </c>
      <c r="M297" s="229">
        <v>0</v>
      </c>
      <c r="N297" s="229">
        <v>0</v>
      </c>
      <c r="O297" s="229">
        <v>0</v>
      </c>
      <c r="P297" s="26">
        <v>0</v>
      </c>
      <c r="Q297" s="14">
        <v>0</v>
      </c>
      <c r="R297" s="229">
        <v>0</v>
      </c>
      <c r="S297" s="229">
        <v>0</v>
      </c>
      <c r="T297" s="229">
        <v>0</v>
      </c>
      <c r="U297" s="229">
        <v>0</v>
      </c>
      <c r="V297" s="229">
        <v>0</v>
      </c>
      <c r="W297" s="229">
        <v>0</v>
      </c>
      <c r="X297" s="229">
        <v>0</v>
      </c>
      <c r="Y297" s="229">
        <v>0</v>
      </c>
      <c r="Z297" s="229">
        <v>0</v>
      </c>
      <c r="AA297" s="229">
        <v>0</v>
      </c>
      <c r="AC297" s="12">
        <v>1</v>
      </c>
      <c r="AD297" s="14">
        <v>1</v>
      </c>
      <c r="AE297" s="14">
        <v>0</v>
      </c>
      <c r="AF297" s="26">
        <v>0</v>
      </c>
      <c r="AG297" s="12">
        <v>103</v>
      </c>
      <c r="AH297" s="14">
        <v>0</v>
      </c>
      <c r="AI297" s="209"/>
      <c r="AJ297" s="3"/>
      <c r="AK297" s="3"/>
      <c r="AL297" s="3"/>
      <c r="AM297" s="3"/>
      <c r="AN297" s="3"/>
      <c r="AO297" s="40"/>
      <c r="AP297" s="209"/>
      <c r="AQ297" s="3"/>
      <c r="AR297" s="40"/>
      <c r="AS297" s="238"/>
    </row>
    <row r="298" spans="1:45" s="229" customFormat="1">
      <c r="A298" s="83" t="s">
        <v>321</v>
      </c>
      <c r="B298" s="12">
        <v>3.105</v>
      </c>
      <c r="C298" s="229" t="s">
        <v>676</v>
      </c>
      <c r="D298" s="229" t="s">
        <v>648</v>
      </c>
      <c r="E298" s="229" t="s">
        <v>1</v>
      </c>
      <c r="F298" s="229">
        <v>572</v>
      </c>
      <c r="G298" s="40">
        <f>F298/214</f>
        <v>2.6728971962616823</v>
      </c>
      <c r="H298" s="14">
        <v>1</v>
      </c>
      <c r="I298" s="229">
        <v>0</v>
      </c>
      <c r="J298" s="229">
        <v>0</v>
      </c>
      <c r="K298" s="26">
        <v>1</v>
      </c>
      <c r="L298" s="14">
        <v>0</v>
      </c>
      <c r="M298" s="229">
        <v>0</v>
      </c>
      <c r="N298" s="229">
        <v>0</v>
      </c>
      <c r="O298" s="229">
        <v>0</v>
      </c>
      <c r="P298" s="26">
        <v>0</v>
      </c>
      <c r="Q298" s="14">
        <v>10</v>
      </c>
      <c r="R298" s="229">
        <v>0</v>
      </c>
      <c r="S298" s="229">
        <v>78</v>
      </c>
      <c r="T298" s="229">
        <v>0</v>
      </c>
      <c r="U298" s="229">
        <v>0</v>
      </c>
      <c r="V298" s="229">
        <v>0</v>
      </c>
      <c r="W298" s="229">
        <v>0</v>
      </c>
      <c r="X298" s="229">
        <v>0</v>
      </c>
      <c r="Y298" s="229">
        <v>0</v>
      </c>
      <c r="Z298" s="229">
        <v>0</v>
      </c>
      <c r="AA298" s="229">
        <v>0</v>
      </c>
      <c r="AC298" s="12">
        <v>2</v>
      </c>
      <c r="AD298" s="14">
        <v>3</v>
      </c>
      <c r="AE298" s="14">
        <v>177</v>
      </c>
      <c r="AF298" s="26">
        <v>314</v>
      </c>
      <c r="AG298" s="12">
        <v>103</v>
      </c>
      <c r="AH298" s="14">
        <v>1</v>
      </c>
      <c r="AI298" s="209"/>
      <c r="AJ298" s="3"/>
      <c r="AK298" s="3"/>
      <c r="AL298" s="3"/>
      <c r="AM298" s="3"/>
      <c r="AN298" s="3"/>
      <c r="AO298" s="40"/>
      <c r="AP298" s="209"/>
      <c r="AQ298" s="3"/>
      <c r="AR298" s="40"/>
      <c r="AS298" s="238"/>
    </row>
    <row r="299" spans="1:45" s="229" customFormat="1">
      <c r="A299" s="83" t="s">
        <v>321</v>
      </c>
      <c r="B299" s="12">
        <v>3.105</v>
      </c>
      <c r="C299" s="229" t="s">
        <v>676</v>
      </c>
      <c r="D299" s="229" t="s">
        <v>648</v>
      </c>
      <c r="E299" s="229" t="s">
        <v>2</v>
      </c>
      <c r="F299" s="229">
        <v>94</v>
      </c>
      <c r="G299" s="40">
        <f>F299/49</f>
        <v>1.9183673469387754</v>
      </c>
      <c r="H299" s="14">
        <v>1</v>
      </c>
      <c r="I299" s="229">
        <v>0</v>
      </c>
      <c r="J299" s="229">
        <v>0</v>
      </c>
      <c r="K299" s="26">
        <v>0</v>
      </c>
      <c r="L299" s="14">
        <v>0</v>
      </c>
      <c r="M299" s="229">
        <v>0</v>
      </c>
      <c r="N299" s="229">
        <v>0</v>
      </c>
      <c r="O299" s="229">
        <v>0</v>
      </c>
      <c r="P299" s="26">
        <v>0</v>
      </c>
      <c r="Q299" s="14">
        <v>0</v>
      </c>
      <c r="R299" s="229">
        <v>0</v>
      </c>
      <c r="S299" s="229">
        <v>0</v>
      </c>
      <c r="T299" s="229">
        <v>0</v>
      </c>
      <c r="U299" s="229">
        <v>0</v>
      </c>
      <c r="V299" s="229">
        <v>0</v>
      </c>
      <c r="W299" s="229">
        <v>0</v>
      </c>
      <c r="X299" s="229">
        <v>0</v>
      </c>
      <c r="Y299" s="229">
        <v>0</v>
      </c>
      <c r="Z299" s="229">
        <v>0</v>
      </c>
      <c r="AA299" s="229">
        <v>0</v>
      </c>
      <c r="AC299" s="12">
        <v>1</v>
      </c>
      <c r="AD299" s="14">
        <v>1</v>
      </c>
      <c r="AE299" s="14">
        <v>0</v>
      </c>
      <c r="AF299" s="26">
        <v>0</v>
      </c>
      <c r="AG299" s="12">
        <v>103</v>
      </c>
      <c r="AH299" s="14">
        <v>0</v>
      </c>
      <c r="AI299" s="209"/>
      <c r="AJ299" s="3"/>
      <c r="AK299" s="3"/>
      <c r="AL299" s="3"/>
      <c r="AM299" s="3"/>
      <c r="AN299" s="3"/>
      <c r="AO299" s="40"/>
      <c r="AP299" s="209"/>
      <c r="AQ299" s="3"/>
      <c r="AR299" s="40"/>
      <c r="AS299" s="238"/>
    </row>
    <row r="300" spans="1:45" s="229" customFormat="1">
      <c r="A300" s="83" t="s">
        <v>321</v>
      </c>
      <c r="B300" s="12">
        <v>3.105</v>
      </c>
      <c r="C300" s="229" t="s">
        <v>676</v>
      </c>
      <c r="D300" s="229" t="s">
        <v>648</v>
      </c>
      <c r="E300" s="229" t="s">
        <v>3</v>
      </c>
      <c r="F300" s="229">
        <v>289</v>
      </c>
      <c r="G300" s="40">
        <f>F300/203</f>
        <v>1.4236453201970443</v>
      </c>
      <c r="H300" s="14">
        <v>1</v>
      </c>
      <c r="I300" s="229">
        <v>0</v>
      </c>
      <c r="J300" s="229">
        <v>0</v>
      </c>
      <c r="K300" s="26">
        <v>0</v>
      </c>
      <c r="L300" s="14">
        <v>0</v>
      </c>
      <c r="M300" s="229">
        <v>0</v>
      </c>
      <c r="N300" s="229">
        <v>0</v>
      </c>
      <c r="O300" s="229">
        <v>0</v>
      </c>
      <c r="P300" s="26">
        <v>0</v>
      </c>
      <c r="Q300" s="14">
        <v>0</v>
      </c>
      <c r="R300" s="229">
        <v>0</v>
      </c>
      <c r="S300" s="229">
        <v>0</v>
      </c>
      <c r="T300" s="229">
        <v>0</v>
      </c>
      <c r="U300" s="229">
        <v>0</v>
      </c>
      <c r="V300" s="229">
        <v>0</v>
      </c>
      <c r="W300" s="229">
        <v>0</v>
      </c>
      <c r="X300" s="229">
        <v>0</v>
      </c>
      <c r="Y300" s="229">
        <v>0</v>
      </c>
      <c r="Z300" s="229">
        <v>0</v>
      </c>
      <c r="AA300" s="229">
        <v>0</v>
      </c>
      <c r="AC300" s="12">
        <v>1</v>
      </c>
      <c r="AD300" s="14">
        <v>1</v>
      </c>
      <c r="AE300" s="14">
        <v>0</v>
      </c>
      <c r="AF300" s="26">
        <v>0</v>
      </c>
      <c r="AG300" s="12">
        <v>103</v>
      </c>
      <c r="AH300" s="14">
        <v>1</v>
      </c>
      <c r="AI300" s="209"/>
      <c r="AJ300" s="3"/>
      <c r="AK300" s="3"/>
      <c r="AL300" s="3"/>
      <c r="AM300" s="3"/>
      <c r="AN300" s="3"/>
      <c r="AO300" s="40"/>
      <c r="AP300" s="209"/>
      <c r="AQ300" s="3"/>
      <c r="AR300" s="40"/>
      <c r="AS300" s="238"/>
    </row>
    <row r="301" spans="1:45" s="229" customFormat="1">
      <c r="A301" s="83" t="s">
        <v>321</v>
      </c>
      <c r="B301" s="12">
        <v>3.105</v>
      </c>
      <c r="C301" s="229" t="s">
        <v>676</v>
      </c>
      <c r="D301" s="229" t="s">
        <v>648</v>
      </c>
      <c r="E301" s="229" t="s">
        <v>4</v>
      </c>
      <c r="F301" s="229">
        <v>518</v>
      </c>
      <c r="G301" s="40">
        <f>F301/306</f>
        <v>1.6928104575163399</v>
      </c>
      <c r="H301" s="14">
        <v>1</v>
      </c>
      <c r="I301" s="229">
        <v>0</v>
      </c>
      <c r="J301" s="229">
        <v>0</v>
      </c>
      <c r="K301" s="26">
        <v>1</v>
      </c>
      <c r="L301" s="14">
        <v>0</v>
      </c>
      <c r="M301" s="229">
        <v>0</v>
      </c>
      <c r="N301" s="229">
        <v>0</v>
      </c>
      <c r="O301" s="229">
        <v>0</v>
      </c>
      <c r="P301" s="26">
        <v>0</v>
      </c>
      <c r="Q301" s="14">
        <v>5</v>
      </c>
      <c r="R301" s="229">
        <v>0</v>
      </c>
      <c r="S301" s="229">
        <v>40</v>
      </c>
      <c r="T301" s="229">
        <v>0</v>
      </c>
      <c r="U301" s="229">
        <v>0</v>
      </c>
      <c r="V301" s="229">
        <v>0</v>
      </c>
      <c r="W301" s="229">
        <v>0</v>
      </c>
      <c r="X301" s="229">
        <v>0</v>
      </c>
      <c r="Y301" s="229">
        <v>0</v>
      </c>
      <c r="Z301" s="229">
        <v>0</v>
      </c>
      <c r="AA301" s="229">
        <v>0</v>
      </c>
      <c r="AC301" s="12">
        <v>2</v>
      </c>
      <c r="AD301" s="14">
        <v>6</v>
      </c>
      <c r="AE301" s="14">
        <v>57</v>
      </c>
      <c r="AF301" s="26">
        <v>275</v>
      </c>
      <c r="AG301" s="12">
        <v>103</v>
      </c>
      <c r="AH301" s="14">
        <v>1</v>
      </c>
      <c r="AI301" s="209"/>
      <c r="AJ301" s="3"/>
      <c r="AK301" s="3"/>
      <c r="AL301" s="3"/>
      <c r="AM301" s="3"/>
      <c r="AN301" s="3"/>
      <c r="AO301" s="40"/>
      <c r="AP301" s="209"/>
      <c r="AQ301" s="3"/>
      <c r="AR301" s="40"/>
      <c r="AS301" s="238"/>
    </row>
    <row r="302" spans="1:45" s="229" customFormat="1">
      <c r="A302" s="83" t="s">
        <v>321</v>
      </c>
      <c r="B302" s="12">
        <v>3.105</v>
      </c>
      <c r="C302" s="229" t="s">
        <v>676</v>
      </c>
      <c r="D302" s="229" t="s">
        <v>649</v>
      </c>
      <c r="F302" s="229">
        <v>444</v>
      </c>
      <c r="G302" s="40">
        <f>F302/391</f>
        <v>1.1355498721227621</v>
      </c>
      <c r="H302" s="14">
        <v>1</v>
      </c>
      <c r="I302" s="229">
        <v>0</v>
      </c>
      <c r="J302" s="229">
        <v>0</v>
      </c>
      <c r="K302" s="26">
        <v>0</v>
      </c>
      <c r="L302" s="14">
        <v>0</v>
      </c>
      <c r="M302" s="229">
        <v>0</v>
      </c>
      <c r="N302" s="229">
        <v>0</v>
      </c>
      <c r="O302" s="229">
        <v>0</v>
      </c>
      <c r="P302" s="26">
        <v>0</v>
      </c>
      <c r="Q302" s="14">
        <v>0</v>
      </c>
      <c r="R302" s="229">
        <v>0</v>
      </c>
      <c r="S302" s="229">
        <v>0</v>
      </c>
      <c r="T302" s="229">
        <v>0</v>
      </c>
      <c r="U302" s="229">
        <v>0</v>
      </c>
      <c r="V302" s="229">
        <v>0</v>
      </c>
      <c r="W302" s="229">
        <v>0</v>
      </c>
      <c r="X302" s="229">
        <v>0</v>
      </c>
      <c r="Y302" s="229">
        <v>0</v>
      </c>
      <c r="Z302" s="229">
        <v>0</v>
      </c>
      <c r="AA302" s="229">
        <v>0</v>
      </c>
      <c r="AC302" s="12">
        <v>1</v>
      </c>
      <c r="AD302" s="14">
        <v>1</v>
      </c>
      <c r="AE302" s="14">
        <v>0</v>
      </c>
      <c r="AF302" s="26">
        <v>0</v>
      </c>
      <c r="AG302" s="12">
        <v>71</v>
      </c>
      <c r="AH302" s="14">
        <v>1</v>
      </c>
      <c r="AI302" s="209"/>
      <c r="AJ302" s="3"/>
      <c r="AK302" s="3"/>
      <c r="AL302" s="3"/>
      <c r="AM302" s="3"/>
      <c r="AN302" s="3"/>
      <c r="AO302" s="40"/>
      <c r="AP302" s="209"/>
      <c r="AQ302" s="3"/>
      <c r="AR302" s="40"/>
      <c r="AS302" s="238"/>
    </row>
    <row r="303" spans="1:45" s="229" customFormat="1">
      <c r="A303" s="83" t="s">
        <v>321</v>
      </c>
      <c r="B303" s="12">
        <v>3.105</v>
      </c>
      <c r="C303" s="229" t="s">
        <v>676</v>
      </c>
      <c r="D303" s="229" t="s">
        <v>669</v>
      </c>
      <c r="E303" s="229" t="s">
        <v>0</v>
      </c>
      <c r="F303" s="229">
        <v>547</v>
      </c>
      <c r="G303" s="40">
        <f>F303/329</f>
        <v>1.662613981762918</v>
      </c>
      <c r="H303" s="14">
        <v>0</v>
      </c>
      <c r="I303" s="229">
        <v>0</v>
      </c>
      <c r="J303" s="229">
        <v>1</v>
      </c>
      <c r="K303" s="26">
        <v>1</v>
      </c>
      <c r="L303" s="14">
        <v>0</v>
      </c>
      <c r="M303" s="229">
        <v>0</v>
      </c>
      <c r="N303" s="229">
        <v>1</v>
      </c>
      <c r="O303" s="229">
        <v>0</v>
      </c>
      <c r="P303" s="26">
        <v>1</v>
      </c>
      <c r="Q303" s="14">
        <v>0</v>
      </c>
      <c r="R303" s="229">
        <v>0</v>
      </c>
      <c r="S303" s="229">
        <v>0</v>
      </c>
      <c r="T303" s="229">
        <v>0</v>
      </c>
      <c r="U303" s="229">
        <v>0</v>
      </c>
      <c r="V303" s="229">
        <v>0</v>
      </c>
      <c r="W303" s="229">
        <v>0</v>
      </c>
      <c r="X303" s="229">
        <v>0</v>
      </c>
      <c r="Y303" s="229">
        <v>0</v>
      </c>
      <c r="Z303" s="229">
        <v>0</v>
      </c>
      <c r="AA303" s="229">
        <v>0</v>
      </c>
      <c r="AC303" s="12">
        <v>2</v>
      </c>
      <c r="AD303" s="14">
        <v>4</v>
      </c>
      <c r="AE303" s="14">
        <v>176</v>
      </c>
      <c r="AF303" s="26">
        <v>318</v>
      </c>
      <c r="AG303" s="12">
        <v>85</v>
      </c>
      <c r="AH303" s="14">
        <v>1</v>
      </c>
      <c r="AI303" s="209"/>
      <c r="AJ303" s="3"/>
      <c r="AK303" s="3"/>
      <c r="AL303" s="3"/>
      <c r="AM303" s="3"/>
      <c r="AN303" s="3"/>
      <c r="AO303" s="40"/>
      <c r="AP303" s="209"/>
      <c r="AQ303" s="3"/>
      <c r="AR303" s="40"/>
      <c r="AS303" s="238"/>
    </row>
    <row r="304" spans="1:45" s="229" customFormat="1">
      <c r="A304" s="83" t="s">
        <v>321</v>
      </c>
      <c r="B304" s="12">
        <v>3.105</v>
      </c>
      <c r="C304" s="229" t="s">
        <v>676</v>
      </c>
      <c r="D304" s="229" t="s">
        <v>669</v>
      </c>
      <c r="E304" s="229" t="s">
        <v>1</v>
      </c>
      <c r="F304" s="229">
        <v>400</v>
      </c>
      <c r="G304" s="40">
        <f>F304/315</f>
        <v>1.2698412698412698</v>
      </c>
      <c r="H304" s="14">
        <v>1</v>
      </c>
      <c r="I304" s="229">
        <v>0</v>
      </c>
      <c r="J304" s="229">
        <v>0</v>
      </c>
      <c r="K304" s="26">
        <v>0</v>
      </c>
      <c r="L304" s="14">
        <v>0</v>
      </c>
      <c r="M304" s="229">
        <v>0</v>
      </c>
      <c r="N304" s="229">
        <v>0</v>
      </c>
      <c r="O304" s="229">
        <v>0</v>
      </c>
      <c r="P304" s="26">
        <v>0</v>
      </c>
      <c r="Q304" s="14">
        <v>5</v>
      </c>
      <c r="R304" s="229">
        <v>0</v>
      </c>
      <c r="S304" s="229">
        <v>29</v>
      </c>
      <c r="T304" s="229">
        <v>0</v>
      </c>
      <c r="U304" s="229">
        <v>0</v>
      </c>
      <c r="V304" s="229">
        <v>0</v>
      </c>
      <c r="W304" s="229">
        <v>0</v>
      </c>
      <c r="X304" s="229">
        <v>0</v>
      </c>
      <c r="Y304" s="229">
        <v>0</v>
      </c>
      <c r="Z304" s="229">
        <v>0</v>
      </c>
      <c r="AA304" s="229">
        <v>0</v>
      </c>
      <c r="AC304" s="12">
        <v>1</v>
      </c>
      <c r="AD304" s="14">
        <v>1</v>
      </c>
      <c r="AE304" s="14">
        <v>0</v>
      </c>
      <c r="AF304" s="26">
        <v>0</v>
      </c>
      <c r="AG304" s="12">
        <v>85</v>
      </c>
      <c r="AH304" s="14">
        <v>0</v>
      </c>
      <c r="AI304" s="209"/>
      <c r="AJ304" s="3"/>
      <c r="AK304" s="3"/>
      <c r="AL304" s="3"/>
      <c r="AM304" s="3"/>
      <c r="AN304" s="3"/>
      <c r="AO304" s="40"/>
      <c r="AP304" s="209"/>
      <c r="AQ304" s="3"/>
      <c r="AR304" s="40"/>
      <c r="AS304" s="238"/>
    </row>
    <row r="305" spans="1:45" s="229" customFormat="1">
      <c r="A305" s="83" t="s">
        <v>321</v>
      </c>
      <c r="B305" s="12">
        <v>3.105</v>
      </c>
      <c r="C305" s="229" t="s">
        <v>676</v>
      </c>
      <c r="D305" s="229" t="s">
        <v>669</v>
      </c>
      <c r="E305" s="229" t="s">
        <v>2</v>
      </c>
      <c r="F305" s="229">
        <v>170</v>
      </c>
      <c r="G305" s="40">
        <f>F305/149</f>
        <v>1.1409395973154361</v>
      </c>
      <c r="H305" s="14">
        <v>1</v>
      </c>
      <c r="I305" s="229">
        <v>0</v>
      </c>
      <c r="J305" s="229">
        <v>0</v>
      </c>
      <c r="K305" s="26">
        <v>0</v>
      </c>
      <c r="L305" s="14">
        <v>0</v>
      </c>
      <c r="M305" s="229">
        <v>0</v>
      </c>
      <c r="N305" s="229">
        <v>0</v>
      </c>
      <c r="O305" s="229">
        <v>0</v>
      </c>
      <c r="P305" s="26">
        <v>0</v>
      </c>
      <c r="Q305" s="14">
        <v>0</v>
      </c>
      <c r="R305" s="229">
        <v>0</v>
      </c>
      <c r="S305" s="229">
        <v>0</v>
      </c>
      <c r="T305" s="229">
        <v>0</v>
      </c>
      <c r="U305" s="229">
        <v>0</v>
      </c>
      <c r="V305" s="229">
        <v>0</v>
      </c>
      <c r="W305" s="229">
        <v>0</v>
      </c>
      <c r="X305" s="229">
        <v>0</v>
      </c>
      <c r="Y305" s="229">
        <v>0</v>
      </c>
      <c r="Z305" s="229">
        <v>0</v>
      </c>
      <c r="AA305" s="229">
        <v>0</v>
      </c>
      <c r="AC305" s="12">
        <v>1</v>
      </c>
      <c r="AD305" s="14">
        <v>1</v>
      </c>
      <c r="AE305" s="14">
        <v>0</v>
      </c>
      <c r="AF305" s="26">
        <v>0</v>
      </c>
      <c r="AG305" s="12">
        <v>85</v>
      </c>
      <c r="AH305" s="14">
        <v>1</v>
      </c>
      <c r="AI305" s="209"/>
      <c r="AJ305" s="3"/>
      <c r="AK305" s="3"/>
      <c r="AL305" s="3"/>
      <c r="AM305" s="3"/>
      <c r="AN305" s="3"/>
      <c r="AO305" s="40"/>
      <c r="AP305" s="209"/>
      <c r="AQ305" s="3"/>
      <c r="AR305" s="40"/>
      <c r="AS305" s="238"/>
    </row>
    <row r="306" spans="1:45" s="229" customFormat="1">
      <c r="A306" s="83" t="s">
        <v>321</v>
      </c>
      <c r="B306" s="12">
        <v>3.105</v>
      </c>
      <c r="C306" s="229" t="s">
        <v>676</v>
      </c>
      <c r="D306" s="229" t="s">
        <v>669</v>
      </c>
      <c r="E306" s="229" t="s">
        <v>3</v>
      </c>
      <c r="F306" s="229">
        <v>265</v>
      </c>
      <c r="G306" s="40">
        <f>F306/186</f>
        <v>1.424731182795699</v>
      </c>
      <c r="H306" s="14">
        <v>1</v>
      </c>
      <c r="I306" s="229">
        <v>0</v>
      </c>
      <c r="J306" s="229">
        <v>0</v>
      </c>
      <c r="K306" s="26">
        <v>0</v>
      </c>
      <c r="L306" s="14">
        <v>0</v>
      </c>
      <c r="M306" s="229">
        <v>0</v>
      </c>
      <c r="N306" s="229">
        <v>0</v>
      </c>
      <c r="O306" s="229">
        <v>0</v>
      </c>
      <c r="P306" s="26">
        <v>0</v>
      </c>
      <c r="Q306" s="14">
        <v>0</v>
      </c>
      <c r="R306" s="229">
        <v>0</v>
      </c>
      <c r="S306" s="229">
        <v>0</v>
      </c>
      <c r="T306" s="229">
        <v>0</v>
      </c>
      <c r="U306" s="229">
        <v>0</v>
      </c>
      <c r="V306" s="229">
        <v>0</v>
      </c>
      <c r="W306" s="229">
        <v>0</v>
      </c>
      <c r="X306" s="229">
        <v>0</v>
      </c>
      <c r="Y306" s="229">
        <v>0</v>
      </c>
      <c r="Z306" s="229">
        <v>0</v>
      </c>
      <c r="AA306" s="229">
        <v>0</v>
      </c>
      <c r="AC306" s="12">
        <v>1</v>
      </c>
      <c r="AD306" s="14">
        <v>1</v>
      </c>
      <c r="AE306" s="14">
        <v>0</v>
      </c>
      <c r="AF306" s="26">
        <v>0</v>
      </c>
      <c r="AG306" s="12">
        <v>85</v>
      </c>
      <c r="AH306" s="14">
        <v>1</v>
      </c>
      <c r="AI306" s="209"/>
      <c r="AJ306" s="3"/>
      <c r="AK306" s="3"/>
      <c r="AL306" s="3"/>
      <c r="AM306" s="3"/>
      <c r="AN306" s="3"/>
      <c r="AO306" s="40"/>
      <c r="AP306" s="209"/>
      <c r="AQ306" s="3"/>
      <c r="AR306" s="40"/>
      <c r="AS306" s="238"/>
    </row>
    <row r="307" spans="1:45" s="229" customFormat="1">
      <c r="A307" s="83" t="s">
        <v>321</v>
      </c>
      <c r="B307" s="12">
        <v>3.105</v>
      </c>
      <c r="C307" s="229" t="s">
        <v>676</v>
      </c>
      <c r="D307" s="229" t="s">
        <v>670</v>
      </c>
      <c r="E307" s="229" t="s">
        <v>0</v>
      </c>
      <c r="F307" s="229">
        <v>611</v>
      </c>
      <c r="G307" s="40">
        <f>F307/360</f>
        <v>1.6972222222222222</v>
      </c>
      <c r="H307" s="14">
        <v>1</v>
      </c>
      <c r="I307" s="229">
        <v>0</v>
      </c>
      <c r="J307" s="229">
        <v>0</v>
      </c>
      <c r="K307" s="26">
        <v>0</v>
      </c>
      <c r="L307" s="14">
        <v>0</v>
      </c>
      <c r="M307" s="229">
        <v>0</v>
      </c>
      <c r="N307" s="229">
        <v>0</v>
      </c>
      <c r="O307" s="229">
        <v>0</v>
      </c>
      <c r="P307" s="26">
        <v>0</v>
      </c>
      <c r="Q307" s="14">
        <v>2</v>
      </c>
      <c r="R307" s="229">
        <v>13</v>
      </c>
      <c r="S307" s="229">
        <v>20</v>
      </c>
      <c r="T307" s="229">
        <v>0</v>
      </c>
      <c r="U307" s="229">
        <v>0</v>
      </c>
      <c r="V307" s="229">
        <v>0</v>
      </c>
      <c r="W307" s="229">
        <v>17</v>
      </c>
      <c r="X307" s="229">
        <v>0</v>
      </c>
      <c r="Y307" s="229">
        <v>0</v>
      </c>
      <c r="Z307" s="229">
        <v>0</v>
      </c>
      <c r="AA307" s="229">
        <v>0</v>
      </c>
      <c r="AC307" s="12">
        <v>2</v>
      </c>
      <c r="AD307" s="14">
        <v>6</v>
      </c>
      <c r="AE307" s="14">
        <v>61</v>
      </c>
      <c r="AF307" s="26">
        <v>419</v>
      </c>
      <c r="AG307" s="12">
        <v>107</v>
      </c>
      <c r="AH307" s="14">
        <v>1</v>
      </c>
      <c r="AI307" s="209"/>
      <c r="AJ307" s="3"/>
      <c r="AK307" s="3"/>
      <c r="AL307" s="3"/>
      <c r="AM307" s="3"/>
      <c r="AN307" s="3"/>
      <c r="AO307" s="40"/>
      <c r="AP307" s="209"/>
      <c r="AQ307" s="3"/>
      <c r="AR307" s="40"/>
      <c r="AS307" s="238"/>
    </row>
    <row r="308" spans="1:45" s="229" customFormat="1">
      <c r="A308" s="83" t="s">
        <v>321</v>
      </c>
      <c r="B308" s="12">
        <v>3.105</v>
      </c>
      <c r="C308" s="229" t="s">
        <v>676</v>
      </c>
      <c r="D308" s="229" t="s">
        <v>670</v>
      </c>
      <c r="E308" s="229" t="s">
        <v>1</v>
      </c>
      <c r="F308" s="229">
        <v>339</v>
      </c>
      <c r="G308" s="40">
        <f>F308/208</f>
        <v>1.6298076923076923</v>
      </c>
      <c r="H308" s="14">
        <v>1</v>
      </c>
      <c r="I308" s="229">
        <v>0</v>
      </c>
      <c r="J308" s="229">
        <v>0</v>
      </c>
      <c r="K308" s="26">
        <v>1</v>
      </c>
      <c r="L308" s="14">
        <v>0</v>
      </c>
      <c r="M308" s="229">
        <v>0</v>
      </c>
      <c r="N308" s="229">
        <v>0</v>
      </c>
      <c r="O308" s="229">
        <v>0</v>
      </c>
      <c r="P308" s="26">
        <v>0</v>
      </c>
      <c r="Q308" s="14">
        <v>5</v>
      </c>
      <c r="R308" s="229">
        <v>7</v>
      </c>
      <c r="S308" s="229">
        <v>19</v>
      </c>
      <c r="T308" s="229">
        <v>0</v>
      </c>
      <c r="U308" s="229">
        <v>0</v>
      </c>
      <c r="V308" s="229">
        <v>0</v>
      </c>
      <c r="W308" s="229">
        <v>0</v>
      </c>
      <c r="X308" s="229">
        <v>0</v>
      </c>
      <c r="Y308" s="229">
        <v>0</v>
      </c>
      <c r="Z308" s="229">
        <v>0</v>
      </c>
      <c r="AA308" s="229">
        <v>0</v>
      </c>
      <c r="AC308" s="12">
        <v>2</v>
      </c>
      <c r="AD308" s="14">
        <v>3</v>
      </c>
      <c r="AE308" s="14">
        <v>30</v>
      </c>
      <c r="AF308" s="26">
        <v>339</v>
      </c>
      <c r="AG308" s="12">
        <v>107</v>
      </c>
      <c r="AH308" s="14">
        <v>1</v>
      </c>
      <c r="AI308" s="209"/>
      <c r="AJ308" s="3"/>
      <c r="AK308" s="3"/>
      <c r="AL308" s="3"/>
      <c r="AM308" s="3"/>
      <c r="AN308" s="3"/>
      <c r="AO308" s="40"/>
      <c r="AP308" s="209"/>
      <c r="AQ308" s="3"/>
      <c r="AR308" s="40"/>
      <c r="AS308" s="238"/>
    </row>
    <row r="309" spans="1:45" s="229" customFormat="1">
      <c r="A309" s="83" t="s">
        <v>321</v>
      </c>
      <c r="B309" s="12">
        <v>3.105</v>
      </c>
      <c r="C309" s="229" t="s">
        <v>676</v>
      </c>
      <c r="D309" s="229" t="s">
        <v>670</v>
      </c>
      <c r="E309" s="229" t="s">
        <v>2</v>
      </c>
      <c r="F309" s="229">
        <v>496</v>
      </c>
      <c r="G309" s="40">
        <f>F309/393</f>
        <v>1.2620865139949109</v>
      </c>
      <c r="H309" s="14">
        <v>1</v>
      </c>
      <c r="I309" s="229">
        <v>0</v>
      </c>
      <c r="J309" s="229">
        <v>0</v>
      </c>
      <c r="K309" s="26">
        <v>1</v>
      </c>
      <c r="L309" s="14">
        <v>0</v>
      </c>
      <c r="M309" s="229">
        <v>0</v>
      </c>
      <c r="N309" s="229">
        <v>0</v>
      </c>
      <c r="O309" s="229">
        <v>0</v>
      </c>
      <c r="P309" s="26">
        <v>0</v>
      </c>
      <c r="Q309" s="14">
        <v>0</v>
      </c>
      <c r="R309" s="229">
        <v>0</v>
      </c>
      <c r="S309" s="229">
        <v>0</v>
      </c>
      <c r="T309" s="229">
        <v>0</v>
      </c>
      <c r="U309" s="229">
        <v>0</v>
      </c>
      <c r="V309" s="229">
        <v>0</v>
      </c>
      <c r="W309" s="229">
        <v>0</v>
      </c>
      <c r="X309" s="229">
        <v>0</v>
      </c>
      <c r="Y309" s="229">
        <v>0</v>
      </c>
      <c r="Z309" s="229">
        <v>0</v>
      </c>
      <c r="AA309" s="229">
        <v>0</v>
      </c>
      <c r="AC309" s="12">
        <v>2</v>
      </c>
      <c r="AD309" s="14">
        <v>2</v>
      </c>
      <c r="AE309" s="14">
        <v>333</v>
      </c>
      <c r="AF309" s="26">
        <v>490</v>
      </c>
      <c r="AG309" s="12">
        <v>107</v>
      </c>
      <c r="AH309" s="14">
        <v>0</v>
      </c>
      <c r="AI309" s="209"/>
      <c r="AJ309" s="3"/>
      <c r="AK309" s="3"/>
      <c r="AL309" s="3"/>
      <c r="AM309" s="3"/>
      <c r="AN309" s="3"/>
      <c r="AO309" s="40"/>
      <c r="AP309" s="209"/>
      <c r="AQ309" s="3"/>
      <c r="AR309" s="40"/>
      <c r="AS309" s="238"/>
    </row>
    <row r="310" spans="1:45" s="229" customFormat="1">
      <c r="A310" s="83" t="s">
        <v>321</v>
      </c>
      <c r="B310" s="12">
        <v>3.105</v>
      </c>
      <c r="C310" s="229" t="s">
        <v>676</v>
      </c>
      <c r="D310" s="229" t="s">
        <v>671</v>
      </c>
      <c r="E310" s="229" t="s">
        <v>0</v>
      </c>
      <c r="F310" s="229">
        <v>259</v>
      </c>
      <c r="G310" s="40">
        <f>F310/153</f>
        <v>1.6928104575163399</v>
      </c>
      <c r="H310" s="14">
        <v>1</v>
      </c>
      <c r="I310" s="229">
        <v>0</v>
      </c>
      <c r="J310" s="229">
        <v>0</v>
      </c>
      <c r="K310" s="26">
        <v>0</v>
      </c>
      <c r="L310" s="14">
        <v>0</v>
      </c>
      <c r="M310" s="229">
        <v>0</v>
      </c>
      <c r="N310" s="229">
        <v>0</v>
      </c>
      <c r="O310" s="229">
        <v>0</v>
      </c>
      <c r="P310" s="26">
        <v>0</v>
      </c>
      <c r="Q310" s="14">
        <v>5</v>
      </c>
      <c r="R310" s="229">
        <v>0</v>
      </c>
      <c r="S310" s="229">
        <v>29</v>
      </c>
      <c r="T310" s="229">
        <v>0</v>
      </c>
      <c r="U310" s="229">
        <v>0</v>
      </c>
      <c r="V310" s="229">
        <v>0</v>
      </c>
      <c r="W310" s="229">
        <v>0</v>
      </c>
      <c r="X310" s="229">
        <v>0</v>
      </c>
      <c r="Y310" s="229">
        <v>0</v>
      </c>
      <c r="Z310" s="229">
        <v>0</v>
      </c>
      <c r="AA310" s="229">
        <v>0</v>
      </c>
      <c r="AC310" s="12">
        <v>1</v>
      </c>
      <c r="AD310" s="14">
        <v>1</v>
      </c>
      <c r="AE310" s="14">
        <v>0</v>
      </c>
      <c r="AF310" s="26">
        <v>0</v>
      </c>
      <c r="AG310" s="12">
        <v>48</v>
      </c>
      <c r="AH310" s="14">
        <v>1</v>
      </c>
      <c r="AI310" s="209">
        <v>86.9</v>
      </c>
      <c r="AJ310" s="3"/>
      <c r="AK310" s="3"/>
      <c r="AL310" s="3"/>
      <c r="AM310" s="3"/>
      <c r="AN310" s="3"/>
      <c r="AO310" s="40"/>
      <c r="AP310" s="209">
        <v>87.1</v>
      </c>
      <c r="AQ310" s="3"/>
      <c r="AR310" s="40"/>
      <c r="AS310" s="238"/>
    </row>
    <row r="311" spans="1:45" s="229" customFormat="1">
      <c r="A311" s="83" t="s">
        <v>321</v>
      </c>
      <c r="B311" s="12">
        <v>3.105</v>
      </c>
      <c r="C311" s="229" t="s">
        <v>676</v>
      </c>
      <c r="D311" s="229" t="s">
        <v>671</v>
      </c>
      <c r="E311" s="229" t="s">
        <v>1</v>
      </c>
      <c r="F311" s="229">
        <v>313</v>
      </c>
      <c r="G311" s="40">
        <f>F311/232</f>
        <v>1.3491379310344827</v>
      </c>
      <c r="H311" s="14">
        <v>0</v>
      </c>
      <c r="I311" s="229">
        <v>0</v>
      </c>
      <c r="J311" s="229">
        <v>0</v>
      </c>
      <c r="K311" s="26">
        <v>1</v>
      </c>
      <c r="L311" s="14">
        <v>0</v>
      </c>
      <c r="M311" s="229">
        <v>0</v>
      </c>
      <c r="N311" s="229">
        <v>0</v>
      </c>
      <c r="O311" s="229">
        <v>0</v>
      </c>
      <c r="P311" s="26">
        <v>0</v>
      </c>
      <c r="Q311" s="14">
        <v>0</v>
      </c>
      <c r="R311" s="229">
        <v>0</v>
      </c>
      <c r="S311" s="229">
        <v>0</v>
      </c>
      <c r="T311" s="229">
        <v>0</v>
      </c>
      <c r="U311" s="229">
        <v>0</v>
      </c>
      <c r="V311" s="229">
        <v>0</v>
      </c>
      <c r="W311" s="229">
        <v>0</v>
      </c>
      <c r="X311" s="229">
        <v>0</v>
      </c>
      <c r="Y311" s="229">
        <v>0</v>
      </c>
      <c r="Z311" s="229">
        <v>0</v>
      </c>
      <c r="AA311" s="229">
        <v>0</v>
      </c>
      <c r="AC311" s="12">
        <v>1</v>
      </c>
      <c r="AD311" s="14">
        <v>1</v>
      </c>
      <c r="AE311" s="14">
        <v>0</v>
      </c>
      <c r="AF311" s="26">
        <v>0</v>
      </c>
      <c r="AG311" s="12">
        <v>48</v>
      </c>
      <c r="AH311" s="14">
        <v>1</v>
      </c>
      <c r="AI311" s="209">
        <v>86.9</v>
      </c>
      <c r="AJ311" s="3"/>
      <c r="AK311" s="3"/>
      <c r="AL311" s="3"/>
      <c r="AM311" s="3"/>
      <c r="AN311" s="3"/>
      <c r="AO311" s="40"/>
      <c r="AP311" s="209">
        <v>87</v>
      </c>
      <c r="AQ311" s="3"/>
      <c r="AR311" s="40"/>
      <c r="AS311" s="238"/>
    </row>
    <row r="312" spans="1:45" s="229" customFormat="1">
      <c r="A312" s="83" t="s">
        <v>321</v>
      </c>
      <c r="B312" s="12">
        <v>3.105</v>
      </c>
      <c r="C312" s="229" t="s">
        <v>676</v>
      </c>
      <c r="D312" s="229" t="s">
        <v>671</v>
      </c>
      <c r="E312" s="229" t="s">
        <v>2</v>
      </c>
      <c r="F312" s="229">
        <v>297</v>
      </c>
      <c r="G312" s="40">
        <f>F312/178</f>
        <v>1.6685393258426966</v>
      </c>
      <c r="H312" s="14">
        <v>1</v>
      </c>
      <c r="I312" s="229">
        <v>0</v>
      </c>
      <c r="J312" s="229">
        <v>0</v>
      </c>
      <c r="K312" s="26">
        <v>0</v>
      </c>
      <c r="L312" s="14">
        <v>0</v>
      </c>
      <c r="M312" s="229">
        <v>0</v>
      </c>
      <c r="N312" s="229">
        <v>0</v>
      </c>
      <c r="O312" s="229">
        <v>0</v>
      </c>
      <c r="P312" s="26">
        <v>0</v>
      </c>
      <c r="Q312" s="14">
        <v>0</v>
      </c>
      <c r="R312" s="229">
        <v>0</v>
      </c>
      <c r="S312" s="229">
        <v>0</v>
      </c>
      <c r="T312" s="229">
        <v>0</v>
      </c>
      <c r="U312" s="229">
        <v>0</v>
      </c>
      <c r="V312" s="229">
        <v>0</v>
      </c>
      <c r="W312" s="229">
        <v>0</v>
      </c>
      <c r="X312" s="229">
        <v>0</v>
      </c>
      <c r="Y312" s="229">
        <v>0</v>
      </c>
      <c r="Z312" s="229">
        <v>0</v>
      </c>
      <c r="AA312" s="229">
        <v>0</v>
      </c>
      <c r="AC312" s="12">
        <v>2</v>
      </c>
      <c r="AD312" s="14">
        <v>3</v>
      </c>
      <c r="AE312" s="14">
        <v>80</v>
      </c>
      <c r="AF312" s="26">
        <v>226</v>
      </c>
      <c r="AG312" s="12">
        <v>48</v>
      </c>
      <c r="AH312" s="14">
        <v>1</v>
      </c>
      <c r="AI312" s="209"/>
      <c r="AJ312" s="3"/>
      <c r="AK312" s="3"/>
      <c r="AL312" s="3"/>
      <c r="AM312" s="3"/>
      <c r="AN312" s="3"/>
      <c r="AO312" s="40"/>
      <c r="AP312" s="209"/>
      <c r="AQ312" s="3"/>
      <c r="AR312" s="40"/>
      <c r="AS312" s="238"/>
    </row>
    <row r="313" spans="1:45" s="229" customFormat="1">
      <c r="A313" s="83" t="s">
        <v>321</v>
      </c>
      <c r="B313" s="12">
        <v>3.105</v>
      </c>
      <c r="C313" s="229" t="s">
        <v>676</v>
      </c>
      <c r="D313" s="229" t="s">
        <v>672</v>
      </c>
      <c r="E313" s="229" t="s">
        <v>0</v>
      </c>
      <c r="F313" s="229">
        <v>887</v>
      </c>
      <c r="G313" s="40">
        <f>F313/502</f>
        <v>1.7669322709163346</v>
      </c>
      <c r="H313" s="14">
        <v>1</v>
      </c>
      <c r="I313" s="229">
        <v>0</v>
      </c>
      <c r="J313" s="229">
        <v>0</v>
      </c>
      <c r="K313" s="26">
        <v>1</v>
      </c>
      <c r="L313" s="14">
        <v>0</v>
      </c>
      <c r="M313" s="229">
        <v>0</v>
      </c>
      <c r="N313" s="229">
        <v>0</v>
      </c>
      <c r="O313" s="229">
        <v>0</v>
      </c>
      <c r="P313" s="26">
        <v>0</v>
      </c>
      <c r="Q313" s="14">
        <v>0</v>
      </c>
      <c r="R313" s="229">
        <v>0</v>
      </c>
      <c r="S313" s="229">
        <v>0</v>
      </c>
      <c r="T313" s="229">
        <v>0</v>
      </c>
      <c r="U313" s="229">
        <v>0</v>
      </c>
      <c r="V313" s="229">
        <v>0</v>
      </c>
      <c r="W313" s="229">
        <v>0</v>
      </c>
      <c r="X313" s="229">
        <v>0</v>
      </c>
      <c r="Y313" s="229">
        <v>0</v>
      </c>
      <c r="Z313" s="229">
        <v>0</v>
      </c>
      <c r="AA313" s="229">
        <v>0</v>
      </c>
      <c r="AC313" s="12">
        <v>2</v>
      </c>
      <c r="AD313" s="14">
        <v>6</v>
      </c>
      <c r="AE313" s="14">
        <v>205</v>
      </c>
      <c r="AF313" s="26">
        <v>509</v>
      </c>
      <c r="AG313" s="12">
        <v>94</v>
      </c>
      <c r="AH313" s="14">
        <v>1</v>
      </c>
      <c r="AI313" s="209"/>
      <c r="AJ313" s="3"/>
      <c r="AK313" s="3"/>
      <c r="AL313" s="3"/>
      <c r="AM313" s="3"/>
      <c r="AN313" s="3"/>
      <c r="AO313" s="40"/>
      <c r="AP313" s="209"/>
      <c r="AQ313" s="3"/>
      <c r="AR313" s="40"/>
      <c r="AS313" s="238"/>
    </row>
    <row r="314" spans="1:45" s="229" customFormat="1">
      <c r="A314" s="83" t="s">
        <v>321</v>
      </c>
      <c r="B314" s="12">
        <v>3.105</v>
      </c>
      <c r="C314" s="229" t="s">
        <v>676</v>
      </c>
      <c r="D314" s="229" t="s">
        <v>672</v>
      </c>
      <c r="E314" s="229" t="s">
        <v>1</v>
      </c>
      <c r="F314" s="229">
        <v>889</v>
      </c>
      <c r="G314" s="40">
        <f>F314/689</f>
        <v>1.2902757619738752</v>
      </c>
      <c r="H314" s="14">
        <v>0</v>
      </c>
      <c r="I314" s="229">
        <v>1</v>
      </c>
      <c r="J314" s="229">
        <v>0</v>
      </c>
      <c r="K314" s="26">
        <v>1</v>
      </c>
      <c r="L314" s="14">
        <v>0</v>
      </c>
      <c r="M314" s="229">
        <v>0</v>
      </c>
      <c r="N314" s="229">
        <v>0</v>
      </c>
      <c r="O314" s="229">
        <v>0</v>
      </c>
      <c r="P314" s="26">
        <v>0</v>
      </c>
      <c r="Q314" s="14">
        <v>5</v>
      </c>
      <c r="R314" s="229">
        <v>0</v>
      </c>
      <c r="S314" s="229">
        <v>0</v>
      </c>
      <c r="T314" s="229">
        <v>0</v>
      </c>
      <c r="U314" s="229">
        <v>0</v>
      </c>
      <c r="V314" s="229">
        <v>56</v>
      </c>
      <c r="W314" s="229">
        <v>75</v>
      </c>
      <c r="X314" s="229">
        <v>0</v>
      </c>
      <c r="Y314" s="229">
        <v>0</v>
      </c>
      <c r="Z314" s="229">
        <v>0</v>
      </c>
      <c r="AA314" s="229">
        <v>0</v>
      </c>
      <c r="AC314" s="12">
        <v>2</v>
      </c>
      <c r="AD314" s="14">
        <v>4</v>
      </c>
      <c r="AE314" s="14">
        <v>159</v>
      </c>
      <c r="AF314" s="26">
        <v>572</v>
      </c>
      <c r="AG314" s="12">
        <v>94</v>
      </c>
      <c r="AH314" s="14">
        <v>1</v>
      </c>
      <c r="AI314" s="209"/>
      <c r="AJ314" s="3"/>
      <c r="AK314" s="3"/>
      <c r="AL314" s="3"/>
      <c r="AM314" s="3"/>
      <c r="AN314" s="3"/>
      <c r="AO314" s="40"/>
      <c r="AP314" s="209"/>
      <c r="AQ314" s="3"/>
      <c r="AR314" s="40"/>
      <c r="AS314" s="238"/>
    </row>
    <row r="315" spans="1:45" s="229" customFormat="1">
      <c r="A315" s="83" t="s">
        <v>321</v>
      </c>
      <c r="B315" s="12">
        <v>3.105</v>
      </c>
      <c r="C315" s="229" t="s">
        <v>676</v>
      </c>
      <c r="D315" s="229" t="s">
        <v>672</v>
      </c>
      <c r="E315" s="229" t="s">
        <v>2</v>
      </c>
      <c r="F315" s="229">
        <v>377</v>
      </c>
      <c r="G315" s="40">
        <f>F315/375</f>
        <v>1.0053333333333334</v>
      </c>
      <c r="H315" s="14">
        <v>1</v>
      </c>
      <c r="I315" s="229">
        <v>0</v>
      </c>
      <c r="J315" s="229">
        <v>0</v>
      </c>
      <c r="K315" s="26">
        <v>0</v>
      </c>
      <c r="L315" s="14">
        <v>0</v>
      </c>
      <c r="M315" s="229">
        <v>0</v>
      </c>
      <c r="N315" s="229">
        <v>0</v>
      </c>
      <c r="O315" s="229">
        <v>0</v>
      </c>
      <c r="P315" s="26">
        <v>0</v>
      </c>
      <c r="Q315" s="14">
        <v>0</v>
      </c>
      <c r="R315" s="229">
        <v>0</v>
      </c>
      <c r="S315" s="229">
        <v>0</v>
      </c>
      <c r="T315" s="229">
        <v>0</v>
      </c>
      <c r="U315" s="229">
        <v>0</v>
      </c>
      <c r="V315" s="229">
        <v>0</v>
      </c>
      <c r="W315" s="229">
        <v>0</v>
      </c>
      <c r="X315" s="229">
        <v>0</v>
      </c>
      <c r="Y315" s="229">
        <v>0</v>
      </c>
      <c r="Z315" s="229">
        <v>0</v>
      </c>
      <c r="AA315" s="229">
        <v>0</v>
      </c>
      <c r="AC315" s="12">
        <v>1</v>
      </c>
      <c r="AD315" s="14">
        <v>1</v>
      </c>
      <c r="AE315" s="14">
        <v>0</v>
      </c>
      <c r="AF315" s="26">
        <v>0</v>
      </c>
      <c r="AG315" s="12">
        <v>94</v>
      </c>
      <c r="AH315" s="14">
        <v>1</v>
      </c>
      <c r="AI315" s="209"/>
      <c r="AJ315" s="3"/>
      <c r="AK315" s="3"/>
      <c r="AL315" s="3"/>
      <c r="AM315" s="3"/>
      <c r="AN315" s="3"/>
      <c r="AO315" s="40"/>
      <c r="AP315" s="209"/>
      <c r="AQ315" s="3"/>
      <c r="AR315" s="40"/>
      <c r="AS315" s="238"/>
    </row>
    <row r="316" spans="1:45" s="229" customFormat="1">
      <c r="A316" s="83" t="s">
        <v>321</v>
      </c>
      <c r="B316" s="12">
        <v>3.105</v>
      </c>
      <c r="C316" s="229" t="s">
        <v>676</v>
      </c>
      <c r="D316" s="229" t="s">
        <v>672</v>
      </c>
      <c r="E316" s="229" t="s">
        <v>3</v>
      </c>
      <c r="F316" s="229">
        <v>354</v>
      </c>
      <c r="G316" s="40">
        <f>F316/213</f>
        <v>1.6619718309859155</v>
      </c>
      <c r="H316" s="14">
        <v>1</v>
      </c>
      <c r="I316" s="229">
        <v>0</v>
      </c>
      <c r="J316" s="229">
        <v>0</v>
      </c>
      <c r="K316" s="26">
        <v>0</v>
      </c>
      <c r="L316" s="14">
        <v>0</v>
      </c>
      <c r="M316" s="229">
        <v>0</v>
      </c>
      <c r="N316" s="229">
        <v>0</v>
      </c>
      <c r="O316" s="229">
        <v>0</v>
      </c>
      <c r="P316" s="26">
        <v>0</v>
      </c>
      <c r="Q316" s="14">
        <v>0</v>
      </c>
      <c r="R316" s="229">
        <v>0</v>
      </c>
      <c r="S316" s="229">
        <v>0</v>
      </c>
      <c r="T316" s="229">
        <v>0</v>
      </c>
      <c r="U316" s="229">
        <v>0</v>
      </c>
      <c r="V316" s="229">
        <v>0</v>
      </c>
      <c r="W316" s="229">
        <v>0</v>
      </c>
      <c r="X316" s="229">
        <v>0</v>
      </c>
      <c r="Y316" s="229">
        <v>0</v>
      </c>
      <c r="Z316" s="229">
        <v>0</v>
      </c>
      <c r="AA316" s="229">
        <v>0</v>
      </c>
      <c r="AC316" s="12">
        <v>1</v>
      </c>
      <c r="AD316" s="14">
        <v>1</v>
      </c>
      <c r="AE316" s="14">
        <v>0</v>
      </c>
      <c r="AF316" s="26">
        <v>0</v>
      </c>
      <c r="AG316" s="12">
        <v>94</v>
      </c>
      <c r="AH316" s="14">
        <v>1</v>
      </c>
      <c r="AI316" s="209"/>
      <c r="AJ316" s="3"/>
      <c r="AK316" s="3"/>
      <c r="AL316" s="3"/>
      <c r="AM316" s="3"/>
      <c r="AN316" s="3"/>
      <c r="AO316" s="40"/>
      <c r="AP316" s="209"/>
      <c r="AQ316" s="3"/>
      <c r="AR316" s="40"/>
      <c r="AS316" s="238"/>
    </row>
    <row r="317" spans="1:45" s="229" customFormat="1">
      <c r="A317" s="83" t="s">
        <v>321</v>
      </c>
      <c r="B317" s="12">
        <v>3.105</v>
      </c>
      <c r="C317" s="229" t="s">
        <v>676</v>
      </c>
      <c r="D317" s="229" t="s">
        <v>672</v>
      </c>
      <c r="E317" s="229" t="s">
        <v>4</v>
      </c>
      <c r="F317" s="229">
        <v>632</v>
      </c>
      <c r="G317" s="40">
        <f>F317/236</f>
        <v>2.6779661016949152</v>
      </c>
      <c r="H317" s="14">
        <v>1</v>
      </c>
      <c r="I317" s="229">
        <v>0</v>
      </c>
      <c r="J317" s="229">
        <v>0</v>
      </c>
      <c r="K317" s="26">
        <v>0</v>
      </c>
      <c r="L317" s="14">
        <v>0</v>
      </c>
      <c r="M317" s="229">
        <v>0</v>
      </c>
      <c r="N317" s="229">
        <v>0</v>
      </c>
      <c r="O317" s="229">
        <v>0</v>
      </c>
      <c r="P317" s="26">
        <v>0</v>
      </c>
      <c r="Q317" s="14">
        <v>5</v>
      </c>
      <c r="R317" s="229">
        <v>23</v>
      </c>
      <c r="S317" s="229">
        <v>54</v>
      </c>
      <c r="T317" s="229">
        <v>0</v>
      </c>
      <c r="U317" s="229">
        <v>0</v>
      </c>
      <c r="V317" s="229">
        <v>0</v>
      </c>
      <c r="W317" s="229">
        <v>0</v>
      </c>
      <c r="X317" s="229">
        <v>0</v>
      </c>
      <c r="Y317" s="229">
        <v>0</v>
      </c>
      <c r="Z317" s="229">
        <v>0</v>
      </c>
      <c r="AA317" s="229">
        <v>0</v>
      </c>
      <c r="AC317" s="12">
        <v>2</v>
      </c>
      <c r="AD317" s="14">
        <v>4</v>
      </c>
      <c r="AE317" s="14">
        <v>94</v>
      </c>
      <c r="AF317" s="26">
        <v>247</v>
      </c>
      <c r="AG317" s="12">
        <v>94</v>
      </c>
      <c r="AH317" s="14">
        <v>1</v>
      </c>
      <c r="AI317" s="209"/>
      <c r="AJ317" s="3"/>
      <c r="AK317" s="3"/>
      <c r="AL317" s="3"/>
      <c r="AM317" s="3"/>
      <c r="AN317" s="3"/>
      <c r="AO317" s="40"/>
      <c r="AP317" s="209"/>
      <c r="AQ317" s="3"/>
      <c r="AR317" s="40"/>
      <c r="AS317" s="238"/>
    </row>
    <row r="318" spans="1:45" s="229" customFormat="1">
      <c r="A318" s="83" t="s">
        <v>321</v>
      </c>
      <c r="B318" s="12">
        <v>3.105</v>
      </c>
      <c r="C318" s="229" t="s">
        <v>676</v>
      </c>
      <c r="D318" s="229" t="s">
        <v>673</v>
      </c>
      <c r="E318" s="229" t="s">
        <v>0</v>
      </c>
      <c r="F318" s="229">
        <v>367</v>
      </c>
      <c r="G318" s="40">
        <f>F318/366</f>
        <v>1.0027322404371584</v>
      </c>
      <c r="H318" s="14">
        <v>1</v>
      </c>
      <c r="I318" s="229">
        <v>0</v>
      </c>
      <c r="J318" s="229">
        <v>1</v>
      </c>
      <c r="K318" s="26">
        <v>0</v>
      </c>
      <c r="L318" s="14">
        <v>0</v>
      </c>
      <c r="M318" s="229">
        <v>0</v>
      </c>
      <c r="N318" s="229">
        <v>0</v>
      </c>
      <c r="O318" s="229">
        <v>0</v>
      </c>
      <c r="P318" s="26">
        <v>0</v>
      </c>
      <c r="Q318" s="14">
        <v>0</v>
      </c>
      <c r="R318" s="229">
        <v>0</v>
      </c>
      <c r="S318" s="229">
        <v>0</v>
      </c>
      <c r="T318" s="229">
        <v>0</v>
      </c>
      <c r="U318" s="229">
        <v>0</v>
      </c>
      <c r="V318" s="229">
        <v>0</v>
      </c>
      <c r="W318" s="229">
        <v>0</v>
      </c>
      <c r="X318" s="229">
        <v>0</v>
      </c>
      <c r="Y318" s="229">
        <v>0</v>
      </c>
      <c r="Z318" s="229">
        <v>0</v>
      </c>
      <c r="AA318" s="229">
        <v>0</v>
      </c>
      <c r="AC318" s="12">
        <v>2</v>
      </c>
      <c r="AD318" s="14">
        <v>2</v>
      </c>
      <c r="AE318" s="14">
        <v>223</v>
      </c>
      <c r="AF318" s="26">
        <v>366</v>
      </c>
      <c r="AG318" s="12">
        <v>80</v>
      </c>
      <c r="AH318" s="14">
        <v>1</v>
      </c>
      <c r="AI318" s="209"/>
      <c r="AJ318" s="3"/>
      <c r="AK318" s="3"/>
      <c r="AL318" s="3"/>
      <c r="AM318" s="3"/>
      <c r="AN318" s="3"/>
      <c r="AO318" s="40"/>
      <c r="AP318" s="209"/>
      <c r="AQ318" s="3"/>
      <c r="AR318" s="40"/>
      <c r="AS318" s="238"/>
    </row>
    <row r="319" spans="1:45" s="229" customFormat="1">
      <c r="A319" s="83" t="s">
        <v>321</v>
      </c>
      <c r="B319" s="12">
        <v>3.105</v>
      </c>
      <c r="C319" s="229" t="s">
        <v>676</v>
      </c>
      <c r="D319" s="229" t="s">
        <v>673</v>
      </c>
      <c r="E319" s="229" t="s">
        <v>1</v>
      </c>
      <c r="F319" s="229">
        <v>172</v>
      </c>
      <c r="G319" s="40">
        <f>F319/132</f>
        <v>1.303030303030303</v>
      </c>
      <c r="H319" s="14">
        <v>1</v>
      </c>
      <c r="I319" s="229">
        <v>0</v>
      </c>
      <c r="J319" s="229">
        <v>0</v>
      </c>
      <c r="K319" s="26">
        <v>0</v>
      </c>
      <c r="L319" s="14">
        <v>0</v>
      </c>
      <c r="M319" s="229">
        <v>0</v>
      </c>
      <c r="N319" s="229">
        <v>0</v>
      </c>
      <c r="O319" s="229">
        <v>0</v>
      </c>
      <c r="P319" s="26">
        <v>0</v>
      </c>
      <c r="Q319" s="14">
        <v>0</v>
      </c>
      <c r="R319" s="229">
        <v>0</v>
      </c>
      <c r="S319" s="229">
        <v>0</v>
      </c>
      <c r="T319" s="229">
        <v>0</v>
      </c>
      <c r="U319" s="229">
        <v>0</v>
      </c>
      <c r="V319" s="229">
        <v>0</v>
      </c>
      <c r="W319" s="229">
        <v>0</v>
      </c>
      <c r="X319" s="229">
        <v>0</v>
      </c>
      <c r="Y319" s="229">
        <v>0</v>
      </c>
      <c r="Z319" s="229">
        <v>0</v>
      </c>
      <c r="AA319" s="229">
        <v>0</v>
      </c>
      <c r="AC319" s="12">
        <v>1</v>
      </c>
      <c r="AD319" s="14">
        <v>1</v>
      </c>
      <c r="AE319" s="14">
        <v>0</v>
      </c>
      <c r="AF319" s="26">
        <v>0</v>
      </c>
      <c r="AG319" s="12">
        <v>80</v>
      </c>
      <c r="AH319" s="14">
        <v>0</v>
      </c>
      <c r="AI319" s="209"/>
      <c r="AJ319" s="3"/>
      <c r="AK319" s="3"/>
      <c r="AL319" s="3"/>
      <c r="AM319" s="3"/>
      <c r="AN319" s="3"/>
      <c r="AO319" s="40"/>
      <c r="AP319" s="209"/>
      <c r="AQ319" s="3"/>
      <c r="AR319" s="40"/>
      <c r="AS319" s="238"/>
    </row>
    <row r="320" spans="1:45" s="229" customFormat="1">
      <c r="A320" s="83" t="s">
        <v>321</v>
      </c>
      <c r="B320" s="12">
        <v>3.105</v>
      </c>
      <c r="C320" s="229" t="s">
        <v>676</v>
      </c>
      <c r="D320" s="229" t="s">
        <v>673</v>
      </c>
      <c r="E320" s="229" t="s">
        <v>2</v>
      </c>
      <c r="F320" s="229">
        <v>333</v>
      </c>
      <c r="G320" s="40">
        <f>F320/157</f>
        <v>2.121019108280255</v>
      </c>
      <c r="H320" s="14">
        <v>1</v>
      </c>
      <c r="I320" s="229">
        <v>0</v>
      </c>
      <c r="J320" s="229">
        <v>0</v>
      </c>
      <c r="K320" s="26">
        <v>0</v>
      </c>
      <c r="L320" s="14">
        <v>0</v>
      </c>
      <c r="M320" s="229">
        <v>0</v>
      </c>
      <c r="N320" s="229">
        <v>0</v>
      </c>
      <c r="O320" s="229">
        <v>0</v>
      </c>
      <c r="P320" s="26">
        <v>0</v>
      </c>
      <c r="Q320" s="14">
        <v>0</v>
      </c>
      <c r="R320" s="229">
        <v>0</v>
      </c>
      <c r="S320" s="229">
        <v>0</v>
      </c>
      <c r="T320" s="229">
        <v>0</v>
      </c>
      <c r="U320" s="229">
        <v>0</v>
      </c>
      <c r="V320" s="229">
        <v>0</v>
      </c>
      <c r="W320" s="229">
        <v>0</v>
      </c>
      <c r="X320" s="229">
        <v>0</v>
      </c>
      <c r="Y320" s="229">
        <v>0</v>
      </c>
      <c r="Z320" s="229">
        <v>0</v>
      </c>
      <c r="AA320" s="229">
        <v>0</v>
      </c>
      <c r="AC320" s="12">
        <v>2</v>
      </c>
      <c r="AD320" s="14">
        <v>3</v>
      </c>
      <c r="AE320" s="14">
        <v>113</v>
      </c>
      <c r="AF320" s="26">
        <v>158</v>
      </c>
      <c r="AG320" s="12">
        <v>80</v>
      </c>
      <c r="AH320" s="14">
        <v>1</v>
      </c>
      <c r="AI320" s="209"/>
      <c r="AJ320" s="3"/>
      <c r="AK320" s="3"/>
      <c r="AL320" s="3"/>
      <c r="AM320" s="3"/>
      <c r="AN320" s="3"/>
      <c r="AO320" s="40"/>
      <c r="AP320" s="209"/>
      <c r="AQ320" s="3"/>
      <c r="AR320" s="40"/>
      <c r="AS320" s="238"/>
    </row>
    <row r="321" spans="1:45" s="229" customFormat="1">
      <c r="A321" s="83" t="s">
        <v>321</v>
      </c>
      <c r="B321" s="12">
        <v>3.105</v>
      </c>
      <c r="C321" s="229" t="s">
        <v>676</v>
      </c>
      <c r="D321" s="229" t="s">
        <v>674</v>
      </c>
      <c r="E321" s="229" t="s">
        <v>0</v>
      </c>
      <c r="F321" s="229">
        <v>1181</v>
      </c>
      <c r="G321" s="40">
        <f>F321/872</f>
        <v>1.3543577981651376</v>
      </c>
      <c r="H321" s="14">
        <v>0</v>
      </c>
      <c r="I321" s="229">
        <v>0</v>
      </c>
      <c r="J321" s="229">
        <v>0</v>
      </c>
      <c r="K321" s="26">
        <v>1</v>
      </c>
      <c r="L321" s="14">
        <v>0</v>
      </c>
      <c r="M321" s="229">
        <v>0</v>
      </c>
      <c r="N321" s="229">
        <v>1</v>
      </c>
      <c r="O321" s="229">
        <v>1</v>
      </c>
      <c r="P321" s="26">
        <v>2</v>
      </c>
      <c r="Q321" s="14">
        <v>2</v>
      </c>
      <c r="R321" s="229">
        <v>0</v>
      </c>
      <c r="S321" s="229">
        <v>18</v>
      </c>
      <c r="T321" s="229">
        <v>0</v>
      </c>
      <c r="U321" s="229">
        <v>0</v>
      </c>
      <c r="V321" s="229">
        <v>0</v>
      </c>
      <c r="W321" s="229">
        <v>124</v>
      </c>
      <c r="X321" s="229">
        <v>0</v>
      </c>
      <c r="Y321" s="229">
        <v>0</v>
      </c>
      <c r="Z321" s="229">
        <v>0</v>
      </c>
      <c r="AA321" s="229">
        <v>0</v>
      </c>
      <c r="AC321" s="12">
        <v>2</v>
      </c>
      <c r="AD321" s="14">
        <v>2</v>
      </c>
      <c r="AE321" s="14">
        <v>759</v>
      </c>
      <c r="AF321" s="26">
        <v>1183</v>
      </c>
      <c r="AG321" s="12">
        <v>87</v>
      </c>
      <c r="AH321" s="14">
        <v>0</v>
      </c>
      <c r="AI321" s="209">
        <v>87.7</v>
      </c>
      <c r="AJ321" s="3">
        <v>87.5</v>
      </c>
      <c r="AK321" s="3"/>
      <c r="AL321" s="3"/>
      <c r="AM321" s="3"/>
      <c r="AN321" s="3"/>
      <c r="AO321" s="40"/>
      <c r="AP321" s="209">
        <v>87</v>
      </c>
      <c r="AQ321" s="3">
        <v>87.2</v>
      </c>
      <c r="AR321" s="40">
        <v>87.3</v>
      </c>
      <c r="AS321" s="238"/>
    </row>
    <row r="322" spans="1:45" s="229" customFormat="1">
      <c r="A322" s="83" t="s">
        <v>321</v>
      </c>
      <c r="B322" s="12">
        <v>3.105</v>
      </c>
      <c r="C322" s="229" t="s">
        <v>676</v>
      </c>
      <c r="D322" s="229" t="s">
        <v>674</v>
      </c>
      <c r="E322" s="229" t="s">
        <v>264</v>
      </c>
      <c r="F322" s="229">
        <v>480</v>
      </c>
      <c r="G322" s="40">
        <f>F322/293</f>
        <v>1.6382252559726962</v>
      </c>
      <c r="H322" s="14">
        <v>1</v>
      </c>
      <c r="I322" s="229">
        <v>0</v>
      </c>
      <c r="J322" s="229">
        <v>0</v>
      </c>
      <c r="K322" s="26">
        <v>0</v>
      </c>
      <c r="L322" s="14">
        <v>0</v>
      </c>
      <c r="M322" s="229">
        <v>0</v>
      </c>
      <c r="N322" s="229">
        <v>0</v>
      </c>
      <c r="O322" s="229">
        <v>0</v>
      </c>
      <c r="P322" s="26">
        <v>0</v>
      </c>
      <c r="Q322" s="14">
        <v>0</v>
      </c>
      <c r="R322" s="229">
        <v>0</v>
      </c>
      <c r="S322" s="229">
        <v>0</v>
      </c>
      <c r="T322" s="229">
        <v>0</v>
      </c>
      <c r="U322" s="229">
        <v>0</v>
      </c>
      <c r="V322" s="229">
        <v>0</v>
      </c>
      <c r="W322" s="229">
        <v>0</v>
      </c>
      <c r="X322" s="229">
        <v>0</v>
      </c>
      <c r="Y322" s="229">
        <v>0</v>
      </c>
      <c r="Z322" s="229">
        <v>0</v>
      </c>
      <c r="AA322" s="229">
        <v>0</v>
      </c>
      <c r="AC322" s="12">
        <v>2</v>
      </c>
      <c r="AD322" s="14">
        <v>3</v>
      </c>
      <c r="AE322" s="14">
        <v>172</v>
      </c>
      <c r="AF322" s="26">
        <v>382</v>
      </c>
      <c r="AG322" s="12">
        <v>87</v>
      </c>
      <c r="AH322" s="14">
        <v>1</v>
      </c>
      <c r="AI322" s="209"/>
      <c r="AJ322" s="3"/>
      <c r="AK322" s="3"/>
      <c r="AL322" s="3"/>
      <c r="AM322" s="3"/>
      <c r="AN322" s="3"/>
      <c r="AO322" s="40"/>
      <c r="AP322" s="209"/>
      <c r="AQ322" s="3"/>
      <c r="AR322" s="40"/>
      <c r="AS322" s="238"/>
    </row>
    <row r="323" spans="1:45" s="229" customFormat="1">
      <c r="A323" s="83" t="s">
        <v>321</v>
      </c>
      <c r="B323" s="12">
        <v>3.105</v>
      </c>
      <c r="C323" s="229" t="s">
        <v>676</v>
      </c>
      <c r="D323" s="229" t="s">
        <v>674</v>
      </c>
      <c r="E323" s="229" t="s">
        <v>70</v>
      </c>
      <c r="F323" s="229">
        <v>289</v>
      </c>
      <c r="G323" s="40">
        <f>F323/152</f>
        <v>1.9013157894736843</v>
      </c>
      <c r="H323" s="14">
        <v>0</v>
      </c>
      <c r="I323" s="229">
        <v>0</v>
      </c>
      <c r="J323" s="229">
        <v>1</v>
      </c>
      <c r="K323" s="26">
        <v>0</v>
      </c>
      <c r="L323" s="14">
        <v>0</v>
      </c>
      <c r="M323" s="229">
        <v>0</v>
      </c>
      <c r="N323" s="229">
        <v>0</v>
      </c>
      <c r="O323" s="229">
        <v>0</v>
      </c>
      <c r="P323" s="26">
        <v>0</v>
      </c>
      <c r="Q323" s="14">
        <v>5</v>
      </c>
      <c r="R323" s="229">
        <v>0</v>
      </c>
      <c r="S323" s="229">
        <v>0</v>
      </c>
      <c r="T323" s="229">
        <v>0</v>
      </c>
      <c r="U323" s="229">
        <v>0</v>
      </c>
      <c r="V323" s="229">
        <v>0</v>
      </c>
      <c r="W323" s="229">
        <v>0</v>
      </c>
      <c r="X323" s="229">
        <v>0</v>
      </c>
      <c r="Y323" s="229">
        <v>34</v>
      </c>
      <c r="Z323" s="229">
        <v>0</v>
      </c>
      <c r="AA323" s="229">
        <v>0</v>
      </c>
      <c r="AC323" s="12">
        <v>1</v>
      </c>
      <c r="AD323" s="14">
        <v>1</v>
      </c>
      <c r="AE323" s="14">
        <v>0</v>
      </c>
      <c r="AF323" s="26">
        <v>0</v>
      </c>
      <c r="AG323" s="12">
        <v>87</v>
      </c>
      <c r="AH323" s="14">
        <v>0</v>
      </c>
      <c r="AI323" s="209"/>
      <c r="AJ323" s="3"/>
      <c r="AK323" s="3"/>
      <c r="AL323" s="3"/>
      <c r="AM323" s="3"/>
      <c r="AN323" s="3"/>
      <c r="AO323" s="40"/>
      <c r="AP323" s="209"/>
      <c r="AQ323" s="3"/>
      <c r="AR323" s="40"/>
      <c r="AS323" s="238"/>
    </row>
    <row r="324" spans="1:45" s="229" customFormat="1">
      <c r="A324" s="83" t="s">
        <v>321</v>
      </c>
      <c r="B324" s="12">
        <v>3.105</v>
      </c>
      <c r="C324" s="229" t="s">
        <v>676</v>
      </c>
      <c r="D324" s="229" t="s">
        <v>675</v>
      </c>
      <c r="F324" s="229">
        <v>1934</v>
      </c>
      <c r="G324" s="40">
        <f>F324/900</f>
        <v>2.1488888888888891</v>
      </c>
      <c r="H324" s="14">
        <v>0</v>
      </c>
      <c r="I324" s="229">
        <v>0</v>
      </c>
      <c r="J324" s="229">
        <v>1</v>
      </c>
      <c r="K324" s="26">
        <v>0</v>
      </c>
      <c r="L324" s="14">
        <v>0</v>
      </c>
      <c r="M324" s="229">
        <v>0</v>
      </c>
      <c r="N324" s="229">
        <v>1</v>
      </c>
      <c r="O324" s="229">
        <v>0</v>
      </c>
      <c r="P324" s="26">
        <v>1</v>
      </c>
      <c r="Q324" s="14">
        <v>10</v>
      </c>
      <c r="R324" s="229">
        <v>35</v>
      </c>
      <c r="S324" s="229">
        <v>180</v>
      </c>
      <c r="T324" s="229">
        <v>0</v>
      </c>
      <c r="U324" s="229">
        <v>0</v>
      </c>
      <c r="V324" s="229">
        <v>0</v>
      </c>
      <c r="W324" s="229">
        <v>124</v>
      </c>
      <c r="X324" s="229">
        <v>0</v>
      </c>
      <c r="Y324" s="229">
        <v>0</v>
      </c>
      <c r="Z324" s="229">
        <v>0</v>
      </c>
      <c r="AA324" s="229">
        <v>182</v>
      </c>
      <c r="AC324" s="12">
        <v>1</v>
      </c>
      <c r="AD324" s="14">
        <v>1</v>
      </c>
      <c r="AE324" s="14">
        <v>0</v>
      </c>
      <c r="AF324" s="26">
        <v>0</v>
      </c>
      <c r="AG324" s="12">
        <v>82</v>
      </c>
      <c r="AH324" s="14">
        <v>1</v>
      </c>
      <c r="AI324" s="209">
        <v>87.1</v>
      </c>
      <c r="AJ324" s="3"/>
      <c r="AK324" s="3"/>
      <c r="AL324" s="3"/>
      <c r="AM324" s="3"/>
      <c r="AN324" s="3"/>
      <c r="AO324" s="40"/>
      <c r="AP324" s="209">
        <v>87.2</v>
      </c>
      <c r="AQ324" s="3"/>
      <c r="AR324" s="40"/>
      <c r="AS324" s="238"/>
    </row>
    <row r="325" spans="1:45" s="229" customFormat="1">
      <c r="A325" s="83" t="s">
        <v>321</v>
      </c>
      <c r="B325" s="12">
        <v>3.105</v>
      </c>
      <c r="C325" s="229" t="s">
        <v>676</v>
      </c>
      <c r="D325" s="229" t="s">
        <v>677</v>
      </c>
      <c r="F325" s="229">
        <v>802</v>
      </c>
      <c r="G325" s="40">
        <f>F325/786</f>
        <v>1.0203562340966921</v>
      </c>
      <c r="H325" s="14">
        <v>0</v>
      </c>
      <c r="I325" s="229">
        <v>0</v>
      </c>
      <c r="J325" s="229">
        <v>1</v>
      </c>
      <c r="K325" s="26">
        <v>0</v>
      </c>
      <c r="L325" s="14">
        <v>0</v>
      </c>
      <c r="M325" s="229">
        <v>0</v>
      </c>
      <c r="N325" s="229">
        <v>1</v>
      </c>
      <c r="O325" s="229">
        <v>0</v>
      </c>
      <c r="P325" s="26">
        <v>1</v>
      </c>
      <c r="Q325" s="14">
        <v>10</v>
      </c>
      <c r="R325" s="229">
        <v>9</v>
      </c>
      <c r="S325" s="229">
        <v>33</v>
      </c>
      <c r="T325" s="229">
        <v>0</v>
      </c>
      <c r="U325" s="229">
        <v>0</v>
      </c>
      <c r="V325" s="229">
        <v>24</v>
      </c>
      <c r="W325" s="229">
        <v>43</v>
      </c>
      <c r="X325" s="229">
        <v>0</v>
      </c>
      <c r="Y325" s="229">
        <v>0</v>
      </c>
      <c r="Z325" s="229">
        <v>88</v>
      </c>
      <c r="AA325" s="229">
        <v>119</v>
      </c>
      <c r="AC325" s="12">
        <v>1</v>
      </c>
      <c r="AD325" s="14">
        <v>1</v>
      </c>
      <c r="AE325" s="14">
        <v>0</v>
      </c>
      <c r="AF325" s="26">
        <v>0</v>
      </c>
      <c r="AG325" s="12">
        <v>82</v>
      </c>
      <c r="AH325" s="14">
        <v>1</v>
      </c>
      <c r="AI325" s="209"/>
      <c r="AJ325" s="3"/>
      <c r="AK325" s="3"/>
      <c r="AL325" s="3"/>
      <c r="AM325" s="3"/>
      <c r="AN325" s="3"/>
      <c r="AO325" s="40"/>
      <c r="AP325" s="209"/>
      <c r="AQ325" s="3"/>
      <c r="AR325" s="40"/>
      <c r="AS325" s="238"/>
    </row>
    <row r="326" spans="1:45" s="229" customFormat="1">
      <c r="A326" s="83" t="s">
        <v>321</v>
      </c>
      <c r="B326" s="12">
        <v>3.105</v>
      </c>
      <c r="C326" s="229" t="s">
        <v>676</v>
      </c>
      <c r="D326" s="229" t="s">
        <v>678</v>
      </c>
      <c r="F326" s="229">
        <v>924</v>
      </c>
      <c r="G326" s="40">
        <f>F326/535</f>
        <v>1.7271028037383178</v>
      </c>
      <c r="H326" s="14">
        <v>1</v>
      </c>
      <c r="I326" s="229">
        <v>0</v>
      </c>
      <c r="J326" s="229">
        <v>1</v>
      </c>
      <c r="K326" s="26">
        <v>1</v>
      </c>
      <c r="L326" s="14">
        <v>0</v>
      </c>
      <c r="M326" s="229">
        <v>0</v>
      </c>
      <c r="N326" s="229">
        <v>0</v>
      </c>
      <c r="O326" s="229">
        <v>0</v>
      </c>
      <c r="P326" s="26">
        <v>0</v>
      </c>
      <c r="Q326" s="14">
        <v>0</v>
      </c>
      <c r="R326" s="229">
        <v>0</v>
      </c>
      <c r="S326" s="229">
        <v>0</v>
      </c>
      <c r="T326" s="229">
        <v>0</v>
      </c>
      <c r="U326" s="229">
        <v>0</v>
      </c>
      <c r="V326" s="229">
        <v>0</v>
      </c>
      <c r="W326" s="229">
        <v>0</v>
      </c>
      <c r="X326" s="229">
        <v>0</v>
      </c>
      <c r="Y326" s="229">
        <v>0</v>
      </c>
      <c r="Z326" s="229">
        <v>0</v>
      </c>
      <c r="AA326" s="229">
        <v>0</v>
      </c>
      <c r="AC326" s="12">
        <v>2</v>
      </c>
      <c r="AD326" s="14">
        <v>8</v>
      </c>
      <c r="AE326" s="14">
        <v>109</v>
      </c>
      <c r="AF326" s="26">
        <v>621</v>
      </c>
      <c r="AG326" s="12">
        <v>74</v>
      </c>
      <c r="AH326" s="14">
        <v>1</v>
      </c>
      <c r="AI326" s="209"/>
      <c r="AJ326" s="3"/>
      <c r="AK326" s="3"/>
      <c r="AL326" s="3"/>
      <c r="AM326" s="3"/>
      <c r="AN326" s="3"/>
      <c r="AO326" s="40"/>
      <c r="AP326" s="209"/>
      <c r="AQ326" s="3"/>
      <c r="AR326" s="40"/>
      <c r="AS326" s="238"/>
    </row>
    <row r="327" spans="1:45" s="229" customFormat="1">
      <c r="A327" s="83" t="s">
        <v>321</v>
      </c>
      <c r="B327" s="12">
        <v>3.105</v>
      </c>
      <c r="C327" s="229" t="s">
        <v>679</v>
      </c>
      <c r="D327" s="229" t="s">
        <v>423</v>
      </c>
      <c r="F327" s="229">
        <v>263</v>
      </c>
      <c r="G327" s="40">
        <f>F327/242</f>
        <v>1.0867768595041323</v>
      </c>
      <c r="H327" s="14">
        <v>0</v>
      </c>
      <c r="I327" s="229">
        <v>0</v>
      </c>
      <c r="J327" s="229">
        <v>0</v>
      </c>
      <c r="K327" s="26">
        <v>1</v>
      </c>
      <c r="L327" s="14">
        <v>0</v>
      </c>
      <c r="M327" s="229">
        <v>0</v>
      </c>
      <c r="N327" s="229">
        <v>0</v>
      </c>
      <c r="O327" s="229">
        <v>0</v>
      </c>
      <c r="P327" s="26">
        <v>0</v>
      </c>
      <c r="Q327" s="14">
        <v>0</v>
      </c>
      <c r="R327" s="229">
        <v>0</v>
      </c>
      <c r="S327" s="229">
        <v>0</v>
      </c>
      <c r="T327" s="229">
        <v>0</v>
      </c>
      <c r="U327" s="229">
        <v>0</v>
      </c>
      <c r="V327" s="229">
        <v>0</v>
      </c>
      <c r="W327" s="229">
        <v>0</v>
      </c>
      <c r="X327" s="229">
        <v>0</v>
      </c>
      <c r="Y327" s="229">
        <v>0</v>
      </c>
      <c r="Z327" s="229">
        <v>0</v>
      </c>
      <c r="AA327" s="229">
        <v>0</v>
      </c>
      <c r="AC327" s="12">
        <v>2</v>
      </c>
      <c r="AD327" s="14">
        <v>2</v>
      </c>
      <c r="AE327" s="14">
        <v>167</v>
      </c>
      <c r="AF327" s="26">
        <v>242</v>
      </c>
      <c r="AG327" s="12">
        <v>102</v>
      </c>
      <c r="AH327" s="14">
        <v>1</v>
      </c>
      <c r="AI327" s="209"/>
      <c r="AJ327" s="3"/>
      <c r="AK327" s="3"/>
      <c r="AL327" s="3"/>
      <c r="AM327" s="3"/>
      <c r="AN327" s="3"/>
      <c r="AO327" s="40"/>
      <c r="AP327" s="209"/>
      <c r="AQ327" s="3"/>
      <c r="AR327" s="40"/>
      <c r="AS327" s="238"/>
    </row>
    <row r="328" spans="1:45" s="229" customFormat="1">
      <c r="A328" s="83" t="s">
        <v>321</v>
      </c>
      <c r="B328" s="12">
        <v>3.105</v>
      </c>
      <c r="C328" s="229" t="s">
        <v>679</v>
      </c>
      <c r="D328" s="229" t="s">
        <v>622</v>
      </c>
      <c r="F328" s="229">
        <v>2066</v>
      </c>
      <c r="G328" s="40">
        <f>F328/821</f>
        <v>2.5164433617539586</v>
      </c>
      <c r="H328" s="14">
        <v>0</v>
      </c>
      <c r="I328" s="229">
        <v>1</v>
      </c>
      <c r="J328" s="229">
        <v>0</v>
      </c>
      <c r="K328" s="26">
        <v>0</v>
      </c>
      <c r="L328" s="14">
        <v>0</v>
      </c>
      <c r="M328" s="229">
        <v>0</v>
      </c>
      <c r="N328" s="229">
        <v>0</v>
      </c>
      <c r="O328" s="229">
        <v>0</v>
      </c>
      <c r="P328" s="26">
        <v>0</v>
      </c>
      <c r="Q328" s="14">
        <v>0</v>
      </c>
      <c r="R328" s="229">
        <v>0</v>
      </c>
      <c r="S328" s="229">
        <v>0</v>
      </c>
      <c r="T328" s="229">
        <v>0</v>
      </c>
      <c r="U328" s="229">
        <v>0</v>
      </c>
      <c r="V328" s="229">
        <v>0</v>
      </c>
      <c r="W328" s="229">
        <v>0</v>
      </c>
      <c r="X328" s="229">
        <v>0</v>
      </c>
      <c r="Y328" s="229">
        <v>0</v>
      </c>
      <c r="Z328" s="229">
        <v>0</v>
      </c>
      <c r="AA328" s="229">
        <v>0</v>
      </c>
      <c r="AC328" s="12">
        <v>1</v>
      </c>
      <c r="AD328" s="14">
        <v>1</v>
      </c>
      <c r="AE328" s="14">
        <v>0</v>
      </c>
      <c r="AF328" s="26">
        <v>0</v>
      </c>
      <c r="AG328" s="12">
        <v>137</v>
      </c>
      <c r="AH328" s="14">
        <v>1</v>
      </c>
      <c r="AI328" s="209"/>
      <c r="AJ328" s="3"/>
      <c r="AK328" s="3"/>
      <c r="AL328" s="3"/>
      <c r="AM328" s="3"/>
      <c r="AN328" s="3"/>
      <c r="AO328" s="40"/>
      <c r="AP328" s="209"/>
      <c r="AQ328" s="3"/>
      <c r="AR328" s="40"/>
      <c r="AS328" s="238"/>
    </row>
    <row r="329" spans="1:45" s="229" customFormat="1">
      <c r="A329" s="83" t="s">
        <v>321</v>
      </c>
      <c r="B329" s="12">
        <v>3.105</v>
      </c>
      <c r="C329" s="229" t="s">
        <v>679</v>
      </c>
      <c r="D329" s="229" t="s">
        <v>620</v>
      </c>
      <c r="E329" s="229" t="s">
        <v>0</v>
      </c>
      <c r="F329" s="229">
        <v>303</v>
      </c>
      <c r="G329" s="40">
        <f>F329/276</f>
        <v>1.0978260869565217</v>
      </c>
      <c r="H329" s="14">
        <v>1</v>
      </c>
      <c r="I329" s="229">
        <v>0</v>
      </c>
      <c r="J329" s="229">
        <v>0</v>
      </c>
      <c r="K329" s="26">
        <v>1</v>
      </c>
      <c r="L329" s="14">
        <v>0</v>
      </c>
      <c r="M329" s="229">
        <v>0</v>
      </c>
      <c r="N329" s="229">
        <v>0</v>
      </c>
      <c r="O329" s="229">
        <v>0</v>
      </c>
      <c r="P329" s="26">
        <v>0</v>
      </c>
      <c r="Q329" s="14">
        <v>5</v>
      </c>
      <c r="R329" s="229">
        <v>0</v>
      </c>
      <c r="S329" s="229">
        <v>40</v>
      </c>
      <c r="T329" s="229">
        <v>0</v>
      </c>
      <c r="U329" s="229">
        <v>0</v>
      </c>
      <c r="V329" s="229">
        <v>0</v>
      </c>
      <c r="W329" s="229">
        <v>0</v>
      </c>
      <c r="X329" s="229">
        <v>0</v>
      </c>
      <c r="Y329" s="229">
        <v>0</v>
      </c>
      <c r="Z329" s="229">
        <v>0</v>
      </c>
      <c r="AA329" s="229">
        <v>0</v>
      </c>
      <c r="AC329" s="12">
        <v>2</v>
      </c>
      <c r="AD329" s="14">
        <v>3</v>
      </c>
      <c r="AE329" s="14">
        <v>60</v>
      </c>
      <c r="AF329" s="26">
        <v>303</v>
      </c>
      <c r="AG329" s="12">
        <v>66</v>
      </c>
      <c r="AH329" s="14">
        <v>1</v>
      </c>
      <c r="AI329" s="209"/>
      <c r="AJ329" s="3"/>
      <c r="AK329" s="3"/>
      <c r="AL329" s="3"/>
      <c r="AM329" s="3"/>
      <c r="AN329" s="3"/>
      <c r="AO329" s="40"/>
      <c r="AP329" s="209"/>
      <c r="AQ329" s="3"/>
      <c r="AR329" s="40"/>
      <c r="AS329" s="238"/>
    </row>
    <row r="330" spans="1:45" s="229" customFormat="1">
      <c r="A330" s="83" t="s">
        <v>321</v>
      </c>
      <c r="B330" s="12">
        <v>3.105</v>
      </c>
      <c r="C330" s="229" t="s">
        <v>679</v>
      </c>
      <c r="D330" s="229" t="s">
        <v>620</v>
      </c>
      <c r="E330" s="229" t="s">
        <v>1</v>
      </c>
      <c r="F330" s="229">
        <v>194</v>
      </c>
      <c r="G330" s="40">
        <f>F330/173</f>
        <v>1.1213872832369942</v>
      </c>
      <c r="H330" s="14">
        <v>0</v>
      </c>
      <c r="I330" s="229">
        <v>0</v>
      </c>
      <c r="J330" s="229">
        <v>0</v>
      </c>
      <c r="K330" s="26">
        <v>1</v>
      </c>
      <c r="L330" s="14">
        <v>0</v>
      </c>
      <c r="M330" s="229">
        <v>0</v>
      </c>
      <c r="N330" s="229">
        <v>0</v>
      </c>
      <c r="O330" s="229">
        <v>0</v>
      </c>
      <c r="P330" s="26">
        <v>0</v>
      </c>
      <c r="Q330" s="14">
        <v>0</v>
      </c>
      <c r="R330" s="229">
        <v>0</v>
      </c>
      <c r="S330" s="229">
        <v>0</v>
      </c>
      <c r="T330" s="229">
        <v>0</v>
      </c>
      <c r="U330" s="229">
        <v>0</v>
      </c>
      <c r="V330" s="229">
        <v>0</v>
      </c>
      <c r="W330" s="229">
        <v>0</v>
      </c>
      <c r="X330" s="229">
        <v>0</v>
      </c>
      <c r="Y330" s="229">
        <v>0</v>
      </c>
      <c r="Z330" s="229">
        <v>0</v>
      </c>
      <c r="AA330" s="229">
        <v>0</v>
      </c>
      <c r="AC330" s="12">
        <v>1</v>
      </c>
      <c r="AD330" s="14">
        <v>1</v>
      </c>
      <c r="AE330" s="14">
        <v>0</v>
      </c>
      <c r="AF330" s="26">
        <v>0</v>
      </c>
      <c r="AG330" s="12">
        <v>66</v>
      </c>
      <c r="AH330" s="14">
        <v>1</v>
      </c>
      <c r="AI330" s="209"/>
      <c r="AJ330" s="3"/>
      <c r="AK330" s="3"/>
      <c r="AL330" s="3"/>
      <c r="AM330" s="3"/>
      <c r="AN330" s="3"/>
      <c r="AO330" s="40"/>
      <c r="AP330" s="209"/>
      <c r="AQ330" s="3"/>
      <c r="AR330" s="40"/>
      <c r="AS330" s="238"/>
    </row>
    <row r="331" spans="1:45" s="229" customFormat="1">
      <c r="A331" s="83" t="s">
        <v>321</v>
      </c>
      <c r="B331" s="12">
        <v>3.105</v>
      </c>
      <c r="C331" s="229" t="s">
        <v>679</v>
      </c>
      <c r="D331" s="229" t="s">
        <v>620</v>
      </c>
      <c r="E331" s="229" t="s">
        <v>2</v>
      </c>
      <c r="F331" s="229">
        <v>195</v>
      </c>
      <c r="G331" s="40">
        <f>F331/141</f>
        <v>1.3829787234042554</v>
      </c>
      <c r="H331" s="14">
        <v>0</v>
      </c>
      <c r="I331" s="229">
        <v>0</v>
      </c>
      <c r="J331" s="229">
        <v>0</v>
      </c>
      <c r="K331" s="26">
        <v>1</v>
      </c>
      <c r="L331" s="14">
        <v>0</v>
      </c>
      <c r="M331" s="229">
        <v>0</v>
      </c>
      <c r="N331" s="229">
        <v>0</v>
      </c>
      <c r="O331" s="229">
        <v>0</v>
      </c>
      <c r="P331" s="26">
        <v>0</v>
      </c>
      <c r="Q331" s="14">
        <v>0</v>
      </c>
      <c r="R331" s="229">
        <v>0</v>
      </c>
      <c r="S331" s="229">
        <v>0</v>
      </c>
      <c r="T331" s="229">
        <v>0</v>
      </c>
      <c r="U331" s="229">
        <v>0</v>
      </c>
      <c r="V331" s="229">
        <v>0</v>
      </c>
      <c r="W331" s="229">
        <v>0</v>
      </c>
      <c r="X331" s="229">
        <v>0</v>
      </c>
      <c r="Y331" s="229">
        <v>0</v>
      </c>
      <c r="Z331" s="229">
        <v>0</v>
      </c>
      <c r="AA331" s="229">
        <v>0</v>
      </c>
      <c r="AC331" s="12">
        <v>1</v>
      </c>
      <c r="AD331" s="14">
        <v>1</v>
      </c>
      <c r="AE331" s="14">
        <v>0</v>
      </c>
      <c r="AF331" s="26">
        <v>0</v>
      </c>
      <c r="AG331" s="12">
        <v>66</v>
      </c>
      <c r="AH331" s="14">
        <v>0</v>
      </c>
      <c r="AI331" s="209"/>
      <c r="AJ331" s="3"/>
      <c r="AK331" s="3"/>
      <c r="AL331" s="3"/>
      <c r="AM331" s="3"/>
      <c r="AN331" s="3"/>
      <c r="AO331" s="40"/>
      <c r="AP331" s="209"/>
      <c r="AQ331" s="3"/>
      <c r="AR331" s="40"/>
      <c r="AS331" s="238"/>
    </row>
    <row r="332" spans="1:45" s="229" customFormat="1">
      <c r="A332" s="83" t="s">
        <v>321</v>
      </c>
      <c r="B332" s="12">
        <v>3.105</v>
      </c>
      <c r="C332" s="229" t="s">
        <v>679</v>
      </c>
      <c r="D332" s="229" t="s">
        <v>629</v>
      </c>
      <c r="F332" s="229">
        <v>253</v>
      </c>
      <c r="G332" s="40">
        <f>F332/135</f>
        <v>1.874074074074074</v>
      </c>
      <c r="H332" s="14">
        <v>1</v>
      </c>
      <c r="I332" s="229">
        <v>0</v>
      </c>
      <c r="J332" s="229">
        <v>0</v>
      </c>
      <c r="K332" s="26">
        <v>0</v>
      </c>
      <c r="L332" s="14">
        <v>0</v>
      </c>
      <c r="M332" s="229">
        <v>0</v>
      </c>
      <c r="N332" s="229">
        <v>0</v>
      </c>
      <c r="O332" s="229">
        <v>0</v>
      </c>
      <c r="P332" s="26">
        <v>0</v>
      </c>
      <c r="Q332" s="14">
        <v>5</v>
      </c>
      <c r="R332" s="229">
        <v>0</v>
      </c>
      <c r="S332" s="229">
        <v>0</v>
      </c>
      <c r="T332" s="229">
        <v>0</v>
      </c>
      <c r="U332" s="229">
        <v>0</v>
      </c>
      <c r="V332" s="229">
        <v>0</v>
      </c>
      <c r="W332" s="229">
        <v>28</v>
      </c>
      <c r="X332" s="229">
        <v>0</v>
      </c>
      <c r="Y332" s="229">
        <v>0</v>
      </c>
      <c r="Z332" s="229">
        <v>0</v>
      </c>
      <c r="AA332" s="229">
        <v>0</v>
      </c>
      <c r="AC332" s="12">
        <v>1</v>
      </c>
      <c r="AD332" s="14">
        <v>1</v>
      </c>
      <c r="AE332" s="14">
        <v>0</v>
      </c>
      <c r="AF332" s="26">
        <v>0</v>
      </c>
      <c r="AG332" s="12">
        <v>48</v>
      </c>
      <c r="AH332" s="14">
        <v>0</v>
      </c>
      <c r="AI332" s="209"/>
      <c r="AJ332" s="3"/>
      <c r="AK332" s="3"/>
      <c r="AL332" s="3"/>
      <c r="AM332" s="3"/>
      <c r="AN332" s="3"/>
      <c r="AO332" s="40"/>
      <c r="AP332" s="209"/>
      <c r="AQ332" s="3"/>
      <c r="AR332" s="40"/>
      <c r="AS332" s="238"/>
    </row>
    <row r="333" spans="1:45" s="229" customFormat="1">
      <c r="A333" s="83" t="s">
        <v>321</v>
      </c>
      <c r="B333" s="12">
        <v>3.105</v>
      </c>
      <c r="C333" s="229" t="s">
        <v>679</v>
      </c>
      <c r="D333" s="229" t="s">
        <v>634</v>
      </c>
      <c r="E333" s="229" t="s">
        <v>0</v>
      </c>
      <c r="F333" s="229">
        <v>473</v>
      </c>
      <c r="G333" s="40">
        <f>F333/257</f>
        <v>1.8404669260700388</v>
      </c>
      <c r="H333" s="14">
        <v>0</v>
      </c>
      <c r="I333" s="229">
        <v>1</v>
      </c>
      <c r="J333" s="229">
        <v>0</v>
      </c>
      <c r="K333" s="26">
        <v>1</v>
      </c>
      <c r="L333" s="14">
        <v>0</v>
      </c>
      <c r="M333" s="229">
        <v>0</v>
      </c>
      <c r="N333" s="229">
        <v>0</v>
      </c>
      <c r="O333" s="229">
        <v>0</v>
      </c>
      <c r="P333" s="26">
        <v>0</v>
      </c>
      <c r="Q333" s="14">
        <v>0</v>
      </c>
      <c r="R333" s="229">
        <v>0</v>
      </c>
      <c r="S333" s="229">
        <v>0</v>
      </c>
      <c r="T333" s="229">
        <v>0</v>
      </c>
      <c r="U333" s="229">
        <v>0</v>
      </c>
      <c r="V333" s="229">
        <v>0</v>
      </c>
      <c r="W333" s="229">
        <v>0</v>
      </c>
      <c r="X333" s="229">
        <v>0</v>
      </c>
      <c r="Y333" s="229">
        <v>0</v>
      </c>
      <c r="Z333" s="229">
        <v>0</v>
      </c>
      <c r="AA333" s="229">
        <v>0</v>
      </c>
      <c r="AC333" s="12">
        <v>2</v>
      </c>
      <c r="AD333" s="14">
        <v>2</v>
      </c>
      <c r="AE333" s="14">
        <v>257</v>
      </c>
      <c r="AF333" s="26">
        <v>311</v>
      </c>
      <c r="AG333" s="12">
        <v>95</v>
      </c>
      <c r="AH333" s="14">
        <v>1</v>
      </c>
      <c r="AI333" s="209"/>
      <c r="AJ333" s="3"/>
      <c r="AK333" s="3"/>
      <c r="AL333" s="3"/>
      <c r="AM333" s="3"/>
      <c r="AN333" s="3"/>
      <c r="AO333" s="40"/>
      <c r="AP333" s="209"/>
      <c r="AQ333" s="3"/>
      <c r="AR333" s="40"/>
      <c r="AS333" s="238"/>
    </row>
    <row r="334" spans="1:45" s="229" customFormat="1">
      <c r="A334" s="83" t="s">
        <v>321</v>
      </c>
      <c r="B334" s="12">
        <v>3.105</v>
      </c>
      <c r="C334" s="229" t="s">
        <v>679</v>
      </c>
      <c r="D334" s="229" t="s">
        <v>634</v>
      </c>
      <c r="E334" s="229" t="s">
        <v>1</v>
      </c>
      <c r="F334" s="229">
        <v>273</v>
      </c>
      <c r="G334" s="40">
        <f>F334/230</f>
        <v>1.1869565217391305</v>
      </c>
      <c r="H334" s="14">
        <v>1</v>
      </c>
      <c r="I334" s="229">
        <v>0</v>
      </c>
      <c r="J334" s="229">
        <v>0</v>
      </c>
      <c r="K334" s="26">
        <v>0</v>
      </c>
      <c r="L334" s="14">
        <v>0</v>
      </c>
      <c r="M334" s="229">
        <v>0</v>
      </c>
      <c r="N334" s="229">
        <v>0</v>
      </c>
      <c r="O334" s="229">
        <v>0</v>
      </c>
      <c r="P334" s="26">
        <v>0</v>
      </c>
      <c r="Q334" s="14">
        <v>0</v>
      </c>
      <c r="R334" s="229">
        <v>0</v>
      </c>
      <c r="S334" s="229">
        <v>0</v>
      </c>
      <c r="T334" s="229">
        <v>0</v>
      </c>
      <c r="U334" s="229">
        <v>0</v>
      </c>
      <c r="V334" s="229">
        <v>0</v>
      </c>
      <c r="W334" s="229">
        <v>0</v>
      </c>
      <c r="X334" s="229">
        <v>0</v>
      </c>
      <c r="Y334" s="229">
        <v>0</v>
      </c>
      <c r="Z334" s="229">
        <v>0</v>
      </c>
      <c r="AA334" s="229">
        <v>0</v>
      </c>
      <c r="AC334" s="12">
        <v>2</v>
      </c>
      <c r="AD334" s="14">
        <v>2</v>
      </c>
      <c r="AE334" s="14">
        <v>86</v>
      </c>
      <c r="AF334" s="26">
        <v>273</v>
      </c>
      <c r="AG334" s="12">
        <v>95</v>
      </c>
      <c r="AH334" s="14">
        <v>0</v>
      </c>
      <c r="AI334" s="209"/>
      <c r="AJ334" s="3"/>
      <c r="AK334" s="3"/>
      <c r="AL334" s="3"/>
      <c r="AM334" s="3"/>
      <c r="AN334" s="3"/>
      <c r="AO334" s="40"/>
      <c r="AP334" s="209"/>
      <c r="AQ334" s="3"/>
      <c r="AR334" s="40"/>
      <c r="AS334" s="238"/>
    </row>
    <row r="335" spans="1:45" s="229" customFormat="1">
      <c r="A335" s="83" t="s">
        <v>321</v>
      </c>
      <c r="B335" s="12">
        <v>3.105</v>
      </c>
      <c r="C335" s="229" t="s">
        <v>679</v>
      </c>
      <c r="D335" s="229" t="s">
        <v>634</v>
      </c>
      <c r="E335" s="229" t="s">
        <v>2</v>
      </c>
      <c r="F335" s="229">
        <v>279</v>
      </c>
      <c r="G335" s="40">
        <f>F335/143</f>
        <v>1.951048951048951</v>
      </c>
      <c r="H335" s="14">
        <v>0</v>
      </c>
      <c r="I335" s="229">
        <v>0</v>
      </c>
      <c r="J335" s="229">
        <v>1</v>
      </c>
      <c r="K335" s="26">
        <v>0</v>
      </c>
      <c r="L335" s="14">
        <v>0</v>
      </c>
      <c r="M335" s="229">
        <v>0</v>
      </c>
      <c r="N335" s="229">
        <v>0</v>
      </c>
      <c r="O335" s="229">
        <v>0</v>
      </c>
      <c r="P335" s="26">
        <v>0</v>
      </c>
      <c r="Q335" s="14">
        <v>20</v>
      </c>
      <c r="R335" s="229">
        <v>0</v>
      </c>
      <c r="S335" s="229">
        <v>0</v>
      </c>
      <c r="T335" s="229">
        <v>0</v>
      </c>
      <c r="U335" s="229">
        <v>0</v>
      </c>
      <c r="V335" s="229">
        <v>0</v>
      </c>
      <c r="W335" s="229">
        <v>0</v>
      </c>
      <c r="X335" s="229">
        <v>0</v>
      </c>
      <c r="Y335" s="229">
        <v>106</v>
      </c>
      <c r="Z335" s="229">
        <v>0</v>
      </c>
      <c r="AA335" s="229">
        <v>0</v>
      </c>
      <c r="AC335" s="12">
        <v>1</v>
      </c>
      <c r="AD335" s="14">
        <v>1</v>
      </c>
      <c r="AE335" s="14">
        <v>0</v>
      </c>
      <c r="AF335" s="26">
        <v>0</v>
      </c>
      <c r="AG335" s="12">
        <v>95</v>
      </c>
      <c r="AH335" s="14">
        <v>1</v>
      </c>
      <c r="AI335" s="209"/>
      <c r="AJ335" s="3"/>
      <c r="AK335" s="3"/>
      <c r="AL335" s="3"/>
      <c r="AM335" s="3"/>
      <c r="AN335" s="3"/>
      <c r="AO335" s="40"/>
      <c r="AP335" s="209"/>
      <c r="AQ335" s="3"/>
      <c r="AR335" s="40"/>
      <c r="AS335" s="238"/>
    </row>
    <row r="336" spans="1:45" s="229" customFormat="1">
      <c r="A336" s="83" t="s">
        <v>321</v>
      </c>
      <c r="B336" s="12">
        <v>3.105</v>
      </c>
      <c r="C336" s="229" t="s">
        <v>679</v>
      </c>
      <c r="D336" s="229" t="s">
        <v>625</v>
      </c>
      <c r="F336" s="229">
        <v>715</v>
      </c>
      <c r="G336" s="40">
        <f>F336/469</f>
        <v>1.5245202558635393</v>
      </c>
      <c r="H336" s="14">
        <v>0</v>
      </c>
      <c r="I336" s="229">
        <v>0</v>
      </c>
      <c r="J336" s="229">
        <v>1</v>
      </c>
      <c r="K336" s="26">
        <v>1</v>
      </c>
      <c r="L336" s="14">
        <v>0</v>
      </c>
      <c r="M336" s="229">
        <v>0</v>
      </c>
      <c r="N336" s="229">
        <v>0</v>
      </c>
      <c r="O336" s="229">
        <v>0</v>
      </c>
      <c r="P336" s="26">
        <v>0</v>
      </c>
      <c r="Q336" s="14">
        <v>5</v>
      </c>
      <c r="R336" s="229">
        <v>0</v>
      </c>
      <c r="S336" s="229">
        <v>0</v>
      </c>
      <c r="T336" s="229">
        <v>0</v>
      </c>
      <c r="U336" s="229">
        <v>0</v>
      </c>
      <c r="V336" s="229">
        <v>0</v>
      </c>
      <c r="W336" s="229">
        <v>49</v>
      </c>
      <c r="X336" s="229">
        <v>0</v>
      </c>
      <c r="Y336" s="229">
        <v>0</v>
      </c>
      <c r="Z336" s="229">
        <v>0</v>
      </c>
      <c r="AA336" s="229">
        <v>0</v>
      </c>
      <c r="AC336" s="12">
        <v>2</v>
      </c>
      <c r="AD336" s="14">
        <v>5</v>
      </c>
      <c r="AE336" s="14">
        <v>105</v>
      </c>
      <c r="AF336" s="26">
        <v>358</v>
      </c>
      <c r="AG336" s="12">
        <v>72</v>
      </c>
      <c r="AH336" s="14">
        <v>1</v>
      </c>
      <c r="AI336" s="209">
        <v>87</v>
      </c>
      <c r="AJ336" s="3"/>
      <c r="AK336" s="3"/>
      <c r="AL336" s="3"/>
      <c r="AM336" s="3"/>
      <c r="AN336" s="3"/>
      <c r="AO336" s="40"/>
      <c r="AP336" s="209">
        <v>87.2</v>
      </c>
      <c r="AQ336" s="3"/>
      <c r="AR336" s="40"/>
      <c r="AS336" s="238"/>
    </row>
    <row r="337" spans="1:45" s="229" customFormat="1">
      <c r="A337" s="83" t="s">
        <v>321</v>
      </c>
      <c r="B337" s="12">
        <v>3.105</v>
      </c>
      <c r="C337" s="229" t="s">
        <v>679</v>
      </c>
      <c r="D337" s="229" t="s">
        <v>630</v>
      </c>
      <c r="E337" s="229" t="s">
        <v>0</v>
      </c>
      <c r="F337" s="229">
        <v>452</v>
      </c>
      <c r="G337" s="40">
        <f>F337/260</f>
        <v>1.7384615384615385</v>
      </c>
      <c r="H337" s="14">
        <v>1</v>
      </c>
      <c r="I337" s="229">
        <v>0</v>
      </c>
      <c r="J337" s="229">
        <v>0</v>
      </c>
      <c r="K337" s="26">
        <v>0</v>
      </c>
      <c r="L337" s="14">
        <v>0</v>
      </c>
      <c r="M337" s="229">
        <v>0</v>
      </c>
      <c r="N337" s="229">
        <v>0</v>
      </c>
      <c r="O337" s="229">
        <v>0</v>
      </c>
      <c r="P337" s="26">
        <v>0</v>
      </c>
      <c r="Q337" s="14">
        <v>10</v>
      </c>
      <c r="R337" s="229">
        <v>0</v>
      </c>
      <c r="S337" s="229">
        <v>39</v>
      </c>
      <c r="T337" s="229">
        <v>0</v>
      </c>
      <c r="U337" s="229">
        <v>0</v>
      </c>
      <c r="V337" s="229">
        <v>0</v>
      </c>
      <c r="W337" s="229">
        <v>0</v>
      </c>
      <c r="X337" s="229">
        <v>0</v>
      </c>
      <c r="Y337" s="229">
        <v>86</v>
      </c>
      <c r="Z337" s="229">
        <v>0</v>
      </c>
      <c r="AA337" s="229">
        <v>0</v>
      </c>
      <c r="AC337" s="12">
        <v>1</v>
      </c>
      <c r="AD337" s="14">
        <v>1</v>
      </c>
      <c r="AE337" s="14">
        <v>0</v>
      </c>
      <c r="AF337" s="26">
        <v>0</v>
      </c>
      <c r="AG337" s="12">
        <v>67</v>
      </c>
      <c r="AH337" s="14">
        <v>1</v>
      </c>
      <c r="AI337" s="209">
        <v>87.1</v>
      </c>
      <c r="AJ337" s="3"/>
      <c r="AK337" s="3"/>
      <c r="AL337" s="3"/>
      <c r="AM337" s="3"/>
      <c r="AN337" s="3"/>
      <c r="AO337" s="40"/>
      <c r="AP337" s="209">
        <v>87.2</v>
      </c>
      <c r="AQ337" s="3"/>
      <c r="AR337" s="40"/>
      <c r="AS337" s="238"/>
    </row>
    <row r="338" spans="1:45" s="229" customFormat="1">
      <c r="A338" s="83" t="s">
        <v>321</v>
      </c>
      <c r="B338" s="12">
        <v>3.105</v>
      </c>
      <c r="C338" s="229" t="s">
        <v>679</v>
      </c>
      <c r="D338" s="229" t="s">
        <v>630</v>
      </c>
      <c r="E338" s="229" t="s">
        <v>1</v>
      </c>
      <c r="F338" s="229">
        <v>1275</v>
      </c>
      <c r="G338" s="40">
        <f>F338/624</f>
        <v>2.0432692307692308</v>
      </c>
      <c r="H338" s="14">
        <v>1</v>
      </c>
      <c r="I338" s="229">
        <v>0</v>
      </c>
      <c r="J338" s="229">
        <v>0</v>
      </c>
      <c r="K338" s="26">
        <v>1</v>
      </c>
      <c r="L338" s="14">
        <v>0</v>
      </c>
      <c r="M338" s="229">
        <v>0</v>
      </c>
      <c r="N338" s="229">
        <v>0</v>
      </c>
      <c r="O338" s="229">
        <v>0</v>
      </c>
      <c r="P338" s="26">
        <v>0</v>
      </c>
      <c r="Q338" s="14">
        <v>2</v>
      </c>
      <c r="R338" s="229">
        <v>0</v>
      </c>
      <c r="S338" s="229">
        <v>0</v>
      </c>
      <c r="T338" s="229">
        <v>0</v>
      </c>
      <c r="U338" s="229">
        <v>0</v>
      </c>
      <c r="V338" s="229">
        <v>0</v>
      </c>
      <c r="W338" s="229">
        <v>0</v>
      </c>
      <c r="X338" s="229">
        <v>0</v>
      </c>
      <c r="Y338" s="229">
        <v>0</v>
      </c>
      <c r="Z338" s="229">
        <v>0</v>
      </c>
      <c r="AA338" s="229">
        <v>0</v>
      </c>
      <c r="AC338" s="12">
        <v>2</v>
      </c>
      <c r="AD338" s="14">
        <v>9</v>
      </c>
      <c r="AE338" s="14">
        <v>125</v>
      </c>
      <c r="AF338" s="26">
        <v>412</v>
      </c>
      <c r="AG338" s="12">
        <v>67</v>
      </c>
      <c r="AH338" s="14">
        <v>1</v>
      </c>
      <c r="AI338" s="209"/>
      <c r="AJ338" s="3"/>
      <c r="AK338" s="3"/>
      <c r="AL338" s="3"/>
      <c r="AM338" s="3"/>
      <c r="AN338" s="3"/>
      <c r="AO338" s="40"/>
      <c r="AP338" s="209"/>
      <c r="AQ338" s="3"/>
      <c r="AR338" s="40"/>
      <c r="AS338" s="238"/>
    </row>
    <row r="339" spans="1:45" s="229" customFormat="1">
      <c r="A339" s="83" t="s">
        <v>321</v>
      </c>
      <c r="B339" s="12">
        <v>3.105</v>
      </c>
      <c r="C339" s="229" t="s">
        <v>679</v>
      </c>
      <c r="D339" s="229" t="s">
        <v>630</v>
      </c>
      <c r="E339" s="229" t="s">
        <v>2</v>
      </c>
      <c r="F339" s="229">
        <v>819</v>
      </c>
      <c r="G339" s="40">
        <f>F339/478</f>
        <v>1.7133891213389121</v>
      </c>
      <c r="H339" s="14">
        <v>1</v>
      </c>
      <c r="I339" s="229">
        <v>0</v>
      </c>
      <c r="J339" s="229">
        <v>0</v>
      </c>
      <c r="K339" s="26">
        <v>1</v>
      </c>
      <c r="L339" s="14">
        <v>0</v>
      </c>
      <c r="M339" s="229">
        <v>0</v>
      </c>
      <c r="N339" s="229">
        <v>0</v>
      </c>
      <c r="O339" s="229">
        <v>0</v>
      </c>
      <c r="P339" s="26">
        <v>0</v>
      </c>
      <c r="Q339" s="14">
        <v>0</v>
      </c>
      <c r="R339" s="229">
        <v>0</v>
      </c>
      <c r="S339" s="229">
        <v>0</v>
      </c>
      <c r="T339" s="229">
        <v>0</v>
      </c>
      <c r="U339" s="229">
        <v>0</v>
      </c>
      <c r="V339" s="229">
        <v>0</v>
      </c>
      <c r="W339" s="229">
        <v>0</v>
      </c>
      <c r="X339" s="229">
        <v>0</v>
      </c>
      <c r="Y339" s="229">
        <v>0</v>
      </c>
      <c r="Z339" s="229">
        <v>0</v>
      </c>
      <c r="AA339" s="229">
        <v>0</v>
      </c>
      <c r="AC339" s="12">
        <v>2</v>
      </c>
      <c r="AD339" s="14">
        <v>5</v>
      </c>
      <c r="AE339" s="14">
        <v>94</v>
      </c>
      <c r="AF339" s="26">
        <v>480</v>
      </c>
      <c r="AG339" s="12">
        <v>67</v>
      </c>
      <c r="AH339" s="14">
        <v>1</v>
      </c>
      <c r="AI339" s="209">
        <v>87.1</v>
      </c>
      <c r="AJ339" s="3"/>
      <c r="AK339" s="3"/>
      <c r="AL339" s="3"/>
      <c r="AM339" s="3"/>
      <c r="AN339" s="3"/>
      <c r="AO339" s="40"/>
      <c r="AP339" s="209">
        <v>87.3</v>
      </c>
      <c r="AQ339" s="3"/>
      <c r="AR339" s="40"/>
      <c r="AS339" s="238"/>
    </row>
    <row r="340" spans="1:45" s="229" customFormat="1">
      <c r="A340" s="83" t="s">
        <v>321</v>
      </c>
      <c r="B340" s="12">
        <v>3.105</v>
      </c>
      <c r="C340" s="229" t="s">
        <v>679</v>
      </c>
      <c r="D340" s="229" t="s">
        <v>630</v>
      </c>
      <c r="E340" s="229" t="s">
        <v>3</v>
      </c>
      <c r="F340" s="229">
        <v>630</v>
      </c>
      <c r="G340" s="40">
        <f>F340/257</f>
        <v>2.4513618677042803</v>
      </c>
      <c r="H340" s="14">
        <v>0</v>
      </c>
      <c r="I340" s="229">
        <v>0</v>
      </c>
      <c r="J340" s="229">
        <v>0</v>
      </c>
      <c r="K340" s="26">
        <v>1</v>
      </c>
      <c r="L340" s="14">
        <v>0</v>
      </c>
      <c r="M340" s="229">
        <v>0</v>
      </c>
      <c r="N340" s="229">
        <v>0</v>
      </c>
      <c r="O340" s="229">
        <v>0</v>
      </c>
      <c r="P340" s="26">
        <v>0</v>
      </c>
      <c r="Q340" s="14">
        <v>0</v>
      </c>
      <c r="R340" s="229">
        <v>0</v>
      </c>
      <c r="S340" s="229">
        <v>0</v>
      </c>
      <c r="T340" s="229">
        <v>0</v>
      </c>
      <c r="U340" s="229">
        <v>0</v>
      </c>
      <c r="V340" s="229">
        <v>0</v>
      </c>
      <c r="W340" s="229">
        <v>0</v>
      </c>
      <c r="X340" s="229">
        <v>0</v>
      </c>
      <c r="Y340" s="229">
        <v>0</v>
      </c>
      <c r="Z340" s="229">
        <v>0</v>
      </c>
      <c r="AA340" s="229">
        <v>0</v>
      </c>
      <c r="AC340" s="12">
        <v>2</v>
      </c>
      <c r="AD340" s="14">
        <v>3</v>
      </c>
      <c r="AE340" s="14">
        <v>108</v>
      </c>
      <c r="AF340" s="26">
        <v>306</v>
      </c>
      <c r="AG340" s="12">
        <v>67</v>
      </c>
      <c r="AH340" s="14">
        <v>1</v>
      </c>
      <c r="AI340" s="209"/>
      <c r="AJ340" s="3"/>
      <c r="AK340" s="3"/>
      <c r="AL340" s="3"/>
      <c r="AM340" s="3"/>
      <c r="AN340" s="3"/>
      <c r="AO340" s="40"/>
      <c r="AP340" s="209"/>
      <c r="AQ340" s="3"/>
      <c r="AR340" s="40"/>
      <c r="AS340" s="238"/>
    </row>
    <row r="341" spans="1:45" s="229" customFormat="1">
      <c r="A341" s="83" t="s">
        <v>321</v>
      </c>
      <c r="B341" s="12">
        <v>3.105</v>
      </c>
      <c r="C341" s="229" t="s">
        <v>679</v>
      </c>
      <c r="D341" s="229" t="s">
        <v>637</v>
      </c>
      <c r="E341" s="229" t="s">
        <v>0</v>
      </c>
      <c r="F341" s="229">
        <v>1100</v>
      </c>
      <c r="G341" s="40">
        <f>F341/663</f>
        <v>1.6591251885369533</v>
      </c>
      <c r="H341" s="14">
        <v>1</v>
      </c>
      <c r="I341" s="229">
        <v>0</v>
      </c>
      <c r="J341" s="229">
        <v>0</v>
      </c>
      <c r="K341" s="26">
        <v>1</v>
      </c>
      <c r="L341" s="14">
        <v>0</v>
      </c>
      <c r="M341" s="229">
        <v>0</v>
      </c>
      <c r="N341" s="229">
        <v>0</v>
      </c>
      <c r="O341" s="229">
        <v>0</v>
      </c>
      <c r="P341" s="26">
        <v>0</v>
      </c>
      <c r="Q341" s="14">
        <v>5</v>
      </c>
      <c r="R341" s="229">
        <v>0</v>
      </c>
      <c r="S341" s="229">
        <v>45</v>
      </c>
      <c r="T341" s="229">
        <v>0</v>
      </c>
      <c r="U341" s="229">
        <v>0</v>
      </c>
      <c r="V341" s="229">
        <v>0</v>
      </c>
      <c r="W341" s="229">
        <v>0</v>
      </c>
      <c r="X341" s="229">
        <v>0</v>
      </c>
      <c r="Y341" s="229">
        <v>0</v>
      </c>
      <c r="Z341" s="229">
        <v>0</v>
      </c>
      <c r="AA341" s="229">
        <v>0</v>
      </c>
      <c r="AC341" s="12">
        <v>2</v>
      </c>
      <c r="AD341" s="14">
        <v>9</v>
      </c>
      <c r="AE341" s="14">
        <v>138</v>
      </c>
      <c r="AF341" s="26">
        <v>466</v>
      </c>
      <c r="AG341" s="12">
        <v>89</v>
      </c>
      <c r="AH341" s="14">
        <v>1</v>
      </c>
      <c r="AI341" s="209"/>
      <c r="AJ341" s="3"/>
      <c r="AK341" s="3"/>
      <c r="AL341" s="3"/>
      <c r="AM341" s="3"/>
      <c r="AN341" s="3"/>
      <c r="AO341" s="40"/>
      <c r="AP341" s="209"/>
      <c r="AQ341" s="3"/>
      <c r="AR341" s="40"/>
      <c r="AS341" s="238"/>
    </row>
    <row r="342" spans="1:45" s="229" customFormat="1">
      <c r="A342" s="83" t="s">
        <v>321</v>
      </c>
      <c r="B342" s="12">
        <v>3.105</v>
      </c>
      <c r="C342" s="229" t="s">
        <v>679</v>
      </c>
      <c r="D342" s="229" t="s">
        <v>637</v>
      </c>
      <c r="E342" s="229" t="s">
        <v>1</v>
      </c>
      <c r="F342" s="229">
        <v>434</v>
      </c>
      <c r="G342" s="40">
        <f>F342/205</f>
        <v>2.1170731707317074</v>
      </c>
      <c r="H342" s="14">
        <v>1</v>
      </c>
      <c r="I342" s="229">
        <v>0</v>
      </c>
      <c r="J342" s="229">
        <v>0</v>
      </c>
      <c r="K342" s="26">
        <v>0</v>
      </c>
      <c r="L342" s="14">
        <v>0</v>
      </c>
      <c r="M342" s="229">
        <v>0</v>
      </c>
      <c r="N342" s="229">
        <v>0</v>
      </c>
      <c r="O342" s="229">
        <v>0</v>
      </c>
      <c r="P342" s="26">
        <v>0</v>
      </c>
      <c r="Q342" s="14">
        <v>0</v>
      </c>
      <c r="R342" s="229">
        <v>0</v>
      </c>
      <c r="S342" s="229">
        <v>0</v>
      </c>
      <c r="T342" s="229">
        <v>0</v>
      </c>
      <c r="U342" s="229">
        <v>0</v>
      </c>
      <c r="V342" s="229">
        <v>0</v>
      </c>
      <c r="W342" s="229">
        <v>0</v>
      </c>
      <c r="X342" s="229">
        <v>0</v>
      </c>
      <c r="Y342" s="229">
        <v>0</v>
      </c>
      <c r="Z342" s="229">
        <v>0</v>
      </c>
      <c r="AA342" s="229">
        <v>0</v>
      </c>
      <c r="AC342" s="12">
        <v>2</v>
      </c>
      <c r="AD342" s="14">
        <v>2</v>
      </c>
      <c r="AE342" s="14">
        <v>174</v>
      </c>
      <c r="AF342" s="26">
        <v>259</v>
      </c>
      <c r="AG342" s="12">
        <v>89</v>
      </c>
      <c r="AH342" s="14">
        <v>1</v>
      </c>
      <c r="AI342" s="209"/>
      <c r="AJ342" s="3"/>
      <c r="AK342" s="3"/>
      <c r="AL342" s="3"/>
      <c r="AM342" s="3"/>
      <c r="AN342" s="3"/>
      <c r="AO342" s="40"/>
      <c r="AP342" s="209"/>
      <c r="AQ342" s="3"/>
      <c r="AR342" s="40"/>
      <c r="AS342" s="238"/>
    </row>
    <row r="343" spans="1:45" s="229" customFormat="1">
      <c r="A343" s="83" t="s">
        <v>321</v>
      </c>
      <c r="B343" s="12">
        <v>3.105</v>
      </c>
      <c r="C343" s="229" t="s">
        <v>679</v>
      </c>
      <c r="D343" s="229" t="s">
        <v>638</v>
      </c>
      <c r="E343" s="229" t="s">
        <v>0</v>
      </c>
      <c r="F343" s="229">
        <v>489</v>
      </c>
      <c r="G343" s="40">
        <f>F343/304</f>
        <v>1.6085526315789473</v>
      </c>
      <c r="H343" s="14">
        <v>1</v>
      </c>
      <c r="I343" s="229">
        <v>0</v>
      </c>
      <c r="J343" s="229">
        <v>0</v>
      </c>
      <c r="K343" s="26">
        <v>1</v>
      </c>
      <c r="L343" s="14">
        <v>0</v>
      </c>
      <c r="M343" s="229">
        <v>0</v>
      </c>
      <c r="N343" s="229">
        <v>0</v>
      </c>
      <c r="O343" s="229">
        <v>0</v>
      </c>
      <c r="P343" s="26">
        <v>0</v>
      </c>
      <c r="Q343" s="14">
        <v>0</v>
      </c>
      <c r="R343" s="229">
        <v>0</v>
      </c>
      <c r="S343" s="229">
        <v>0</v>
      </c>
      <c r="T343" s="229">
        <v>0</v>
      </c>
      <c r="U343" s="229">
        <v>0</v>
      </c>
      <c r="V343" s="229">
        <v>0</v>
      </c>
      <c r="W343" s="229">
        <v>0</v>
      </c>
      <c r="X343" s="229">
        <v>0</v>
      </c>
      <c r="Y343" s="229">
        <v>0</v>
      </c>
      <c r="Z343" s="229">
        <v>0</v>
      </c>
      <c r="AA343" s="229">
        <v>0</v>
      </c>
      <c r="AC343" s="12">
        <v>2</v>
      </c>
      <c r="AD343" s="14">
        <v>3</v>
      </c>
      <c r="AE343" s="14">
        <v>65</v>
      </c>
      <c r="AF343" s="26">
        <v>363</v>
      </c>
      <c r="AG343" s="12">
        <v>72</v>
      </c>
      <c r="AH343" s="14">
        <v>1</v>
      </c>
      <c r="AI343" s="209"/>
      <c r="AJ343" s="3"/>
      <c r="AK343" s="3"/>
      <c r="AL343" s="3"/>
      <c r="AM343" s="3"/>
      <c r="AN343" s="3"/>
      <c r="AO343" s="40"/>
      <c r="AP343" s="209"/>
      <c r="AQ343" s="3"/>
      <c r="AR343" s="40"/>
      <c r="AS343" s="238"/>
    </row>
    <row r="344" spans="1:45" s="229" customFormat="1">
      <c r="A344" s="83" t="s">
        <v>321</v>
      </c>
      <c r="B344" s="12">
        <v>3.105</v>
      </c>
      <c r="C344" s="229" t="s">
        <v>679</v>
      </c>
      <c r="D344" s="229" t="s">
        <v>638</v>
      </c>
      <c r="E344" s="229" t="s">
        <v>1</v>
      </c>
      <c r="F344" s="229">
        <v>490</v>
      </c>
      <c r="G344" s="40">
        <f>F344/400</f>
        <v>1.2250000000000001</v>
      </c>
      <c r="H344" s="14">
        <v>0</v>
      </c>
      <c r="I344" s="229">
        <v>0</v>
      </c>
      <c r="J344" s="229">
        <v>1</v>
      </c>
      <c r="K344" s="26">
        <v>0</v>
      </c>
      <c r="L344" s="14">
        <v>0</v>
      </c>
      <c r="M344" s="229">
        <v>0</v>
      </c>
      <c r="N344" s="229">
        <v>0</v>
      </c>
      <c r="O344" s="229">
        <v>0</v>
      </c>
      <c r="P344" s="26">
        <v>0</v>
      </c>
      <c r="Q344" s="14">
        <v>0</v>
      </c>
      <c r="R344" s="229">
        <v>0</v>
      </c>
      <c r="S344" s="229">
        <v>0</v>
      </c>
      <c r="T344" s="229">
        <v>0</v>
      </c>
      <c r="U344" s="229">
        <v>0</v>
      </c>
      <c r="V344" s="229">
        <v>0</v>
      </c>
      <c r="W344" s="229">
        <v>0</v>
      </c>
      <c r="X344" s="229">
        <v>0</v>
      </c>
      <c r="Y344" s="229">
        <v>0</v>
      </c>
      <c r="Z344" s="229">
        <v>0</v>
      </c>
      <c r="AA344" s="229">
        <v>0</v>
      </c>
      <c r="AC344" s="12">
        <v>1</v>
      </c>
      <c r="AD344" s="14">
        <v>1</v>
      </c>
      <c r="AE344" s="14">
        <v>0</v>
      </c>
      <c r="AF344" s="26">
        <v>0</v>
      </c>
      <c r="AG344" s="12">
        <v>72</v>
      </c>
      <c r="AH344" s="14">
        <v>1</v>
      </c>
      <c r="AI344" s="209"/>
      <c r="AJ344" s="3"/>
      <c r="AK344" s="3"/>
      <c r="AL344" s="3"/>
      <c r="AM344" s="3"/>
      <c r="AN344" s="3"/>
      <c r="AO344" s="40"/>
      <c r="AP344" s="209"/>
      <c r="AQ344" s="3"/>
      <c r="AR344" s="40"/>
      <c r="AS344" s="238"/>
    </row>
    <row r="345" spans="1:45" s="229" customFormat="1">
      <c r="A345" s="83" t="s">
        <v>321</v>
      </c>
      <c r="B345" s="12">
        <v>3.105</v>
      </c>
      <c r="C345" s="229" t="s">
        <v>679</v>
      </c>
      <c r="D345" s="229" t="s">
        <v>639</v>
      </c>
      <c r="E345" s="229" t="s">
        <v>0</v>
      </c>
      <c r="F345" s="229">
        <v>836</v>
      </c>
      <c r="G345" s="40">
        <f>F345/346</f>
        <v>2.4161849710982657</v>
      </c>
      <c r="H345" s="14">
        <v>1</v>
      </c>
      <c r="I345" s="229">
        <v>1</v>
      </c>
      <c r="J345" s="229">
        <v>0</v>
      </c>
      <c r="K345" s="26">
        <v>1</v>
      </c>
      <c r="L345" s="14">
        <v>0</v>
      </c>
      <c r="M345" s="229">
        <v>0</v>
      </c>
      <c r="N345" s="229">
        <v>0</v>
      </c>
      <c r="O345" s="229">
        <v>0</v>
      </c>
      <c r="P345" s="26">
        <v>0</v>
      </c>
      <c r="Q345" s="14">
        <v>2</v>
      </c>
      <c r="R345" s="229">
        <v>0</v>
      </c>
      <c r="S345" s="229">
        <v>18</v>
      </c>
      <c r="T345" s="229">
        <v>0</v>
      </c>
      <c r="U345" s="229">
        <v>0</v>
      </c>
      <c r="V345" s="229">
        <v>0</v>
      </c>
      <c r="W345" s="229">
        <v>0</v>
      </c>
      <c r="X345" s="229">
        <v>0</v>
      </c>
      <c r="Y345" s="229">
        <v>0</v>
      </c>
      <c r="Z345" s="229">
        <v>0</v>
      </c>
      <c r="AA345" s="229">
        <v>0</v>
      </c>
      <c r="AC345" s="12">
        <v>2</v>
      </c>
      <c r="AD345" s="14">
        <v>6</v>
      </c>
      <c r="AE345" s="14">
        <v>100</v>
      </c>
      <c r="AF345" s="26">
        <v>369</v>
      </c>
      <c r="AG345" s="12">
        <v>72</v>
      </c>
      <c r="AH345" s="14">
        <v>1</v>
      </c>
      <c r="AI345" s="209">
        <v>87.1</v>
      </c>
      <c r="AJ345" s="3"/>
      <c r="AK345" s="3"/>
      <c r="AL345" s="3"/>
      <c r="AM345" s="3"/>
      <c r="AN345" s="3"/>
      <c r="AO345" s="40"/>
      <c r="AP345" s="209">
        <v>87.3</v>
      </c>
      <c r="AQ345" s="3"/>
      <c r="AR345" s="40"/>
      <c r="AS345" s="238"/>
    </row>
    <row r="346" spans="1:45" s="229" customFormat="1">
      <c r="A346" s="83" t="s">
        <v>321</v>
      </c>
      <c r="B346" s="12">
        <v>3.105</v>
      </c>
      <c r="C346" s="229" t="s">
        <v>679</v>
      </c>
      <c r="D346" s="229" t="s">
        <v>639</v>
      </c>
      <c r="E346" s="229" t="s">
        <v>1</v>
      </c>
      <c r="F346" s="229">
        <v>150</v>
      </c>
      <c r="G346" s="40">
        <f>F346/116</f>
        <v>1.2931034482758621</v>
      </c>
      <c r="H346" s="14">
        <v>0</v>
      </c>
      <c r="I346" s="229">
        <v>0</v>
      </c>
      <c r="J346" s="229">
        <v>0</v>
      </c>
      <c r="K346" s="26">
        <v>1</v>
      </c>
      <c r="L346" s="14">
        <v>0</v>
      </c>
      <c r="M346" s="229">
        <v>0</v>
      </c>
      <c r="N346" s="229">
        <v>0</v>
      </c>
      <c r="O346" s="229">
        <v>0</v>
      </c>
      <c r="P346" s="26">
        <v>0</v>
      </c>
      <c r="Q346" s="14">
        <v>0</v>
      </c>
      <c r="R346" s="229">
        <v>0</v>
      </c>
      <c r="S346" s="229">
        <v>0</v>
      </c>
      <c r="T346" s="229">
        <v>0</v>
      </c>
      <c r="U346" s="229">
        <v>0</v>
      </c>
      <c r="V346" s="229">
        <v>0</v>
      </c>
      <c r="W346" s="229">
        <v>0</v>
      </c>
      <c r="X346" s="229">
        <v>0</v>
      </c>
      <c r="Y346" s="229">
        <v>0</v>
      </c>
      <c r="Z346" s="229">
        <v>0</v>
      </c>
      <c r="AA346" s="229">
        <v>0</v>
      </c>
      <c r="AC346" s="12">
        <v>1</v>
      </c>
      <c r="AD346" s="14">
        <v>1</v>
      </c>
      <c r="AE346" s="14">
        <v>0</v>
      </c>
      <c r="AF346" s="26">
        <v>0</v>
      </c>
      <c r="AG346" s="12">
        <v>72</v>
      </c>
      <c r="AH346" s="14">
        <v>0</v>
      </c>
      <c r="AI346" s="209"/>
      <c r="AJ346" s="3"/>
      <c r="AK346" s="3"/>
      <c r="AL346" s="3"/>
      <c r="AM346" s="3"/>
      <c r="AN346" s="3"/>
      <c r="AO346" s="40"/>
      <c r="AP346" s="209"/>
      <c r="AQ346" s="3"/>
      <c r="AR346" s="40"/>
      <c r="AS346" s="238"/>
    </row>
    <row r="347" spans="1:45" s="229" customFormat="1">
      <c r="A347" s="83" t="s">
        <v>321</v>
      </c>
      <c r="B347" s="12">
        <v>3.105</v>
      </c>
      <c r="C347" s="229" t="s">
        <v>679</v>
      </c>
      <c r="D347" s="229" t="s">
        <v>639</v>
      </c>
      <c r="E347" s="229" t="s">
        <v>2</v>
      </c>
      <c r="F347" s="229">
        <v>209</v>
      </c>
      <c r="G347" s="40">
        <f>F347/162</f>
        <v>1.2901234567901234</v>
      </c>
      <c r="H347" s="14">
        <v>1</v>
      </c>
      <c r="I347" s="229">
        <v>0</v>
      </c>
      <c r="J347" s="229">
        <v>0</v>
      </c>
      <c r="K347" s="26">
        <v>1</v>
      </c>
      <c r="L347" s="14">
        <v>0</v>
      </c>
      <c r="M347" s="229">
        <v>0</v>
      </c>
      <c r="N347" s="229">
        <v>0</v>
      </c>
      <c r="O347" s="229">
        <v>0</v>
      </c>
      <c r="P347" s="26">
        <v>0</v>
      </c>
      <c r="Q347" s="14">
        <v>0</v>
      </c>
      <c r="R347" s="229">
        <v>0</v>
      </c>
      <c r="S347" s="229">
        <v>0</v>
      </c>
      <c r="T347" s="229">
        <v>0</v>
      </c>
      <c r="U347" s="229">
        <v>0</v>
      </c>
      <c r="V347" s="229">
        <v>0</v>
      </c>
      <c r="W347" s="229">
        <v>0</v>
      </c>
      <c r="X347" s="229">
        <v>0</v>
      </c>
      <c r="Y347" s="229">
        <v>0</v>
      </c>
      <c r="Z347" s="229">
        <v>0</v>
      </c>
      <c r="AA347" s="229">
        <v>0</v>
      </c>
      <c r="AC347" s="12">
        <v>2</v>
      </c>
      <c r="AD347" s="14">
        <v>2</v>
      </c>
      <c r="AE347" s="14">
        <v>80</v>
      </c>
      <c r="AF347" s="26">
        <v>162</v>
      </c>
      <c r="AG347" s="12">
        <v>72</v>
      </c>
      <c r="AH347" s="14">
        <v>0</v>
      </c>
      <c r="AI347" s="209"/>
      <c r="AJ347" s="3"/>
      <c r="AK347" s="3"/>
      <c r="AL347" s="3"/>
      <c r="AM347" s="3"/>
      <c r="AN347" s="3"/>
      <c r="AO347" s="40"/>
      <c r="AP347" s="209"/>
      <c r="AQ347" s="3"/>
      <c r="AR347" s="40"/>
      <c r="AS347" s="238"/>
    </row>
    <row r="348" spans="1:45" s="229" customFormat="1">
      <c r="A348" s="83" t="s">
        <v>321</v>
      </c>
      <c r="B348" s="12">
        <v>3.105</v>
      </c>
      <c r="C348" s="229" t="s">
        <v>679</v>
      </c>
      <c r="D348" s="229" t="s">
        <v>640</v>
      </c>
      <c r="E348" s="229" t="s">
        <v>0</v>
      </c>
      <c r="F348" s="229">
        <v>1059</v>
      </c>
      <c r="G348" s="40">
        <f>F348/1022</f>
        <v>1.0362035225048924</v>
      </c>
      <c r="H348" s="14">
        <v>0</v>
      </c>
      <c r="I348" s="229">
        <v>1</v>
      </c>
      <c r="J348" s="229">
        <v>0</v>
      </c>
      <c r="K348" s="26">
        <v>1</v>
      </c>
      <c r="L348" s="14">
        <v>0</v>
      </c>
      <c r="M348" s="229">
        <v>0</v>
      </c>
      <c r="N348" s="229">
        <v>0</v>
      </c>
      <c r="O348" s="229">
        <v>0</v>
      </c>
      <c r="P348" s="26">
        <v>0</v>
      </c>
      <c r="Q348" s="14">
        <v>5</v>
      </c>
      <c r="R348" s="229">
        <v>0</v>
      </c>
      <c r="S348" s="229">
        <v>0</v>
      </c>
      <c r="T348" s="229">
        <v>0</v>
      </c>
      <c r="U348" s="229">
        <v>0</v>
      </c>
      <c r="V348" s="229">
        <v>0</v>
      </c>
      <c r="W348" s="229">
        <v>0</v>
      </c>
      <c r="X348" s="229">
        <v>0</v>
      </c>
      <c r="Y348" s="229">
        <v>0</v>
      </c>
      <c r="Z348" s="229">
        <v>0</v>
      </c>
      <c r="AA348" s="229">
        <v>119</v>
      </c>
      <c r="AC348" s="12">
        <v>2</v>
      </c>
      <c r="AD348" s="14">
        <v>3</v>
      </c>
      <c r="AE348" s="14">
        <v>286</v>
      </c>
      <c r="AF348" s="26">
        <v>1059</v>
      </c>
      <c r="AG348" s="12">
        <v>103</v>
      </c>
      <c r="AH348" s="14">
        <v>1</v>
      </c>
      <c r="AI348" s="209"/>
      <c r="AJ348" s="3"/>
      <c r="AK348" s="3"/>
      <c r="AL348" s="3"/>
      <c r="AM348" s="3"/>
      <c r="AN348" s="3"/>
      <c r="AO348" s="40"/>
      <c r="AP348" s="209"/>
      <c r="AQ348" s="3"/>
      <c r="AR348" s="40"/>
      <c r="AS348" s="238"/>
    </row>
    <row r="349" spans="1:45" s="229" customFormat="1">
      <c r="A349" s="83" t="s">
        <v>321</v>
      </c>
      <c r="B349" s="12">
        <v>3.105</v>
      </c>
      <c r="C349" s="229" t="s">
        <v>679</v>
      </c>
      <c r="D349" s="229" t="s">
        <v>640</v>
      </c>
      <c r="E349" s="229" t="s">
        <v>1</v>
      </c>
      <c r="F349" s="229">
        <v>615</v>
      </c>
      <c r="G349" s="40">
        <f>F349/429</f>
        <v>1.4335664335664335</v>
      </c>
      <c r="H349" s="14">
        <v>1</v>
      </c>
      <c r="I349" s="229">
        <v>1</v>
      </c>
      <c r="J349" s="229">
        <v>0</v>
      </c>
      <c r="K349" s="26">
        <v>1</v>
      </c>
      <c r="L349" s="14">
        <v>0</v>
      </c>
      <c r="M349" s="229">
        <v>0</v>
      </c>
      <c r="N349" s="229">
        <v>0</v>
      </c>
      <c r="O349" s="229">
        <v>0</v>
      </c>
      <c r="P349" s="26">
        <v>0</v>
      </c>
      <c r="Q349" s="14">
        <v>0</v>
      </c>
      <c r="R349" s="229">
        <v>0</v>
      </c>
      <c r="S349" s="229">
        <v>0</v>
      </c>
      <c r="T349" s="229">
        <v>0</v>
      </c>
      <c r="U349" s="229">
        <v>0</v>
      </c>
      <c r="V349" s="229">
        <v>0</v>
      </c>
      <c r="W349" s="229">
        <v>0</v>
      </c>
      <c r="X349" s="229">
        <v>0</v>
      </c>
      <c r="Y349" s="229">
        <v>0</v>
      </c>
      <c r="Z349" s="229">
        <v>0</v>
      </c>
      <c r="AA349" s="229">
        <v>0</v>
      </c>
      <c r="AC349" s="12">
        <v>2</v>
      </c>
      <c r="AD349" s="14">
        <v>3</v>
      </c>
      <c r="AE349" s="14">
        <v>169</v>
      </c>
      <c r="AF349" s="26">
        <v>349</v>
      </c>
      <c r="AG349" s="12">
        <v>103</v>
      </c>
      <c r="AH349" s="14">
        <v>1</v>
      </c>
      <c r="AI349" s="209"/>
      <c r="AJ349" s="3"/>
      <c r="AK349" s="3"/>
      <c r="AL349" s="3"/>
      <c r="AM349" s="3"/>
      <c r="AN349" s="3"/>
      <c r="AO349" s="40"/>
      <c r="AP349" s="209"/>
      <c r="AQ349" s="3"/>
      <c r="AR349" s="40"/>
      <c r="AS349" s="238"/>
    </row>
    <row r="350" spans="1:45" s="229" customFormat="1">
      <c r="A350" s="83" t="s">
        <v>321</v>
      </c>
      <c r="B350" s="12">
        <v>3.105</v>
      </c>
      <c r="C350" s="229" t="s">
        <v>679</v>
      </c>
      <c r="D350" s="229" t="s">
        <v>640</v>
      </c>
      <c r="E350" s="229" t="s">
        <v>2</v>
      </c>
      <c r="F350" s="229">
        <v>357</v>
      </c>
      <c r="G350" s="40">
        <f>F350/300</f>
        <v>1.19</v>
      </c>
      <c r="H350" s="14">
        <v>0</v>
      </c>
      <c r="I350" s="229">
        <v>1</v>
      </c>
      <c r="J350" s="229">
        <v>0</v>
      </c>
      <c r="K350" s="26">
        <v>1</v>
      </c>
      <c r="L350" s="14">
        <v>0</v>
      </c>
      <c r="M350" s="229">
        <v>0</v>
      </c>
      <c r="N350" s="229">
        <v>0</v>
      </c>
      <c r="O350" s="229">
        <v>0</v>
      </c>
      <c r="P350" s="26">
        <v>0</v>
      </c>
      <c r="Q350" s="14">
        <v>0</v>
      </c>
      <c r="R350" s="229">
        <v>0</v>
      </c>
      <c r="S350" s="229">
        <v>0</v>
      </c>
      <c r="T350" s="229">
        <v>0</v>
      </c>
      <c r="U350" s="229">
        <v>0</v>
      </c>
      <c r="V350" s="229">
        <v>0</v>
      </c>
      <c r="W350" s="229">
        <v>0</v>
      </c>
      <c r="X350" s="229">
        <v>0</v>
      </c>
      <c r="Y350" s="229">
        <v>0</v>
      </c>
      <c r="Z350" s="229">
        <v>0</v>
      </c>
      <c r="AA350" s="229">
        <v>0</v>
      </c>
      <c r="AC350" s="12">
        <v>2</v>
      </c>
      <c r="AD350" s="14">
        <v>2</v>
      </c>
      <c r="AE350" s="14">
        <v>168</v>
      </c>
      <c r="AF350" s="26">
        <v>357</v>
      </c>
      <c r="AG350" s="12">
        <v>103</v>
      </c>
      <c r="AH350" s="14">
        <v>1</v>
      </c>
      <c r="AI350" s="209"/>
      <c r="AJ350" s="3"/>
      <c r="AK350" s="3"/>
      <c r="AL350" s="3"/>
      <c r="AM350" s="3"/>
      <c r="AN350" s="3"/>
      <c r="AO350" s="40"/>
      <c r="AP350" s="209"/>
      <c r="AQ350" s="3"/>
      <c r="AR350" s="40"/>
      <c r="AS350" s="238"/>
    </row>
    <row r="351" spans="1:45" s="229" customFormat="1">
      <c r="A351" s="83" t="s">
        <v>321</v>
      </c>
      <c r="B351" s="12">
        <v>3.105</v>
      </c>
      <c r="C351" s="229" t="s">
        <v>679</v>
      </c>
      <c r="D351" s="229" t="s">
        <v>640</v>
      </c>
      <c r="E351" s="229" t="s">
        <v>3</v>
      </c>
      <c r="F351" s="229">
        <v>263</v>
      </c>
      <c r="G351" s="40">
        <f>F351/165</f>
        <v>1.593939393939394</v>
      </c>
      <c r="H351" s="14">
        <v>1</v>
      </c>
      <c r="I351" s="229">
        <v>0</v>
      </c>
      <c r="J351" s="229">
        <v>0</v>
      </c>
      <c r="K351" s="26">
        <v>0</v>
      </c>
      <c r="L351" s="14">
        <v>0</v>
      </c>
      <c r="M351" s="229">
        <v>0</v>
      </c>
      <c r="N351" s="229">
        <v>0</v>
      </c>
      <c r="O351" s="229">
        <v>0</v>
      </c>
      <c r="P351" s="26">
        <v>0</v>
      </c>
      <c r="Q351" s="14">
        <v>0</v>
      </c>
      <c r="R351" s="229">
        <v>0</v>
      </c>
      <c r="S351" s="229">
        <v>0</v>
      </c>
      <c r="T351" s="229">
        <v>0</v>
      </c>
      <c r="U351" s="229">
        <v>0</v>
      </c>
      <c r="V351" s="229">
        <v>0</v>
      </c>
      <c r="W351" s="229">
        <v>0</v>
      </c>
      <c r="X351" s="229">
        <v>0</v>
      </c>
      <c r="Y351" s="229">
        <v>0</v>
      </c>
      <c r="Z351" s="229">
        <v>0</v>
      </c>
      <c r="AA351" s="229">
        <v>0</v>
      </c>
      <c r="AC351" s="12">
        <v>1</v>
      </c>
      <c r="AD351" s="14">
        <v>1</v>
      </c>
      <c r="AE351" s="14">
        <v>0</v>
      </c>
      <c r="AF351" s="26">
        <v>0</v>
      </c>
      <c r="AG351" s="12">
        <v>103</v>
      </c>
      <c r="AH351" s="14">
        <v>0</v>
      </c>
      <c r="AI351" s="209"/>
      <c r="AJ351" s="3"/>
      <c r="AK351" s="3"/>
      <c r="AL351" s="3"/>
      <c r="AM351" s="3"/>
      <c r="AN351" s="3"/>
      <c r="AO351" s="40"/>
      <c r="AP351" s="209"/>
      <c r="AQ351" s="3"/>
      <c r="AR351" s="40"/>
      <c r="AS351" s="238"/>
    </row>
    <row r="352" spans="1:45" s="229" customFormat="1">
      <c r="A352" s="83" t="s">
        <v>321</v>
      </c>
      <c r="B352" s="12">
        <v>3.105</v>
      </c>
      <c r="C352" s="229" t="s">
        <v>679</v>
      </c>
      <c r="D352" s="229" t="s">
        <v>641</v>
      </c>
      <c r="E352" s="229" t="s">
        <v>0</v>
      </c>
      <c r="F352" s="229">
        <v>327</v>
      </c>
      <c r="G352" s="40">
        <f>F352/161</f>
        <v>2.031055900621118</v>
      </c>
      <c r="H352" s="14">
        <v>1</v>
      </c>
      <c r="I352" s="229">
        <v>0</v>
      </c>
      <c r="J352" s="229">
        <v>0</v>
      </c>
      <c r="K352" s="26">
        <v>0</v>
      </c>
      <c r="L352" s="14">
        <v>0</v>
      </c>
      <c r="M352" s="229">
        <v>0</v>
      </c>
      <c r="N352" s="229">
        <v>0</v>
      </c>
      <c r="O352" s="229">
        <v>0</v>
      </c>
      <c r="P352" s="26">
        <v>0</v>
      </c>
      <c r="Q352" s="14">
        <v>10</v>
      </c>
      <c r="R352" s="229">
        <v>0</v>
      </c>
      <c r="S352" s="229">
        <v>33</v>
      </c>
      <c r="T352" s="229">
        <v>0</v>
      </c>
      <c r="U352" s="229">
        <v>0</v>
      </c>
      <c r="V352" s="229">
        <v>0</v>
      </c>
      <c r="W352" s="229">
        <v>0</v>
      </c>
      <c r="X352" s="229">
        <v>0</v>
      </c>
      <c r="Y352" s="229">
        <v>0</v>
      </c>
      <c r="Z352" s="229">
        <v>0</v>
      </c>
      <c r="AA352" s="229">
        <v>0</v>
      </c>
      <c r="AC352" s="12">
        <v>2</v>
      </c>
      <c r="AD352" s="14">
        <v>5</v>
      </c>
      <c r="AE352" s="14">
        <v>95</v>
      </c>
      <c r="AF352" s="26">
        <v>177</v>
      </c>
      <c r="AG352" s="12">
        <v>77</v>
      </c>
      <c r="AH352" s="14">
        <v>1</v>
      </c>
      <c r="AI352" s="209"/>
      <c r="AJ352" s="3"/>
      <c r="AK352" s="3"/>
      <c r="AL352" s="3"/>
      <c r="AM352" s="3"/>
      <c r="AN352" s="3"/>
      <c r="AO352" s="40"/>
      <c r="AP352" s="209"/>
      <c r="AQ352" s="3"/>
      <c r="AR352" s="40"/>
      <c r="AS352" s="238"/>
    </row>
    <row r="353" spans="1:45" s="229" customFormat="1">
      <c r="A353" s="83" t="s">
        <v>321</v>
      </c>
      <c r="B353" s="12">
        <v>3.105</v>
      </c>
      <c r="C353" s="229" t="s">
        <v>679</v>
      </c>
      <c r="D353" s="229" t="s">
        <v>641</v>
      </c>
      <c r="E353" s="229" t="s">
        <v>1</v>
      </c>
      <c r="F353" s="229">
        <v>812</v>
      </c>
      <c r="G353" s="40">
        <f>F353/371</f>
        <v>2.1886792452830188</v>
      </c>
      <c r="H353" s="14">
        <v>1</v>
      </c>
      <c r="I353" s="229">
        <v>0</v>
      </c>
      <c r="J353" s="229">
        <v>0</v>
      </c>
      <c r="K353" s="26">
        <v>1</v>
      </c>
      <c r="L353" s="14">
        <v>0</v>
      </c>
      <c r="M353" s="229">
        <v>0</v>
      </c>
      <c r="N353" s="229">
        <v>0</v>
      </c>
      <c r="O353" s="229">
        <v>0</v>
      </c>
      <c r="P353" s="26">
        <v>0</v>
      </c>
      <c r="Q353" s="14">
        <v>0</v>
      </c>
      <c r="R353" s="229">
        <v>0</v>
      </c>
      <c r="S353" s="229">
        <v>0</v>
      </c>
      <c r="T353" s="229">
        <v>0</v>
      </c>
      <c r="U353" s="229">
        <v>0</v>
      </c>
      <c r="V353" s="229">
        <v>0</v>
      </c>
      <c r="W353" s="229">
        <v>0</v>
      </c>
      <c r="X353" s="229">
        <v>0</v>
      </c>
      <c r="Y353" s="229">
        <v>0</v>
      </c>
      <c r="Z353" s="229">
        <v>0</v>
      </c>
      <c r="AA353" s="229">
        <v>0</v>
      </c>
      <c r="AC353" s="12">
        <v>2</v>
      </c>
      <c r="AD353" s="14">
        <v>7</v>
      </c>
      <c r="AE353" s="14">
        <v>123</v>
      </c>
      <c r="AF353" s="26">
        <v>371</v>
      </c>
      <c r="AG353" s="12">
        <v>77</v>
      </c>
      <c r="AH353" s="14">
        <v>1</v>
      </c>
      <c r="AI353" s="209"/>
      <c r="AJ353" s="3"/>
      <c r="AK353" s="3"/>
      <c r="AL353" s="3"/>
      <c r="AM353" s="3"/>
      <c r="AN353" s="3"/>
      <c r="AO353" s="40"/>
      <c r="AP353" s="209"/>
      <c r="AQ353" s="3"/>
      <c r="AR353" s="40"/>
      <c r="AS353" s="238"/>
    </row>
    <row r="354" spans="1:45" s="229" customFormat="1">
      <c r="A354" s="83" t="s">
        <v>321</v>
      </c>
      <c r="B354" s="12">
        <v>3.105</v>
      </c>
      <c r="C354" s="229" t="s">
        <v>679</v>
      </c>
      <c r="D354" s="229" t="s">
        <v>641</v>
      </c>
      <c r="E354" s="229" t="s">
        <v>2</v>
      </c>
      <c r="F354" s="229">
        <v>153</v>
      </c>
      <c r="G354" s="40">
        <f>F354/113</f>
        <v>1.3539823008849559</v>
      </c>
      <c r="H354" s="14">
        <v>1</v>
      </c>
      <c r="I354" s="229">
        <v>0</v>
      </c>
      <c r="J354" s="229">
        <v>0</v>
      </c>
      <c r="K354" s="26">
        <v>0</v>
      </c>
      <c r="L354" s="14">
        <v>0</v>
      </c>
      <c r="M354" s="229">
        <v>0</v>
      </c>
      <c r="N354" s="229">
        <v>0</v>
      </c>
      <c r="O354" s="229">
        <v>0</v>
      </c>
      <c r="P354" s="26">
        <v>0</v>
      </c>
      <c r="Q354" s="14">
        <v>0</v>
      </c>
      <c r="R354" s="229">
        <v>0</v>
      </c>
      <c r="S354" s="229">
        <v>0</v>
      </c>
      <c r="T354" s="229">
        <v>0</v>
      </c>
      <c r="U354" s="229">
        <v>0</v>
      </c>
      <c r="V354" s="229">
        <v>0</v>
      </c>
      <c r="W354" s="229">
        <v>0</v>
      </c>
      <c r="X354" s="229">
        <v>0</v>
      </c>
      <c r="Y354" s="229">
        <v>0</v>
      </c>
      <c r="Z354" s="229">
        <v>0</v>
      </c>
      <c r="AA354" s="229">
        <v>0</v>
      </c>
      <c r="AC354" s="12">
        <v>1</v>
      </c>
      <c r="AD354" s="14">
        <v>1</v>
      </c>
      <c r="AE354" s="14">
        <v>0</v>
      </c>
      <c r="AF354" s="26">
        <v>0</v>
      </c>
      <c r="AG354" s="12">
        <v>77</v>
      </c>
      <c r="AH354" s="14">
        <v>1</v>
      </c>
      <c r="AI354" s="209"/>
      <c r="AJ354" s="3"/>
      <c r="AK354" s="3"/>
      <c r="AL354" s="3"/>
      <c r="AM354" s="3"/>
      <c r="AN354" s="3"/>
      <c r="AO354" s="40"/>
      <c r="AP354" s="209"/>
      <c r="AQ354" s="3"/>
      <c r="AR354" s="40"/>
      <c r="AS354" s="238"/>
    </row>
    <row r="355" spans="1:45" s="229" customFormat="1">
      <c r="A355" s="83" t="s">
        <v>321</v>
      </c>
      <c r="B355" s="12">
        <v>3.105</v>
      </c>
      <c r="C355" s="229" t="s">
        <v>679</v>
      </c>
      <c r="D355" s="229" t="s">
        <v>647</v>
      </c>
      <c r="F355" s="229">
        <v>2385</v>
      </c>
      <c r="G355" s="40">
        <f>F355/1878</f>
        <v>1.2699680511182108</v>
      </c>
      <c r="H355" s="14">
        <v>0</v>
      </c>
      <c r="I355" s="229">
        <v>1</v>
      </c>
      <c r="J355" s="229">
        <v>0</v>
      </c>
      <c r="K355" s="26">
        <v>0</v>
      </c>
      <c r="L355" s="14">
        <v>0</v>
      </c>
      <c r="M355" s="229">
        <v>0</v>
      </c>
      <c r="N355" s="229">
        <v>0</v>
      </c>
      <c r="O355" s="229">
        <v>0</v>
      </c>
      <c r="P355" s="26">
        <v>0</v>
      </c>
      <c r="Q355" s="14">
        <v>10</v>
      </c>
      <c r="R355" s="229">
        <v>0</v>
      </c>
      <c r="S355" s="229">
        <v>0</v>
      </c>
      <c r="T355" s="229">
        <v>0</v>
      </c>
      <c r="U355" s="229">
        <v>0</v>
      </c>
      <c r="V355" s="229">
        <v>0</v>
      </c>
      <c r="W355" s="229">
        <v>0</v>
      </c>
      <c r="X355" s="229">
        <v>0</v>
      </c>
      <c r="Y355" s="229">
        <v>0</v>
      </c>
      <c r="Z355" s="229">
        <v>87</v>
      </c>
      <c r="AA355" s="229">
        <v>248</v>
      </c>
      <c r="AC355" s="12">
        <v>2</v>
      </c>
      <c r="AD355" s="14">
        <v>3</v>
      </c>
      <c r="AE355" s="14">
        <v>462</v>
      </c>
      <c r="AF355" s="26">
        <v>2372</v>
      </c>
      <c r="AG355" s="12">
        <v>8</v>
      </c>
      <c r="AH355" s="14">
        <v>1</v>
      </c>
      <c r="AI355" s="209">
        <v>87.2</v>
      </c>
      <c r="AJ355" s="3">
        <v>87.6</v>
      </c>
      <c r="AK355" s="3"/>
      <c r="AL355" s="3"/>
      <c r="AM355" s="3"/>
      <c r="AN355" s="3"/>
      <c r="AO355" s="40"/>
      <c r="AP355" s="209">
        <v>87.3</v>
      </c>
      <c r="AQ355" s="3">
        <v>87.2</v>
      </c>
      <c r="AR355" s="40"/>
      <c r="AS355" s="238"/>
    </row>
    <row r="356" spans="1:45" s="229" customFormat="1">
      <c r="A356" s="83" t="s">
        <v>321</v>
      </c>
      <c r="B356" s="12">
        <v>3.105</v>
      </c>
      <c r="C356" s="229" t="s">
        <v>679</v>
      </c>
      <c r="D356" s="229" t="s">
        <v>648</v>
      </c>
      <c r="E356" s="229" t="s">
        <v>0</v>
      </c>
      <c r="F356" s="229">
        <v>768</v>
      </c>
      <c r="G356" s="40">
        <f>F356/496</f>
        <v>1.5483870967741935</v>
      </c>
      <c r="H356" s="14">
        <v>1</v>
      </c>
      <c r="I356" s="229">
        <v>0</v>
      </c>
      <c r="J356" s="229">
        <v>0</v>
      </c>
      <c r="K356" s="26">
        <v>1</v>
      </c>
      <c r="L356" s="14">
        <v>0</v>
      </c>
      <c r="M356" s="229">
        <v>0</v>
      </c>
      <c r="N356" s="229">
        <v>0</v>
      </c>
      <c r="O356" s="229">
        <v>0</v>
      </c>
      <c r="P356" s="26">
        <v>0</v>
      </c>
      <c r="Q356" s="14">
        <v>0</v>
      </c>
      <c r="R356" s="229">
        <v>0</v>
      </c>
      <c r="S356" s="229">
        <v>0</v>
      </c>
      <c r="T356" s="229">
        <v>0</v>
      </c>
      <c r="U356" s="229">
        <v>0</v>
      </c>
      <c r="V356" s="229">
        <v>0</v>
      </c>
      <c r="W356" s="229">
        <v>0</v>
      </c>
      <c r="X356" s="229">
        <v>0</v>
      </c>
      <c r="Y356" s="229">
        <v>0</v>
      </c>
      <c r="Z356" s="229">
        <v>0</v>
      </c>
      <c r="AA356" s="229">
        <v>0</v>
      </c>
      <c r="AC356" s="12">
        <v>2</v>
      </c>
      <c r="AD356" s="14">
        <v>6</v>
      </c>
      <c r="AE356" s="14">
        <v>82</v>
      </c>
      <c r="AF356" s="26">
        <v>423</v>
      </c>
      <c r="AG356" s="12">
        <v>79</v>
      </c>
      <c r="AH356" s="14">
        <v>1</v>
      </c>
      <c r="AI356" s="209"/>
      <c r="AJ356" s="3"/>
      <c r="AK356" s="3"/>
      <c r="AL356" s="3"/>
      <c r="AM356" s="3"/>
      <c r="AN356" s="3"/>
      <c r="AO356" s="40"/>
      <c r="AP356" s="209"/>
      <c r="AQ356" s="3"/>
      <c r="AR356" s="40"/>
      <c r="AS356" s="238"/>
    </row>
    <row r="357" spans="1:45" s="229" customFormat="1">
      <c r="A357" s="83" t="s">
        <v>321</v>
      </c>
      <c r="B357" s="12">
        <v>3.105</v>
      </c>
      <c r="C357" s="229" t="s">
        <v>679</v>
      </c>
      <c r="D357" s="229" t="s">
        <v>648</v>
      </c>
      <c r="E357" s="229" t="s">
        <v>1</v>
      </c>
      <c r="F357" s="229">
        <v>900</v>
      </c>
      <c r="G357" s="40">
        <f>F357/499</f>
        <v>1.8036072144288577</v>
      </c>
      <c r="H357" s="14">
        <v>1</v>
      </c>
      <c r="I357" s="229">
        <v>1</v>
      </c>
      <c r="J357" s="229">
        <v>0</v>
      </c>
      <c r="K357" s="26">
        <v>0</v>
      </c>
      <c r="L357" s="14">
        <v>0</v>
      </c>
      <c r="M357" s="229">
        <v>0</v>
      </c>
      <c r="N357" s="229">
        <v>1</v>
      </c>
      <c r="O357" s="229">
        <v>0</v>
      </c>
      <c r="P357" s="26">
        <v>1</v>
      </c>
      <c r="Q357" s="14">
        <v>2</v>
      </c>
      <c r="R357" s="229">
        <v>0</v>
      </c>
      <c r="S357" s="229">
        <v>33</v>
      </c>
      <c r="T357" s="229">
        <v>0</v>
      </c>
      <c r="U357" s="229">
        <v>0</v>
      </c>
      <c r="V357" s="229">
        <v>0</v>
      </c>
      <c r="W357" s="229">
        <v>39</v>
      </c>
      <c r="X357" s="229">
        <v>0</v>
      </c>
      <c r="Y357" s="229">
        <v>0</v>
      </c>
      <c r="Z357" s="229">
        <v>0</v>
      </c>
      <c r="AA357" s="229">
        <v>0</v>
      </c>
      <c r="AC357" s="12">
        <v>2</v>
      </c>
      <c r="AD357" s="14">
        <v>3</v>
      </c>
      <c r="AE357" s="14">
        <v>146</v>
      </c>
      <c r="AF357" s="26">
        <v>743</v>
      </c>
      <c r="AG357" s="12">
        <v>79</v>
      </c>
      <c r="AH357" s="14">
        <v>1</v>
      </c>
      <c r="AI357" s="209"/>
      <c r="AJ357" s="3"/>
      <c r="AK357" s="3"/>
      <c r="AL357" s="3"/>
      <c r="AM357" s="3"/>
      <c r="AN357" s="3"/>
      <c r="AO357" s="40"/>
      <c r="AP357" s="209"/>
      <c r="AQ357" s="3"/>
      <c r="AR357" s="40"/>
      <c r="AS357" s="238"/>
    </row>
    <row r="358" spans="1:45" s="229" customFormat="1">
      <c r="A358" s="83" t="s">
        <v>321</v>
      </c>
      <c r="B358" s="12">
        <v>3.105</v>
      </c>
      <c r="C358" s="229" t="s">
        <v>679</v>
      </c>
      <c r="D358" s="229" t="s">
        <v>649</v>
      </c>
      <c r="E358" s="229" t="s">
        <v>0</v>
      </c>
      <c r="F358" s="229">
        <v>687</v>
      </c>
      <c r="G358" s="40">
        <f>F358/476</f>
        <v>1.4432773109243697</v>
      </c>
      <c r="H358" s="14">
        <v>1</v>
      </c>
      <c r="I358" s="229">
        <v>0</v>
      </c>
      <c r="J358" s="229">
        <v>0</v>
      </c>
      <c r="K358" s="26">
        <v>1</v>
      </c>
      <c r="L358" s="14">
        <v>0</v>
      </c>
      <c r="M358" s="229">
        <v>0</v>
      </c>
      <c r="N358" s="229">
        <v>0</v>
      </c>
      <c r="O358" s="229">
        <v>0</v>
      </c>
      <c r="P358" s="26">
        <v>0</v>
      </c>
      <c r="Q358" s="14">
        <v>0</v>
      </c>
      <c r="R358" s="229">
        <v>0</v>
      </c>
      <c r="S358" s="229">
        <v>0</v>
      </c>
      <c r="T358" s="229">
        <v>0</v>
      </c>
      <c r="U358" s="229">
        <v>0</v>
      </c>
      <c r="V358" s="229">
        <v>0</v>
      </c>
      <c r="W358" s="229">
        <v>0</v>
      </c>
      <c r="X358" s="229">
        <v>0</v>
      </c>
      <c r="Y358" s="229">
        <v>0</v>
      </c>
      <c r="Z358" s="229">
        <v>0</v>
      </c>
      <c r="AA358" s="229">
        <v>0</v>
      </c>
      <c r="AC358" s="12">
        <v>2</v>
      </c>
      <c r="AD358" s="14">
        <v>3</v>
      </c>
      <c r="AE358" s="14">
        <v>178</v>
      </c>
      <c r="AF358" s="26">
        <v>543</v>
      </c>
      <c r="AG358" s="12">
        <v>81</v>
      </c>
      <c r="AH358" s="14">
        <v>1</v>
      </c>
      <c r="AI358" s="209"/>
      <c r="AJ358" s="3"/>
      <c r="AK358" s="3"/>
      <c r="AL358" s="3"/>
      <c r="AM358" s="3"/>
      <c r="AN358" s="3"/>
      <c r="AO358" s="40"/>
      <c r="AP358" s="209"/>
      <c r="AQ358" s="3"/>
      <c r="AR358" s="40"/>
      <c r="AS358" s="238"/>
    </row>
    <row r="359" spans="1:45" s="229" customFormat="1">
      <c r="A359" s="83" t="s">
        <v>321</v>
      </c>
      <c r="B359" s="12">
        <v>3.105</v>
      </c>
      <c r="C359" s="229" t="s">
        <v>679</v>
      </c>
      <c r="D359" s="229" t="s">
        <v>649</v>
      </c>
      <c r="E359" s="229" t="s">
        <v>1</v>
      </c>
      <c r="F359" s="229">
        <v>322</v>
      </c>
      <c r="G359" s="40">
        <f>F359/211</f>
        <v>1.5260663507109005</v>
      </c>
      <c r="H359" s="14">
        <v>1</v>
      </c>
      <c r="I359" s="229">
        <v>0</v>
      </c>
      <c r="J359" s="229">
        <v>0</v>
      </c>
      <c r="K359" s="26">
        <v>0</v>
      </c>
      <c r="L359" s="14">
        <v>0</v>
      </c>
      <c r="M359" s="229">
        <v>0</v>
      </c>
      <c r="N359" s="229">
        <v>0</v>
      </c>
      <c r="O359" s="229">
        <v>0</v>
      </c>
      <c r="P359" s="26">
        <v>0</v>
      </c>
      <c r="Q359" s="14">
        <v>0</v>
      </c>
      <c r="R359" s="229">
        <v>0</v>
      </c>
      <c r="S359" s="229">
        <v>0</v>
      </c>
      <c r="T359" s="229">
        <v>0</v>
      </c>
      <c r="U359" s="229">
        <v>0</v>
      </c>
      <c r="V359" s="229">
        <v>0</v>
      </c>
      <c r="W359" s="229">
        <v>0</v>
      </c>
      <c r="X359" s="229">
        <v>0</v>
      </c>
      <c r="Y359" s="229">
        <v>0</v>
      </c>
      <c r="Z359" s="229">
        <v>0</v>
      </c>
      <c r="AA359" s="229">
        <v>0</v>
      </c>
      <c r="AC359" s="12">
        <v>2</v>
      </c>
      <c r="AD359" s="14">
        <v>2</v>
      </c>
      <c r="AE359" s="14">
        <v>211</v>
      </c>
      <c r="AF359" s="26">
        <v>218</v>
      </c>
      <c r="AG359" s="12">
        <v>81</v>
      </c>
      <c r="AH359" s="14">
        <v>1</v>
      </c>
      <c r="AI359" s="209"/>
      <c r="AJ359" s="3"/>
      <c r="AK359" s="3"/>
      <c r="AL359" s="3"/>
      <c r="AM359" s="3"/>
      <c r="AN359" s="3"/>
      <c r="AO359" s="40"/>
      <c r="AP359" s="209"/>
      <c r="AQ359" s="3"/>
      <c r="AR359" s="40"/>
      <c r="AS359" s="238"/>
    </row>
    <row r="360" spans="1:45" s="229" customFormat="1">
      <c r="A360" s="83" t="s">
        <v>321</v>
      </c>
      <c r="B360" s="12">
        <v>3.105</v>
      </c>
      <c r="C360" s="229" t="s">
        <v>679</v>
      </c>
      <c r="D360" s="229" t="s">
        <v>649</v>
      </c>
      <c r="E360" s="229" t="s">
        <v>2</v>
      </c>
      <c r="F360" s="229">
        <v>416</v>
      </c>
      <c r="G360" s="40">
        <f>F360/95</f>
        <v>4.3789473684210529</v>
      </c>
      <c r="H360" s="14">
        <v>1</v>
      </c>
      <c r="I360" s="229">
        <v>0</v>
      </c>
      <c r="J360" s="229">
        <v>0</v>
      </c>
      <c r="K360" s="26">
        <v>1</v>
      </c>
      <c r="L360" s="14">
        <v>0</v>
      </c>
      <c r="M360" s="229">
        <v>0</v>
      </c>
      <c r="N360" s="229">
        <v>0</v>
      </c>
      <c r="O360" s="229">
        <v>0</v>
      </c>
      <c r="P360" s="26">
        <v>0</v>
      </c>
      <c r="Q360" s="14">
        <v>5</v>
      </c>
      <c r="R360" s="229">
        <v>0</v>
      </c>
      <c r="S360" s="229">
        <v>0</v>
      </c>
      <c r="T360" s="229">
        <v>0</v>
      </c>
      <c r="U360" s="229">
        <v>0</v>
      </c>
      <c r="V360" s="229">
        <v>0</v>
      </c>
      <c r="W360" s="229">
        <v>25</v>
      </c>
      <c r="X360" s="229">
        <v>0</v>
      </c>
      <c r="Y360" s="229">
        <v>0</v>
      </c>
      <c r="Z360" s="229">
        <v>0</v>
      </c>
      <c r="AA360" s="229">
        <v>0</v>
      </c>
      <c r="AC360" s="12">
        <v>2</v>
      </c>
      <c r="AD360" s="14">
        <v>2</v>
      </c>
      <c r="AE360" s="14">
        <v>47</v>
      </c>
      <c r="AF360" s="26">
        <v>416</v>
      </c>
      <c r="AG360" s="12">
        <v>81</v>
      </c>
      <c r="AH360" s="14">
        <v>0</v>
      </c>
      <c r="AI360" s="209"/>
      <c r="AJ360" s="3"/>
      <c r="AK360" s="3"/>
      <c r="AL360" s="3"/>
      <c r="AM360" s="3"/>
      <c r="AN360" s="3"/>
      <c r="AO360" s="40"/>
      <c r="AP360" s="209"/>
      <c r="AQ360" s="3"/>
      <c r="AR360" s="40"/>
      <c r="AS360" s="238"/>
    </row>
    <row r="361" spans="1:45" s="229" customFormat="1">
      <c r="A361" s="83" t="s">
        <v>321</v>
      </c>
      <c r="B361" s="12">
        <v>3.105</v>
      </c>
      <c r="C361" s="229" t="s">
        <v>679</v>
      </c>
      <c r="D361" s="229" t="s">
        <v>649</v>
      </c>
      <c r="E361" s="229" t="s">
        <v>3</v>
      </c>
      <c r="F361" s="229">
        <v>583</v>
      </c>
      <c r="G361" s="40">
        <f>F361/198</f>
        <v>2.9444444444444446</v>
      </c>
      <c r="H361" s="14">
        <v>1</v>
      </c>
      <c r="I361" s="229">
        <v>0</v>
      </c>
      <c r="J361" s="229">
        <v>0</v>
      </c>
      <c r="K361" s="26">
        <v>1</v>
      </c>
      <c r="L361" s="14">
        <v>0</v>
      </c>
      <c r="M361" s="229">
        <v>0</v>
      </c>
      <c r="N361" s="229">
        <v>0</v>
      </c>
      <c r="O361" s="229">
        <v>0</v>
      </c>
      <c r="P361" s="26">
        <v>0</v>
      </c>
      <c r="Q361" s="14">
        <v>5</v>
      </c>
      <c r="R361" s="229">
        <v>0</v>
      </c>
      <c r="S361" s="229">
        <v>0</v>
      </c>
      <c r="T361" s="229">
        <v>0</v>
      </c>
      <c r="U361" s="229">
        <v>0</v>
      </c>
      <c r="V361" s="229">
        <v>0</v>
      </c>
      <c r="W361" s="229">
        <v>41</v>
      </c>
      <c r="X361" s="229">
        <v>0</v>
      </c>
      <c r="Y361" s="229">
        <v>0</v>
      </c>
      <c r="Z361" s="229">
        <v>0</v>
      </c>
      <c r="AA361" s="229">
        <v>0</v>
      </c>
      <c r="AC361" s="12">
        <v>2</v>
      </c>
      <c r="AD361" s="14">
        <v>2</v>
      </c>
      <c r="AE361" s="14">
        <v>203</v>
      </c>
      <c r="AF361" s="26">
        <v>467</v>
      </c>
      <c r="AG361" s="12">
        <v>81</v>
      </c>
      <c r="AH361" s="14">
        <v>1</v>
      </c>
      <c r="AI361" s="209"/>
      <c r="AJ361" s="3"/>
      <c r="AK361" s="3"/>
      <c r="AL361" s="3"/>
      <c r="AM361" s="3"/>
      <c r="AN361" s="3"/>
      <c r="AO361" s="40"/>
      <c r="AP361" s="209"/>
      <c r="AQ361" s="3"/>
      <c r="AR361" s="40"/>
      <c r="AS361" s="238"/>
    </row>
    <row r="362" spans="1:45" s="229" customFormat="1">
      <c r="A362" s="83" t="s">
        <v>321</v>
      </c>
      <c r="B362" s="12">
        <v>3.105</v>
      </c>
      <c r="C362" s="229" t="s">
        <v>679</v>
      </c>
      <c r="D362" s="229" t="s">
        <v>669</v>
      </c>
      <c r="F362" s="229">
        <v>738</v>
      </c>
      <c r="G362" s="40">
        <f>F362/516</f>
        <v>1.430232558139535</v>
      </c>
      <c r="H362" s="14">
        <v>0</v>
      </c>
      <c r="I362" s="229">
        <v>0</v>
      </c>
      <c r="J362" s="229">
        <v>1</v>
      </c>
      <c r="K362" s="26">
        <v>0</v>
      </c>
      <c r="L362" s="14">
        <v>0</v>
      </c>
      <c r="M362" s="229">
        <v>0</v>
      </c>
      <c r="N362" s="229">
        <v>1</v>
      </c>
      <c r="O362" s="229">
        <v>0</v>
      </c>
      <c r="P362" s="26">
        <v>1</v>
      </c>
      <c r="Q362" s="14">
        <v>20</v>
      </c>
      <c r="R362" s="229">
        <v>0</v>
      </c>
      <c r="S362" s="229">
        <v>0</v>
      </c>
      <c r="T362" s="229">
        <v>0</v>
      </c>
      <c r="U362" s="229">
        <v>0</v>
      </c>
      <c r="V362" s="229">
        <v>55</v>
      </c>
      <c r="W362" s="229">
        <v>281</v>
      </c>
      <c r="X362" s="229">
        <v>0</v>
      </c>
      <c r="Y362" s="229">
        <v>0</v>
      </c>
      <c r="Z362" s="229">
        <v>0</v>
      </c>
      <c r="AA362" s="229">
        <v>0</v>
      </c>
      <c r="AC362" s="12">
        <v>1</v>
      </c>
      <c r="AD362" s="14">
        <v>1</v>
      </c>
      <c r="AE362" s="14">
        <v>0</v>
      </c>
      <c r="AF362" s="26">
        <v>0</v>
      </c>
      <c r="AG362" s="12">
        <v>91</v>
      </c>
      <c r="AH362" s="14">
        <v>0</v>
      </c>
      <c r="AI362" s="209"/>
      <c r="AJ362" s="3"/>
      <c r="AK362" s="3"/>
      <c r="AL362" s="3"/>
      <c r="AM362" s="3"/>
      <c r="AN362" s="3"/>
      <c r="AO362" s="40"/>
      <c r="AP362" s="209"/>
      <c r="AQ362" s="3"/>
      <c r="AR362" s="40"/>
      <c r="AS362" s="238"/>
    </row>
    <row r="363" spans="1:45" s="229" customFormat="1">
      <c r="A363" s="83" t="s">
        <v>321</v>
      </c>
      <c r="B363" s="12">
        <v>3.105</v>
      </c>
      <c r="C363" s="229" t="s">
        <v>679</v>
      </c>
      <c r="D363" s="229" t="s">
        <v>670</v>
      </c>
      <c r="E363" s="229" t="s">
        <v>0</v>
      </c>
      <c r="F363" s="229">
        <v>252</v>
      </c>
      <c r="G363" s="40">
        <f>F363/218</f>
        <v>1.1559633027522935</v>
      </c>
      <c r="H363" s="14">
        <v>1</v>
      </c>
      <c r="I363" s="229">
        <v>0</v>
      </c>
      <c r="J363" s="229">
        <v>0</v>
      </c>
      <c r="K363" s="26">
        <v>0</v>
      </c>
      <c r="L363" s="14">
        <v>0</v>
      </c>
      <c r="M363" s="229">
        <v>0</v>
      </c>
      <c r="N363" s="229">
        <v>0</v>
      </c>
      <c r="O363" s="229">
        <v>0</v>
      </c>
      <c r="P363" s="26">
        <v>0</v>
      </c>
      <c r="Q363" s="14">
        <v>0</v>
      </c>
      <c r="R363" s="229">
        <v>0</v>
      </c>
      <c r="S363" s="229">
        <v>0</v>
      </c>
      <c r="T363" s="229">
        <v>0</v>
      </c>
      <c r="U363" s="229">
        <v>0</v>
      </c>
      <c r="V363" s="229">
        <v>0</v>
      </c>
      <c r="W363" s="229">
        <v>0</v>
      </c>
      <c r="X363" s="229">
        <v>0</v>
      </c>
      <c r="Y363" s="229">
        <v>0</v>
      </c>
      <c r="Z363" s="229">
        <v>0</v>
      </c>
      <c r="AA363" s="229">
        <v>0</v>
      </c>
      <c r="AC363" s="12">
        <v>2</v>
      </c>
      <c r="AD363" s="14">
        <v>2</v>
      </c>
      <c r="AE363" s="14">
        <v>138</v>
      </c>
      <c r="AF363" s="26">
        <v>218</v>
      </c>
      <c r="AG363" s="12"/>
      <c r="AH363" s="14">
        <v>1</v>
      </c>
      <c r="AI363" s="209"/>
      <c r="AJ363" s="3"/>
      <c r="AK363" s="3"/>
      <c r="AL363" s="3"/>
      <c r="AM363" s="3"/>
      <c r="AN363" s="3"/>
      <c r="AO363" s="40"/>
      <c r="AP363" s="209"/>
      <c r="AQ363" s="3"/>
      <c r="AR363" s="40"/>
      <c r="AS363" s="238"/>
    </row>
    <row r="364" spans="1:45" s="229" customFormat="1">
      <c r="A364" s="83" t="s">
        <v>321</v>
      </c>
      <c r="B364" s="12">
        <v>3.105</v>
      </c>
      <c r="C364" s="229" t="s">
        <v>679</v>
      </c>
      <c r="D364" s="229" t="s">
        <v>670</v>
      </c>
      <c r="E364" s="229" t="s">
        <v>1</v>
      </c>
      <c r="F364" s="229">
        <v>809</v>
      </c>
      <c r="G364" s="40">
        <f>F364/347</f>
        <v>2.3314121037463975</v>
      </c>
      <c r="H364" s="14">
        <v>1</v>
      </c>
      <c r="I364" s="229">
        <v>0</v>
      </c>
      <c r="J364" s="229">
        <v>0</v>
      </c>
      <c r="K364" s="26">
        <v>0</v>
      </c>
      <c r="L364" s="14">
        <v>0</v>
      </c>
      <c r="M364" s="229">
        <v>0</v>
      </c>
      <c r="N364" s="229">
        <v>0</v>
      </c>
      <c r="O364" s="229">
        <v>0</v>
      </c>
      <c r="P364" s="26">
        <v>0</v>
      </c>
      <c r="Q364" s="14">
        <v>0</v>
      </c>
      <c r="R364" s="229">
        <v>0</v>
      </c>
      <c r="S364" s="229">
        <v>0</v>
      </c>
      <c r="T364" s="229">
        <v>0</v>
      </c>
      <c r="U364" s="229">
        <v>0</v>
      </c>
      <c r="V364" s="229">
        <v>0</v>
      </c>
      <c r="W364" s="229">
        <v>0</v>
      </c>
      <c r="X364" s="229">
        <v>0</v>
      </c>
      <c r="Y364" s="229">
        <v>0</v>
      </c>
      <c r="Z364" s="229">
        <v>0</v>
      </c>
      <c r="AA364" s="229">
        <v>0</v>
      </c>
      <c r="AC364" s="12">
        <v>2</v>
      </c>
      <c r="AD364" s="14">
        <v>2</v>
      </c>
      <c r="AE364" s="14">
        <v>94</v>
      </c>
      <c r="AF364" s="26">
        <v>809</v>
      </c>
      <c r="AG364" s="12"/>
      <c r="AH364" s="14">
        <v>1</v>
      </c>
      <c r="AI364" s="209"/>
      <c r="AJ364" s="3"/>
      <c r="AK364" s="3"/>
      <c r="AL364" s="3"/>
      <c r="AM364" s="3"/>
      <c r="AN364" s="3"/>
      <c r="AO364" s="40"/>
      <c r="AP364" s="209"/>
      <c r="AQ364" s="3"/>
      <c r="AR364" s="40"/>
      <c r="AS364" s="238"/>
    </row>
    <row r="365" spans="1:45" s="229" customFormat="1">
      <c r="A365" s="83" t="s">
        <v>321</v>
      </c>
      <c r="B365" s="12">
        <v>3.105</v>
      </c>
      <c r="C365" s="229" t="s">
        <v>679</v>
      </c>
      <c r="D365" s="229" t="s">
        <v>670</v>
      </c>
      <c r="E365" s="229" t="s">
        <v>2</v>
      </c>
      <c r="F365" s="229">
        <v>194</v>
      </c>
      <c r="G365" s="40">
        <f>F365/96</f>
        <v>2.0208333333333335</v>
      </c>
      <c r="H365" s="14">
        <v>1</v>
      </c>
      <c r="I365" s="229">
        <v>0</v>
      </c>
      <c r="J365" s="229">
        <v>0</v>
      </c>
      <c r="K365" s="26">
        <v>0</v>
      </c>
      <c r="L365" s="14">
        <v>0</v>
      </c>
      <c r="M365" s="229">
        <v>0</v>
      </c>
      <c r="N365" s="229">
        <v>0</v>
      </c>
      <c r="O365" s="229">
        <v>0</v>
      </c>
      <c r="P365" s="26">
        <v>0</v>
      </c>
      <c r="Q365" s="14">
        <v>0</v>
      </c>
      <c r="R365" s="229">
        <v>0</v>
      </c>
      <c r="S365" s="229">
        <v>0</v>
      </c>
      <c r="T365" s="229">
        <v>0</v>
      </c>
      <c r="U365" s="229">
        <v>0</v>
      </c>
      <c r="V365" s="229">
        <v>0</v>
      </c>
      <c r="W365" s="229">
        <v>0</v>
      </c>
      <c r="X365" s="229">
        <v>0</v>
      </c>
      <c r="Y365" s="229">
        <v>0</v>
      </c>
      <c r="Z365" s="229">
        <v>0</v>
      </c>
      <c r="AA365" s="229">
        <v>0</v>
      </c>
      <c r="AC365" s="12">
        <v>1</v>
      </c>
      <c r="AD365" s="14">
        <v>1</v>
      </c>
      <c r="AE365" s="14">
        <v>0</v>
      </c>
      <c r="AF365" s="26">
        <v>0</v>
      </c>
      <c r="AG365" s="12"/>
      <c r="AH365" s="14">
        <v>0</v>
      </c>
      <c r="AI365" s="209"/>
      <c r="AJ365" s="3"/>
      <c r="AK365" s="3"/>
      <c r="AL365" s="3"/>
      <c r="AM365" s="3"/>
      <c r="AN365" s="3"/>
      <c r="AO365" s="40"/>
      <c r="AP365" s="209"/>
      <c r="AQ365" s="3"/>
      <c r="AR365" s="40"/>
      <c r="AS365" s="238"/>
    </row>
    <row r="366" spans="1:45" s="229" customFormat="1">
      <c r="A366" s="83" t="s">
        <v>321</v>
      </c>
      <c r="B366" s="12">
        <v>3.105</v>
      </c>
      <c r="C366" s="229" t="s">
        <v>679</v>
      </c>
      <c r="D366" s="229" t="s">
        <v>670</v>
      </c>
      <c r="E366" s="229" t="s">
        <v>3</v>
      </c>
      <c r="F366" s="229">
        <v>254</v>
      </c>
      <c r="G366" s="40">
        <f>F366/187</f>
        <v>1.358288770053476</v>
      </c>
      <c r="H366" s="14">
        <v>0</v>
      </c>
      <c r="I366" s="229">
        <v>0</v>
      </c>
      <c r="J366" s="229">
        <v>0</v>
      </c>
      <c r="K366" s="26">
        <v>1</v>
      </c>
      <c r="L366" s="14">
        <v>0</v>
      </c>
      <c r="M366" s="229">
        <v>0</v>
      </c>
      <c r="N366" s="229">
        <v>0</v>
      </c>
      <c r="O366" s="229">
        <v>0</v>
      </c>
      <c r="P366" s="26">
        <v>0</v>
      </c>
      <c r="Q366" s="14">
        <v>0</v>
      </c>
      <c r="R366" s="229">
        <v>0</v>
      </c>
      <c r="S366" s="229">
        <v>0</v>
      </c>
      <c r="T366" s="229">
        <v>0</v>
      </c>
      <c r="U366" s="229">
        <v>0</v>
      </c>
      <c r="V366" s="229">
        <v>0</v>
      </c>
      <c r="W366" s="229">
        <v>0</v>
      </c>
      <c r="X366" s="229">
        <v>0</v>
      </c>
      <c r="Y366" s="229">
        <v>0</v>
      </c>
      <c r="Z366" s="229">
        <v>0</v>
      </c>
      <c r="AA366" s="229">
        <v>0</v>
      </c>
      <c r="AC366" s="12">
        <v>1</v>
      </c>
      <c r="AD366" s="14">
        <v>1</v>
      </c>
      <c r="AE366" s="14">
        <v>0</v>
      </c>
      <c r="AF366" s="26">
        <v>0</v>
      </c>
      <c r="AG366" s="12"/>
      <c r="AH366" s="14">
        <v>0</v>
      </c>
      <c r="AI366" s="209"/>
      <c r="AJ366" s="3"/>
      <c r="AK366" s="3"/>
      <c r="AL366" s="3"/>
      <c r="AM366" s="3"/>
      <c r="AN366" s="3"/>
      <c r="AO366" s="40"/>
      <c r="AP366" s="209"/>
      <c r="AQ366" s="3"/>
      <c r="AR366" s="40"/>
      <c r="AS366" s="238"/>
    </row>
    <row r="367" spans="1:45" s="229" customFormat="1">
      <c r="A367" s="83" t="s">
        <v>321</v>
      </c>
      <c r="B367" s="12">
        <v>3.105</v>
      </c>
      <c r="C367" s="229" t="s">
        <v>679</v>
      </c>
      <c r="D367" s="229" t="s">
        <v>670</v>
      </c>
      <c r="E367" s="229" t="s">
        <v>4</v>
      </c>
      <c r="F367" s="229">
        <v>349</v>
      </c>
      <c r="G367" s="40">
        <f>F367/189</f>
        <v>1.8465608465608465</v>
      </c>
      <c r="H367" s="14">
        <v>1</v>
      </c>
      <c r="I367" s="229">
        <v>0</v>
      </c>
      <c r="J367" s="229">
        <v>0</v>
      </c>
      <c r="K367" s="26">
        <v>1</v>
      </c>
      <c r="L367" s="14">
        <v>0</v>
      </c>
      <c r="M367" s="229">
        <v>0</v>
      </c>
      <c r="N367" s="229">
        <v>0</v>
      </c>
      <c r="O367" s="229">
        <v>0</v>
      </c>
      <c r="P367" s="26">
        <v>0</v>
      </c>
      <c r="Q367" s="14">
        <v>0</v>
      </c>
      <c r="R367" s="229">
        <v>0</v>
      </c>
      <c r="S367" s="229">
        <v>0</v>
      </c>
      <c r="T367" s="229">
        <v>0</v>
      </c>
      <c r="U367" s="229">
        <v>0</v>
      </c>
      <c r="V367" s="229">
        <v>0</v>
      </c>
      <c r="W367" s="229">
        <v>0</v>
      </c>
      <c r="X367" s="229">
        <v>0</v>
      </c>
      <c r="Y367" s="229">
        <v>0</v>
      </c>
      <c r="Z367" s="229">
        <v>0</v>
      </c>
      <c r="AA367" s="229">
        <v>0</v>
      </c>
      <c r="AC367" s="12">
        <v>2</v>
      </c>
      <c r="AD367" s="14">
        <v>4</v>
      </c>
      <c r="AE367" s="14">
        <v>61</v>
      </c>
      <c r="AF367" s="26">
        <v>240</v>
      </c>
      <c r="AG367" s="12"/>
      <c r="AH367" s="14">
        <v>1</v>
      </c>
      <c r="AI367" s="209"/>
      <c r="AJ367" s="3"/>
      <c r="AK367" s="3"/>
      <c r="AL367" s="3"/>
      <c r="AM367" s="3"/>
      <c r="AN367" s="3"/>
      <c r="AO367" s="40"/>
      <c r="AP367" s="209"/>
      <c r="AQ367" s="3"/>
      <c r="AR367" s="40"/>
      <c r="AS367" s="238"/>
    </row>
    <row r="368" spans="1:45" s="229" customFormat="1" ht="17" thickBot="1">
      <c r="A368" s="83" t="s">
        <v>321</v>
      </c>
      <c r="B368" s="33">
        <v>3.105</v>
      </c>
      <c r="C368" s="36" t="s">
        <v>679</v>
      </c>
      <c r="D368" s="36" t="s">
        <v>670</v>
      </c>
      <c r="E368" s="36" t="s">
        <v>5</v>
      </c>
      <c r="F368" s="36">
        <v>431</v>
      </c>
      <c r="G368" s="48">
        <f>F368/192</f>
        <v>2.2447916666666665</v>
      </c>
      <c r="H368" s="34">
        <v>0</v>
      </c>
      <c r="I368" s="36">
        <v>0</v>
      </c>
      <c r="J368" s="36">
        <v>0</v>
      </c>
      <c r="K368" s="35">
        <v>1</v>
      </c>
      <c r="L368" s="34">
        <v>0</v>
      </c>
      <c r="M368" s="36">
        <v>0</v>
      </c>
      <c r="N368" s="36">
        <v>0</v>
      </c>
      <c r="O368" s="36">
        <v>0</v>
      </c>
      <c r="P368" s="35">
        <v>0</v>
      </c>
      <c r="Q368" s="34">
        <v>0</v>
      </c>
      <c r="R368" s="36">
        <v>0</v>
      </c>
      <c r="S368" s="36">
        <v>0</v>
      </c>
      <c r="T368" s="36">
        <v>0</v>
      </c>
      <c r="U368" s="36">
        <v>0</v>
      </c>
      <c r="V368" s="36">
        <v>0</v>
      </c>
      <c r="W368" s="36">
        <v>0</v>
      </c>
      <c r="X368" s="36">
        <v>0</v>
      </c>
      <c r="Y368" s="36">
        <v>0</v>
      </c>
      <c r="Z368" s="36">
        <v>0</v>
      </c>
      <c r="AA368" s="36">
        <v>0</v>
      </c>
      <c r="AB368" s="36"/>
      <c r="AC368" s="33">
        <v>2</v>
      </c>
      <c r="AD368" s="34">
        <v>5</v>
      </c>
      <c r="AE368" s="34">
        <v>65</v>
      </c>
      <c r="AF368" s="35">
        <v>241</v>
      </c>
      <c r="AG368" s="33"/>
      <c r="AH368" s="34">
        <v>1</v>
      </c>
      <c r="AI368" s="210"/>
      <c r="AJ368" s="51"/>
      <c r="AK368" s="51"/>
      <c r="AL368" s="51"/>
      <c r="AM368" s="51"/>
      <c r="AN368" s="51"/>
      <c r="AO368" s="48"/>
      <c r="AP368" s="210"/>
      <c r="AQ368" s="51"/>
      <c r="AR368" s="48"/>
      <c r="AS368" s="239"/>
    </row>
    <row r="369" spans="1:45" s="229" customFormat="1">
      <c r="A369" s="147" t="s">
        <v>323</v>
      </c>
      <c r="B369" s="384">
        <v>12.331666666666667</v>
      </c>
      <c r="C369" s="229" t="s">
        <v>214</v>
      </c>
      <c r="D369" s="229" t="s">
        <v>423</v>
      </c>
      <c r="F369" s="229">
        <v>785</v>
      </c>
      <c r="G369" s="26">
        <f>F369/266</f>
        <v>2.9511278195488724</v>
      </c>
      <c r="H369" s="14">
        <v>0</v>
      </c>
      <c r="I369" s="229">
        <v>0</v>
      </c>
      <c r="J369" s="229">
        <v>0</v>
      </c>
      <c r="K369" s="26">
        <v>1</v>
      </c>
      <c r="L369" s="14">
        <v>0</v>
      </c>
      <c r="M369" s="229">
        <v>0</v>
      </c>
      <c r="N369" s="229">
        <v>0</v>
      </c>
      <c r="O369" s="229">
        <v>0</v>
      </c>
      <c r="P369" s="26">
        <v>0</v>
      </c>
      <c r="Q369" s="14">
        <v>2</v>
      </c>
      <c r="R369" s="229">
        <v>0</v>
      </c>
      <c r="S369" s="229">
        <v>0</v>
      </c>
      <c r="T369" s="229">
        <v>0</v>
      </c>
      <c r="U369" s="229">
        <v>0</v>
      </c>
      <c r="V369" s="229">
        <v>0</v>
      </c>
      <c r="W369" s="229">
        <v>0</v>
      </c>
      <c r="X369" s="229">
        <v>0</v>
      </c>
      <c r="Y369" s="229">
        <v>0</v>
      </c>
      <c r="Z369" s="229">
        <v>0</v>
      </c>
      <c r="AA369" s="229">
        <v>69</v>
      </c>
      <c r="AB369" s="229">
        <v>1</v>
      </c>
      <c r="AC369" s="12">
        <v>2</v>
      </c>
      <c r="AD369" s="14">
        <v>6</v>
      </c>
      <c r="AE369" s="14">
        <v>63</v>
      </c>
      <c r="AF369" s="26">
        <v>284</v>
      </c>
      <c r="AG369" s="12">
        <v>91</v>
      </c>
      <c r="AH369" s="14">
        <v>1</v>
      </c>
      <c r="AI369" s="209"/>
      <c r="AJ369" s="3"/>
      <c r="AK369" s="3"/>
      <c r="AL369" s="3"/>
      <c r="AM369" s="3"/>
      <c r="AN369" s="3"/>
      <c r="AO369" s="40"/>
      <c r="AP369" s="209"/>
      <c r="AQ369" s="3"/>
      <c r="AR369" s="40"/>
      <c r="AS369" s="238"/>
    </row>
    <row r="370" spans="1:45" s="229" customFormat="1">
      <c r="A370" s="83" t="s">
        <v>323</v>
      </c>
      <c r="B370" s="386">
        <v>12.331666666666667</v>
      </c>
      <c r="C370" s="229" t="s">
        <v>214</v>
      </c>
      <c r="D370" s="229" t="s">
        <v>622</v>
      </c>
      <c r="F370" s="229">
        <v>302</v>
      </c>
      <c r="G370" s="26">
        <f>F370/264</f>
        <v>1.143939393939394</v>
      </c>
      <c r="H370" s="14">
        <v>0</v>
      </c>
      <c r="I370" s="229">
        <v>0</v>
      </c>
      <c r="J370" s="229">
        <v>0</v>
      </c>
      <c r="K370" s="26">
        <v>1</v>
      </c>
      <c r="L370" s="14">
        <v>0</v>
      </c>
      <c r="M370" s="229">
        <v>0</v>
      </c>
      <c r="N370" s="229">
        <v>0</v>
      </c>
      <c r="O370" s="229">
        <v>0</v>
      </c>
      <c r="P370" s="26">
        <v>0</v>
      </c>
      <c r="Q370" s="14">
        <v>3</v>
      </c>
      <c r="R370" s="229">
        <v>0</v>
      </c>
      <c r="S370" s="229">
        <v>0</v>
      </c>
      <c r="T370" s="229">
        <v>0</v>
      </c>
      <c r="U370" s="229">
        <v>0</v>
      </c>
      <c r="V370" s="229">
        <v>0</v>
      </c>
      <c r="W370" s="229">
        <v>0</v>
      </c>
      <c r="X370" s="229">
        <v>0</v>
      </c>
      <c r="Y370" s="229">
        <v>0</v>
      </c>
      <c r="Z370" s="229">
        <v>40</v>
      </c>
      <c r="AA370" s="229">
        <v>54</v>
      </c>
      <c r="AB370" s="229">
        <v>0</v>
      </c>
      <c r="AC370" s="12">
        <v>2</v>
      </c>
      <c r="AD370" s="14">
        <v>2</v>
      </c>
      <c r="AE370" s="14">
        <v>248</v>
      </c>
      <c r="AF370" s="26">
        <v>302</v>
      </c>
      <c r="AG370" s="12">
        <v>92</v>
      </c>
      <c r="AH370" s="14">
        <v>1</v>
      </c>
      <c r="AI370" s="209">
        <v>85.843178697540523</v>
      </c>
      <c r="AJ370" s="3"/>
      <c r="AK370" s="3"/>
      <c r="AL370" s="3"/>
      <c r="AM370" s="3"/>
      <c r="AN370" s="3"/>
      <c r="AO370" s="40"/>
      <c r="AP370" s="209">
        <v>85.666264169387219</v>
      </c>
      <c r="AQ370" s="3"/>
      <c r="AR370" s="40"/>
      <c r="AS370" s="238"/>
    </row>
    <row r="371" spans="1:45" s="229" customFormat="1">
      <c r="A371" s="83" t="s">
        <v>323</v>
      </c>
      <c r="B371" s="386">
        <v>12.331666666666667</v>
      </c>
      <c r="C371" s="229" t="s">
        <v>214</v>
      </c>
      <c r="D371" s="229" t="s">
        <v>620</v>
      </c>
      <c r="E371" s="229" t="s">
        <v>0</v>
      </c>
      <c r="F371" s="229">
        <v>404</v>
      </c>
      <c r="G371" s="26">
        <f>F371/188</f>
        <v>2.1489361702127661</v>
      </c>
      <c r="H371" s="14">
        <v>0</v>
      </c>
      <c r="I371" s="229">
        <v>0</v>
      </c>
      <c r="J371" s="229">
        <v>0</v>
      </c>
      <c r="K371" s="26">
        <v>1</v>
      </c>
      <c r="L371" s="14">
        <v>0</v>
      </c>
      <c r="M371" s="229">
        <v>0</v>
      </c>
      <c r="N371" s="229">
        <v>1</v>
      </c>
      <c r="O371" s="229">
        <v>0</v>
      </c>
      <c r="P371" s="26">
        <v>1</v>
      </c>
      <c r="Q371" s="14">
        <v>0</v>
      </c>
      <c r="R371" s="229">
        <v>0</v>
      </c>
      <c r="S371" s="229">
        <v>0</v>
      </c>
      <c r="T371" s="229">
        <v>0</v>
      </c>
      <c r="U371" s="229">
        <v>0</v>
      </c>
      <c r="V371" s="229">
        <v>0</v>
      </c>
      <c r="W371" s="229">
        <v>0</v>
      </c>
      <c r="X371" s="229">
        <v>0</v>
      </c>
      <c r="Y371" s="229">
        <v>0</v>
      </c>
      <c r="Z371" s="229">
        <v>0</v>
      </c>
      <c r="AA371" s="229">
        <v>0</v>
      </c>
      <c r="AB371" s="229">
        <v>0</v>
      </c>
      <c r="AC371" s="12">
        <v>2</v>
      </c>
      <c r="AD371" s="14">
        <v>3</v>
      </c>
      <c r="AE371" s="14">
        <v>96</v>
      </c>
      <c r="AF371" s="26">
        <v>251</v>
      </c>
      <c r="AG371" s="12">
        <v>67</v>
      </c>
      <c r="AH371" s="14">
        <v>0</v>
      </c>
      <c r="AI371" s="209"/>
      <c r="AJ371" s="3"/>
      <c r="AK371" s="3"/>
      <c r="AL371" s="3"/>
      <c r="AM371" s="3"/>
      <c r="AN371" s="3"/>
      <c r="AO371" s="40"/>
      <c r="AP371" s="209"/>
      <c r="AQ371" s="3"/>
      <c r="AR371" s="40"/>
      <c r="AS371" s="238"/>
    </row>
    <row r="372" spans="1:45" s="229" customFormat="1">
      <c r="A372" s="83" t="s">
        <v>323</v>
      </c>
      <c r="B372" s="386">
        <v>12.331666666666667</v>
      </c>
      <c r="C372" s="229" t="s">
        <v>214</v>
      </c>
      <c r="D372" s="229" t="s">
        <v>620</v>
      </c>
      <c r="E372" s="229" t="s">
        <v>1</v>
      </c>
      <c r="F372" s="229">
        <v>186</v>
      </c>
      <c r="G372" s="26">
        <f>F372/164</f>
        <v>1.1341463414634145</v>
      </c>
      <c r="H372" s="14">
        <v>0</v>
      </c>
      <c r="I372" s="229">
        <v>0</v>
      </c>
      <c r="J372" s="229">
        <v>0</v>
      </c>
      <c r="K372" s="26">
        <v>1</v>
      </c>
      <c r="L372" s="14">
        <v>0</v>
      </c>
      <c r="M372" s="229">
        <v>0</v>
      </c>
      <c r="N372" s="229">
        <v>0</v>
      </c>
      <c r="O372" s="229">
        <v>0</v>
      </c>
      <c r="P372" s="26">
        <v>0</v>
      </c>
      <c r="Q372" s="14">
        <v>0</v>
      </c>
      <c r="R372" s="229">
        <v>0</v>
      </c>
      <c r="S372" s="229">
        <v>0</v>
      </c>
      <c r="T372" s="229">
        <v>0</v>
      </c>
      <c r="U372" s="229">
        <v>0</v>
      </c>
      <c r="V372" s="229">
        <v>0</v>
      </c>
      <c r="W372" s="229">
        <v>0</v>
      </c>
      <c r="X372" s="229">
        <v>0</v>
      </c>
      <c r="Y372" s="229">
        <v>0</v>
      </c>
      <c r="Z372" s="229">
        <v>0</v>
      </c>
      <c r="AA372" s="229">
        <v>0</v>
      </c>
      <c r="AB372" s="229">
        <v>0</v>
      </c>
      <c r="AC372" s="12">
        <v>2</v>
      </c>
      <c r="AD372" s="14">
        <v>2</v>
      </c>
      <c r="AE372" s="14">
        <v>96</v>
      </c>
      <c r="AF372" s="26">
        <v>164</v>
      </c>
      <c r="AG372" s="12">
        <v>67</v>
      </c>
      <c r="AH372" s="14">
        <v>1</v>
      </c>
      <c r="AI372" s="209"/>
      <c r="AJ372" s="3"/>
      <c r="AK372" s="3"/>
      <c r="AL372" s="3"/>
      <c r="AM372" s="3"/>
      <c r="AN372" s="3"/>
      <c r="AO372" s="40"/>
      <c r="AP372" s="209"/>
      <c r="AQ372" s="3"/>
      <c r="AR372" s="40"/>
      <c r="AS372" s="238"/>
    </row>
    <row r="373" spans="1:45" s="229" customFormat="1">
      <c r="A373" s="83" t="s">
        <v>323</v>
      </c>
      <c r="B373" s="386">
        <v>12.331666666666667</v>
      </c>
      <c r="C373" s="229" t="s">
        <v>214</v>
      </c>
      <c r="D373" s="229" t="s">
        <v>629</v>
      </c>
      <c r="F373" s="229">
        <v>578</v>
      </c>
      <c r="G373" s="26">
        <f>F373/389</f>
        <v>1.4858611825192802</v>
      </c>
      <c r="H373" s="14">
        <v>0</v>
      </c>
      <c r="I373" s="229">
        <v>0</v>
      </c>
      <c r="J373" s="229">
        <v>0</v>
      </c>
      <c r="K373" s="26">
        <v>1</v>
      </c>
      <c r="L373" s="14">
        <v>0</v>
      </c>
      <c r="M373" s="229">
        <v>0</v>
      </c>
      <c r="N373" s="229">
        <v>0</v>
      </c>
      <c r="O373" s="229">
        <v>0</v>
      </c>
      <c r="P373" s="26">
        <v>0</v>
      </c>
      <c r="Q373" s="14">
        <v>1</v>
      </c>
      <c r="R373" s="229">
        <v>13</v>
      </c>
      <c r="S373" s="229">
        <v>27</v>
      </c>
      <c r="T373" s="229">
        <v>0</v>
      </c>
      <c r="U373" s="229">
        <v>0</v>
      </c>
      <c r="V373" s="229">
        <v>17</v>
      </c>
      <c r="W373" s="229">
        <v>19</v>
      </c>
      <c r="X373" s="229">
        <v>0</v>
      </c>
      <c r="Y373" s="229">
        <v>0</v>
      </c>
      <c r="Z373" s="229">
        <v>0</v>
      </c>
      <c r="AA373" s="229">
        <v>0</v>
      </c>
      <c r="AB373" s="229">
        <v>0</v>
      </c>
      <c r="AC373" s="12">
        <v>2</v>
      </c>
      <c r="AD373" s="14">
        <v>4</v>
      </c>
      <c r="AE373" s="14">
        <v>101</v>
      </c>
      <c r="AF373" s="26">
        <v>389</v>
      </c>
      <c r="AG373" s="12">
        <v>64</v>
      </c>
      <c r="AH373" s="14">
        <v>1</v>
      </c>
      <c r="AI373" s="209"/>
      <c r="AJ373" s="3"/>
      <c r="AK373" s="3"/>
      <c r="AL373" s="3"/>
      <c r="AM373" s="3"/>
      <c r="AN373" s="3"/>
      <c r="AO373" s="40"/>
      <c r="AP373" s="209"/>
      <c r="AQ373" s="3"/>
      <c r="AR373" s="40"/>
      <c r="AS373" s="238"/>
    </row>
    <row r="374" spans="1:45" s="229" customFormat="1">
      <c r="A374" s="83" t="s">
        <v>323</v>
      </c>
      <c r="B374" s="386">
        <v>12.331666666666667</v>
      </c>
      <c r="C374" s="229" t="s">
        <v>214</v>
      </c>
      <c r="D374" s="229" t="s">
        <v>625</v>
      </c>
      <c r="F374" s="229">
        <v>332</v>
      </c>
      <c r="G374" s="26">
        <f>F374/190</f>
        <v>1.7473684210526317</v>
      </c>
      <c r="H374" s="14">
        <v>1</v>
      </c>
      <c r="I374" s="229">
        <v>0</v>
      </c>
      <c r="J374" s="229">
        <v>0</v>
      </c>
      <c r="K374" s="26">
        <v>0</v>
      </c>
      <c r="L374" s="14">
        <v>0</v>
      </c>
      <c r="M374" s="229">
        <v>0</v>
      </c>
      <c r="N374" s="229">
        <v>0</v>
      </c>
      <c r="O374" s="229">
        <v>0</v>
      </c>
      <c r="P374" s="26">
        <v>0</v>
      </c>
      <c r="Q374" s="14">
        <v>0</v>
      </c>
      <c r="R374" s="229">
        <v>0</v>
      </c>
      <c r="S374" s="229">
        <v>0</v>
      </c>
      <c r="T374" s="229">
        <v>0</v>
      </c>
      <c r="U374" s="229">
        <v>0</v>
      </c>
      <c r="V374" s="229">
        <v>0</v>
      </c>
      <c r="W374" s="229">
        <v>0</v>
      </c>
      <c r="X374" s="229">
        <v>0</v>
      </c>
      <c r="Y374" s="229">
        <v>0</v>
      </c>
      <c r="Z374" s="229">
        <v>0</v>
      </c>
      <c r="AA374" s="229">
        <v>0</v>
      </c>
      <c r="AB374" s="229">
        <v>0</v>
      </c>
      <c r="AC374" s="12">
        <v>1</v>
      </c>
      <c r="AD374" s="14">
        <v>1</v>
      </c>
      <c r="AE374" s="14">
        <v>0</v>
      </c>
      <c r="AF374" s="26">
        <v>0</v>
      </c>
      <c r="AG374" s="12">
        <v>61</v>
      </c>
      <c r="AH374" s="14">
        <v>0</v>
      </c>
      <c r="AI374" s="209"/>
      <c r="AJ374" s="3"/>
      <c r="AK374" s="3"/>
      <c r="AL374" s="3"/>
      <c r="AM374" s="3"/>
      <c r="AN374" s="3"/>
      <c r="AO374" s="40"/>
      <c r="AP374" s="209"/>
      <c r="AQ374" s="3"/>
      <c r="AR374" s="40"/>
      <c r="AS374" s="238"/>
    </row>
    <row r="375" spans="1:45" s="229" customFormat="1">
      <c r="A375" s="83" t="s">
        <v>323</v>
      </c>
      <c r="B375" s="386">
        <v>12.331666666666667</v>
      </c>
      <c r="C375" s="229" t="s">
        <v>214</v>
      </c>
      <c r="D375" s="229" t="s">
        <v>637</v>
      </c>
      <c r="F375" s="229">
        <v>917</v>
      </c>
      <c r="G375" s="26">
        <f>F375/753</f>
        <v>1.2177954847277557</v>
      </c>
      <c r="H375" s="14">
        <v>0</v>
      </c>
      <c r="I375" s="229">
        <v>0</v>
      </c>
      <c r="J375" s="229">
        <v>1</v>
      </c>
      <c r="K375" s="26">
        <v>0</v>
      </c>
      <c r="L375" s="14">
        <v>0</v>
      </c>
      <c r="M375" s="229">
        <v>0</v>
      </c>
      <c r="N375" s="229">
        <v>1</v>
      </c>
      <c r="O375" s="229">
        <v>0</v>
      </c>
      <c r="P375" s="26">
        <v>1</v>
      </c>
      <c r="Q375" s="14">
        <v>2</v>
      </c>
      <c r="R375" s="229">
        <v>0</v>
      </c>
      <c r="S375" s="229">
        <v>0</v>
      </c>
      <c r="T375" s="229">
        <v>0</v>
      </c>
      <c r="U375" s="229">
        <v>0</v>
      </c>
      <c r="V375" s="229">
        <v>0</v>
      </c>
      <c r="W375" s="229">
        <v>0</v>
      </c>
      <c r="X375" s="229">
        <v>0</v>
      </c>
      <c r="Y375" s="229">
        <v>0</v>
      </c>
      <c r="Z375" s="229">
        <v>40</v>
      </c>
      <c r="AA375" s="229">
        <v>116</v>
      </c>
      <c r="AB375" s="229">
        <v>0</v>
      </c>
      <c r="AC375" s="12">
        <v>1</v>
      </c>
      <c r="AD375" s="14">
        <v>1</v>
      </c>
      <c r="AE375" s="14">
        <v>0</v>
      </c>
      <c r="AF375" s="26">
        <v>0</v>
      </c>
      <c r="AG375" s="12">
        <v>102</v>
      </c>
      <c r="AH375" s="14">
        <v>1</v>
      </c>
      <c r="AI375" s="209">
        <v>86.50449064485629</v>
      </c>
      <c r="AJ375" s="3"/>
      <c r="AK375" s="3"/>
      <c r="AL375" s="3"/>
      <c r="AM375" s="3"/>
      <c r="AN375" s="3"/>
      <c r="AO375" s="40"/>
      <c r="AP375" s="209">
        <v>85.804447368284315</v>
      </c>
      <c r="AQ375" s="3"/>
      <c r="AR375" s="40"/>
      <c r="AS375" s="238"/>
    </row>
    <row r="376" spans="1:45" s="229" customFormat="1">
      <c r="A376" s="83" t="s">
        <v>323</v>
      </c>
      <c r="B376" s="386">
        <v>12.331666666666667</v>
      </c>
      <c r="C376" s="229" t="s">
        <v>214</v>
      </c>
      <c r="D376" s="229" t="s">
        <v>638</v>
      </c>
      <c r="F376" s="229">
        <v>672</v>
      </c>
      <c r="G376" s="26">
        <f>F376/237</f>
        <v>2.8354430379746836</v>
      </c>
      <c r="H376" s="14">
        <v>1</v>
      </c>
      <c r="I376" s="229">
        <v>0</v>
      </c>
      <c r="J376" s="229">
        <v>0</v>
      </c>
      <c r="K376" s="26">
        <v>0</v>
      </c>
      <c r="L376" s="14">
        <v>0</v>
      </c>
      <c r="M376" s="229">
        <v>0</v>
      </c>
      <c r="N376" s="229">
        <v>0</v>
      </c>
      <c r="O376" s="229">
        <v>0</v>
      </c>
      <c r="P376" s="26">
        <v>0</v>
      </c>
      <c r="Q376" s="14">
        <v>2</v>
      </c>
      <c r="R376" s="229">
        <v>0</v>
      </c>
      <c r="S376" s="229">
        <v>0</v>
      </c>
      <c r="T376" s="229">
        <v>0</v>
      </c>
      <c r="U376" s="229">
        <v>0</v>
      </c>
      <c r="V376" s="229">
        <v>35</v>
      </c>
      <c r="W376" s="229">
        <v>51</v>
      </c>
      <c r="X376" s="229">
        <v>0</v>
      </c>
      <c r="Y376" s="229">
        <v>0</v>
      </c>
      <c r="Z376" s="229">
        <v>0</v>
      </c>
      <c r="AA376" s="229">
        <v>0</v>
      </c>
      <c r="AB376" s="229">
        <v>0</v>
      </c>
      <c r="AC376" s="12">
        <v>1</v>
      </c>
      <c r="AD376" s="14">
        <v>1</v>
      </c>
      <c r="AE376" s="14">
        <v>0</v>
      </c>
      <c r="AF376" s="26">
        <v>0</v>
      </c>
      <c r="AG376" s="12">
        <v>97</v>
      </c>
      <c r="AH376" s="14">
        <v>0</v>
      </c>
      <c r="AI376" s="209"/>
      <c r="AJ376" s="3"/>
      <c r="AK376" s="3"/>
      <c r="AL376" s="3"/>
      <c r="AM376" s="3"/>
      <c r="AN376" s="3"/>
      <c r="AO376" s="40"/>
      <c r="AP376" s="209"/>
      <c r="AQ376" s="3"/>
      <c r="AR376" s="40"/>
      <c r="AS376" s="238"/>
    </row>
    <row r="377" spans="1:45" s="229" customFormat="1">
      <c r="A377" s="83" t="s">
        <v>323</v>
      </c>
      <c r="B377" s="386">
        <v>12.331666666666667</v>
      </c>
      <c r="C377" s="229" t="s">
        <v>214</v>
      </c>
      <c r="D377" s="229" t="s">
        <v>639</v>
      </c>
      <c r="F377" s="229">
        <v>568</v>
      </c>
      <c r="G377" s="26">
        <f>F377/249</f>
        <v>2.2811244979919678</v>
      </c>
      <c r="H377" s="14">
        <v>0</v>
      </c>
      <c r="I377" s="229">
        <v>0</v>
      </c>
      <c r="J377" s="229">
        <v>0</v>
      </c>
      <c r="K377" s="26">
        <v>1</v>
      </c>
      <c r="L377" s="14">
        <v>0</v>
      </c>
      <c r="M377" s="229">
        <v>0</v>
      </c>
      <c r="N377" s="229">
        <v>0</v>
      </c>
      <c r="O377" s="229">
        <v>0</v>
      </c>
      <c r="P377" s="26">
        <v>0</v>
      </c>
      <c r="Q377" s="14">
        <v>2</v>
      </c>
      <c r="R377" s="229">
        <v>0</v>
      </c>
      <c r="S377" s="229">
        <v>23</v>
      </c>
      <c r="T377" s="229">
        <v>0</v>
      </c>
      <c r="U377" s="229">
        <v>0</v>
      </c>
      <c r="V377" s="229">
        <v>7</v>
      </c>
      <c r="W377" s="229">
        <v>17</v>
      </c>
      <c r="X377" s="229">
        <v>0</v>
      </c>
      <c r="Y377" s="229">
        <v>0</v>
      </c>
      <c r="Z377" s="229">
        <v>0</v>
      </c>
      <c r="AA377" s="229">
        <v>0</v>
      </c>
      <c r="AB377" s="229">
        <v>0</v>
      </c>
      <c r="AC377" s="12">
        <v>2</v>
      </c>
      <c r="AD377" s="14">
        <v>3</v>
      </c>
      <c r="AE377" s="14">
        <v>109</v>
      </c>
      <c r="AF377" s="26">
        <v>507</v>
      </c>
      <c r="AG377" s="12">
        <v>90</v>
      </c>
      <c r="AH377" s="14">
        <v>1</v>
      </c>
      <c r="AI377" s="209"/>
      <c r="AJ377" s="3"/>
      <c r="AK377" s="3"/>
      <c r="AL377" s="3"/>
      <c r="AM377" s="3"/>
      <c r="AN377" s="3"/>
      <c r="AO377" s="40"/>
      <c r="AP377" s="209"/>
      <c r="AQ377" s="3"/>
      <c r="AR377" s="40"/>
      <c r="AS377" s="238"/>
    </row>
    <row r="378" spans="1:45" s="229" customFormat="1">
      <c r="A378" s="83" t="s">
        <v>323</v>
      </c>
      <c r="B378" s="386">
        <v>12.331666666666667</v>
      </c>
      <c r="C378" s="229" t="s">
        <v>214</v>
      </c>
      <c r="D378" s="229" t="s">
        <v>640</v>
      </c>
      <c r="F378" s="229">
        <v>407</v>
      </c>
      <c r="G378" s="26">
        <f>F378/214</f>
        <v>1.9018691588785046</v>
      </c>
      <c r="H378" s="14">
        <v>0</v>
      </c>
      <c r="I378" s="229">
        <v>0</v>
      </c>
      <c r="J378" s="229">
        <v>0</v>
      </c>
      <c r="K378" s="26">
        <v>1</v>
      </c>
      <c r="L378" s="14">
        <v>0</v>
      </c>
      <c r="M378" s="229">
        <v>0</v>
      </c>
      <c r="N378" s="229">
        <v>0</v>
      </c>
      <c r="O378" s="229">
        <v>0</v>
      </c>
      <c r="P378" s="26">
        <v>0</v>
      </c>
      <c r="Q378" s="14">
        <v>1</v>
      </c>
      <c r="R378" s="229">
        <v>0</v>
      </c>
      <c r="S378" s="229">
        <v>3</v>
      </c>
      <c r="T378" s="229">
        <v>0</v>
      </c>
      <c r="U378" s="229">
        <v>0</v>
      </c>
      <c r="V378" s="229">
        <v>4</v>
      </c>
      <c r="W378" s="229">
        <v>21</v>
      </c>
      <c r="X378" s="229">
        <v>0</v>
      </c>
      <c r="Y378" s="229">
        <v>0</v>
      </c>
      <c r="Z378" s="229">
        <v>0</v>
      </c>
      <c r="AA378" s="229">
        <v>0</v>
      </c>
      <c r="AB378" s="229">
        <v>1</v>
      </c>
      <c r="AC378" s="12">
        <v>2</v>
      </c>
      <c r="AD378" s="14">
        <v>3</v>
      </c>
      <c r="AE378" s="14">
        <v>125</v>
      </c>
      <c r="AF378" s="26">
        <v>335</v>
      </c>
      <c r="AG378" s="12">
        <v>77</v>
      </c>
      <c r="AH378" s="14">
        <v>1</v>
      </c>
      <c r="AI378" s="209"/>
      <c r="AJ378" s="3"/>
      <c r="AK378" s="3"/>
      <c r="AL378" s="3"/>
      <c r="AM378" s="3"/>
      <c r="AN378" s="3"/>
      <c r="AO378" s="40"/>
      <c r="AP378" s="209"/>
      <c r="AQ378" s="3"/>
      <c r="AR378" s="40"/>
      <c r="AS378" s="238"/>
    </row>
    <row r="379" spans="1:45" s="229" customFormat="1">
      <c r="A379" s="83" t="s">
        <v>323</v>
      </c>
      <c r="B379" s="386">
        <v>12.331666666666667</v>
      </c>
      <c r="C379" s="229" t="s">
        <v>214</v>
      </c>
      <c r="D379" s="229" t="s">
        <v>641</v>
      </c>
      <c r="F379" s="229">
        <v>612</v>
      </c>
      <c r="G379" s="26">
        <f>F379/449</f>
        <v>1.3630289532293987</v>
      </c>
      <c r="H379" s="14">
        <v>0</v>
      </c>
      <c r="I379" s="229">
        <v>0</v>
      </c>
      <c r="J379" s="229">
        <v>0</v>
      </c>
      <c r="K379" s="26">
        <v>1</v>
      </c>
      <c r="L379" s="14">
        <v>1</v>
      </c>
      <c r="M379" s="229">
        <v>0</v>
      </c>
      <c r="N379" s="229">
        <v>0</v>
      </c>
      <c r="O379" s="229">
        <v>0</v>
      </c>
      <c r="P379" s="26">
        <v>1</v>
      </c>
      <c r="Q379" s="14">
        <v>10</v>
      </c>
      <c r="R379" s="229">
        <v>5</v>
      </c>
      <c r="S379" s="229">
        <v>9</v>
      </c>
      <c r="T379" s="229">
        <v>0</v>
      </c>
      <c r="U379" s="229">
        <v>0</v>
      </c>
      <c r="V379" s="229">
        <v>7</v>
      </c>
      <c r="W379" s="229">
        <v>75</v>
      </c>
      <c r="X379" s="229">
        <v>0</v>
      </c>
      <c r="Y379" s="229">
        <v>0</v>
      </c>
      <c r="Z379" s="229">
        <v>122</v>
      </c>
      <c r="AA379" s="229">
        <v>227</v>
      </c>
      <c r="AB379" s="229">
        <v>0</v>
      </c>
      <c r="AC379" s="12">
        <v>1</v>
      </c>
      <c r="AD379" s="14">
        <v>1</v>
      </c>
      <c r="AE379" s="14">
        <v>0</v>
      </c>
      <c r="AF379" s="26">
        <v>0</v>
      </c>
      <c r="AG379" s="12">
        <v>79</v>
      </c>
      <c r="AH379" s="14">
        <v>0</v>
      </c>
      <c r="AI379" s="209"/>
      <c r="AJ379" s="3"/>
      <c r="AK379" s="3"/>
      <c r="AL379" s="3"/>
      <c r="AM379" s="3"/>
      <c r="AN379" s="3"/>
      <c r="AO379" s="40"/>
      <c r="AP379" s="209"/>
      <c r="AQ379" s="3"/>
      <c r="AR379" s="40"/>
      <c r="AS379" s="238"/>
    </row>
    <row r="380" spans="1:45" s="229" customFormat="1">
      <c r="A380" s="83" t="s">
        <v>323</v>
      </c>
      <c r="B380" s="386">
        <v>12.331666666666667</v>
      </c>
      <c r="C380" s="229" t="s">
        <v>214</v>
      </c>
      <c r="D380" s="229" t="s">
        <v>647</v>
      </c>
      <c r="F380" s="229">
        <v>570</v>
      </c>
      <c r="G380" s="26">
        <f>F380/302</f>
        <v>1.8874172185430464</v>
      </c>
      <c r="H380" s="14">
        <v>0</v>
      </c>
      <c r="I380" s="229">
        <v>0</v>
      </c>
      <c r="J380" s="229">
        <v>0</v>
      </c>
      <c r="K380" s="26">
        <v>1</v>
      </c>
      <c r="L380" s="14">
        <v>0</v>
      </c>
      <c r="M380" s="229">
        <v>0</v>
      </c>
      <c r="N380" s="229">
        <v>0</v>
      </c>
      <c r="O380" s="229">
        <v>0</v>
      </c>
      <c r="P380" s="26">
        <v>0</v>
      </c>
      <c r="Q380" s="14">
        <v>3</v>
      </c>
      <c r="R380" s="229">
        <v>0</v>
      </c>
      <c r="S380" s="229">
        <v>33</v>
      </c>
      <c r="T380" s="229">
        <v>0</v>
      </c>
      <c r="U380" s="229">
        <v>0</v>
      </c>
      <c r="V380" s="229">
        <v>0</v>
      </c>
      <c r="W380" s="229">
        <v>67</v>
      </c>
      <c r="X380" s="229">
        <v>0</v>
      </c>
      <c r="Y380" s="229">
        <v>0</v>
      </c>
      <c r="Z380" s="229">
        <v>0</v>
      </c>
      <c r="AA380" s="229">
        <v>0</v>
      </c>
      <c r="AB380" s="229">
        <v>0</v>
      </c>
      <c r="AC380" s="12">
        <v>2</v>
      </c>
      <c r="AD380" s="14">
        <v>5</v>
      </c>
      <c r="AE380" s="14">
        <v>173</v>
      </c>
      <c r="AF380" s="26">
        <v>300</v>
      </c>
      <c r="AG380" s="12">
        <v>68</v>
      </c>
      <c r="AH380" s="14">
        <v>0</v>
      </c>
      <c r="AI380" s="209"/>
      <c r="AJ380" s="3"/>
      <c r="AK380" s="3"/>
      <c r="AL380" s="3"/>
      <c r="AM380" s="3"/>
      <c r="AN380" s="3"/>
      <c r="AO380" s="40"/>
      <c r="AP380" s="209"/>
      <c r="AQ380" s="3"/>
      <c r="AR380" s="40"/>
      <c r="AS380" s="238"/>
    </row>
    <row r="381" spans="1:45" s="229" customFormat="1">
      <c r="A381" s="83" t="s">
        <v>323</v>
      </c>
      <c r="B381" s="386">
        <v>12.331666666666667</v>
      </c>
      <c r="C381" s="229" t="s">
        <v>214</v>
      </c>
      <c r="D381" s="229" t="s">
        <v>647</v>
      </c>
      <c r="F381" s="229">
        <v>635</v>
      </c>
      <c r="G381" s="26">
        <f>F381/339</f>
        <v>1.873156342182891</v>
      </c>
      <c r="H381" s="14">
        <v>0</v>
      </c>
      <c r="I381" s="229">
        <v>1</v>
      </c>
      <c r="J381" s="229">
        <v>0</v>
      </c>
      <c r="K381" s="26">
        <v>1</v>
      </c>
      <c r="L381" s="14">
        <v>0</v>
      </c>
      <c r="M381" s="229">
        <v>0</v>
      </c>
      <c r="N381" s="229">
        <v>0</v>
      </c>
      <c r="O381" s="229">
        <v>0</v>
      </c>
      <c r="P381" s="26">
        <v>0</v>
      </c>
      <c r="Q381" s="14">
        <v>4</v>
      </c>
      <c r="R381" s="229">
        <v>0</v>
      </c>
      <c r="S381" s="229">
        <v>0</v>
      </c>
      <c r="T381" s="229">
        <v>0</v>
      </c>
      <c r="U381" s="229">
        <v>0</v>
      </c>
      <c r="V381" s="229">
        <v>18</v>
      </c>
      <c r="W381" s="229">
        <v>69</v>
      </c>
      <c r="X381" s="229">
        <v>0</v>
      </c>
      <c r="Y381" s="229">
        <v>0</v>
      </c>
      <c r="Z381" s="229">
        <v>0</v>
      </c>
      <c r="AA381" s="229">
        <v>64</v>
      </c>
      <c r="AB381" s="229">
        <v>0</v>
      </c>
      <c r="AC381" s="12">
        <v>2</v>
      </c>
      <c r="AD381" s="14">
        <v>2</v>
      </c>
      <c r="AE381" s="14">
        <v>299</v>
      </c>
      <c r="AF381" s="26">
        <v>308</v>
      </c>
      <c r="AG381" s="12">
        <v>68</v>
      </c>
      <c r="AH381" s="14">
        <v>0</v>
      </c>
      <c r="AI381" s="209"/>
      <c r="AJ381" s="3"/>
      <c r="AK381" s="3"/>
      <c r="AL381" s="3"/>
      <c r="AM381" s="3"/>
      <c r="AN381" s="3"/>
      <c r="AO381" s="40"/>
      <c r="AP381" s="209"/>
      <c r="AQ381" s="3"/>
      <c r="AR381" s="40"/>
      <c r="AS381" s="238"/>
    </row>
    <row r="382" spans="1:45" s="229" customFormat="1">
      <c r="A382" s="83" t="s">
        <v>323</v>
      </c>
      <c r="B382" s="386">
        <v>12.331666666666667</v>
      </c>
      <c r="C382" s="229" t="s">
        <v>214</v>
      </c>
      <c r="D382" s="229" t="s">
        <v>649</v>
      </c>
      <c r="F382" s="229">
        <v>748</v>
      </c>
      <c r="G382" s="26">
        <f>F382/549</f>
        <v>1.3624772313296905</v>
      </c>
      <c r="H382" s="14">
        <v>1</v>
      </c>
      <c r="I382" s="229">
        <v>0</v>
      </c>
      <c r="J382" s="229">
        <v>1</v>
      </c>
      <c r="K382" s="26">
        <v>1</v>
      </c>
      <c r="L382" s="14">
        <v>0</v>
      </c>
      <c r="M382" s="229">
        <v>0</v>
      </c>
      <c r="N382" s="229">
        <v>0</v>
      </c>
      <c r="O382" s="229">
        <v>0</v>
      </c>
      <c r="P382" s="26">
        <v>0</v>
      </c>
      <c r="Q382" s="14">
        <v>1</v>
      </c>
      <c r="R382" s="229">
        <v>0</v>
      </c>
      <c r="S382" s="229">
        <v>5</v>
      </c>
      <c r="T382" s="229">
        <v>0</v>
      </c>
      <c r="U382" s="229">
        <v>0</v>
      </c>
      <c r="V382" s="229">
        <v>0</v>
      </c>
      <c r="W382" s="229">
        <v>0</v>
      </c>
      <c r="X382" s="229">
        <v>0</v>
      </c>
      <c r="Y382" s="229">
        <v>0</v>
      </c>
      <c r="Z382" s="229">
        <v>0</v>
      </c>
      <c r="AA382" s="229">
        <v>34</v>
      </c>
      <c r="AB382" s="229">
        <v>0</v>
      </c>
      <c r="AC382" s="12">
        <v>2</v>
      </c>
      <c r="AD382" s="14">
        <v>12</v>
      </c>
      <c r="AE382" s="14">
        <v>28</v>
      </c>
      <c r="AF382" s="26">
        <v>414</v>
      </c>
      <c r="AG382" s="12">
        <v>92</v>
      </c>
      <c r="AH382" s="14">
        <v>1</v>
      </c>
      <c r="AI382" s="209"/>
      <c r="AJ382" s="3"/>
      <c r="AK382" s="3"/>
      <c r="AL382" s="3"/>
      <c r="AM382" s="3"/>
      <c r="AN382" s="3"/>
      <c r="AO382" s="40"/>
      <c r="AP382" s="209"/>
      <c r="AQ382" s="3"/>
      <c r="AR382" s="40"/>
      <c r="AS382" s="238"/>
    </row>
    <row r="383" spans="1:45" s="229" customFormat="1">
      <c r="A383" s="83" t="s">
        <v>323</v>
      </c>
      <c r="B383" s="386">
        <v>12.331666666666667</v>
      </c>
      <c r="C383" s="229" t="s">
        <v>214</v>
      </c>
      <c r="D383" s="229" t="s">
        <v>649</v>
      </c>
      <c r="F383" s="229">
        <v>166</v>
      </c>
      <c r="G383" s="26">
        <f>F383/106</f>
        <v>1.5660377358490567</v>
      </c>
      <c r="H383" s="14">
        <v>1</v>
      </c>
      <c r="I383" s="229">
        <v>0</v>
      </c>
      <c r="J383" s="229">
        <v>0</v>
      </c>
      <c r="K383" s="26">
        <v>0</v>
      </c>
      <c r="L383" s="14">
        <v>0</v>
      </c>
      <c r="M383" s="229">
        <v>0</v>
      </c>
      <c r="N383" s="229">
        <v>0</v>
      </c>
      <c r="O383" s="229">
        <v>0</v>
      </c>
      <c r="P383" s="26">
        <v>0</v>
      </c>
      <c r="Q383" s="14">
        <v>0</v>
      </c>
      <c r="R383" s="229">
        <v>0</v>
      </c>
      <c r="S383" s="229">
        <v>0</v>
      </c>
      <c r="T383" s="229">
        <v>0</v>
      </c>
      <c r="U383" s="229">
        <v>0</v>
      </c>
      <c r="V383" s="229">
        <v>0</v>
      </c>
      <c r="W383" s="229">
        <v>0</v>
      </c>
      <c r="X383" s="229">
        <v>0</v>
      </c>
      <c r="Y383" s="229">
        <v>0</v>
      </c>
      <c r="Z383" s="229">
        <v>0</v>
      </c>
      <c r="AA383" s="229">
        <v>0</v>
      </c>
      <c r="AB383" s="229">
        <v>0</v>
      </c>
      <c r="AC383" s="12">
        <v>2</v>
      </c>
      <c r="AD383" s="14">
        <v>2</v>
      </c>
      <c r="AE383" s="14">
        <v>31</v>
      </c>
      <c r="AF383" s="26">
        <v>166</v>
      </c>
      <c r="AG383" s="12">
        <v>92</v>
      </c>
      <c r="AH383" s="14">
        <v>1</v>
      </c>
      <c r="AI383" s="209"/>
      <c r="AJ383" s="3"/>
      <c r="AK383" s="3"/>
      <c r="AL383" s="3"/>
      <c r="AM383" s="3"/>
      <c r="AN383" s="3"/>
      <c r="AO383" s="40"/>
      <c r="AP383" s="209"/>
      <c r="AQ383" s="3"/>
      <c r="AR383" s="40"/>
      <c r="AS383" s="238"/>
    </row>
    <row r="384" spans="1:45" s="229" customFormat="1">
      <c r="A384" s="83" t="s">
        <v>323</v>
      </c>
      <c r="B384" s="386">
        <v>12.331666666666667</v>
      </c>
      <c r="C384" s="229" t="s">
        <v>214</v>
      </c>
      <c r="D384" s="229" t="s">
        <v>669</v>
      </c>
      <c r="E384" s="229" t="s">
        <v>0</v>
      </c>
      <c r="F384" s="229">
        <v>274</v>
      </c>
      <c r="G384" s="26">
        <f>F384/189</f>
        <v>1.4497354497354498</v>
      </c>
      <c r="H384" s="14">
        <v>1</v>
      </c>
      <c r="I384" s="229">
        <v>0</v>
      </c>
      <c r="J384" s="229">
        <v>0</v>
      </c>
      <c r="K384" s="26">
        <v>0</v>
      </c>
      <c r="L384" s="14">
        <v>0</v>
      </c>
      <c r="M384" s="229">
        <v>0</v>
      </c>
      <c r="N384" s="229">
        <v>0</v>
      </c>
      <c r="O384" s="229">
        <v>0</v>
      </c>
      <c r="P384" s="26">
        <v>0</v>
      </c>
      <c r="Q384" s="14">
        <v>1</v>
      </c>
      <c r="R384" s="229">
        <v>0</v>
      </c>
      <c r="S384" s="229">
        <v>0</v>
      </c>
      <c r="T384" s="229">
        <v>0</v>
      </c>
      <c r="U384" s="229">
        <v>0</v>
      </c>
      <c r="V384" s="229">
        <v>0</v>
      </c>
      <c r="W384" s="229">
        <v>25</v>
      </c>
      <c r="X384" s="229">
        <v>0</v>
      </c>
      <c r="Y384" s="229">
        <v>0</v>
      </c>
      <c r="Z384" s="229">
        <v>0</v>
      </c>
      <c r="AA384" s="229">
        <v>0</v>
      </c>
      <c r="AB384" s="229">
        <v>0</v>
      </c>
      <c r="AC384" s="12">
        <v>1</v>
      </c>
      <c r="AD384" s="14">
        <v>1</v>
      </c>
      <c r="AE384" s="14">
        <v>0</v>
      </c>
      <c r="AF384" s="26">
        <v>0</v>
      </c>
      <c r="AG384" s="12">
        <v>88</v>
      </c>
      <c r="AH384" s="14">
        <v>1</v>
      </c>
      <c r="AI384" s="209"/>
      <c r="AJ384" s="3"/>
      <c r="AK384" s="3"/>
      <c r="AL384" s="3"/>
      <c r="AM384" s="3"/>
      <c r="AN384" s="3"/>
      <c r="AO384" s="40"/>
      <c r="AP384" s="209"/>
      <c r="AQ384" s="3"/>
      <c r="AR384" s="40"/>
      <c r="AS384" s="238"/>
    </row>
    <row r="385" spans="1:45" s="229" customFormat="1">
      <c r="A385" s="83" t="s">
        <v>323</v>
      </c>
      <c r="B385" s="386">
        <v>12.331666666666667</v>
      </c>
      <c r="C385" s="229" t="s">
        <v>214</v>
      </c>
      <c r="D385" s="229" t="s">
        <v>669</v>
      </c>
      <c r="E385" s="229" t="s">
        <v>1</v>
      </c>
      <c r="F385" s="229">
        <v>363</v>
      </c>
      <c r="G385" s="26">
        <f>F385/314</f>
        <v>1.1560509554140128</v>
      </c>
      <c r="H385" s="14">
        <v>0</v>
      </c>
      <c r="I385" s="229">
        <v>0</v>
      </c>
      <c r="J385" s="229">
        <v>0</v>
      </c>
      <c r="K385" s="26">
        <v>1</v>
      </c>
      <c r="L385" s="14">
        <v>0</v>
      </c>
      <c r="M385" s="229">
        <v>0</v>
      </c>
      <c r="N385" s="229">
        <v>0</v>
      </c>
      <c r="O385" s="229">
        <v>0</v>
      </c>
      <c r="P385" s="26">
        <v>0</v>
      </c>
      <c r="Q385" s="14">
        <v>5</v>
      </c>
      <c r="R385" s="229">
        <v>0</v>
      </c>
      <c r="S385" s="229">
        <v>0</v>
      </c>
      <c r="T385" s="229">
        <v>0</v>
      </c>
      <c r="U385" s="229">
        <v>0</v>
      </c>
      <c r="V385" s="229">
        <v>0</v>
      </c>
      <c r="W385" s="229">
        <v>0</v>
      </c>
      <c r="X385" s="229">
        <v>0</v>
      </c>
      <c r="Y385" s="229">
        <v>0</v>
      </c>
      <c r="Z385" s="229">
        <v>0</v>
      </c>
      <c r="AA385" s="229">
        <v>88</v>
      </c>
      <c r="AB385" s="229">
        <v>0</v>
      </c>
      <c r="AC385" s="12">
        <v>2</v>
      </c>
      <c r="AD385" s="14">
        <v>2</v>
      </c>
      <c r="AE385" s="14">
        <v>116</v>
      </c>
      <c r="AF385" s="26">
        <v>293</v>
      </c>
      <c r="AG385" s="12">
        <v>88</v>
      </c>
      <c r="AH385" s="14">
        <v>0</v>
      </c>
      <c r="AI385" s="209"/>
      <c r="AJ385" s="3"/>
      <c r="AK385" s="3"/>
      <c r="AL385" s="3"/>
      <c r="AM385" s="3"/>
      <c r="AN385" s="3"/>
      <c r="AO385" s="40"/>
      <c r="AP385" s="209"/>
      <c r="AQ385" s="3"/>
      <c r="AR385" s="40"/>
      <c r="AS385" s="238"/>
    </row>
    <row r="386" spans="1:45" s="229" customFormat="1">
      <c r="A386" s="83" t="s">
        <v>323</v>
      </c>
      <c r="B386" s="386">
        <v>12.331666666666667</v>
      </c>
      <c r="C386" s="229" t="s">
        <v>214</v>
      </c>
      <c r="D386" s="229" t="s">
        <v>670</v>
      </c>
      <c r="F386" s="229">
        <v>621</v>
      </c>
      <c r="G386" s="26">
        <f>F386/328</f>
        <v>1.8932926829268293</v>
      </c>
      <c r="H386" s="14">
        <v>0</v>
      </c>
      <c r="I386" s="229">
        <v>1</v>
      </c>
      <c r="J386" s="229">
        <v>0</v>
      </c>
      <c r="K386" s="26">
        <v>1</v>
      </c>
      <c r="L386" s="14">
        <v>0</v>
      </c>
      <c r="M386" s="229">
        <v>0</v>
      </c>
      <c r="N386" s="229">
        <v>0</v>
      </c>
      <c r="O386" s="229">
        <v>0</v>
      </c>
      <c r="P386" s="26">
        <v>0</v>
      </c>
      <c r="Q386" s="14">
        <v>1</v>
      </c>
      <c r="R386" s="229">
        <v>0</v>
      </c>
      <c r="S386" s="229">
        <v>25</v>
      </c>
      <c r="T386" s="229">
        <v>0</v>
      </c>
      <c r="U386" s="229">
        <v>0</v>
      </c>
      <c r="V386" s="229">
        <v>18</v>
      </c>
      <c r="W386" s="229">
        <v>128</v>
      </c>
      <c r="X386" s="229">
        <v>0</v>
      </c>
      <c r="Y386" s="229">
        <v>0</v>
      </c>
      <c r="Z386" s="229">
        <v>0</v>
      </c>
      <c r="AA386" s="229">
        <v>0</v>
      </c>
      <c r="AB386" s="229">
        <v>0</v>
      </c>
      <c r="AC386" s="12">
        <v>2</v>
      </c>
      <c r="AD386" s="14">
        <v>3</v>
      </c>
      <c r="AE386" s="14">
        <v>89</v>
      </c>
      <c r="AF386" s="26">
        <v>541</v>
      </c>
      <c r="AG386" s="12">
        <v>72</v>
      </c>
      <c r="AH386" s="14">
        <v>1</v>
      </c>
      <c r="AI386" s="209"/>
      <c r="AJ386" s="3"/>
      <c r="AK386" s="3"/>
      <c r="AL386" s="3"/>
      <c r="AM386" s="3"/>
      <c r="AN386" s="3"/>
      <c r="AO386" s="40"/>
      <c r="AP386" s="209"/>
      <c r="AQ386" s="3"/>
      <c r="AR386" s="40"/>
      <c r="AS386" s="238"/>
    </row>
    <row r="387" spans="1:45" s="229" customFormat="1">
      <c r="A387" s="83" t="s">
        <v>323</v>
      </c>
      <c r="B387" s="386">
        <v>12.331666666666667</v>
      </c>
      <c r="C387" s="229" t="s">
        <v>214</v>
      </c>
      <c r="D387" s="229" t="s">
        <v>671</v>
      </c>
      <c r="F387" s="229">
        <v>580</v>
      </c>
      <c r="G387" s="26">
        <f>F387/277</f>
        <v>2.0938628158844765</v>
      </c>
      <c r="H387" s="14">
        <v>0</v>
      </c>
      <c r="I387" s="229">
        <v>0</v>
      </c>
      <c r="J387" s="229">
        <v>1</v>
      </c>
      <c r="K387" s="26">
        <v>0</v>
      </c>
      <c r="L387" s="14">
        <v>0</v>
      </c>
      <c r="M387" s="229">
        <v>0</v>
      </c>
      <c r="N387" s="229">
        <v>0</v>
      </c>
      <c r="O387" s="229">
        <v>0</v>
      </c>
      <c r="P387" s="26">
        <v>0</v>
      </c>
      <c r="Q387" s="14">
        <v>5</v>
      </c>
      <c r="R387" s="229">
        <v>0</v>
      </c>
      <c r="S387" s="229">
        <v>0</v>
      </c>
      <c r="T387" s="229">
        <v>0</v>
      </c>
      <c r="U387" s="229">
        <v>0</v>
      </c>
      <c r="V387" s="229">
        <v>38</v>
      </c>
      <c r="W387" s="229">
        <v>47</v>
      </c>
      <c r="X387" s="229">
        <v>0</v>
      </c>
      <c r="Y387" s="229">
        <v>0</v>
      </c>
      <c r="Z387" s="229">
        <v>0</v>
      </c>
      <c r="AA387" s="229">
        <v>79</v>
      </c>
      <c r="AB387" s="229">
        <v>0</v>
      </c>
      <c r="AC387" s="12">
        <v>1</v>
      </c>
      <c r="AD387" s="14">
        <v>1</v>
      </c>
      <c r="AE387" s="14">
        <v>0</v>
      </c>
      <c r="AF387" s="26">
        <v>0</v>
      </c>
      <c r="AG387" s="12">
        <v>79</v>
      </c>
      <c r="AH387" s="14">
        <v>0</v>
      </c>
      <c r="AI387" s="209"/>
      <c r="AJ387" s="3"/>
      <c r="AK387" s="3"/>
      <c r="AL387" s="3"/>
      <c r="AM387" s="3"/>
      <c r="AN387" s="3"/>
      <c r="AO387" s="40"/>
      <c r="AP387" s="209"/>
      <c r="AQ387" s="3"/>
      <c r="AR387" s="40"/>
      <c r="AS387" s="238"/>
    </row>
    <row r="388" spans="1:45" s="229" customFormat="1">
      <c r="A388" s="83" t="s">
        <v>323</v>
      </c>
      <c r="B388" s="386">
        <v>12.331666666666667</v>
      </c>
      <c r="C388" s="229" t="s">
        <v>214</v>
      </c>
      <c r="D388" s="229" t="s">
        <v>672</v>
      </c>
      <c r="E388" s="229" t="s">
        <v>0</v>
      </c>
      <c r="F388" s="229">
        <v>488</v>
      </c>
      <c r="G388" s="26">
        <f>F388/181</f>
        <v>2.6961325966850831</v>
      </c>
      <c r="H388" s="14">
        <v>1</v>
      </c>
      <c r="I388" s="229">
        <v>0</v>
      </c>
      <c r="J388" s="229">
        <v>0</v>
      </c>
      <c r="K388" s="26">
        <v>1</v>
      </c>
      <c r="L388" s="14">
        <v>0</v>
      </c>
      <c r="M388" s="229">
        <v>0</v>
      </c>
      <c r="N388" s="229">
        <v>0</v>
      </c>
      <c r="O388" s="229">
        <v>0</v>
      </c>
      <c r="P388" s="26">
        <v>0</v>
      </c>
      <c r="Q388" s="14">
        <v>1</v>
      </c>
      <c r="R388" s="229">
        <v>0</v>
      </c>
      <c r="S388" s="229">
        <v>25</v>
      </c>
      <c r="T388" s="229">
        <v>0</v>
      </c>
      <c r="U388" s="229">
        <v>0</v>
      </c>
      <c r="V388" s="229">
        <v>0</v>
      </c>
      <c r="W388" s="229">
        <v>14</v>
      </c>
      <c r="X388" s="229">
        <v>0</v>
      </c>
      <c r="Y388" s="229">
        <v>0</v>
      </c>
      <c r="Z388" s="229">
        <v>0</v>
      </c>
      <c r="AA388" s="229">
        <v>0</v>
      </c>
      <c r="AB388" s="229">
        <v>0</v>
      </c>
      <c r="AC388" s="12">
        <v>2</v>
      </c>
      <c r="AD388" s="14">
        <v>7</v>
      </c>
      <c r="AE388" s="14">
        <v>34</v>
      </c>
      <c r="AF388" s="26">
        <v>298</v>
      </c>
      <c r="AG388" s="12">
        <v>84</v>
      </c>
      <c r="AH388" s="14">
        <v>1</v>
      </c>
      <c r="AI388" s="209">
        <v>85.862797129588898</v>
      </c>
      <c r="AJ388" s="3"/>
      <c r="AK388" s="3"/>
      <c r="AL388" s="3"/>
      <c r="AM388" s="3"/>
      <c r="AN388" s="3"/>
      <c r="AO388" s="40"/>
      <c r="AP388" s="209">
        <v>85.619185626599659</v>
      </c>
      <c r="AQ388" s="3"/>
      <c r="AR388" s="40"/>
      <c r="AS388" s="238"/>
    </row>
    <row r="389" spans="1:45" s="229" customFormat="1" ht="17" thickBot="1">
      <c r="A389" s="84" t="s">
        <v>323</v>
      </c>
      <c r="B389" s="385">
        <v>12.331666666666667</v>
      </c>
      <c r="C389" s="229" t="s">
        <v>214</v>
      </c>
      <c r="D389" s="229" t="s">
        <v>672</v>
      </c>
      <c r="E389" s="229" t="s">
        <v>1</v>
      </c>
      <c r="F389" s="229">
        <v>417</v>
      </c>
      <c r="G389" s="26">
        <f>F389/137</f>
        <v>3.0437956204379564</v>
      </c>
      <c r="H389" s="14">
        <v>1</v>
      </c>
      <c r="I389" s="229">
        <v>0</v>
      </c>
      <c r="J389" s="229">
        <v>0</v>
      </c>
      <c r="K389" s="26">
        <v>1</v>
      </c>
      <c r="L389" s="14">
        <v>0</v>
      </c>
      <c r="M389" s="229">
        <v>0</v>
      </c>
      <c r="N389" s="229">
        <v>0</v>
      </c>
      <c r="O389" s="229">
        <v>0</v>
      </c>
      <c r="P389" s="26">
        <v>0</v>
      </c>
      <c r="Q389" s="14">
        <v>1</v>
      </c>
      <c r="R389" s="229">
        <v>0</v>
      </c>
      <c r="S389" s="229">
        <v>6</v>
      </c>
      <c r="T389" s="229">
        <v>0</v>
      </c>
      <c r="U389" s="229">
        <v>0</v>
      </c>
      <c r="V389" s="229">
        <v>0</v>
      </c>
      <c r="W389" s="229">
        <v>0</v>
      </c>
      <c r="X389" s="229">
        <v>0</v>
      </c>
      <c r="Y389" s="229">
        <v>0</v>
      </c>
      <c r="Z389" s="229">
        <v>0</v>
      </c>
      <c r="AA389" s="229">
        <v>0</v>
      </c>
      <c r="AB389" s="229">
        <v>0</v>
      </c>
      <c r="AC389" s="12">
        <v>2</v>
      </c>
      <c r="AD389" s="14">
        <v>9</v>
      </c>
      <c r="AE389" s="14">
        <v>48</v>
      </c>
      <c r="AF389" s="26">
        <v>144</v>
      </c>
      <c r="AG389" s="12">
        <v>84</v>
      </c>
      <c r="AH389" s="14">
        <v>1</v>
      </c>
      <c r="AI389" s="209">
        <v>85.842656113578869</v>
      </c>
      <c r="AJ389" s="3"/>
      <c r="AK389" s="3"/>
      <c r="AL389" s="3"/>
      <c r="AM389" s="3"/>
      <c r="AN389" s="3"/>
      <c r="AO389" s="40"/>
      <c r="AP389" s="209">
        <v>84.942736601827093</v>
      </c>
      <c r="AQ389" s="3"/>
      <c r="AR389" s="40"/>
      <c r="AS389" s="238"/>
    </row>
    <row r="390" spans="1:45" s="229" customFormat="1">
      <c r="A390" s="83" t="s">
        <v>323</v>
      </c>
      <c r="B390" s="384">
        <v>12.331666666666667</v>
      </c>
      <c r="C390" s="8" t="s">
        <v>217</v>
      </c>
      <c r="D390" s="8" t="s">
        <v>423</v>
      </c>
      <c r="E390" s="8" t="s">
        <v>0</v>
      </c>
      <c r="F390" s="8">
        <v>174</v>
      </c>
      <c r="G390" s="10">
        <f>F390/155</f>
        <v>1.1225806451612903</v>
      </c>
      <c r="H390" s="11">
        <v>1</v>
      </c>
      <c r="I390" s="8">
        <v>0</v>
      </c>
      <c r="J390" s="8">
        <v>0</v>
      </c>
      <c r="K390" s="41">
        <v>1</v>
      </c>
      <c r="L390" s="11">
        <v>0</v>
      </c>
      <c r="M390" s="8">
        <v>0</v>
      </c>
      <c r="N390" s="8">
        <v>0</v>
      </c>
      <c r="O390" s="8">
        <v>0</v>
      </c>
      <c r="P390" s="41">
        <v>0</v>
      </c>
      <c r="Q390" s="11">
        <v>1</v>
      </c>
      <c r="R390" s="8">
        <v>0</v>
      </c>
      <c r="S390" s="8">
        <v>7</v>
      </c>
      <c r="T390" s="8">
        <v>0</v>
      </c>
      <c r="U390" s="8">
        <v>0</v>
      </c>
      <c r="V390" s="8">
        <v>0</v>
      </c>
      <c r="W390" s="8">
        <v>0</v>
      </c>
      <c r="X390" s="8">
        <v>0</v>
      </c>
      <c r="Y390" s="8">
        <v>0</v>
      </c>
      <c r="Z390" s="8">
        <v>0</v>
      </c>
      <c r="AA390" s="8">
        <v>15</v>
      </c>
      <c r="AB390" s="8"/>
      <c r="AC390" s="9">
        <v>2</v>
      </c>
      <c r="AD390" s="11">
        <v>2</v>
      </c>
      <c r="AE390" s="11">
        <v>78</v>
      </c>
      <c r="AF390" s="41">
        <v>174</v>
      </c>
      <c r="AG390" s="9">
        <v>123</v>
      </c>
      <c r="AH390" s="11">
        <v>1</v>
      </c>
      <c r="AI390" s="208"/>
      <c r="AJ390" s="54"/>
      <c r="AK390" s="54"/>
      <c r="AL390" s="54"/>
      <c r="AM390" s="54"/>
      <c r="AN390" s="54"/>
      <c r="AO390" s="10"/>
      <c r="AP390" s="208"/>
      <c r="AQ390" s="54"/>
      <c r="AR390" s="10"/>
      <c r="AS390" s="237"/>
    </row>
    <row r="391" spans="1:45" s="229" customFormat="1">
      <c r="A391" s="83" t="s">
        <v>323</v>
      </c>
      <c r="B391" s="386">
        <v>12.331666666666667</v>
      </c>
      <c r="C391" s="229" t="s">
        <v>217</v>
      </c>
      <c r="D391" s="229" t="s">
        <v>423</v>
      </c>
      <c r="E391" s="229" t="s">
        <v>1</v>
      </c>
      <c r="F391" s="229">
        <v>482</v>
      </c>
      <c r="G391" s="40">
        <f>F391/303</f>
        <v>1.5907590759075907</v>
      </c>
      <c r="H391" s="14">
        <v>0</v>
      </c>
      <c r="I391" s="229">
        <v>0</v>
      </c>
      <c r="J391" s="229">
        <v>0</v>
      </c>
      <c r="K391" s="26">
        <v>1</v>
      </c>
      <c r="L391" s="14">
        <v>0</v>
      </c>
      <c r="M391" s="229">
        <v>0</v>
      </c>
      <c r="N391" s="229">
        <v>1</v>
      </c>
      <c r="O391" s="229">
        <v>0</v>
      </c>
      <c r="P391" s="26">
        <v>1</v>
      </c>
      <c r="Q391" s="14">
        <v>0</v>
      </c>
      <c r="R391" s="229">
        <v>0</v>
      </c>
      <c r="S391" s="229">
        <v>0</v>
      </c>
      <c r="T391" s="229">
        <v>0</v>
      </c>
      <c r="U391" s="229">
        <v>0</v>
      </c>
      <c r="V391" s="229">
        <v>0</v>
      </c>
      <c r="W391" s="229">
        <v>0</v>
      </c>
      <c r="X391" s="229">
        <v>0</v>
      </c>
      <c r="Y391" s="229">
        <v>0</v>
      </c>
      <c r="Z391" s="229">
        <v>0</v>
      </c>
      <c r="AA391" s="229">
        <v>0</v>
      </c>
      <c r="AC391" s="12">
        <v>2</v>
      </c>
      <c r="AD391" s="14">
        <v>5</v>
      </c>
      <c r="AE391" s="14">
        <v>81</v>
      </c>
      <c r="AF391" s="26">
        <v>482</v>
      </c>
      <c r="AG391" s="12">
        <v>123</v>
      </c>
      <c r="AH391" s="14">
        <v>1</v>
      </c>
      <c r="AI391" s="209"/>
      <c r="AJ391" s="3"/>
      <c r="AK391" s="3"/>
      <c r="AL391" s="3"/>
      <c r="AM391" s="3"/>
      <c r="AN391" s="3"/>
      <c r="AO391" s="40"/>
      <c r="AP391" s="209"/>
      <c r="AQ391" s="3"/>
      <c r="AR391" s="40"/>
      <c r="AS391" s="238"/>
    </row>
    <row r="392" spans="1:45" s="229" customFormat="1">
      <c r="A392" s="83" t="s">
        <v>323</v>
      </c>
      <c r="B392" s="386">
        <v>12.331666666666667</v>
      </c>
      <c r="C392" s="229" t="s">
        <v>217</v>
      </c>
      <c r="D392" s="229" t="s">
        <v>423</v>
      </c>
      <c r="E392" s="229" t="s">
        <v>2</v>
      </c>
      <c r="F392" s="229">
        <v>265</v>
      </c>
      <c r="G392" s="40">
        <f>F392/131</f>
        <v>2.0229007633587788</v>
      </c>
      <c r="H392" s="14">
        <v>0</v>
      </c>
      <c r="I392" s="229">
        <v>1</v>
      </c>
      <c r="J392" s="229">
        <v>0</v>
      </c>
      <c r="K392" s="26">
        <v>1</v>
      </c>
      <c r="L392" s="14">
        <v>0</v>
      </c>
      <c r="M392" s="229">
        <v>0</v>
      </c>
      <c r="N392" s="229">
        <v>0</v>
      </c>
      <c r="O392" s="229">
        <v>0</v>
      </c>
      <c r="P392" s="26">
        <v>0</v>
      </c>
      <c r="Q392" s="14">
        <v>1</v>
      </c>
      <c r="R392" s="229">
        <v>0</v>
      </c>
      <c r="S392" s="229">
        <v>0</v>
      </c>
      <c r="T392" s="229">
        <v>0</v>
      </c>
      <c r="U392" s="229">
        <v>0</v>
      </c>
      <c r="V392" s="229">
        <v>0</v>
      </c>
      <c r="W392" s="229">
        <v>0</v>
      </c>
      <c r="X392" s="229">
        <v>0</v>
      </c>
      <c r="Y392" s="229">
        <v>0</v>
      </c>
      <c r="Z392" s="229">
        <v>0</v>
      </c>
      <c r="AA392" s="229">
        <v>12</v>
      </c>
      <c r="AC392" s="12">
        <v>2</v>
      </c>
      <c r="AD392" s="14">
        <v>2</v>
      </c>
      <c r="AE392" s="14">
        <v>131</v>
      </c>
      <c r="AF392" s="26">
        <v>167</v>
      </c>
      <c r="AG392" s="12">
        <v>123</v>
      </c>
      <c r="AH392" s="14">
        <v>0</v>
      </c>
      <c r="AI392" s="209"/>
      <c r="AJ392" s="3"/>
      <c r="AK392" s="3"/>
      <c r="AL392" s="3"/>
      <c r="AM392" s="3"/>
      <c r="AN392" s="3"/>
      <c r="AO392" s="40"/>
      <c r="AP392" s="209"/>
      <c r="AQ392" s="3"/>
      <c r="AR392" s="40"/>
      <c r="AS392" s="238"/>
    </row>
    <row r="393" spans="1:45" s="229" customFormat="1">
      <c r="A393" s="83" t="s">
        <v>323</v>
      </c>
      <c r="B393" s="386">
        <v>12.331666666666667</v>
      </c>
      <c r="C393" s="229" t="s">
        <v>217</v>
      </c>
      <c r="D393" s="229" t="s">
        <v>423</v>
      </c>
      <c r="E393" s="229" t="s">
        <v>3</v>
      </c>
      <c r="F393" s="229">
        <v>577</v>
      </c>
      <c r="G393" s="40">
        <f>F393/262</f>
        <v>2.2022900763358777</v>
      </c>
      <c r="H393" s="14">
        <v>1</v>
      </c>
      <c r="I393" s="229">
        <v>0</v>
      </c>
      <c r="J393" s="229">
        <v>0</v>
      </c>
      <c r="K393" s="26">
        <v>1</v>
      </c>
      <c r="L393" s="14">
        <v>0</v>
      </c>
      <c r="M393" s="229">
        <v>0</v>
      </c>
      <c r="N393" s="229">
        <v>0</v>
      </c>
      <c r="O393" s="229">
        <v>0</v>
      </c>
      <c r="P393" s="26">
        <v>0</v>
      </c>
      <c r="Q393" s="14">
        <v>0</v>
      </c>
      <c r="R393" s="229">
        <v>0</v>
      </c>
      <c r="S393" s="229">
        <v>0</v>
      </c>
      <c r="T393" s="229">
        <v>0</v>
      </c>
      <c r="U393" s="229">
        <v>0</v>
      </c>
      <c r="V393" s="229">
        <v>0</v>
      </c>
      <c r="W393" s="229">
        <v>0</v>
      </c>
      <c r="X393" s="229">
        <v>0</v>
      </c>
      <c r="Y393" s="229">
        <v>0</v>
      </c>
      <c r="Z393" s="229">
        <v>0</v>
      </c>
      <c r="AA393" s="229">
        <v>0</v>
      </c>
      <c r="AC393" s="12">
        <v>2</v>
      </c>
      <c r="AD393" s="14">
        <v>12</v>
      </c>
      <c r="AE393" s="14">
        <v>29</v>
      </c>
      <c r="AF393" s="26">
        <v>270</v>
      </c>
      <c r="AG393" s="12">
        <v>123</v>
      </c>
      <c r="AH393" s="14">
        <v>1</v>
      </c>
      <c r="AI393" s="209"/>
      <c r="AJ393" s="3"/>
      <c r="AK393" s="3"/>
      <c r="AL393" s="3"/>
      <c r="AM393" s="3"/>
      <c r="AN393" s="3"/>
      <c r="AO393" s="40"/>
      <c r="AP393" s="209"/>
      <c r="AQ393" s="3"/>
      <c r="AR393" s="40"/>
      <c r="AS393" s="238"/>
    </row>
    <row r="394" spans="1:45" s="229" customFormat="1">
      <c r="A394" s="83" t="s">
        <v>323</v>
      </c>
      <c r="B394" s="386">
        <v>12.331666666666667</v>
      </c>
      <c r="C394" s="229" t="s">
        <v>217</v>
      </c>
      <c r="D394" s="229" t="s">
        <v>423</v>
      </c>
      <c r="E394" s="229" t="s">
        <v>4</v>
      </c>
      <c r="F394" s="229">
        <v>285</v>
      </c>
      <c r="G394" s="40">
        <f>F394/218</f>
        <v>1.3073394495412844</v>
      </c>
      <c r="H394" s="14">
        <v>1</v>
      </c>
      <c r="I394" s="229">
        <v>0</v>
      </c>
      <c r="J394" s="229">
        <v>0</v>
      </c>
      <c r="K394" s="26">
        <v>1</v>
      </c>
      <c r="L394" s="14">
        <v>0</v>
      </c>
      <c r="M394" s="229">
        <v>0</v>
      </c>
      <c r="N394" s="229">
        <v>0</v>
      </c>
      <c r="O394" s="229">
        <v>0</v>
      </c>
      <c r="P394" s="26">
        <v>0</v>
      </c>
      <c r="Q394" s="14">
        <v>1</v>
      </c>
      <c r="R394" s="229">
        <v>0</v>
      </c>
      <c r="S394" s="229">
        <v>11</v>
      </c>
      <c r="T394" s="229">
        <v>0</v>
      </c>
      <c r="U394" s="229">
        <v>0</v>
      </c>
      <c r="V394" s="229">
        <v>0</v>
      </c>
      <c r="W394" s="229">
        <v>0</v>
      </c>
      <c r="X394" s="229">
        <v>0</v>
      </c>
      <c r="Y394" s="229">
        <v>0</v>
      </c>
      <c r="Z394" s="229">
        <v>0</v>
      </c>
      <c r="AA394" s="229">
        <v>0</v>
      </c>
      <c r="AC394" s="12">
        <v>2</v>
      </c>
      <c r="AD394" s="14">
        <v>10</v>
      </c>
      <c r="AE394" s="14">
        <v>28</v>
      </c>
      <c r="AF394" s="26">
        <v>143</v>
      </c>
      <c r="AG394" s="12">
        <v>123</v>
      </c>
      <c r="AH394" s="14">
        <v>0</v>
      </c>
      <c r="AI394" s="209"/>
      <c r="AJ394" s="3"/>
      <c r="AK394" s="3"/>
      <c r="AL394" s="3"/>
      <c r="AM394" s="3"/>
      <c r="AN394" s="3"/>
      <c r="AO394" s="40"/>
      <c r="AP394" s="209"/>
      <c r="AQ394" s="3"/>
      <c r="AR394" s="40"/>
      <c r="AS394" s="238"/>
    </row>
    <row r="395" spans="1:45" s="229" customFormat="1">
      <c r="A395" s="83" t="s">
        <v>323</v>
      </c>
      <c r="B395" s="386">
        <v>12.331666666666667</v>
      </c>
      <c r="C395" s="229" t="s">
        <v>217</v>
      </c>
      <c r="D395" s="229" t="s">
        <v>622</v>
      </c>
      <c r="E395" s="229" t="s">
        <v>0</v>
      </c>
      <c r="F395" s="229">
        <v>122</v>
      </c>
      <c r="G395" s="40">
        <f>F395/78</f>
        <v>1.5641025641025641</v>
      </c>
      <c r="H395" s="14">
        <v>0</v>
      </c>
      <c r="I395" s="229">
        <v>0</v>
      </c>
      <c r="J395" s="229">
        <v>0</v>
      </c>
      <c r="K395" s="26">
        <v>1</v>
      </c>
      <c r="L395" s="14">
        <v>0</v>
      </c>
      <c r="M395" s="229">
        <v>0</v>
      </c>
      <c r="N395" s="229">
        <v>0</v>
      </c>
      <c r="O395" s="229">
        <v>0</v>
      </c>
      <c r="P395" s="26">
        <v>0</v>
      </c>
      <c r="Q395" s="14">
        <v>1</v>
      </c>
      <c r="R395" s="229">
        <v>0</v>
      </c>
      <c r="S395" s="229">
        <v>0</v>
      </c>
      <c r="T395" s="229">
        <v>0</v>
      </c>
      <c r="U395" s="229">
        <v>0</v>
      </c>
      <c r="V395" s="229">
        <v>0</v>
      </c>
      <c r="W395" s="229">
        <v>7</v>
      </c>
      <c r="X395" s="229">
        <v>0</v>
      </c>
      <c r="Y395" s="229">
        <v>0</v>
      </c>
      <c r="Z395" s="229">
        <v>0</v>
      </c>
      <c r="AA395" s="229">
        <v>0</v>
      </c>
      <c r="AC395" s="12">
        <v>1</v>
      </c>
      <c r="AD395" s="14">
        <v>1</v>
      </c>
      <c r="AE395" s="14">
        <v>0</v>
      </c>
      <c r="AF395" s="26">
        <v>0</v>
      </c>
      <c r="AG395" s="12">
        <v>76</v>
      </c>
      <c r="AH395" s="14">
        <v>0</v>
      </c>
      <c r="AI395" s="209"/>
      <c r="AJ395" s="3"/>
      <c r="AK395" s="3"/>
      <c r="AL395" s="3"/>
      <c r="AM395" s="3"/>
      <c r="AN395" s="3"/>
      <c r="AO395" s="40"/>
      <c r="AP395" s="209"/>
      <c r="AQ395" s="3"/>
      <c r="AR395" s="40"/>
      <c r="AS395" s="238"/>
    </row>
    <row r="396" spans="1:45" s="229" customFormat="1">
      <c r="A396" s="83" t="s">
        <v>323</v>
      </c>
      <c r="B396" s="386">
        <v>12.331666666666667</v>
      </c>
      <c r="C396" s="229" t="s">
        <v>217</v>
      </c>
      <c r="D396" s="229" t="s">
        <v>622</v>
      </c>
      <c r="E396" s="229" t="s">
        <v>1</v>
      </c>
      <c r="F396" s="229">
        <v>296</v>
      </c>
      <c r="G396" s="40">
        <f>F396/193</f>
        <v>1.5336787564766838</v>
      </c>
      <c r="H396" s="14">
        <v>1</v>
      </c>
      <c r="I396" s="229">
        <v>0</v>
      </c>
      <c r="J396" s="229">
        <v>0</v>
      </c>
      <c r="K396" s="26">
        <v>0</v>
      </c>
      <c r="L396" s="14">
        <v>0</v>
      </c>
      <c r="M396" s="229">
        <v>0</v>
      </c>
      <c r="N396" s="229">
        <v>0</v>
      </c>
      <c r="O396" s="229">
        <v>0</v>
      </c>
      <c r="P396" s="26">
        <v>0</v>
      </c>
      <c r="Q396" s="14">
        <v>5</v>
      </c>
      <c r="R396" s="229">
        <v>0</v>
      </c>
      <c r="S396" s="229">
        <v>13</v>
      </c>
      <c r="T396" s="229">
        <v>0</v>
      </c>
      <c r="U396" s="229">
        <v>0</v>
      </c>
      <c r="V396" s="229">
        <v>7</v>
      </c>
      <c r="W396" s="229">
        <v>25</v>
      </c>
      <c r="X396" s="229">
        <v>0</v>
      </c>
      <c r="Y396" s="229">
        <v>0</v>
      </c>
      <c r="Z396" s="229">
        <v>0</v>
      </c>
      <c r="AA396" s="229">
        <v>0</v>
      </c>
      <c r="AC396" s="12">
        <v>2</v>
      </c>
      <c r="AD396" s="14">
        <v>4</v>
      </c>
      <c r="AE396" s="14">
        <v>33</v>
      </c>
      <c r="AF396" s="26">
        <v>195</v>
      </c>
      <c r="AG396" s="12">
        <v>76</v>
      </c>
      <c r="AH396" s="14">
        <v>0</v>
      </c>
      <c r="AI396" s="209"/>
      <c r="AJ396" s="3"/>
      <c r="AK396" s="3"/>
      <c r="AL396" s="3"/>
      <c r="AM396" s="3"/>
      <c r="AN396" s="3"/>
      <c r="AO396" s="40"/>
      <c r="AP396" s="209"/>
      <c r="AQ396" s="3"/>
      <c r="AR396" s="40"/>
      <c r="AS396" s="238"/>
    </row>
    <row r="397" spans="1:45" s="229" customFormat="1">
      <c r="A397" s="83" t="s">
        <v>323</v>
      </c>
      <c r="B397" s="386">
        <v>12.331666666666667</v>
      </c>
      <c r="C397" s="229" t="s">
        <v>217</v>
      </c>
      <c r="D397" s="229" t="s">
        <v>620</v>
      </c>
      <c r="E397" s="229" t="s">
        <v>0</v>
      </c>
      <c r="F397" s="229">
        <v>108</v>
      </c>
      <c r="G397" s="40">
        <f>F397/66</f>
        <v>1.6363636363636365</v>
      </c>
      <c r="H397" s="14">
        <v>1</v>
      </c>
      <c r="I397" s="229">
        <v>0</v>
      </c>
      <c r="J397" s="229">
        <v>0</v>
      </c>
      <c r="K397" s="26">
        <v>0</v>
      </c>
      <c r="L397" s="14">
        <v>0</v>
      </c>
      <c r="M397" s="229">
        <v>0</v>
      </c>
      <c r="N397" s="229">
        <v>0</v>
      </c>
      <c r="O397" s="229">
        <v>0</v>
      </c>
      <c r="P397" s="26">
        <v>0</v>
      </c>
      <c r="Q397" s="14">
        <v>0</v>
      </c>
      <c r="R397" s="229">
        <v>0</v>
      </c>
      <c r="S397" s="229">
        <v>0</v>
      </c>
      <c r="T397" s="229">
        <v>0</v>
      </c>
      <c r="U397" s="229">
        <v>0</v>
      </c>
      <c r="V397" s="229">
        <v>0</v>
      </c>
      <c r="W397" s="229">
        <v>0</v>
      </c>
      <c r="X397" s="229">
        <v>0</v>
      </c>
      <c r="Y397" s="229">
        <v>0</v>
      </c>
      <c r="Z397" s="229">
        <v>0</v>
      </c>
      <c r="AA397" s="229">
        <v>0</v>
      </c>
      <c r="AC397" s="12">
        <v>1</v>
      </c>
      <c r="AD397" s="14">
        <v>1</v>
      </c>
      <c r="AE397" s="14">
        <v>0</v>
      </c>
      <c r="AF397" s="26">
        <v>0</v>
      </c>
      <c r="AG397" s="12">
        <v>63</v>
      </c>
      <c r="AH397" s="14">
        <v>0</v>
      </c>
      <c r="AI397" s="209"/>
      <c r="AJ397" s="3"/>
      <c r="AK397" s="3"/>
      <c r="AL397" s="3"/>
      <c r="AM397" s="3"/>
      <c r="AN397" s="3"/>
      <c r="AO397" s="40"/>
      <c r="AP397" s="209"/>
      <c r="AQ397" s="3"/>
      <c r="AR397" s="40"/>
      <c r="AS397" s="238"/>
    </row>
    <row r="398" spans="1:45" s="229" customFormat="1">
      <c r="A398" s="83" t="s">
        <v>323</v>
      </c>
      <c r="B398" s="386">
        <v>12.331666666666667</v>
      </c>
      <c r="C398" s="229" t="s">
        <v>217</v>
      </c>
      <c r="D398" s="229" t="s">
        <v>620</v>
      </c>
      <c r="E398" s="229" t="s">
        <v>1</v>
      </c>
      <c r="F398" s="229">
        <v>313</v>
      </c>
      <c r="G398" s="40">
        <f>F398/195</f>
        <v>1.6051282051282052</v>
      </c>
      <c r="H398" s="14">
        <v>1</v>
      </c>
      <c r="I398" s="229">
        <v>0</v>
      </c>
      <c r="J398" s="229">
        <v>0</v>
      </c>
      <c r="K398" s="26">
        <v>0</v>
      </c>
      <c r="L398" s="14">
        <v>0</v>
      </c>
      <c r="M398" s="229">
        <v>0</v>
      </c>
      <c r="N398" s="229">
        <v>1</v>
      </c>
      <c r="O398" s="229">
        <v>0</v>
      </c>
      <c r="P398" s="26">
        <v>1</v>
      </c>
      <c r="Q398" s="14">
        <v>5</v>
      </c>
      <c r="R398" s="229">
        <v>0</v>
      </c>
      <c r="S398" s="229">
        <v>0</v>
      </c>
      <c r="T398" s="229">
        <v>0</v>
      </c>
      <c r="U398" s="229">
        <v>0</v>
      </c>
      <c r="V398" s="229">
        <v>39</v>
      </c>
      <c r="W398" s="229">
        <v>44</v>
      </c>
      <c r="X398" s="229">
        <v>0</v>
      </c>
      <c r="Y398" s="229">
        <v>0</v>
      </c>
      <c r="Z398" s="229">
        <v>0</v>
      </c>
      <c r="AA398" s="229">
        <v>0</v>
      </c>
      <c r="AC398" s="12">
        <v>1</v>
      </c>
      <c r="AD398" s="14">
        <v>1</v>
      </c>
      <c r="AE398" s="14">
        <v>0</v>
      </c>
      <c r="AF398" s="26">
        <v>0</v>
      </c>
      <c r="AG398" s="12">
        <v>63</v>
      </c>
      <c r="AH398" s="14">
        <v>0</v>
      </c>
      <c r="AI398" s="209"/>
      <c r="AJ398" s="3"/>
      <c r="AK398" s="3"/>
      <c r="AL398" s="3"/>
      <c r="AM398" s="3"/>
      <c r="AN398" s="3"/>
      <c r="AO398" s="40"/>
      <c r="AP398" s="209"/>
      <c r="AQ398" s="3"/>
      <c r="AR398" s="40"/>
      <c r="AS398" s="238"/>
    </row>
    <row r="399" spans="1:45" s="229" customFormat="1">
      <c r="A399" s="83" t="s">
        <v>323</v>
      </c>
      <c r="B399" s="386">
        <v>12.331666666666667</v>
      </c>
      <c r="C399" s="229" t="s">
        <v>217</v>
      </c>
      <c r="D399" s="229" t="s">
        <v>634</v>
      </c>
      <c r="E399" s="229" t="s">
        <v>0</v>
      </c>
      <c r="F399" s="229">
        <v>473</v>
      </c>
      <c r="G399" s="40">
        <f>F399/276</f>
        <v>1.713768115942029</v>
      </c>
      <c r="H399" s="14">
        <v>0</v>
      </c>
      <c r="I399" s="229">
        <v>0</v>
      </c>
      <c r="J399" s="229">
        <v>0</v>
      </c>
      <c r="K399" s="26">
        <v>1</v>
      </c>
      <c r="L399" s="14">
        <v>0</v>
      </c>
      <c r="M399" s="229">
        <v>0</v>
      </c>
      <c r="N399" s="229">
        <v>1</v>
      </c>
      <c r="O399" s="229">
        <v>0</v>
      </c>
      <c r="P399" s="26">
        <v>1</v>
      </c>
      <c r="Q399" s="14">
        <v>5</v>
      </c>
      <c r="R399" s="229">
        <v>16</v>
      </c>
      <c r="S399" s="229">
        <v>47</v>
      </c>
      <c r="T399" s="229">
        <v>0</v>
      </c>
      <c r="U399" s="229">
        <v>0</v>
      </c>
      <c r="V399" s="229">
        <v>0</v>
      </c>
      <c r="W399" s="229">
        <v>0</v>
      </c>
      <c r="X399" s="229">
        <v>0</v>
      </c>
      <c r="Y399" s="229">
        <v>0</v>
      </c>
      <c r="Z399" s="229">
        <v>0</v>
      </c>
      <c r="AA399" s="229">
        <v>58</v>
      </c>
      <c r="AC399" s="12">
        <v>2</v>
      </c>
      <c r="AD399" s="14">
        <v>3</v>
      </c>
      <c r="AE399" s="14">
        <v>149</v>
      </c>
      <c r="AF399" s="26">
        <v>276</v>
      </c>
      <c r="AG399" s="12">
        <v>95</v>
      </c>
      <c r="AH399" s="14">
        <v>1</v>
      </c>
      <c r="AI399" s="209"/>
      <c r="AJ399" s="3"/>
      <c r="AK399" s="3"/>
      <c r="AL399" s="3"/>
      <c r="AM399" s="3"/>
      <c r="AN399" s="3"/>
      <c r="AO399" s="40"/>
      <c r="AP399" s="209"/>
      <c r="AQ399" s="3"/>
      <c r="AR399" s="40"/>
      <c r="AS399" s="238"/>
    </row>
    <row r="400" spans="1:45" s="229" customFormat="1">
      <c r="A400" s="83" t="s">
        <v>323</v>
      </c>
      <c r="B400" s="386">
        <v>12.331666666666667</v>
      </c>
      <c r="C400" s="229" t="s">
        <v>217</v>
      </c>
      <c r="D400" s="229" t="s">
        <v>634</v>
      </c>
      <c r="E400" s="229" t="s">
        <v>1</v>
      </c>
      <c r="F400" s="229">
        <v>475</v>
      </c>
      <c r="G400" s="40">
        <f>F400/220</f>
        <v>2.1590909090909092</v>
      </c>
      <c r="H400" s="14">
        <v>1</v>
      </c>
      <c r="I400" s="229">
        <v>0</v>
      </c>
      <c r="J400" s="229">
        <v>0</v>
      </c>
      <c r="K400" s="26">
        <v>1</v>
      </c>
      <c r="L400" s="14">
        <v>0</v>
      </c>
      <c r="M400" s="229">
        <v>0</v>
      </c>
      <c r="N400" s="229">
        <v>1</v>
      </c>
      <c r="O400" s="229">
        <v>0</v>
      </c>
      <c r="P400" s="26">
        <v>1</v>
      </c>
      <c r="Q400" s="14">
        <v>2</v>
      </c>
      <c r="R400" s="229">
        <v>12</v>
      </c>
      <c r="S400" s="229">
        <v>20</v>
      </c>
      <c r="T400" s="229">
        <v>0</v>
      </c>
      <c r="U400" s="229">
        <v>0</v>
      </c>
      <c r="V400" s="229">
        <v>0</v>
      </c>
      <c r="W400" s="229">
        <v>0</v>
      </c>
      <c r="X400" s="229">
        <v>0</v>
      </c>
      <c r="Y400" s="229">
        <v>0</v>
      </c>
      <c r="Z400" s="229">
        <v>0</v>
      </c>
      <c r="AA400" s="229">
        <v>0</v>
      </c>
      <c r="AC400" s="12">
        <v>2</v>
      </c>
      <c r="AD400" s="14">
        <v>3</v>
      </c>
      <c r="AE400" s="14">
        <v>132</v>
      </c>
      <c r="AF400" s="26">
        <v>310</v>
      </c>
      <c r="AG400" s="12">
        <v>95</v>
      </c>
      <c r="AH400" s="14">
        <v>1</v>
      </c>
      <c r="AI400" s="209"/>
      <c r="AJ400" s="3"/>
      <c r="AK400" s="3"/>
      <c r="AL400" s="3"/>
      <c r="AM400" s="3"/>
      <c r="AN400" s="3"/>
      <c r="AO400" s="40"/>
      <c r="AP400" s="209"/>
      <c r="AQ400" s="3"/>
      <c r="AR400" s="40"/>
      <c r="AS400" s="238"/>
    </row>
    <row r="401" spans="1:45" s="229" customFormat="1">
      <c r="A401" s="83" t="s">
        <v>323</v>
      </c>
      <c r="B401" s="386">
        <v>12.331666666666667</v>
      </c>
      <c r="C401" s="229" t="s">
        <v>217</v>
      </c>
      <c r="D401" s="229" t="s">
        <v>634</v>
      </c>
      <c r="E401" s="229" t="s">
        <v>2</v>
      </c>
      <c r="F401" s="229">
        <v>106</v>
      </c>
      <c r="G401" s="40">
        <f>F401/63</f>
        <v>1.6825396825396826</v>
      </c>
      <c r="H401" s="14">
        <v>1</v>
      </c>
      <c r="I401" s="229">
        <v>0</v>
      </c>
      <c r="J401" s="229">
        <v>0</v>
      </c>
      <c r="K401" s="26">
        <v>0</v>
      </c>
      <c r="L401" s="14">
        <v>0</v>
      </c>
      <c r="M401" s="229">
        <v>0</v>
      </c>
      <c r="N401" s="229">
        <v>0</v>
      </c>
      <c r="O401" s="229">
        <v>0</v>
      </c>
      <c r="P401" s="26">
        <v>0</v>
      </c>
      <c r="Q401" s="14">
        <v>1</v>
      </c>
      <c r="R401" s="229">
        <v>0</v>
      </c>
      <c r="S401" s="229">
        <v>0</v>
      </c>
      <c r="T401" s="229">
        <v>0</v>
      </c>
      <c r="U401" s="229">
        <v>0</v>
      </c>
      <c r="V401" s="229">
        <v>0</v>
      </c>
      <c r="W401" s="229">
        <v>6</v>
      </c>
      <c r="X401" s="229">
        <v>0</v>
      </c>
      <c r="Y401" s="229">
        <v>0</v>
      </c>
      <c r="Z401" s="229">
        <v>0</v>
      </c>
      <c r="AA401" s="229">
        <v>0</v>
      </c>
      <c r="AC401" s="12">
        <v>1</v>
      </c>
      <c r="AD401" s="14">
        <v>1</v>
      </c>
      <c r="AE401" s="14">
        <v>0</v>
      </c>
      <c r="AF401" s="26">
        <v>0</v>
      </c>
      <c r="AG401" s="12">
        <v>95</v>
      </c>
      <c r="AH401" s="14">
        <v>0</v>
      </c>
      <c r="AI401" s="209"/>
      <c r="AJ401" s="3"/>
      <c r="AK401" s="3"/>
      <c r="AL401" s="3"/>
      <c r="AM401" s="3"/>
      <c r="AN401" s="3"/>
      <c r="AO401" s="40"/>
      <c r="AP401" s="209"/>
      <c r="AQ401" s="3"/>
      <c r="AR401" s="40"/>
      <c r="AS401" s="238"/>
    </row>
    <row r="402" spans="1:45" s="229" customFormat="1">
      <c r="A402" s="83" t="s">
        <v>323</v>
      </c>
      <c r="B402" s="386">
        <v>12.331666666666667</v>
      </c>
      <c r="C402" s="229" t="s">
        <v>217</v>
      </c>
      <c r="D402" s="229" t="s">
        <v>625</v>
      </c>
      <c r="F402" s="229">
        <v>234</v>
      </c>
      <c r="G402" s="40">
        <f>F402/153</f>
        <v>1.5294117647058822</v>
      </c>
      <c r="H402" s="14">
        <v>0</v>
      </c>
      <c r="I402" s="229">
        <v>0</v>
      </c>
      <c r="J402" s="229">
        <v>1</v>
      </c>
      <c r="K402" s="26">
        <v>0</v>
      </c>
      <c r="L402" s="14">
        <v>0</v>
      </c>
      <c r="M402" s="229">
        <v>0</v>
      </c>
      <c r="N402" s="229">
        <v>0</v>
      </c>
      <c r="O402" s="229">
        <v>1</v>
      </c>
      <c r="P402" s="26">
        <v>1</v>
      </c>
      <c r="Q402" s="14">
        <v>4</v>
      </c>
      <c r="R402" s="229">
        <v>0</v>
      </c>
      <c r="S402" s="229">
        <v>0</v>
      </c>
      <c r="T402" s="229">
        <v>0</v>
      </c>
      <c r="U402" s="229">
        <v>0</v>
      </c>
      <c r="V402" s="229">
        <v>14</v>
      </c>
      <c r="W402" s="229">
        <v>57</v>
      </c>
      <c r="X402" s="229">
        <v>0</v>
      </c>
      <c r="Y402" s="229">
        <v>0</v>
      </c>
      <c r="Z402" s="229">
        <v>0</v>
      </c>
      <c r="AA402" s="229">
        <v>0</v>
      </c>
      <c r="AC402" s="12">
        <v>2</v>
      </c>
      <c r="AD402" s="14">
        <v>2</v>
      </c>
      <c r="AE402" s="14">
        <v>78</v>
      </c>
      <c r="AF402" s="26">
        <v>203</v>
      </c>
      <c r="AG402" s="12">
        <v>69</v>
      </c>
      <c r="AH402" s="14">
        <v>0</v>
      </c>
      <c r="AI402" s="209"/>
      <c r="AJ402" s="3"/>
      <c r="AK402" s="3"/>
      <c r="AL402" s="3"/>
      <c r="AM402" s="3"/>
      <c r="AN402" s="3"/>
      <c r="AO402" s="40"/>
      <c r="AP402" s="209"/>
      <c r="AQ402" s="3"/>
      <c r="AR402" s="40"/>
      <c r="AS402" s="238"/>
    </row>
    <row r="403" spans="1:45" s="229" customFormat="1">
      <c r="A403" s="83" t="s">
        <v>323</v>
      </c>
      <c r="B403" s="386">
        <v>12.331666666666667</v>
      </c>
      <c r="C403" s="229" t="s">
        <v>217</v>
      </c>
      <c r="D403" s="229" t="s">
        <v>630</v>
      </c>
      <c r="E403" s="229" t="s">
        <v>0</v>
      </c>
      <c r="F403" s="229">
        <v>112</v>
      </c>
      <c r="G403" s="40">
        <f>F403/62</f>
        <v>1.8064516129032258</v>
      </c>
      <c r="H403" s="14">
        <v>1</v>
      </c>
      <c r="I403" s="229">
        <v>0</v>
      </c>
      <c r="J403" s="229">
        <v>0</v>
      </c>
      <c r="K403" s="26">
        <v>0</v>
      </c>
      <c r="L403" s="14">
        <v>0</v>
      </c>
      <c r="M403" s="229">
        <v>0</v>
      </c>
      <c r="N403" s="229">
        <v>0</v>
      </c>
      <c r="O403" s="229">
        <v>0</v>
      </c>
      <c r="P403" s="26">
        <v>0</v>
      </c>
      <c r="Q403" s="14">
        <v>3</v>
      </c>
      <c r="R403" s="229">
        <v>0</v>
      </c>
      <c r="S403" s="229">
        <v>9</v>
      </c>
      <c r="T403" s="229">
        <v>0</v>
      </c>
      <c r="U403" s="229">
        <v>0</v>
      </c>
      <c r="V403" s="229">
        <v>0</v>
      </c>
      <c r="W403" s="229">
        <v>0</v>
      </c>
      <c r="X403" s="229">
        <v>0</v>
      </c>
      <c r="Y403" s="229">
        <v>0</v>
      </c>
      <c r="Z403" s="229">
        <v>0</v>
      </c>
      <c r="AA403" s="229">
        <v>0</v>
      </c>
      <c r="AC403" s="12">
        <v>1</v>
      </c>
      <c r="AD403" s="14">
        <v>1</v>
      </c>
      <c r="AE403" s="14">
        <v>0</v>
      </c>
      <c r="AF403" s="26">
        <v>0</v>
      </c>
      <c r="AG403" s="12">
        <v>108</v>
      </c>
      <c r="AH403" s="14">
        <v>1</v>
      </c>
      <c r="AI403" s="209"/>
      <c r="AJ403" s="3"/>
      <c r="AK403" s="3"/>
      <c r="AL403" s="3"/>
      <c r="AM403" s="3"/>
      <c r="AN403" s="3"/>
      <c r="AO403" s="40"/>
      <c r="AP403" s="209"/>
      <c r="AQ403" s="3"/>
      <c r="AR403" s="40"/>
      <c r="AS403" s="238"/>
    </row>
    <row r="404" spans="1:45" s="229" customFormat="1">
      <c r="A404" s="83" t="s">
        <v>323</v>
      </c>
      <c r="B404" s="386">
        <v>12.331666666666667</v>
      </c>
      <c r="C404" s="229" t="s">
        <v>217</v>
      </c>
      <c r="D404" s="229" t="s">
        <v>630</v>
      </c>
      <c r="E404" s="229" t="s">
        <v>1</v>
      </c>
      <c r="F404" s="229">
        <v>342</v>
      </c>
      <c r="G404" s="40">
        <f>F404/204</f>
        <v>1.6764705882352942</v>
      </c>
      <c r="H404" s="14">
        <v>1</v>
      </c>
      <c r="I404" s="229">
        <v>0</v>
      </c>
      <c r="J404" s="229">
        <v>0</v>
      </c>
      <c r="K404" s="26">
        <v>1</v>
      </c>
      <c r="L404" s="14">
        <v>0</v>
      </c>
      <c r="M404" s="229">
        <v>0</v>
      </c>
      <c r="N404" s="229">
        <v>0</v>
      </c>
      <c r="O404" s="229">
        <v>0</v>
      </c>
      <c r="P404" s="26">
        <v>0</v>
      </c>
      <c r="Q404" s="14">
        <v>0</v>
      </c>
      <c r="R404" s="229">
        <v>0</v>
      </c>
      <c r="S404" s="229">
        <v>0</v>
      </c>
      <c r="T404" s="229">
        <v>0</v>
      </c>
      <c r="U404" s="229">
        <v>0</v>
      </c>
      <c r="V404" s="229">
        <v>0</v>
      </c>
      <c r="W404" s="229">
        <v>0</v>
      </c>
      <c r="X404" s="229">
        <v>0</v>
      </c>
      <c r="Y404" s="229">
        <v>0</v>
      </c>
      <c r="Z404" s="229">
        <v>0</v>
      </c>
      <c r="AA404" s="229">
        <v>0</v>
      </c>
      <c r="AC404" s="12">
        <v>2</v>
      </c>
      <c r="AD404" s="14">
        <v>6</v>
      </c>
      <c r="AE404" s="14">
        <v>49</v>
      </c>
      <c r="AF404" s="26">
        <v>275</v>
      </c>
      <c r="AG404" s="12">
        <v>108</v>
      </c>
      <c r="AH404" s="14">
        <v>1</v>
      </c>
      <c r="AI404" s="209"/>
      <c r="AJ404" s="3"/>
      <c r="AK404" s="3"/>
      <c r="AL404" s="3"/>
      <c r="AM404" s="3"/>
      <c r="AN404" s="3"/>
      <c r="AO404" s="40"/>
      <c r="AP404" s="209"/>
      <c r="AQ404" s="3"/>
      <c r="AR404" s="40"/>
      <c r="AS404" s="238"/>
    </row>
    <row r="405" spans="1:45" s="229" customFormat="1">
      <c r="A405" s="83" t="s">
        <v>323</v>
      </c>
      <c r="B405" s="386">
        <v>12.331666666666667</v>
      </c>
      <c r="C405" s="229" t="s">
        <v>217</v>
      </c>
      <c r="D405" s="229" t="s">
        <v>630</v>
      </c>
      <c r="E405" s="229" t="s">
        <v>2</v>
      </c>
      <c r="F405" s="229">
        <v>201</v>
      </c>
      <c r="G405" s="40">
        <f>F405/106</f>
        <v>1.8962264150943395</v>
      </c>
      <c r="H405" s="14">
        <v>1</v>
      </c>
      <c r="I405" s="229">
        <v>0</v>
      </c>
      <c r="J405" s="229">
        <v>0</v>
      </c>
      <c r="K405" s="26">
        <v>0</v>
      </c>
      <c r="L405" s="14">
        <v>0</v>
      </c>
      <c r="M405" s="229">
        <v>0</v>
      </c>
      <c r="N405" s="229">
        <v>0</v>
      </c>
      <c r="O405" s="229">
        <v>0</v>
      </c>
      <c r="P405" s="26">
        <v>0</v>
      </c>
      <c r="Q405" s="14">
        <v>3</v>
      </c>
      <c r="R405" s="229">
        <v>0</v>
      </c>
      <c r="S405" s="229">
        <v>0</v>
      </c>
      <c r="T405" s="229">
        <v>0</v>
      </c>
      <c r="U405" s="229">
        <v>0</v>
      </c>
      <c r="V405" s="229">
        <v>0</v>
      </c>
      <c r="W405" s="229">
        <v>0</v>
      </c>
      <c r="X405" s="229">
        <v>0</v>
      </c>
      <c r="Y405" s="229">
        <v>0</v>
      </c>
      <c r="Z405" s="229">
        <v>0</v>
      </c>
      <c r="AA405" s="229">
        <v>21</v>
      </c>
      <c r="AC405" s="12">
        <v>1</v>
      </c>
      <c r="AD405" s="14">
        <v>1</v>
      </c>
      <c r="AE405" s="14">
        <v>0</v>
      </c>
      <c r="AF405" s="26">
        <v>0</v>
      </c>
      <c r="AG405" s="12">
        <v>108</v>
      </c>
      <c r="AH405" s="14">
        <v>0</v>
      </c>
      <c r="AI405" s="209"/>
      <c r="AJ405" s="3"/>
      <c r="AK405" s="3"/>
      <c r="AL405" s="3"/>
      <c r="AM405" s="3"/>
      <c r="AN405" s="3"/>
      <c r="AO405" s="40"/>
      <c r="AP405" s="209"/>
      <c r="AQ405" s="3"/>
      <c r="AR405" s="40"/>
      <c r="AS405" s="238"/>
    </row>
    <row r="406" spans="1:45" s="229" customFormat="1">
      <c r="A406" s="83" t="s">
        <v>323</v>
      </c>
      <c r="B406" s="386">
        <v>12.331666666666667</v>
      </c>
      <c r="C406" s="229" t="s">
        <v>217</v>
      </c>
      <c r="D406" s="229" t="s">
        <v>630</v>
      </c>
      <c r="E406" s="229" t="s">
        <v>3</v>
      </c>
      <c r="F406" s="229">
        <v>235</v>
      </c>
      <c r="G406" s="40">
        <f>F406/121</f>
        <v>1.9421487603305785</v>
      </c>
      <c r="H406" s="14">
        <v>0</v>
      </c>
      <c r="I406" s="229">
        <v>0</v>
      </c>
      <c r="J406" s="229">
        <v>0</v>
      </c>
      <c r="K406" s="26">
        <v>1</v>
      </c>
      <c r="L406" s="14">
        <v>0</v>
      </c>
      <c r="M406" s="229">
        <v>0</v>
      </c>
      <c r="N406" s="229">
        <v>0</v>
      </c>
      <c r="O406" s="229">
        <v>0</v>
      </c>
      <c r="P406" s="26">
        <v>0</v>
      </c>
      <c r="Q406" s="14">
        <v>1</v>
      </c>
      <c r="R406" s="229">
        <v>0</v>
      </c>
      <c r="S406" s="229">
        <v>6</v>
      </c>
      <c r="T406" s="229">
        <v>0</v>
      </c>
      <c r="U406" s="229">
        <v>0</v>
      </c>
      <c r="V406" s="229">
        <v>0</v>
      </c>
      <c r="W406" s="229">
        <v>0</v>
      </c>
      <c r="X406" s="229">
        <v>0</v>
      </c>
      <c r="Y406" s="229">
        <v>0</v>
      </c>
      <c r="Z406" s="229">
        <v>0</v>
      </c>
      <c r="AA406" s="229">
        <v>0</v>
      </c>
      <c r="AC406" s="12">
        <v>2</v>
      </c>
      <c r="AD406" s="14">
        <v>4</v>
      </c>
      <c r="AE406" s="14">
        <v>40</v>
      </c>
      <c r="AF406" s="26">
        <v>222</v>
      </c>
      <c r="AG406" s="12">
        <v>108</v>
      </c>
      <c r="AH406" s="14">
        <v>0</v>
      </c>
      <c r="AI406" s="209"/>
      <c r="AJ406" s="3"/>
      <c r="AK406" s="3"/>
      <c r="AL406" s="3"/>
      <c r="AM406" s="3"/>
      <c r="AN406" s="3"/>
      <c r="AO406" s="40"/>
      <c r="AP406" s="209"/>
      <c r="AQ406" s="3"/>
      <c r="AR406" s="40"/>
      <c r="AS406" s="238"/>
    </row>
    <row r="407" spans="1:45" s="229" customFormat="1">
      <c r="A407" s="83" t="s">
        <v>323</v>
      </c>
      <c r="B407" s="386">
        <v>12.331666666666667</v>
      </c>
      <c r="C407" s="229" t="s">
        <v>217</v>
      </c>
      <c r="D407" s="229" t="s">
        <v>637</v>
      </c>
      <c r="E407" s="229" t="s">
        <v>0</v>
      </c>
      <c r="F407" s="229">
        <v>166</v>
      </c>
      <c r="G407" s="40">
        <f>F407/91</f>
        <v>1.8241758241758241</v>
      </c>
      <c r="H407" s="14">
        <v>1</v>
      </c>
      <c r="I407" s="229">
        <v>0</v>
      </c>
      <c r="J407" s="229">
        <v>0</v>
      </c>
      <c r="K407" s="26">
        <v>0</v>
      </c>
      <c r="L407" s="14">
        <v>0</v>
      </c>
      <c r="M407" s="229">
        <v>0</v>
      </c>
      <c r="N407" s="229">
        <v>1</v>
      </c>
      <c r="O407" s="229">
        <v>0</v>
      </c>
      <c r="P407" s="26">
        <v>1</v>
      </c>
      <c r="Q407" s="14">
        <v>0</v>
      </c>
      <c r="R407" s="229">
        <v>0</v>
      </c>
      <c r="S407" s="229">
        <v>0</v>
      </c>
      <c r="T407" s="229">
        <v>0</v>
      </c>
      <c r="U407" s="229">
        <v>0</v>
      </c>
      <c r="V407" s="229">
        <v>0</v>
      </c>
      <c r="W407" s="229">
        <v>0</v>
      </c>
      <c r="X407" s="229">
        <v>0</v>
      </c>
      <c r="Y407" s="229">
        <v>0</v>
      </c>
      <c r="Z407" s="229">
        <v>0</v>
      </c>
      <c r="AA407" s="229">
        <v>0</v>
      </c>
      <c r="AC407" s="12">
        <v>1</v>
      </c>
      <c r="AD407" s="14">
        <v>1</v>
      </c>
      <c r="AE407" s="14">
        <v>0</v>
      </c>
      <c r="AF407" s="26">
        <v>0</v>
      </c>
      <c r="AG407" s="12"/>
      <c r="AH407" s="14">
        <v>0</v>
      </c>
      <c r="AI407" s="209"/>
      <c r="AJ407" s="3"/>
      <c r="AK407" s="3"/>
      <c r="AL407" s="3"/>
      <c r="AM407" s="3"/>
      <c r="AN407" s="3"/>
      <c r="AO407" s="40"/>
      <c r="AP407" s="209"/>
      <c r="AQ407" s="3"/>
      <c r="AR407" s="40"/>
      <c r="AS407" s="238"/>
    </row>
    <row r="408" spans="1:45" s="229" customFormat="1">
      <c r="A408" s="83" t="s">
        <v>323</v>
      </c>
      <c r="B408" s="386">
        <v>12.331666666666667</v>
      </c>
      <c r="C408" s="24" t="s">
        <v>217</v>
      </c>
      <c r="D408" s="24" t="s">
        <v>637</v>
      </c>
      <c r="E408" s="229" t="s">
        <v>1</v>
      </c>
      <c r="F408" s="229">
        <v>370</v>
      </c>
      <c r="G408" s="40">
        <f>F408/259</f>
        <v>1.4285714285714286</v>
      </c>
      <c r="H408" s="14">
        <v>1</v>
      </c>
      <c r="I408" s="229">
        <v>0</v>
      </c>
      <c r="J408" s="229">
        <v>0</v>
      </c>
      <c r="K408" s="26">
        <v>1</v>
      </c>
      <c r="L408" s="14">
        <v>0</v>
      </c>
      <c r="M408" s="229">
        <v>0</v>
      </c>
      <c r="N408" s="229">
        <v>1</v>
      </c>
      <c r="O408" s="229">
        <v>0</v>
      </c>
      <c r="P408" s="26">
        <v>1</v>
      </c>
      <c r="Q408" s="14">
        <v>1</v>
      </c>
      <c r="R408" s="229">
        <v>0</v>
      </c>
      <c r="S408" s="229">
        <v>5</v>
      </c>
      <c r="T408" s="229">
        <v>0</v>
      </c>
      <c r="U408" s="229">
        <v>0</v>
      </c>
      <c r="V408" s="229">
        <v>0</v>
      </c>
      <c r="W408" s="229">
        <v>22</v>
      </c>
      <c r="X408" s="229">
        <v>0</v>
      </c>
      <c r="Y408" s="229">
        <v>0</v>
      </c>
      <c r="Z408" s="229">
        <v>0</v>
      </c>
      <c r="AA408" s="229">
        <v>0</v>
      </c>
      <c r="AC408" s="12">
        <v>2</v>
      </c>
      <c r="AD408" s="14">
        <v>13</v>
      </c>
      <c r="AE408" s="14">
        <v>43</v>
      </c>
      <c r="AF408" s="26">
        <v>134</v>
      </c>
      <c r="AG408" s="12"/>
      <c r="AH408" s="14">
        <v>0</v>
      </c>
      <c r="AI408" s="209"/>
      <c r="AJ408" s="3"/>
      <c r="AK408" s="3"/>
      <c r="AL408" s="3"/>
      <c r="AM408" s="3"/>
      <c r="AN408" s="3"/>
      <c r="AO408" s="40"/>
      <c r="AP408" s="209"/>
      <c r="AQ408" s="3"/>
      <c r="AR408" s="40"/>
      <c r="AS408" s="238"/>
    </row>
    <row r="409" spans="1:45" s="229" customFormat="1">
      <c r="A409" s="83" t="s">
        <v>323</v>
      </c>
      <c r="B409" s="386">
        <v>12.331666666666667</v>
      </c>
      <c r="C409" s="24" t="s">
        <v>217</v>
      </c>
      <c r="D409" s="24" t="s">
        <v>637</v>
      </c>
      <c r="E409" s="229" t="s">
        <v>2</v>
      </c>
      <c r="F409" s="229">
        <v>197</v>
      </c>
      <c r="G409" s="40">
        <f>F409/113</f>
        <v>1.7433628318584071</v>
      </c>
      <c r="H409" s="14">
        <v>0</v>
      </c>
      <c r="I409" s="229">
        <v>0</v>
      </c>
      <c r="J409" s="229">
        <v>0</v>
      </c>
      <c r="K409" s="26">
        <v>1</v>
      </c>
      <c r="L409" s="14">
        <v>0</v>
      </c>
      <c r="M409" s="229">
        <v>0</v>
      </c>
      <c r="N409" s="229">
        <v>1</v>
      </c>
      <c r="O409" s="229">
        <v>0</v>
      </c>
      <c r="P409" s="26">
        <v>1</v>
      </c>
      <c r="Q409" s="14">
        <v>8</v>
      </c>
      <c r="R409" s="229">
        <v>0</v>
      </c>
      <c r="S409" s="229">
        <v>0</v>
      </c>
      <c r="T409" s="229">
        <v>0</v>
      </c>
      <c r="U409" s="229">
        <v>0</v>
      </c>
      <c r="V409" s="229">
        <v>0</v>
      </c>
      <c r="W409" s="229">
        <v>17</v>
      </c>
      <c r="X409" s="229">
        <v>0</v>
      </c>
      <c r="Y409" s="229">
        <v>0</v>
      </c>
      <c r="Z409" s="229">
        <v>0</v>
      </c>
      <c r="AA409" s="229">
        <v>44</v>
      </c>
      <c r="AC409" s="12">
        <v>1</v>
      </c>
      <c r="AD409" s="14">
        <v>1</v>
      </c>
      <c r="AE409" s="14">
        <v>0</v>
      </c>
      <c r="AF409" s="26">
        <v>0</v>
      </c>
      <c r="AG409" s="12"/>
      <c r="AH409" s="14">
        <v>1</v>
      </c>
      <c r="AI409" s="209"/>
      <c r="AJ409" s="3"/>
      <c r="AK409" s="3"/>
      <c r="AL409" s="3"/>
      <c r="AM409" s="3"/>
      <c r="AN409" s="3"/>
      <c r="AO409" s="40"/>
      <c r="AP409" s="209"/>
      <c r="AQ409" s="3"/>
      <c r="AR409" s="40"/>
      <c r="AS409" s="238"/>
    </row>
    <row r="410" spans="1:45" s="229" customFormat="1">
      <c r="A410" s="83" t="s">
        <v>323</v>
      </c>
      <c r="B410" s="386">
        <v>12.331666666666667</v>
      </c>
      <c r="C410" s="24" t="s">
        <v>217</v>
      </c>
      <c r="D410" s="24" t="s">
        <v>637</v>
      </c>
      <c r="E410" s="229" t="s">
        <v>3</v>
      </c>
      <c r="F410" s="229">
        <v>225</v>
      </c>
      <c r="G410" s="40">
        <f>F410/111</f>
        <v>2.0270270270270272</v>
      </c>
      <c r="H410" s="14">
        <v>1</v>
      </c>
      <c r="I410" s="229">
        <v>0</v>
      </c>
      <c r="J410" s="229">
        <v>0</v>
      </c>
      <c r="K410" s="26">
        <v>1</v>
      </c>
      <c r="L410" s="14">
        <v>0</v>
      </c>
      <c r="M410" s="229">
        <v>0</v>
      </c>
      <c r="N410" s="229">
        <v>1</v>
      </c>
      <c r="O410" s="229">
        <v>0</v>
      </c>
      <c r="P410" s="26">
        <v>1</v>
      </c>
      <c r="Q410" s="14">
        <v>2</v>
      </c>
      <c r="R410" s="229">
        <v>0</v>
      </c>
      <c r="S410" s="229">
        <v>0</v>
      </c>
      <c r="T410" s="229">
        <v>0</v>
      </c>
      <c r="U410" s="229">
        <v>0</v>
      </c>
      <c r="V410" s="229">
        <v>0</v>
      </c>
      <c r="W410" s="229">
        <v>18</v>
      </c>
      <c r="X410" s="229">
        <v>0</v>
      </c>
      <c r="Y410" s="229">
        <v>0</v>
      </c>
      <c r="Z410" s="229">
        <v>0</v>
      </c>
      <c r="AA410" s="229">
        <v>0</v>
      </c>
      <c r="AC410" s="12">
        <v>2</v>
      </c>
      <c r="AD410" s="14">
        <v>3</v>
      </c>
      <c r="AE410" s="14">
        <v>106</v>
      </c>
      <c r="AF410" s="26">
        <v>127</v>
      </c>
      <c r="AG410" s="12"/>
      <c r="AH410" s="14">
        <v>1</v>
      </c>
      <c r="AI410" s="209"/>
      <c r="AJ410" s="3"/>
      <c r="AK410" s="3"/>
      <c r="AL410" s="3"/>
      <c r="AM410" s="3"/>
      <c r="AN410" s="3"/>
      <c r="AO410" s="40"/>
      <c r="AP410" s="209"/>
      <c r="AQ410" s="3"/>
      <c r="AR410" s="40"/>
      <c r="AS410" s="238"/>
    </row>
    <row r="411" spans="1:45" s="229" customFormat="1">
      <c r="A411" s="83" t="s">
        <v>323</v>
      </c>
      <c r="B411" s="386">
        <v>12.331666666666667</v>
      </c>
      <c r="C411" s="229" t="s">
        <v>217</v>
      </c>
      <c r="D411" s="229" t="s">
        <v>638</v>
      </c>
      <c r="E411" s="229" t="s">
        <v>0</v>
      </c>
      <c r="F411" s="229">
        <v>159</v>
      </c>
      <c r="G411" s="40">
        <f>F411/103</f>
        <v>1.5436893203883495</v>
      </c>
      <c r="H411" s="14">
        <v>1</v>
      </c>
      <c r="I411" s="229">
        <v>0</v>
      </c>
      <c r="J411" s="229">
        <v>0</v>
      </c>
      <c r="K411" s="26">
        <v>0</v>
      </c>
      <c r="L411" s="14">
        <v>1</v>
      </c>
      <c r="M411" s="229">
        <v>0</v>
      </c>
      <c r="N411" s="229">
        <v>0</v>
      </c>
      <c r="O411" s="229">
        <v>0</v>
      </c>
      <c r="P411" s="26">
        <v>1</v>
      </c>
      <c r="Q411" s="14">
        <v>0</v>
      </c>
      <c r="R411" s="229">
        <v>0</v>
      </c>
      <c r="S411" s="229">
        <v>0</v>
      </c>
      <c r="T411" s="229">
        <v>0</v>
      </c>
      <c r="U411" s="229">
        <v>0</v>
      </c>
      <c r="V411" s="229">
        <v>0</v>
      </c>
      <c r="W411" s="229">
        <v>0</v>
      </c>
      <c r="X411" s="229">
        <v>0</v>
      </c>
      <c r="Y411" s="229">
        <v>0</v>
      </c>
      <c r="Z411" s="229">
        <v>0</v>
      </c>
      <c r="AA411" s="229">
        <v>0</v>
      </c>
      <c r="AC411" s="12">
        <v>2</v>
      </c>
      <c r="AD411" s="14">
        <v>2</v>
      </c>
      <c r="AE411" s="14">
        <v>60</v>
      </c>
      <c r="AF411" s="26">
        <v>117</v>
      </c>
      <c r="AG411" s="12">
        <v>96</v>
      </c>
      <c r="AH411" s="14">
        <v>0</v>
      </c>
      <c r="AI411" s="209"/>
      <c r="AJ411" s="3"/>
      <c r="AK411" s="3"/>
      <c r="AL411" s="3"/>
      <c r="AM411" s="3"/>
      <c r="AN411" s="3"/>
      <c r="AO411" s="40"/>
      <c r="AP411" s="209"/>
      <c r="AQ411" s="3"/>
      <c r="AR411" s="40"/>
      <c r="AS411" s="238"/>
    </row>
    <row r="412" spans="1:45" s="229" customFormat="1">
      <c r="A412" s="83" t="s">
        <v>323</v>
      </c>
      <c r="B412" s="386">
        <v>12.331666666666667</v>
      </c>
      <c r="C412" s="229" t="s">
        <v>217</v>
      </c>
      <c r="D412" s="229" t="s">
        <v>638</v>
      </c>
      <c r="E412" s="229" t="s">
        <v>1</v>
      </c>
      <c r="F412" s="229">
        <v>92</v>
      </c>
      <c r="G412" s="40">
        <f>F412/59</f>
        <v>1.5593220338983051</v>
      </c>
      <c r="H412" s="14">
        <v>1</v>
      </c>
      <c r="I412" s="229">
        <v>0</v>
      </c>
      <c r="J412" s="229">
        <v>0</v>
      </c>
      <c r="K412" s="26">
        <v>0</v>
      </c>
      <c r="L412" s="14">
        <v>1</v>
      </c>
      <c r="M412" s="229">
        <v>0</v>
      </c>
      <c r="N412" s="229">
        <v>0</v>
      </c>
      <c r="O412" s="229">
        <v>0</v>
      </c>
      <c r="P412" s="26">
        <v>1</v>
      </c>
      <c r="Q412" s="14">
        <v>0</v>
      </c>
      <c r="R412" s="229">
        <v>0</v>
      </c>
      <c r="S412" s="229">
        <v>0</v>
      </c>
      <c r="T412" s="229">
        <v>0</v>
      </c>
      <c r="U412" s="229">
        <v>0</v>
      </c>
      <c r="V412" s="229">
        <v>0</v>
      </c>
      <c r="W412" s="229">
        <v>0</v>
      </c>
      <c r="X412" s="229">
        <v>0</v>
      </c>
      <c r="Y412" s="229">
        <v>0</v>
      </c>
      <c r="Z412" s="229">
        <v>0</v>
      </c>
      <c r="AA412" s="229">
        <v>0</v>
      </c>
      <c r="AC412" s="12">
        <v>1</v>
      </c>
      <c r="AD412" s="14">
        <v>1</v>
      </c>
      <c r="AE412" s="14">
        <v>0</v>
      </c>
      <c r="AF412" s="26">
        <v>0</v>
      </c>
      <c r="AG412" s="12">
        <v>96</v>
      </c>
      <c r="AH412" s="14">
        <v>0</v>
      </c>
      <c r="AI412" s="209"/>
      <c r="AJ412" s="3"/>
      <c r="AK412" s="3"/>
      <c r="AL412" s="3"/>
      <c r="AM412" s="3"/>
      <c r="AN412" s="3"/>
      <c r="AO412" s="40"/>
      <c r="AP412" s="209"/>
      <c r="AQ412" s="3"/>
      <c r="AR412" s="40"/>
      <c r="AS412" s="238"/>
    </row>
    <row r="413" spans="1:45" s="229" customFormat="1">
      <c r="A413" s="83" t="s">
        <v>323</v>
      </c>
      <c r="B413" s="386">
        <v>12.331666666666667</v>
      </c>
      <c r="C413" s="229" t="s">
        <v>217</v>
      </c>
      <c r="D413" s="229" t="s">
        <v>638</v>
      </c>
      <c r="E413" s="229" t="s">
        <v>2</v>
      </c>
      <c r="F413" s="229">
        <v>166</v>
      </c>
      <c r="G413" s="40">
        <f>F413/143</f>
        <v>1.1608391608391608</v>
      </c>
      <c r="H413" s="14">
        <v>1</v>
      </c>
      <c r="I413" s="229">
        <v>0</v>
      </c>
      <c r="J413" s="229">
        <v>0</v>
      </c>
      <c r="K413" s="26">
        <v>1</v>
      </c>
      <c r="L413" s="14">
        <v>1</v>
      </c>
      <c r="M413" s="229">
        <v>0</v>
      </c>
      <c r="N413" s="229">
        <v>0</v>
      </c>
      <c r="O413" s="229">
        <v>0</v>
      </c>
      <c r="P413" s="26">
        <v>1</v>
      </c>
      <c r="Q413" s="14">
        <v>2</v>
      </c>
      <c r="R413" s="229">
        <v>9</v>
      </c>
      <c r="S413" s="229">
        <v>10</v>
      </c>
      <c r="T413" s="229">
        <v>0</v>
      </c>
      <c r="U413" s="229">
        <v>0</v>
      </c>
      <c r="V413" s="229">
        <v>0</v>
      </c>
      <c r="W413" s="229">
        <v>0</v>
      </c>
      <c r="X413" s="229">
        <v>0</v>
      </c>
      <c r="Y413" s="229">
        <v>0</v>
      </c>
      <c r="Z413" s="229">
        <v>0</v>
      </c>
      <c r="AA413" s="229">
        <v>0</v>
      </c>
      <c r="AC413" s="12">
        <v>2</v>
      </c>
      <c r="AD413" s="14">
        <v>2</v>
      </c>
      <c r="AE413" s="14">
        <v>66</v>
      </c>
      <c r="AF413" s="26">
        <v>143</v>
      </c>
      <c r="AG413" s="12">
        <v>96</v>
      </c>
      <c r="AH413" s="14">
        <v>0</v>
      </c>
      <c r="AI413" s="209"/>
      <c r="AJ413" s="3"/>
      <c r="AK413" s="3"/>
      <c r="AL413" s="3"/>
      <c r="AM413" s="3"/>
      <c r="AN413" s="3"/>
      <c r="AO413" s="40"/>
      <c r="AP413" s="209"/>
      <c r="AQ413" s="3"/>
      <c r="AR413" s="40"/>
      <c r="AS413" s="238"/>
    </row>
    <row r="414" spans="1:45" s="229" customFormat="1">
      <c r="A414" s="83" t="s">
        <v>323</v>
      </c>
      <c r="B414" s="386">
        <v>12.331666666666667</v>
      </c>
      <c r="C414" s="229" t="s">
        <v>217</v>
      </c>
      <c r="D414" s="229" t="s">
        <v>639</v>
      </c>
      <c r="F414" s="229">
        <v>366</v>
      </c>
      <c r="G414" s="40">
        <f>F414/161</f>
        <v>2.2732919254658386</v>
      </c>
      <c r="H414" s="14">
        <v>1</v>
      </c>
      <c r="I414" s="229">
        <v>0</v>
      </c>
      <c r="J414" s="229">
        <v>0</v>
      </c>
      <c r="K414" s="26">
        <v>1</v>
      </c>
      <c r="L414" s="14">
        <v>0</v>
      </c>
      <c r="M414" s="229">
        <v>0</v>
      </c>
      <c r="N414" s="229">
        <v>0</v>
      </c>
      <c r="O414" s="229">
        <v>0</v>
      </c>
      <c r="P414" s="26">
        <v>0</v>
      </c>
      <c r="Q414" s="14">
        <v>2</v>
      </c>
      <c r="R414" s="229">
        <v>11</v>
      </c>
      <c r="S414" s="229">
        <v>14</v>
      </c>
      <c r="T414" s="229">
        <v>0</v>
      </c>
      <c r="U414" s="229">
        <v>0</v>
      </c>
      <c r="V414" s="229">
        <v>0</v>
      </c>
      <c r="W414" s="229">
        <v>0</v>
      </c>
      <c r="X414" s="229">
        <v>0</v>
      </c>
      <c r="Y414" s="229">
        <v>0</v>
      </c>
      <c r="Z414" s="229">
        <v>0</v>
      </c>
      <c r="AA414" s="229">
        <v>0</v>
      </c>
      <c r="AC414" s="12">
        <v>2</v>
      </c>
      <c r="AD414" s="14">
        <v>3</v>
      </c>
      <c r="AE414" s="14">
        <v>32</v>
      </c>
      <c r="AF414" s="26">
        <v>176</v>
      </c>
      <c r="AG414" s="12">
        <v>75</v>
      </c>
      <c r="AH414" s="14">
        <v>1</v>
      </c>
      <c r="AI414" s="209"/>
      <c r="AJ414" s="3"/>
      <c r="AK414" s="3"/>
      <c r="AL414" s="3"/>
      <c r="AM414" s="3"/>
      <c r="AN414" s="3"/>
      <c r="AO414" s="40"/>
      <c r="AP414" s="209"/>
      <c r="AQ414" s="3"/>
      <c r="AR414" s="40"/>
      <c r="AS414" s="238"/>
    </row>
    <row r="415" spans="1:45" s="229" customFormat="1">
      <c r="A415" s="83" t="s">
        <v>323</v>
      </c>
      <c r="B415" s="386">
        <v>12.331666666666667</v>
      </c>
      <c r="C415" s="229" t="s">
        <v>217</v>
      </c>
      <c r="D415" s="229" t="s">
        <v>640</v>
      </c>
      <c r="E415" s="229" t="s">
        <v>0</v>
      </c>
      <c r="F415" s="229">
        <v>574</v>
      </c>
      <c r="G415" s="40">
        <f>F415/434</f>
        <v>1.3225806451612903</v>
      </c>
      <c r="H415" s="14">
        <v>1</v>
      </c>
      <c r="I415" s="229">
        <v>0</v>
      </c>
      <c r="J415" s="229">
        <v>1</v>
      </c>
      <c r="K415" s="26">
        <v>0</v>
      </c>
      <c r="L415" s="14">
        <v>0</v>
      </c>
      <c r="M415" s="229">
        <v>0</v>
      </c>
      <c r="N415" s="229">
        <v>1</v>
      </c>
      <c r="O415" s="229">
        <v>0</v>
      </c>
      <c r="P415" s="26">
        <v>1</v>
      </c>
      <c r="Q415" s="14">
        <v>3</v>
      </c>
      <c r="R415" s="229">
        <v>0</v>
      </c>
      <c r="S415" s="229">
        <v>27</v>
      </c>
      <c r="T415" s="229">
        <v>0</v>
      </c>
      <c r="U415" s="229">
        <v>0</v>
      </c>
      <c r="V415" s="229">
        <v>11</v>
      </c>
      <c r="W415" s="229">
        <v>68</v>
      </c>
      <c r="X415" s="229">
        <v>0</v>
      </c>
      <c r="Y415" s="229">
        <v>0</v>
      </c>
      <c r="Z415" s="229">
        <v>0</v>
      </c>
      <c r="AA415" s="229">
        <v>0</v>
      </c>
      <c r="AC415" s="12">
        <v>2</v>
      </c>
      <c r="AD415" s="14">
        <v>5</v>
      </c>
      <c r="AE415" s="14">
        <v>90</v>
      </c>
      <c r="AF415" s="26">
        <v>103</v>
      </c>
      <c r="AG415" s="12">
        <v>128</v>
      </c>
      <c r="AH415" s="14">
        <v>0</v>
      </c>
      <c r="AI415" s="209"/>
      <c r="AJ415" s="3"/>
      <c r="AK415" s="3"/>
      <c r="AL415" s="3"/>
      <c r="AM415" s="3"/>
      <c r="AN415" s="3"/>
      <c r="AO415" s="40"/>
      <c r="AP415" s="209"/>
      <c r="AQ415" s="3"/>
      <c r="AR415" s="40"/>
      <c r="AS415" s="238"/>
    </row>
    <row r="416" spans="1:45" s="229" customFormat="1">
      <c r="A416" s="83" t="s">
        <v>323</v>
      </c>
      <c r="B416" s="386">
        <v>12.331666666666667</v>
      </c>
      <c r="C416" s="229" t="s">
        <v>217</v>
      </c>
      <c r="D416" s="229" t="s">
        <v>640</v>
      </c>
      <c r="E416" s="229" t="s">
        <v>1</v>
      </c>
      <c r="F416" s="229">
        <v>510</v>
      </c>
      <c r="G416" s="40">
        <f>F416/334</f>
        <v>1.5269461077844311</v>
      </c>
      <c r="H416" s="14">
        <v>0</v>
      </c>
      <c r="I416" s="229">
        <v>0</v>
      </c>
      <c r="J416" s="229">
        <v>0</v>
      </c>
      <c r="K416" s="26">
        <v>1</v>
      </c>
      <c r="L416" s="14">
        <v>0</v>
      </c>
      <c r="M416" s="229">
        <v>0</v>
      </c>
      <c r="N416" s="229">
        <v>0</v>
      </c>
      <c r="O416" s="229">
        <v>0</v>
      </c>
      <c r="P416" s="26">
        <v>0</v>
      </c>
      <c r="Q416" s="14">
        <v>5</v>
      </c>
      <c r="R416" s="229">
        <v>0</v>
      </c>
      <c r="S416" s="229">
        <v>13</v>
      </c>
      <c r="T416" s="229">
        <v>0</v>
      </c>
      <c r="U416" s="229">
        <v>0</v>
      </c>
      <c r="V416" s="229">
        <v>23</v>
      </c>
      <c r="W416" s="229">
        <v>46</v>
      </c>
      <c r="X416" s="229">
        <v>0</v>
      </c>
      <c r="Y416" s="229">
        <v>0</v>
      </c>
      <c r="Z416" s="229">
        <v>0</v>
      </c>
      <c r="AA416" s="229">
        <v>0</v>
      </c>
      <c r="AC416" s="12">
        <v>2</v>
      </c>
      <c r="AD416" s="14">
        <v>4</v>
      </c>
      <c r="AE416" s="14">
        <v>104</v>
      </c>
      <c r="AF416" s="26">
        <v>334</v>
      </c>
      <c r="AG416" s="12">
        <v>128</v>
      </c>
      <c r="AH416" s="14">
        <v>0</v>
      </c>
      <c r="AI416" s="209"/>
      <c r="AJ416" s="3"/>
      <c r="AK416" s="3"/>
      <c r="AL416" s="3"/>
      <c r="AM416" s="3"/>
      <c r="AN416" s="3"/>
      <c r="AO416" s="40"/>
      <c r="AP416" s="209"/>
      <c r="AQ416" s="3"/>
      <c r="AR416" s="40"/>
      <c r="AS416" s="238"/>
    </row>
    <row r="417" spans="1:45" s="229" customFormat="1">
      <c r="A417" s="83" t="s">
        <v>323</v>
      </c>
      <c r="B417" s="386">
        <v>12.331666666666667</v>
      </c>
      <c r="C417" s="229" t="s">
        <v>217</v>
      </c>
      <c r="D417" s="229" t="s">
        <v>640</v>
      </c>
      <c r="E417" s="229" t="s">
        <v>2</v>
      </c>
      <c r="F417" s="229">
        <v>174</v>
      </c>
      <c r="G417" s="40">
        <f>F417/83</f>
        <v>2.0963855421686746</v>
      </c>
      <c r="H417" s="14">
        <v>1</v>
      </c>
      <c r="I417" s="229">
        <v>0</v>
      </c>
      <c r="J417" s="229">
        <v>0</v>
      </c>
      <c r="K417" s="26">
        <v>0</v>
      </c>
      <c r="L417" s="14">
        <v>0</v>
      </c>
      <c r="M417" s="229">
        <v>0</v>
      </c>
      <c r="N417" s="229">
        <v>0</v>
      </c>
      <c r="O417" s="229">
        <v>0</v>
      </c>
      <c r="P417" s="26">
        <v>0</v>
      </c>
      <c r="Q417" s="14">
        <v>0</v>
      </c>
      <c r="R417" s="229">
        <v>0</v>
      </c>
      <c r="S417" s="229">
        <v>0</v>
      </c>
      <c r="T417" s="229">
        <v>0</v>
      </c>
      <c r="U417" s="229">
        <v>0</v>
      </c>
      <c r="V417" s="229">
        <v>0</v>
      </c>
      <c r="W417" s="229">
        <v>0</v>
      </c>
      <c r="X417" s="229">
        <v>0</v>
      </c>
      <c r="Y417" s="229">
        <v>0</v>
      </c>
      <c r="Z417" s="229">
        <v>0</v>
      </c>
      <c r="AA417" s="229">
        <v>0</v>
      </c>
      <c r="AC417" s="12">
        <v>1</v>
      </c>
      <c r="AD417" s="14">
        <v>1</v>
      </c>
      <c r="AE417" s="14">
        <v>0</v>
      </c>
      <c r="AF417" s="26">
        <v>0</v>
      </c>
      <c r="AG417" s="12">
        <v>128</v>
      </c>
      <c r="AH417" s="14">
        <v>0</v>
      </c>
      <c r="AI417" s="209"/>
      <c r="AJ417" s="3"/>
      <c r="AK417" s="3"/>
      <c r="AL417" s="3"/>
      <c r="AM417" s="3"/>
      <c r="AN417" s="3"/>
      <c r="AO417" s="40"/>
      <c r="AP417" s="209"/>
      <c r="AQ417" s="3"/>
      <c r="AR417" s="40"/>
      <c r="AS417" s="238"/>
    </row>
    <row r="418" spans="1:45" s="229" customFormat="1">
      <c r="A418" s="83" t="s">
        <v>323</v>
      </c>
      <c r="B418" s="386">
        <v>12.331666666666667</v>
      </c>
      <c r="C418" s="229" t="s">
        <v>217</v>
      </c>
      <c r="D418" s="229" t="s">
        <v>640</v>
      </c>
      <c r="E418" s="229" t="s">
        <v>3</v>
      </c>
      <c r="F418" s="229">
        <v>107</v>
      </c>
      <c r="G418" s="40">
        <f>F418/94</f>
        <v>1.1382978723404256</v>
      </c>
      <c r="H418" s="14">
        <v>1</v>
      </c>
      <c r="I418" s="229">
        <v>0</v>
      </c>
      <c r="J418" s="229">
        <v>0</v>
      </c>
      <c r="K418" s="26">
        <v>0</v>
      </c>
      <c r="L418" s="14">
        <v>0</v>
      </c>
      <c r="M418" s="229">
        <v>0</v>
      </c>
      <c r="N418" s="229">
        <v>0</v>
      </c>
      <c r="O418" s="229">
        <v>0</v>
      </c>
      <c r="P418" s="26">
        <v>0</v>
      </c>
      <c r="Q418" s="14">
        <v>0</v>
      </c>
      <c r="R418" s="229">
        <v>0</v>
      </c>
      <c r="S418" s="229">
        <v>0</v>
      </c>
      <c r="T418" s="229">
        <v>0</v>
      </c>
      <c r="U418" s="229">
        <v>0</v>
      </c>
      <c r="V418" s="229">
        <v>0</v>
      </c>
      <c r="W418" s="229">
        <v>0</v>
      </c>
      <c r="X418" s="229">
        <v>0</v>
      </c>
      <c r="Y418" s="229">
        <v>0</v>
      </c>
      <c r="Z418" s="229">
        <v>0</v>
      </c>
      <c r="AA418" s="229">
        <v>0</v>
      </c>
      <c r="AC418" s="12">
        <v>1</v>
      </c>
      <c r="AD418" s="14">
        <v>1</v>
      </c>
      <c r="AE418" s="14">
        <v>0</v>
      </c>
      <c r="AF418" s="26">
        <v>0</v>
      </c>
      <c r="AG418" s="12">
        <v>128</v>
      </c>
      <c r="AH418" s="14">
        <v>0</v>
      </c>
      <c r="AI418" s="209"/>
      <c r="AJ418" s="3"/>
      <c r="AK418" s="3"/>
      <c r="AL418" s="3"/>
      <c r="AM418" s="3"/>
      <c r="AN418" s="3"/>
      <c r="AO418" s="40"/>
      <c r="AP418" s="209"/>
      <c r="AQ418" s="3"/>
      <c r="AR418" s="40"/>
      <c r="AS418" s="238"/>
    </row>
    <row r="419" spans="1:45" s="229" customFormat="1">
      <c r="A419" s="83" t="s">
        <v>323</v>
      </c>
      <c r="B419" s="386">
        <v>12.331666666666667</v>
      </c>
      <c r="C419" s="229" t="s">
        <v>217</v>
      </c>
      <c r="D419" s="229" t="s">
        <v>640</v>
      </c>
      <c r="E419" s="229" t="s">
        <v>4</v>
      </c>
      <c r="F419" s="229">
        <v>284</v>
      </c>
      <c r="G419" s="40">
        <f>F419/117</f>
        <v>2.4273504273504272</v>
      </c>
      <c r="H419" s="14">
        <v>0</v>
      </c>
      <c r="I419" s="229">
        <v>0</v>
      </c>
      <c r="J419" s="229">
        <v>0</v>
      </c>
      <c r="K419" s="26">
        <v>1</v>
      </c>
      <c r="L419" s="14">
        <v>0</v>
      </c>
      <c r="M419" s="229">
        <v>0</v>
      </c>
      <c r="N419" s="229">
        <v>0</v>
      </c>
      <c r="O419" s="229">
        <v>0</v>
      </c>
      <c r="P419" s="26">
        <v>0</v>
      </c>
      <c r="Q419" s="14">
        <v>1</v>
      </c>
      <c r="R419" s="229">
        <v>0</v>
      </c>
      <c r="S419" s="229">
        <v>16</v>
      </c>
      <c r="T419" s="229">
        <v>0</v>
      </c>
      <c r="U419" s="229">
        <v>0</v>
      </c>
      <c r="V419" s="229">
        <v>0</v>
      </c>
      <c r="W419" s="229">
        <v>0</v>
      </c>
      <c r="X419" s="229">
        <v>0</v>
      </c>
      <c r="Y419" s="229">
        <v>0</v>
      </c>
      <c r="Z419" s="229">
        <v>0</v>
      </c>
      <c r="AA419" s="229">
        <v>0</v>
      </c>
      <c r="AC419" s="12">
        <v>2</v>
      </c>
      <c r="AD419" s="14">
        <v>2</v>
      </c>
      <c r="AE419" s="14">
        <v>99</v>
      </c>
      <c r="AF419" s="26">
        <v>198</v>
      </c>
      <c r="AG419" s="12">
        <v>128</v>
      </c>
      <c r="AH419" s="14">
        <v>0</v>
      </c>
      <c r="AI419" s="209"/>
      <c r="AJ419" s="3"/>
      <c r="AK419" s="3"/>
      <c r="AL419" s="3"/>
      <c r="AM419" s="3"/>
      <c r="AN419" s="3"/>
      <c r="AO419" s="40"/>
      <c r="AP419" s="209"/>
      <c r="AQ419" s="3"/>
      <c r="AR419" s="40"/>
      <c r="AS419" s="238"/>
    </row>
    <row r="420" spans="1:45" s="229" customFormat="1">
      <c r="A420" s="83" t="s">
        <v>323</v>
      </c>
      <c r="B420" s="386">
        <v>12.331666666666667</v>
      </c>
      <c r="C420" s="229" t="s">
        <v>217</v>
      </c>
      <c r="D420" s="229" t="s">
        <v>641</v>
      </c>
      <c r="E420" s="229" t="s">
        <v>0</v>
      </c>
      <c r="F420" s="229">
        <v>144</v>
      </c>
      <c r="G420" s="40">
        <f>F420/84</f>
        <v>1.7142857142857142</v>
      </c>
      <c r="H420" s="14">
        <v>1</v>
      </c>
      <c r="I420" s="229">
        <v>0</v>
      </c>
      <c r="J420" s="229">
        <v>0</v>
      </c>
      <c r="K420" s="26">
        <v>0</v>
      </c>
      <c r="L420" s="14">
        <v>0</v>
      </c>
      <c r="M420" s="229">
        <v>0</v>
      </c>
      <c r="N420" s="229">
        <v>0</v>
      </c>
      <c r="O420" s="229">
        <v>0</v>
      </c>
      <c r="P420" s="26">
        <v>0</v>
      </c>
      <c r="Q420" s="14">
        <v>0</v>
      </c>
      <c r="R420" s="229">
        <v>0</v>
      </c>
      <c r="S420" s="229">
        <v>0</v>
      </c>
      <c r="T420" s="229">
        <v>0</v>
      </c>
      <c r="U420" s="229">
        <v>0</v>
      </c>
      <c r="V420" s="229">
        <v>0</v>
      </c>
      <c r="W420" s="229">
        <v>0</v>
      </c>
      <c r="X420" s="229">
        <v>0</v>
      </c>
      <c r="Y420" s="229">
        <v>0</v>
      </c>
      <c r="Z420" s="229">
        <v>0</v>
      </c>
      <c r="AA420" s="229">
        <v>0</v>
      </c>
      <c r="AC420" s="12">
        <v>1</v>
      </c>
      <c r="AD420" s="14">
        <v>1</v>
      </c>
      <c r="AE420" s="14">
        <v>0</v>
      </c>
      <c r="AF420" s="26">
        <v>0</v>
      </c>
      <c r="AG420" s="12">
        <v>74</v>
      </c>
      <c r="AH420" s="14">
        <v>1</v>
      </c>
      <c r="AI420" s="209"/>
      <c r="AJ420" s="3"/>
      <c r="AK420" s="3"/>
      <c r="AL420" s="3"/>
      <c r="AM420" s="3"/>
      <c r="AN420" s="3"/>
      <c r="AO420" s="40"/>
      <c r="AP420" s="209"/>
      <c r="AQ420" s="3"/>
      <c r="AR420" s="40"/>
      <c r="AS420" s="238"/>
    </row>
    <row r="421" spans="1:45" s="229" customFormat="1">
      <c r="A421" s="83" t="s">
        <v>323</v>
      </c>
      <c r="B421" s="386">
        <v>12.331666666666667</v>
      </c>
      <c r="C421" s="229" t="s">
        <v>217</v>
      </c>
      <c r="D421" s="229" t="s">
        <v>641</v>
      </c>
      <c r="E421" s="229" t="s">
        <v>1</v>
      </c>
      <c r="F421" s="229">
        <v>270</v>
      </c>
      <c r="G421" s="40">
        <f>F421/89</f>
        <v>3.0337078651685392</v>
      </c>
      <c r="H421" s="14">
        <v>1</v>
      </c>
      <c r="I421" s="229">
        <v>0</v>
      </c>
      <c r="J421" s="229">
        <v>0</v>
      </c>
      <c r="K421" s="26">
        <v>1</v>
      </c>
      <c r="L421" s="14">
        <v>0</v>
      </c>
      <c r="M421" s="229">
        <v>0</v>
      </c>
      <c r="N421" s="229">
        <v>0</v>
      </c>
      <c r="O421" s="229">
        <v>0</v>
      </c>
      <c r="P421" s="26">
        <v>0</v>
      </c>
      <c r="Q421" s="14">
        <v>1</v>
      </c>
      <c r="R421" s="229">
        <v>0</v>
      </c>
      <c r="S421" s="229">
        <v>0</v>
      </c>
      <c r="T421" s="229">
        <v>0</v>
      </c>
      <c r="U421" s="229">
        <v>0</v>
      </c>
      <c r="V421" s="229">
        <v>0</v>
      </c>
      <c r="W421" s="229">
        <v>4</v>
      </c>
      <c r="X421" s="229">
        <v>0</v>
      </c>
      <c r="Y421" s="229">
        <v>0</v>
      </c>
      <c r="Z421" s="229">
        <v>0</v>
      </c>
      <c r="AA421" s="229">
        <v>0</v>
      </c>
      <c r="AC421" s="12">
        <v>2</v>
      </c>
      <c r="AD421" s="14">
        <v>7</v>
      </c>
      <c r="AE421" s="14">
        <v>40</v>
      </c>
      <c r="AF421" s="26">
        <v>95</v>
      </c>
      <c r="AG421" s="12">
        <v>74</v>
      </c>
      <c r="AH421" s="14">
        <v>1</v>
      </c>
      <c r="AI421" s="209"/>
      <c r="AJ421" s="3"/>
      <c r="AK421" s="3"/>
      <c r="AL421" s="3"/>
      <c r="AM421" s="3"/>
      <c r="AN421" s="3"/>
      <c r="AO421" s="40"/>
      <c r="AP421" s="209"/>
      <c r="AQ421" s="3"/>
      <c r="AR421" s="40"/>
      <c r="AS421" s="238"/>
    </row>
    <row r="422" spans="1:45" s="229" customFormat="1">
      <c r="A422" s="83" t="s">
        <v>323</v>
      </c>
      <c r="B422" s="386">
        <v>12.331666666666667</v>
      </c>
      <c r="C422" s="229" t="s">
        <v>217</v>
      </c>
      <c r="D422" s="229" t="s">
        <v>647</v>
      </c>
      <c r="F422" s="229">
        <v>572</v>
      </c>
      <c r="G422" s="40">
        <f>F422/477</f>
        <v>1.1991614255765199</v>
      </c>
      <c r="H422" s="14">
        <v>0</v>
      </c>
      <c r="I422" s="229">
        <v>0</v>
      </c>
      <c r="J422" s="229">
        <v>1</v>
      </c>
      <c r="K422" s="26">
        <v>0</v>
      </c>
      <c r="L422" s="14">
        <v>0</v>
      </c>
      <c r="M422" s="229">
        <v>0</v>
      </c>
      <c r="N422" s="229">
        <v>0</v>
      </c>
      <c r="O422" s="229">
        <v>0</v>
      </c>
      <c r="P422" s="26">
        <v>0</v>
      </c>
      <c r="Q422" s="14">
        <v>20</v>
      </c>
      <c r="R422" s="229">
        <v>0</v>
      </c>
      <c r="S422" s="229">
        <v>0</v>
      </c>
      <c r="T422" s="229">
        <v>0</v>
      </c>
      <c r="U422" s="229">
        <v>0</v>
      </c>
      <c r="V422" s="229">
        <v>24</v>
      </c>
      <c r="W422" s="229">
        <v>61</v>
      </c>
      <c r="X422" s="229">
        <v>0</v>
      </c>
      <c r="Y422" s="229">
        <v>0</v>
      </c>
      <c r="Z422" s="229">
        <v>0</v>
      </c>
      <c r="AA422" s="229">
        <v>246</v>
      </c>
      <c r="AC422" s="12">
        <v>1</v>
      </c>
      <c r="AD422" s="14">
        <v>1</v>
      </c>
      <c r="AE422" s="14">
        <v>0</v>
      </c>
      <c r="AF422" s="26">
        <v>0</v>
      </c>
      <c r="AG422" s="12">
        <v>102</v>
      </c>
      <c r="AH422" s="14">
        <v>1</v>
      </c>
      <c r="AI422" s="209">
        <v>85.847376377587295</v>
      </c>
      <c r="AJ422" s="3"/>
      <c r="AK422" s="3"/>
      <c r="AL422" s="3"/>
      <c r="AM422" s="3"/>
      <c r="AN422" s="3"/>
      <c r="AO422" s="40"/>
      <c r="AP422" s="209">
        <v>85.804112796971594</v>
      </c>
      <c r="AQ422" s="3">
        <v>85.679365173876775</v>
      </c>
      <c r="AR422" s="40"/>
      <c r="AS422" s="238"/>
    </row>
    <row r="423" spans="1:45" s="229" customFormat="1">
      <c r="A423" s="83" t="s">
        <v>323</v>
      </c>
      <c r="B423" s="386">
        <v>12.331666666666667</v>
      </c>
      <c r="C423" s="229" t="s">
        <v>217</v>
      </c>
      <c r="D423" s="229" t="s">
        <v>648</v>
      </c>
      <c r="E423" s="229" t="s">
        <v>0</v>
      </c>
      <c r="F423" s="229">
        <v>217</v>
      </c>
      <c r="G423" s="40">
        <f>F423/167</f>
        <v>1.2994011976047903</v>
      </c>
      <c r="H423" s="14">
        <v>0</v>
      </c>
      <c r="I423" s="229">
        <v>1</v>
      </c>
      <c r="J423" s="229">
        <v>0</v>
      </c>
      <c r="K423" s="26">
        <v>1</v>
      </c>
      <c r="L423" s="14">
        <v>0</v>
      </c>
      <c r="M423" s="229">
        <v>0</v>
      </c>
      <c r="N423" s="229">
        <v>1</v>
      </c>
      <c r="O423" s="229">
        <v>0</v>
      </c>
      <c r="P423" s="26">
        <v>1</v>
      </c>
      <c r="Q423" s="14">
        <v>4</v>
      </c>
      <c r="R423" s="229">
        <v>8</v>
      </c>
      <c r="S423" s="229">
        <v>12</v>
      </c>
      <c r="T423" s="229">
        <v>0</v>
      </c>
      <c r="U423" s="229">
        <v>0</v>
      </c>
      <c r="V423" s="229">
        <v>0</v>
      </c>
      <c r="W423" s="229">
        <v>21</v>
      </c>
      <c r="X423" s="229">
        <v>0</v>
      </c>
      <c r="Y423" s="229">
        <v>0</v>
      </c>
      <c r="Z423" s="229">
        <v>0</v>
      </c>
      <c r="AA423" s="229">
        <v>0</v>
      </c>
      <c r="AC423" s="12">
        <v>2</v>
      </c>
      <c r="AD423" s="14">
        <v>3</v>
      </c>
      <c r="AE423" s="14">
        <v>122</v>
      </c>
      <c r="AF423" s="26">
        <v>201</v>
      </c>
      <c r="AG423" s="12">
        <v>94</v>
      </c>
      <c r="AH423" s="14">
        <v>0</v>
      </c>
      <c r="AI423" s="209"/>
      <c r="AJ423" s="3"/>
      <c r="AK423" s="3"/>
      <c r="AL423" s="3"/>
      <c r="AM423" s="3"/>
      <c r="AN423" s="3"/>
      <c r="AO423" s="40"/>
      <c r="AP423" s="209"/>
      <c r="AQ423" s="3"/>
      <c r="AR423" s="40"/>
      <c r="AS423" s="238"/>
    </row>
    <row r="424" spans="1:45" s="229" customFormat="1">
      <c r="A424" s="83" t="s">
        <v>323</v>
      </c>
      <c r="B424" s="386">
        <v>12.331666666666667</v>
      </c>
      <c r="C424" s="229" t="s">
        <v>217</v>
      </c>
      <c r="D424" s="229" t="s">
        <v>648</v>
      </c>
      <c r="E424" s="229" t="s">
        <v>1</v>
      </c>
      <c r="F424" s="229">
        <v>577</v>
      </c>
      <c r="G424" s="40">
        <f>F424/425</f>
        <v>1.3576470588235294</v>
      </c>
      <c r="H424" s="14">
        <v>0</v>
      </c>
      <c r="I424" s="229">
        <v>0</v>
      </c>
      <c r="J424" s="229">
        <v>0</v>
      </c>
      <c r="K424" s="26">
        <v>1</v>
      </c>
      <c r="L424" s="14">
        <v>1</v>
      </c>
      <c r="M424" s="229">
        <v>0</v>
      </c>
      <c r="N424" s="229">
        <v>0</v>
      </c>
      <c r="O424" s="229">
        <v>1</v>
      </c>
      <c r="P424" s="26">
        <v>2</v>
      </c>
      <c r="Q424" s="14">
        <v>3</v>
      </c>
      <c r="R424" s="229">
        <v>0</v>
      </c>
      <c r="S424" s="229">
        <v>0</v>
      </c>
      <c r="T424" s="229">
        <v>0</v>
      </c>
      <c r="U424" s="229">
        <v>0</v>
      </c>
      <c r="V424" s="229">
        <v>27</v>
      </c>
      <c r="W424" s="229">
        <v>57</v>
      </c>
      <c r="X424" s="229">
        <v>0</v>
      </c>
      <c r="Y424" s="229">
        <v>0</v>
      </c>
      <c r="Z424" s="229">
        <v>0</v>
      </c>
      <c r="AA424" s="229">
        <v>0</v>
      </c>
      <c r="AC424" s="12">
        <v>2</v>
      </c>
      <c r="AD424" s="14">
        <v>6</v>
      </c>
      <c r="AE424" s="14">
        <v>72</v>
      </c>
      <c r="AF424" s="26">
        <v>304</v>
      </c>
      <c r="AG424" s="12">
        <v>94</v>
      </c>
      <c r="AH424" s="14">
        <v>1</v>
      </c>
      <c r="AI424" s="209">
        <v>85.593990352780921</v>
      </c>
      <c r="AJ424" s="3">
        <v>86.041364438782807</v>
      </c>
      <c r="AK424" s="3"/>
      <c r="AL424" s="3"/>
      <c r="AM424" s="3"/>
      <c r="AN424" s="3"/>
      <c r="AO424" s="40"/>
      <c r="AP424" s="209">
        <v>85.843723337574232</v>
      </c>
      <c r="AQ424" s="3"/>
      <c r="AR424" s="40"/>
      <c r="AS424" s="238"/>
    </row>
    <row r="425" spans="1:45" s="229" customFormat="1">
      <c r="A425" s="83" t="s">
        <v>323</v>
      </c>
      <c r="B425" s="386">
        <v>12.331666666666667</v>
      </c>
      <c r="C425" s="229" t="s">
        <v>217</v>
      </c>
      <c r="D425" s="229" t="s">
        <v>649</v>
      </c>
      <c r="E425" s="229" t="s">
        <v>0</v>
      </c>
      <c r="F425" s="229">
        <v>157</v>
      </c>
      <c r="G425" s="40">
        <f>F425/117</f>
        <v>1.3418803418803418</v>
      </c>
      <c r="H425" s="14">
        <v>0</v>
      </c>
      <c r="I425" s="229">
        <v>0</v>
      </c>
      <c r="J425" s="229">
        <v>0</v>
      </c>
      <c r="K425" s="26">
        <v>1</v>
      </c>
      <c r="L425" s="14">
        <v>0</v>
      </c>
      <c r="M425" s="229">
        <v>0</v>
      </c>
      <c r="N425" s="229">
        <v>0</v>
      </c>
      <c r="O425" s="229">
        <v>0</v>
      </c>
      <c r="P425" s="26">
        <v>0</v>
      </c>
      <c r="Q425" s="14">
        <v>2</v>
      </c>
      <c r="R425" s="229">
        <v>0</v>
      </c>
      <c r="S425" s="229">
        <v>5</v>
      </c>
      <c r="T425" s="229">
        <v>0</v>
      </c>
      <c r="U425" s="229">
        <v>0</v>
      </c>
      <c r="V425" s="229">
        <v>0</v>
      </c>
      <c r="W425" s="229">
        <v>13</v>
      </c>
      <c r="X425" s="229">
        <v>0</v>
      </c>
      <c r="Y425" s="229">
        <v>0</v>
      </c>
      <c r="Z425" s="229">
        <v>0</v>
      </c>
      <c r="AA425" s="229">
        <v>0</v>
      </c>
      <c r="AC425" s="12">
        <v>2</v>
      </c>
      <c r="AD425" s="14">
        <v>2</v>
      </c>
      <c r="AE425" s="14">
        <v>58</v>
      </c>
      <c r="AF425" s="26">
        <v>157</v>
      </c>
      <c r="AG425" s="12">
        <v>118</v>
      </c>
      <c r="AH425" s="14">
        <v>0</v>
      </c>
      <c r="AI425" s="209"/>
      <c r="AJ425" s="3"/>
      <c r="AK425" s="3"/>
      <c r="AL425" s="3"/>
      <c r="AM425" s="3"/>
      <c r="AN425" s="3"/>
      <c r="AO425" s="40"/>
      <c r="AP425" s="209"/>
      <c r="AQ425" s="3"/>
      <c r="AR425" s="40"/>
      <c r="AS425" s="238"/>
    </row>
    <row r="426" spans="1:45" s="229" customFormat="1">
      <c r="A426" s="83" t="s">
        <v>323</v>
      </c>
      <c r="B426" s="386">
        <v>12.331666666666667</v>
      </c>
      <c r="C426" s="229" t="s">
        <v>217</v>
      </c>
      <c r="D426" s="229" t="s">
        <v>649</v>
      </c>
      <c r="E426" s="229" t="s">
        <v>1</v>
      </c>
      <c r="F426" s="229">
        <v>231</v>
      </c>
      <c r="G426" s="40">
        <f>F426/102</f>
        <v>2.2647058823529411</v>
      </c>
      <c r="H426" s="14">
        <v>0</v>
      </c>
      <c r="I426" s="229">
        <v>0</v>
      </c>
      <c r="J426" s="229">
        <v>0</v>
      </c>
      <c r="K426" s="26">
        <v>1</v>
      </c>
      <c r="L426" s="14">
        <v>0</v>
      </c>
      <c r="M426" s="229">
        <v>0</v>
      </c>
      <c r="N426" s="229">
        <v>0</v>
      </c>
      <c r="O426" s="229">
        <v>0</v>
      </c>
      <c r="P426" s="26">
        <v>0</v>
      </c>
      <c r="Q426" s="14">
        <v>1</v>
      </c>
      <c r="R426" s="229">
        <v>0</v>
      </c>
      <c r="S426" s="229">
        <v>6</v>
      </c>
      <c r="T426" s="229">
        <v>0</v>
      </c>
      <c r="U426" s="229">
        <v>0</v>
      </c>
      <c r="V426" s="229">
        <v>0</v>
      </c>
      <c r="W426" s="229">
        <v>0</v>
      </c>
      <c r="X426" s="229">
        <v>0</v>
      </c>
      <c r="Y426" s="229">
        <v>0</v>
      </c>
      <c r="Z426" s="229">
        <v>0</v>
      </c>
      <c r="AA426" s="229">
        <v>0</v>
      </c>
      <c r="AC426" s="12">
        <v>2</v>
      </c>
      <c r="AD426" s="14">
        <v>3</v>
      </c>
      <c r="AE426" s="14">
        <v>61</v>
      </c>
      <c r="AF426" s="26">
        <v>147</v>
      </c>
      <c r="AG426" s="12">
        <v>118</v>
      </c>
      <c r="AH426" s="14">
        <v>0</v>
      </c>
      <c r="AI426" s="209"/>
      <c r="AJ426" s="3"/>
      <c r="AK426" s="3"/>
      <c r="AL426" s="3"/>
      <c r="AM426" s="3"/>
      <c r="AN426" s="3"/>
      <c r="AO426" s="40"/>
      <c r="AP426" s="209"/>
      <c r="AQ426" s="3"/>
      <c r="AR426" s="40"/>
      <c r="AS426" s="238"/>
    </row>
    <row r="427" spans="1:45" s="229" customFormat="1">
      <c r="A427" s="83" t="s">
        <v>323</v>
      </c>
      <c r="B427" s="386">
        <v>12.331666666666667</v>
      </c>
      <c r="C427" s="229" t="s">
        <v>217</v>
      </c>
      <c r="D427" s="229" t="s">
        <v>670</v>
      </c>
      <c r="E427" s="229" t="s">
        <v>0</v>
      </c>
      <c r="F427" s="229">
        <v>295</v>
      </c>
      <c r="G427" s="40">
        <f>F427/168</f>
        <v>1.7559523809523809</v>
      </c>
      <c r="H427" s="14">
        <v>0</v>
      </c>
      <c r="I427" s="229">
        <v>0</v>
      </c>
      <c r="J427" s="229">
        <v>0</v>
      </c>
      <c r="K427" s="26">
        <v>1</v>
      </c>
      <c r="L427" s="14">
        <v>0</v>
      </c>
      <c r="M427" s="229">
        <v>0</v>
      </c>
      <c r="N427" s="229">
        <v>0</v>
      </c>
      <c r="O427" s="229">
        <v>0</v>
      </c>
      <c r="P427" s="26">
        <v>0</v>
      </c>
      <c r="Q427" s="14">
        <v>0</v>
      </c>
      <c r="R427" s="229">
        <v>0</v>
      </c>
      <c r="S427" s="229">
        <v>0</v>
      </c>
      <c r="T427" s="229">
        <v>0</v>
      </c>
      <c r="U427" s="229">
        <v>0</v>
      </c>
      <c r="V427" s="229">
        <v>0</v>
      </c>
      <c r="W427" s="229">
        <v>0</v>
      </c>
      <c r="X427" s="229">
        <v>0</v>
      </c>
      <c r="Y427" s="229">
        <v>0</v>
      </c>
      <c r="Z427" s="229">
        <v>0</v>
      </c>
      <c r="AA427" s="229">
        <v>0</v>
      </c>
      <c r="AC427" s="12">
        <v>2</v>
      </c>
      <c r="AD427" s="14">
        <v>2</v>
      </c>
      <c r="AE427" s="14">
        <v>185</v>
      </c>
      <c r="AF427" s="26">
        <v>195</v>
      </c>
      <c r="AG427" s="12">
        <v>100</v>
      </c>
      <c r="AH427" s="14">
        <v>0</v>
      </c>
      <c r="AI427" s="209"/>
      <c r="AJ427" s="3"/>
      <c r="AK427" s="3"/>
      <c r="AL427" s="3"/>
      <c r="AM427" s="3"/>
      <c r="AN427" s="3"/>
      <c r="AO427" s="40"/>
      <c r="AP427" s="209"/>
      <c r="AQ427" s="3"/>
      <c r="AR427" s="40"/>
      <c r="AS427" s="238"/>
    </row>
    <row r="428" spans="1:45" s="229" customFormat="1">
      <c r="A428" s="83" t="s">
        <v>323</v>
      </c>
      <c r="B428" s="386">
        <v>12.331666666666667</v>
      </c>
      <c r="C428" s="229" t="s">
        <v>217</v>
      </c>
      <c r="D428" s="229" t="s">
        <v>670</v>
      </c>
      <c r="E428" s="229" t="s">
        <v>1</v>
      </c>
      <c r="F428" s="229">
        <v>54</v>
      </c>
      <c r="G428" s="40">
        <f>F428/35</f>
        <v>1.5428571428571429</v>
      </c>
      <c r="H428" s="14">
        <v>1</v>
      </c>
      <c r="I428" s="229">
        <v>0</v>
      </c>
      <c r="J428" s="229">
        <v>0</v>
      </c>
      <c r="K428" s="26">
        <v>0</v>
      </c>
      <c r="L428" s="14">
        <v>0</v>
      </c>
      <c r="M428" s="229">
        <v>0</v>
      </c>
      <c r="N428" s="229">
        <v>0</v>
      </c>
      <c r="O428" s="229">
        <v>0</v>
      </c>
      <c r="P428" s="26">
        <v>0</v>
      </c>
      <c r="Q428" s="14">
        <v>0</v>
      </c>
      <c r="R428" s="229">
        <v>0</v>
      </c>
      <c r="S428" s="229">
        <v>0</v>
      </c>
      <c r="T428" s="229">
        <v>0</v>
      </c>
      <c r="U428" s="229">
        <v>0</v>
      </c>
      <c r="V428" s="229">
        <v>0</v>
      </c>
      <c r="W428" s="229">
        <v>0</v>
      </c>
      <c r="X428" s="229">
        <v>0</v>
      </c>
      <c r="Y428" s="229">
        <v>0</v>
      </c>
      <c r="Z428" s="229">
        <v>0</v>
      </c>
      <c r="AA428" s="229">
        <v>0</v>
      </c>
      <c r="AC428" s="12">
        <v>1</v>
      </c>
      <c r="AD428" s="14">
        <v>1</v>
      </c>
      <c r="AE428" s="14">
        <v>0</v>
      </c>
      <c r="AF428" s="26">
        <v>0</v>
      </c>
      <c r="AG428" s="12">
        <v>100</v>
      </c>
      <c r="AH428" s="14">
        <v>0</v>
      </c>
      <c r="AI428" s="209"/>
      <c r="AJ428" s="3"/>
      <c r="AK428" s="3"/>
      <c r="AL428" s="3"/>
      <c r="AM428" s="3"/>
      <c r="AN428" s="3"/>
      <c r="AO428" s="40"/>
      <c r="AP428" s="209"/>
      <c r="AQ428" s="3"/>
      <c r="AR428" s="40"/>
      <c r="AS428" s="238"/>
    </row>
    <row r="429" spans="1:45" s="229" customFormat="1">
      <c r="A429" s="83" t="s">
        <v>323</v>
      </c>
      <c r="B429" s="386">
        <v>12.331666666666667</v>
      </c>
      <c r="C429" s="229" t="s">
        <v>217</v>
      </c>
      <c r="D429" s="229" t="s">
        <v>670</v>
      </c>
      <c r="E429" s="229" t="s">
        <v>70</v>
      </c>
      <c r="F429" s="229">
        <v>77</v>
      </c>
      <c r="G429" s="40">
        <f>F429/61</f>
        <v>1.2622950819672132</v>
      </c>
      <c r="H429" s="14">
        <v>1</v>
      </c>
      <c r="I429" s="229">
        <v>0</v>
      </c>
      <c r="J429" s="229">
        <v>0</v>
      </c>
      <c r="K429" s="26">
        <v>0</v>
      </c>
      <c r="L429" s="14">
        <v>0</v>
      </c>
      <c r="M429" s="229">
        <v>0</v>
      </c>
      <c r="N429" s="229">
        <v>0</v>
      </c>
      <c r="O429" s="229">
        <v>0</v>
      </c>
      <c r="P429" s="26">
        <v>0</v>
      </c>
      <c r="Q429" s="14">
        <v>0</v>
      </c>
      <c r="R429" s="229">
        <v>0</v>
      </c>
      <c r="S429" s="229">
        <v>0</v>
      </c>
      <c r="T429" s="229">
        <v>0</v>
      </c>
      <c r="U429" s="229">
        <v>0</v>
      </c>
      <c r="V429" s="229">
        <v>0</v>
      </c>
      <c r="W429" s="229">
        <v>0</v>
      </c>
      <c r="X429" s="229">
        <v>0</v>
      </c>
      <c r="Y429" s="229">
        <v>0</v>
      </c>
      <c r="Z429" s="229">
        <v>0</v>
      </c>
      <c r="AA429" s="229">
        <v>0</v>
      </c>
      <c r="AC429" s="12">
        <v>1</v>
      </c>
      <c r="AD429" s="14">
        <v>1</v>
      </c>
      <c r="AE429" s="14">
        <v>0</v>
      </c>
      <c r="AF429" s="26">
        <v>0</v>
      </c>
      <c r="AG429" s="12">
        <v>100</v>
      </c>
      <c r="AH429" s="14">
        <v>0</v>
      </c>
      <c r="AI429" s="209"/>
      <c r="AJ429" s="3"/>
      <c r="AK429" s="3"/>
      <c r="AL429" s="3"/>
      <c r="AM429" s="3"/>
      <c r="AN429" s="3"/>
      <c r="AO429" s="40"/>
      <c r="AP429" s="209"/>
      <c r="AQ429" s="3"/>
      <c r="AR429" s="40"/>
      <c r="AS429" s="238"/>
    </row>
    <row r="430" spans="1:45" s="229" customFormat="1">
      <c r="A430" s="83" t="s">
        <v>323</v>
      </c>
      <c r="B430" s="386">
        <v>12.331666666666667</v>
      </c>
      <c r="C430" s="229" t="s">
        <v>217</v>
      </c>
      <c r="D430" s="229" t="s">
        <v>671</v>
      </c>
      <c r="E430" s="229" t="s">
        <v>0</v>
      </c>
      <c r="F430" s="229">
        <v>1411</v>
      </c>
      <c r="G430" s="40">
        <f>F430/1398</f>
        <v>1.0092989985693848</v>
      </c>
      <c r="H430" s="14">
        <v>1</v>
      </c>
      <c r="I430" s="229">
        <v>1</v>
      </c>
      <c r="J430" s="229">
        <v>0</v>
      </c>
      <c r="K430" s="26">
        <v>0</v>
      </c>
      <c r="L430" s="14">
        <v>1</v>
      </c>
      <c r="M430" s="229">
        <v>0</v>
      </c>
      <c r="N430" s="229">
        <v>0</v>
      </c>
      <c r="O430" s="229">
        <v>0</v>
      </c>
      <c r="P430" s="26">
        <v>1</v>
      </c>
      <c r="Q430" s="14">
        <v>1</v>
      </c>
      <c r="R430" s="229">
        <v>0</v>
      </c>
      <c r="S430" s="229">
        <v>0</v>
      </c>
      <c r="T430" s="229">
        <v>0</v>
      </c>
      <c r="U430" s="229">
        <v>0</v>
      </c>
      <c r="V430" s="229">
        <v>19</v>
      </c>
      <c r="W430" s="229">
        <v>33</v>
      </c>
      <c r="X430" s="229">
        <v>0</v>
      </c>
      <c r="Y430" s="229">
        <v>0</v>
      </c>
      <c r="Z430" s="229">
        <v>0</v>
      </c>
      <c r="AA430" s="229">
        <v>0</v>
      </c>
      <c r="AC430" s="12">
        <v>2</v>
      </c>
      <c r="AD430" s="14">
        <v>3</v>
      </c>
      <c r="AE430" s="14">
        <v>296</v>
      </c>
      <c r="AF430" s="26">
        <v>1291</v>
      </c>
      <c r="AG430" s="12">
        <v>135</v>
      </c>
      <c r="AH430" s="14">
        <v>1</v>
      </c>
      <c r="AI430" s="209"/>
      <c r="AJ430" s="3"/>
      <c r="AK430" s="3"/>
      <c r="AL430" s="3"/>
      <c r="AM430" s="3"/>
      <c r="AN430" s="3"/>
      <c r="AO430" s="40"/>
      <c r="AP430" s="209"/>
      <c r="AQ430" s="3"/>
      <c r="AR430" s="40"/>
      <c r="AS430" s="238"/>
    </row>
    <row r="431" spans="1:45" s="229" customFormat="1">
      <c r="A431" s="83" t="s">
        <v>323</v>
      </c>
      <c r="B431" s="386">
        <v>12.331666666666667</v>
      </c>
      <c r="C431" s="229" t="s">
        <v>217</v>
      </c>
      <c r="D431" s="229" t="s">
        <v>671</v>
      </c>
      <c r="E431" s="229" t="s">
        <v>1</v>
      </c>
      <c r="F431" s="229">
        <v>239</v>
      </c>
      <c r="G431" s="40">
        <f>F431/177</f>
        <v>1.3502824858757063</v>
      </c>
      <c r="H431" s="14">
        <v>0</v>
      </c>
      <c r="I431" s="229">
        <v>0</v>
      </c>
      <c r="J431" s="229">
        <v>1</v>
      </c>
      <c r="K431" s="26">
        <v>0</v>
      </c>
      <c r="L431" s="14">
        <v>0</v>
      </c>
      <c r="M431" s="229">
        <v>0</v>
      </c>
      <c r="N431" s="229">
        <v>0</v>
      </c>
      <c r="O431" s="229">
        <v>0</v>
      </c>
      <c r="P431" s="26">
        <v>0</v>
      </c>
      <c r="Q431" s="14">
        <v>20</v>
      </c>
      <c r="R431" s="229">
        <v>0</v>
      </c>
      <c r="S431" s="229">
        <v>0</v>
      </c>
      <c r="T431" s="229">
        <v>0</v>
      </c>
      <c r="U431" s="229">
        <v>0</v>
      </c>
      <c r="V431" s="229">
        <v>0</v>
      </c>
      <c r="W431" s="229">
        <v>19</v>
      </c>
      <c r="X431" s="229">
        <v>0</v>
      </c>
      <c r="Y431" s="229">
        <v>0</v>
      </c>
      <c r="Z431" s="229">
        <v>0</v>
      </c>
      <c r="AA431" s="229">
        <v>107</v>
      </c>
      <c r="AC431" s="12">
        <v>1</v>
      </c>
      <c r="AD431" s="14">
        <v>1</v>
      </c>
      <c r="AE431" s="14">
        <v>0</v>
      </c>
      <c r="AF431" s="26">
        <v>0</v>
      </c>
      <c r="AG431" s="12">
        <v>135</v>
      </c>
      <c r="AH431" s="14">
        <v>0</v>
      </c>
      <c r="AI431" s="209"/>
      <c r="AJ431" s="3"/>
      <c r="AK431" s="3"/>
      <c r="AL431" s="3"/>
      <c r="AM431" s="3"/>
      <c r="AN431" s="3"/>
      <c r="AO431" s="40"/>
      <c r="AP431" s="209"/>
      <c r="AQ431" s="3"/>
      <c r="AR431" s="40"/>
      <c r="AS431" s="238"/>
    </row>
    <row r="432" spans="1:45" s="229" customFormat="1">
      <c r="A432" s="83" t="s">
        <v>323</v>
      </c>
      <c r="B432" s="386">
        <v>12.331666666666667</v>
      </c>
      <c r="C432" s="229" t="s">
        <v>217</v>
      </c>
      <c r="D432" s="229" t="s">
        <v>672</v>
      </c>
      <c r="E432" s="229" t="s">
        <v>0</v>
      </c>
      <c r="F432" s="229">
        <v>904</v>
      </c>
      <c r="G432" s="40">
        <f>F432/318</f>
        <v>2.8427672955974841</v>
      </c>
      <c r="H432" s="14">
        <v>0</v>
      </c>
      <c r="I432" s="229">
        <v>0</v>
      </c>
      <c r="J432" s="229">
        <v>1</v>
      </c>
      <c r="K432" s="26">
        <v>0</v>
      </c>
      <c r="L432" s="14">
        <v>1</v>
      </c>
      <c r="M432" s="229">
        <v>0</v>
      </c>
      <c r="N432" s="229">
        <v>1</v>
      </c>
      <c r="O432" s="229">
        <v>0</v>
      </c>
      <c r="P432" s="26">
        <v>2</v>
      </c>
      <c r="Q432" s="14">
        <v>0</v>
      </c>
      <c r="R432" s="229">
        <v>0</v>
      </c>
      <c r="S432" s="229">
        <v>0</v>
      </c>
      <c r="T432" s="229">
        <v>0</v>
      </c>
      <c r="U432" s="229">
        <v>0</v>
      </c>
      <c r="V432" s="229">
        <v>0</v>
      </c>
      <c r="W432" s="229">
        <v>0</v>
      </c>
      <c r="X432" s="229">
        <v>0</v>
      </c>
      <c r="Y432" s="229">
        <v>0</v>
      </c>
      <c r="Z432" s="229">
        <v>0</v>
      </c>
      <c r="AA432" s="229">
        <v>0</v>
      </c>
      <c r="AC432" s="12">
        <v>2</v>
      </c>
      <c r="AD432" s="14">
        <v>4</v>
      </c>
      <c r="AE432" s="14">
        <v>145</v>
      </c>
      <c r="AF432" s="26">
        <v>740</v>
      </c>
      <c r="AG432" s="12">
        <v>116</v>
      </c>
      <c r="AH432" s="14">
        <v>1</v>
      </c>
      <c r="AI432" s="209"/>
      <c r="AJ432" s="3"/>
      <c r="AK432" s="3"/>
      <c r="AL432" s="3"/>
      <c r="AM432" s="3"/>
      <c r="AN432" s="3"/>
      <c r="AO432" s="40"/>
      <c r="AP432" s="209"/>
      <c r="AQ432" s="3"/>
      <c r="AR432" s="40"/>
      <c r="AS432" s="238"/>
    </row>
    <row r="433" spans="1:45" s="229" customFormat="1">
      <c r="A433" s="83" t="s">
        <v>323</v>
      </c>
      <c r="B433" s="386">
        <v>12.331666666666667</v>
      </c>
      <c r="C433" s="229" t="s">
        <v>217</v>
      </c>
      <c r="D433" s="229" t="s">
        <v>672</v>
      </c>
      <c r="E433" s="229" t="s">
        <v>1</v>
      </c>
      <c r="F433" s="229">
        <v>361</v>
      </c>
      <c r="G433" s="40">
        <f>F433/226</f>
        <v>1.5973451327433628</v>
      </c>
      <c r="H433" s="14">
        <v>1</v>
      </c>
      <c r="I433" s="229">
        <v>0</v>
      </c>
      <c r="J433" s="229">
        <v>0</v>
      </c>
      <c r="K433" s="26">
        <v>0</v>
      </c>
      <c r="L433" s="14">
        <v>0</v>
      </c>
      <c r="M433" s="229">
        <v>0</v>
      </c>
      <c r="N433" s="229">
        <v>1</v>
      </c>
      <c r="O433" s="229">
        <v>0</v>
      </c>
      <c r="P433" s="26">
        <v>1</v>
      </c>
      <c r="Q433" s="14">
        <v>1</v>
      </c>
      <c r="R433" s="229">
        <v>0</v>
      </c>
      <c r="S433" s="229">
        <v>5</v>
      </c>
      <c r="T433" s="229">
        <v>0</v>
      </c>
      <c r="U433" s="229">
        <v>0</v>
      </c>
      <c r="V433" s="229">
        <v>0</v>
      </c>
      <c r="W433" s="229">
        <v>0</v>
      </c>
      <c r="X433" s="229">
        <v>0</v>
      </c>
      <c r="Y433" s="229">
        <v>0</v>
      </c>
      <c r="Z433" s="229">
        <v>0</v>
      </c>
      <c r="AA433" s="229">
        <v>0</v>
      </c>
      <c r="AC433" s="12">
        <v>1</v>
      </c>
      <c r="AD433" s="14">
        <v>1</v>
      </c>
      <c r="AE433" s="14">
        <v>0</v>
      </c>
      <c r="AF433" s="26">
        <v>0</v>
      </c>
      <c r="AG433" s="12">
        <v>116</v>
      </c>
      <c r="AH433" s="14">
        <v>0</v>
      </c>
      <c r="AI433" s="209"/>
      <c r="AJ433" s="3"/>
      <c r="AK433" s="3"/>
      <c r="AL433" s="3"/>
      <c r="AM433" s="3"/>
      <c r="AN433" s="3"/>
      <c r="AO433" s="40"/>
      <c r="AP433" s="209"/>
      <c r="AQ433" s="3"/>
      <c r="AR433" s="40"/>
      <c r="AS433" s="238"/>
    </row>
    <row r="434" spans="1:45" s="229" customFormat="1">
      <c r="A434" s="83" t="s">
        <v>323</v>
      </c>
      <c r="B434" s="386">
        <v>12.331666666666667</v>
      </c>
      <c r="C434" s="229" t="s">
        <v>217</v>
      </c>
      <c r="D434" s="229" t="s">
        <v>672</v>
      </c>
      <c r="E434" s="229" t="s">
        <v>2</v>
      </c>
      <c r="F434" s="229">
        <v>357</v>
      </c>
      <c r="G434" s="40">
        <f>F434/167</f>
        <v>2.1377245508982035</v>
      </c>
      <c r="H434" s="14">
        <v>1</v>
      </c>
      <c r="I434" s="229">
        <v>0</v>
      </c>
      <c r="J434" s="229">
        <v>0</v>
      </c>
      <c r="K434" s="26">
        <v>0</v>
      </c>
      <c r="L434" s="14">
        <v>0</v>
      </c>
      <c r="M434" s="229">
        <v>0</v>
      </c>
      <c r="N434" s="229">
        <v>1</v>
      </c>
      <c r="O434" s="229">
        <v>0</v>
      </c>
      <c r="P434" s="26">
        <v>1</v>
      </c>
      <c r="Q434" s="14">
        <v>1</v>
      </c>
      <c r="R434" s="229">
        <v>0</v>
      </c>
      <c r="S434" s="229">
        <v>10</v>
      </c>
      <c r="T434" s="229">
        <v>0</v>
      </c>
      <c r="U434" s="229">
        <v>0</v>
      </c>
      <c r="V434" s="229">
        <v>0</v>
      </c>
      <c r="W434" s="229">
        <v>0</v>
      </c>
      <c r="X434" s="229">
        <v>0</v>
      </c>
      <c r="Y434" s="229">
        <v>0</v>
      </c>
      <c r="Z434" s="229">
        <v>0</v>
      </c>
      <c r="AA434" s="229">
        <v>0</v>
      </c>
      <c r="AC434" s="12">
        <v>1</v>
      </c>
      <c r="AD434" s="14">
        <v>1</v>
      </c>
      <c r="AE434" s="14">
        <v>0</v>
      </c>
      <c r="AF434" s="26">
        <v>0</v>
      </c>
      <c r="AG434" s="12">
        <v>116</v>
      </c>
      <c r="AH434" s="14">
        <v>0</v>
      </c>
      <c r="AI434" s="209"/>
      <c r="AJ434" s="3"/>
      <c r="AK434" s="3"/>
      <c r="AL434" s="3"/>
      <c r="AM434" s="3"/>
      <c r="AN434" s="3"/>
      <c r="AO434" s="40"/>
      <c r="AP434" s="209"/>
      <c r="AQ434" s="3"/>
      <c r="AR434" s="40"/>
      <c r="AS434" s="238"/>
    </row>
    <row r="435" spans="1:45" s="229" customFormat="1">
      <c r="A435" s="83" t="s">
        <v>323</v>
      </c>
      <c r="B435" s="386">
        <v>12.331666666666667</v>
      </c>
      <c r="C435" s="229" t="s">
        <v>217</v>
      </c>
      <c r="D435" s="229" t="s">
        <v>673</v>
      </c>
      <c r="E435" s="229" t="s">
        <v>0</v>
      </c>
      <c r="F435" s="229">
        <v>88</v>
      </c>
      <c r="G435" s="40">
        <f>F435/74</f>
        <v>1.1891891891891893</v>
      </c>
      <c r="H435" s="14">
        <v>1</v>
      </c>
      <c r="I435" s="229">
        <v>0</v>
      </c>
      <c r="J435" s="229">
        <v>0</v>
      </c>
      <c r="K435" s="26">
        <v>0</v>
      </c>
      <c r="L435" s="14">
        <v>0</v>
      </c>
      <c r="M435" s="229">
        <v>0</v>
      </c>
      <c r="N435" s="229">
        <v>0</v>
      </c>
      <c r="O435" s="229">
        <v>0</v>
      </c>
      <c r="P435" s="26">
        <v>0</v>
      </c>
      <c r="Q435" s="14">
        <v>8</v>
      </c>
      <c r="R435" s="229">
        <v>0</v>
      </c>
      <c r="S435" s="229">
        <v>13</v>
      </c>
      <c r="T435" s="229">
        <v>0</v>
      </c>
      <c r="U435" s="229">
        <v>0</v>
      </c>
      <c r="V435" s="229">
        <v>0</v>
      </c>
      <c r="W435" s="229">
        <v>17</v>
      </c>
      <c r="X435" s="229">
        <v>0</v>
      </c>
      <c r="Y435" s="229">
        <v>0</v>
      </c>
      <c r="Z435" s="229">
        <v>0</v>
      </c>
      <c r="AA435" s="229">
        <v>0</v>
      </c>
      <c r="AC435" s="12">
        <v>1</v>
      </c>
      <c r="AD435" s="14">
        <v>1</v>
      </c>
      <c r="AE435" s="14">
        <v>0</v>
      </c>
      <c r="AF435" s="26">
        <v>0</v>
      </c>
      <c r="AG435" s="12">
        <v>123</v>
      </c>
      <c r="AH435" s="14">
        <v>0</v>
      </c>
      <c r="AI435" s="209"/>
      <c r="AJ435" s="3"/>
      <c r="AK435" s="3"/>
      <c r="AL435" s="3"/>
      <c r="AM435" s="3"/>
      <c r="AN435" s="3"/>
      <c r="AO435" s="40"/>
      <c r="AP435" s="209"/>
      <c r="AQ435" s="3"/>
      <c r="AR435" s="40"/>
      <c r="AS435" s="238"/>
    </row>
    <row r="436" spans="1:45" s="229" customFormat="1">
      <c r="A436" s="83" t="s">
        <v>323</v>
      </c>
      <c r="B436" s="386">
        <v>12.331666666666667</v>
      </c>
      <c r="C436" s="229" t="s">
        <v>217</v>
      </c>
      <c r="D436" s="229" t="s">
        <v>673</v>
      </c>
      <c r="E436" s="229" t="s">
        <v>1</v>
      </c>
      <c r="F436" s="229">
        <v>1354</v>
      </c>
      <c r="G436" s="40">
        <f>F436/772</f>
        <v>1.7538860103626943</v>
      </c>
      <c r="H436" s="14">
        <v>0</v>
      </c>
      <c r="I436" s="229">
        <v>0</v>
      </c>
      <c r="J436" s="229">
        <v>1</v>
      </c>
      <c r="K436" s="26">
        <v>0</v>
      </c>
      <c r="L436" s="14">
        <v>0</v>
      </c>
      <c r="M436" s="229">
        <v>0</v>
      </c>
      <c r="N436" s="229">
        <v>1</v>
      </c>
      <c r="O436" s="229">
        <v>1</v>
      </c>
      <c r="P436" s="26">
        <v>2</v>
      </c>
      <c r="Q436" s="14">
        <v>10</v>
      </c>
      <c r="R436" s="229">
        <v>0</v>
      </c>
      <c r="S436" s="229">
        <v>26</v>
      </c>
      <c r="T436" s="229">
        <v>0</v>
      </c>
      <c r="U436" s="229">
        <v>0</v>
      </c>
      <c r="V436" s="229">
        <v>26</v>
      </c>
      <c r="W436" s="229">
        <v>216</v>
      </c>
      <c r="X436" s="229">
        <v>0</v>
      </c>
      <c r="Y436" s="229">
        <v>0</v>
      </c>
      <c r="Z436" s="229">
        <v>0</v>
      </c>
      <c r="AA436" s="229">
        <v>137</v>
      </c>
      <c r="AC436" s="12">
        <v>1</v>
      </c>
      <c r="AD436" s="14">
        <v>1</v>
      </c>
      <c r="AE436" s="14">
        <v>0</v>
      </c>
      <c r="AF436" s="26">
        <v>0</v>
      </c>
      <c r="AG436" s="12">
        <v>123</v>
      </c>
      <c r="AH436" s="14">
        <v>0</v>
      </c>
      <c r="AI436" s="209"/>
      <c r="AJ436" s="3"/>
      <c r="AK436" s="3"/>
      <c r="AL436" s="3"/>
      <c r="AM436" s="3"/>
      <c r="AN436" s="3"/>
      <c r="AO436" s="40"/>
      <c r="AP436" s="209"/>
      <c r="AQ436" s="3"/>
      <c r="AR436" s="40"/>
      <c r="AS436" s="238"/>
    </row>
    <row r="437" spans="1:45" s="229" customFormat="1">
      <c r="A437" s="83" t="s">
        <v>323</v>
      </c>
      <c r="B437" s="386">
        <v>12.331666666666667</v>
      </c>
      <c r="C437" s="229" t="s">
        <v>217</v>
      </c>
      <c r="D437" s="229" t="s">
        <v>673</v>
      </c>
      <c r="E437" s="229" t="s">
        <v>2</v>
      </c>
      <c r="F437" s="229">
        <v>605</v>
      </c>
      <c r="G437" s="40">
        <f>F437/423</f>
        <v>1.4302600472813238</v>
      </c>
      <c r="H437" s="14">
        <v>0</v>
      </c>
      <c r="I437" s="229">
        <v>0</v>
      </c>
      <c r="J437" s="229">
        <v>1</v>
      </c>
      <c r="K437" s="26">
        <v>0</v>
      </c>
      <c r="L437" s="14">
        <v>0</v>
      </c>
      <c r="M437" s="229">
        <v>0</v>
      </c>
      <c r="N437" s="229">
        <v>1</v>
      </c>
      <c r="O437" s="229">
        <v>0</v>
      </c>
      <c r="P437" s="26">
        <v>1</v>
      </c>
      <c r="Q437" s="14">
        <v>5</v>
      </c>
      <c r="R437" s="229">
        <v>0</v>
      </c>
      <c r="S437" s="229">
        <v>0</v>
      </c>
      <c r="T437" s="229">
        <v>0</v>
      </c>
      <c r="U437" s="229">
        <v>0</v>
      </c>
      <c r="V437" s="229">
        <v>28</v>
      </c>
      <c r="W437" s="229">
        <v>52</v>
      </c>
      <c r="X437" s="229">
        <v>0</v>
      </c>
      <c r="Y437" s="229">
        <v>0</v>
      </c>
      <c r="Z437" s="229">
        <v>0</v>
      </c>
      <c r="AA437" s="229">
        <v>115</v>
      </c>
      <c r="AC437" s="12">
        <v>1</v>
      </c>
      <c r="AD437" s="14">
        <v>1</v>
      </c>
      <c r="AE437" s="14">
        <v>0</v>
      </c>
      <c r="AF437" s="26">
        <v>0</v>
      </c>
      <c r="AG437" s="12">
        <v>123</v>
      </c>
      <c r="AH437" s="14">
        <v>0</v>
      </c>
      <c r="AI437" s="209"/>
      <c r="AJ437" s="3"/>
      <c r="AK437" s="3"/>
      <c r="AL437" s="3"/>
      <c r="AM437" s="3"/>
      <c r="AN437" s="3"/>
      <c r="AO437" s="40"/>
      <c r="AP437" s="209"/>
      <c r="AQ437" s="3"/>
      <c r="AR437" s="40"/>
      <c r="AS437" s="238"/>
    </row>
    <row r="438" spans="1:45" s="229" customFormat="1">
      <c r="A438" s="83" t="s">
        <v>323</v>
      </c>
      <c r="B438" s="386">
        <v>12.331666666666667</v>
      </c>
      <c r="C438" s="229" t="s">
        <v>217</v>
      </c>
      <c r="D438" s="229" t="s">
        <v>674</v>
      </c>
      <c r="F438" s="229">
        <v>657</v>
      </c>
      <c r="G438" s="40">
        <f>F438/447</f>
        <v>1.4697986577181208</v>
      </c>
      <c r="H438" s="14">
        <v>0</v>
      </c>
      <c r="I438" s="229">
        <v>0</v>
      </c>
      <c r="J438" s="229">
        <v>1</v>
      </c>
      <c r="K438" s="26">
        <v>0</v>
      </c>
      <c r="L438" s="14">
        <v>0</v>
      </c>
      <c r="M438" s="229">
        <v>0</v>
      </c>
      <c r="N438" s="229">
        <v>1</v>
      </c>
      <c r="O438" s="229">
        <v>0</v>
      </c>
      <c r="P438" s="26">
        <v>1</v>
      </c>
      <c r="Q438" s="14">
        <v>5</v>
      </c>
      <c r="R438" s="229">
        <v>0</v>
      </c>
      <c r="S438" s="229">
        <v>0</v>
      </c>
      <c r="T438" s="229">
        <v>0</v>
      </c>
      <c r="U438" s="229">
        <v>0</v>
      </c>
      <c r="V438" s="229">
        <v>27</v>
      </c>
      <c r="W438" s="229">
        <v>74</v>
      </c>
      <c r="X438" s="229">
        <v>0</v>
      </c>
      <c r="Y438" s="229">
        <v>0</v>
      </c>
      <c r="Z438" s="229">
        <v>0</v>
      </c>
      <c r="AA438" s="229">
        <v>0</v>
      </c>
      <c r="AC438" s="12">
        <v>1</v>
      </c>
      <c r="AD438" s="14">
        <v>1</v>
      </c>
      <c r="AE438" s="14">
        <v>0</v>
      </c>
      <c r="AF438" s="26">
        <v>0</v>
      </c>
      <c r="AG438" s="12">
        <v>102</v>
      </c>
      <c r="AH438" s="14">
        <v>0</v>
      </c>
      <c r="AI438" s="209">
        <v>87.318599343249019</v>
      </c>
      <c r="AJ438" s="3"/>
      <c r="AK438" s="3"/>
      <c r="AL438" s="3"/>
      <c r="AM438" s="3"/>
      <c r="AN438" s="3"/>
      <c r="AO438" s="40"/>
      <c r="AP438" s="209">
        <v>85.782118457218644</v>
      </c>
      <c r="AQ438" s="3"/>
      <c r="AR438" s="40"/>
      <c r="AS438" s="238"/>
    </row>
    <row r="439" spans="1:45" s="229" customFormat="1">
      <c r="A439" s="83" t="s">
        <v>323</v>
      </c>
      <c r="B439" s="386">
        <v>12.331666666666667</v>
      </c>
      <c r="C439" s="229" t="s">
        <v>217</v>
      </c>
      <c r="D439" s="229" t="s">
        <v>675</v>
      </c>
      <c r="F439" s="229">
        <v>433</v>
      </c>
      <c r="G439" s="40">
        <f>F439/398</f>
        <v>1.0879396984924623</v>
      </c>
      <c r="H439" s="14">
        <v>0</v>
      </c>
      <c r="I439" s="229">
        <v>0</v>
      </c>
      <c r="J439" s="229">
        <v>1</v>
      </c>
      <c r="K439" s="26">
        <v>0</v>
      </c>
      <c r="L439" s="14">
        <v>0</v>
      </c>
      <c r="M439" s="229">
        <v>0</v>
      </c>
      <c r="N439" s="229">
        <v>0</v>
      </c>
      <c r="O439" s="229">
        <v>1</v>
      </c>
      <c r="P439" s="26">
        <v>1</v>
      </c>
      <c r="Q439" s="14">
        <v>20</v>
      </c>
      <c r="R439" s="229">
        <v>0</v>
      </c>
      <c r="S439" s="229">
        <v>0</v>
      </c>
      <c r="T439" s="229">
        <v>0</v>
      </c>
      <c r="U439" s="229">
        <v>0</v>
      </c>
      <c r="V439" s="229">
        <v>80</v>
      </c>
      <c r="W439" s="229">
        <v>267</v>
      </c>
      <c r="X439" s="229">
        <v>0</v>
      </c>
      <c r="Y439" s="229">
        <v>0</v>
      </c>
      <c r="Z439" s="229">
        <v>0</v>
      </c>
      <c r="AA439" s="229">
        <v>0</v>
      </c>
      <c r="AC439" s="12">
        <v>1</v>
      </c>
      <c r="AD439" s="14">
        <v>1</v>
      </c>
      <c r="AE439" s="14">
        <v>0</v>
      </c>
      <c r="AF439" s="26">
        <v>0</v>
      </c>
      <c r="AG439" s="12">
        <v>68</v>
      </c>
      <c r="AH439" s="14">
        <v>1</v>
      </c>
      <c r="AI439" s="209"/>
      <c r="AJ439" s="3"/>
      <c r="AK439" s="3"/>
      <c r="AL439" s="3"/>
      <c r="AM439" s="3"/>
      <c r="AN439" s="3"/>
      <c r="AO439" s="40"/>
      <c r="AP439" s="209"/>
      <c r="AQ439" s="3"/>
      <c r="AR439" s="40"/>
      <c r="AS439" s="238"/>
    </row>
    <row r="440" spans="1:45" s="229" customFormat="1">
      <c r="A440" s="83" t="s">
        <v>323</v>
      </c>
      <c r="B440" s="386">
        <v>12.331666666666667</v>
      </c>
      <c r="C440" s="229" t="s">
        <v>217</v>
      </c>
      <c r="D440" s="229" t="s">
        <v>677</v>
      </c>
      <c r="E440" s="229" t="s">
        <v>0</v>
      </c>
      <c r="F440" s="229">
        <v>273</v>
      </c>
      <c r="G440" s="40">
        <f>F440/204</f>
        <v>1.338235294117647</v>
      </c>
      <c r="H440" s="14">
        <v>0</v>
      </c>
      <c r="I440" s="229">
        <v>0</v>
      </c>
      <c r="J440" s="229">
        <v>0</v>
      </c>
      <c r="K440" s="26">
        <v>1</v>
      </c>
      <c r="L440" s="14">
        <v>0</v>
      </c>
      <c r="M440" s="229">
        <v>0</v>
      </c>
      <c r="N440" s="229">
        <v>0</v>
      </c>
      <c r="O440" s="229">
        <v>0</v>
      </c>
      <c r="P440" s="26">
        <v>0</v>
      </c>
      <c r="Q440" s="14">
        <v>4</v>
      </c>
      <c r="R440" s="229">
        <v>0</v>
      </c>
      <c r="S440" s="229">
        <v>0</v>
      </c>
      <c r="T440" s="229">
        <v>0</v>
      </c>
      <c r="U440" s="229">
        <v>0</v>
      </c>
      <c r="V440" s="229">
        <v>0</v>
      </c>
      <c r="W440" s="229">
        <v>39</v>
      </c>
      <c r="X440" s="229">
        <v>0</v>
      </c>
      <c r="Y440" s="229">
        <v>0</v>
      </c>
      <c r="Z440" s="229">
        <v>0</v>
      </c>
      <c r="AA440" s="229">
        <v>17</v>
      </c>
      <c r="AC440" s="12">
        <v>2</v>
      </c>
      <c r="AD440" s="14">
        <v>3</v>
      </c>
      <c r="AE440" s="14">
        <v>67</v>
      </c>
      <c r="AF440" s="26">
        <v>230</v>
      </c>
      <c r="AG440" s="12">
        <v>104</v>
      </c>
      <c r="AH440" s="14">
        <v>1</v>
      </c>
      <c r="AI440" s="209"/>
      <c r="AJ440" s="3"/>
      <c r="AK440" s="3"/>
      <c r="AL440" s="3"/>
      <c r="AM440" s="3"/>
      <c r="AN440" s="3"/>
      <c r="AO440" s="40"/>
      <c r="AP440" s="209"/>
      <c r="AQ440" s="3"/>
      <c r="AR440" s="40"/>
      <c r="AS440" s="238"/>
    </row>
    <row r="441" spans="1:45" s="229" customFormat="1">
      <c r="A441" s="83" t="s">
        <v>323</v>
      </c>
      <c r="B441" s="386">
        <v>12.331666666666667</v>
      </c>
      <c r="C441" s="229" t="s">
        <v>217</v>
      </c>
      <c r="D441" s="229" t="s">
        <v>677</v>
      </c>
      <c r="E441" s="229" t="s">
        <v>1</v>
      </c>
      <c r="F441" s="229">
        <v>336</v>
      </c>
      <c r="G441" s="40">
        <f>F441/215</f>
        <v>1.5627906976744186</v>
      </c>
      <c r="H441" s="14">
        <v>0</v>
      </c>
      <c r="I441" s="229">
        <v>0</v>
      </c>
      <c r="J441" s="229">
        <v>0</v>
      </c>
      <c r="K441" s="26">
        <v>1</v>
      </c>
      <c r="L441" s="14">
        <v>0</v>
      </c>
      <c r="M441" s="229">
        <v>0</v>
      </c>
      <c r="N441" s="229">
        <v>0</v>
      </c>
      <c r="O441" s="229">
        <v>0</v>
      </c>
      <c r="P441" s="26">
        <v>0</v>
      </c>
      <c r="Q441" s="14">
        <v>1</v>
      </c>
      <c r="R441" s="229">
        <v>0</v>
      </c>
      <c r="S441" s="229">
        <v>0</v>
      </c>
      <c r="T441" s="229">
        <v>0</v>
      </c>
      <c r="U441" s="229">
        <v>0</v>
      </c>
      <c r="V441" s="229">
        <v>0</v>
      </c>
      <c r="W441" s="229">
        <v>13</v>
      </c>
      <c r="X441" s="229">
        <v>0</v>
      </c>
      <c r="Y441" s="229">
        <v>0</v>
      </c>
      <c r="Z441" s="229">
        <v>0</v>
      </c>
      <c r="AA441" s="229">
        <v>0</v>
      </c>
      <c r="AC441" s="12">
        <v>1</v>
      </c>
      <c r="AD441" s="14">
        <v>2</v>
      </c>
      <c r="AE441" s="14">
        <v>145</v>
      </c>
      <c r="AF441" s="26">
        <v>273</v>
      </c>
      <c r="AG441" s="12">
        <v>104</v>
      </c>
      <c r="AH441" s="14">
        <v>0</v>
      </c>
      <c r="AI441" s="209"/>
      <c r="AJ441" s="3"/>
      <c r="AK441" s="3"/>
      <c r="AL441" s="3"/>
      <c r="AM441" s="3"/>
      <c r="AN441" s="3"/>
      <c r="AO441" s="40"/>
      <c r="AP441" s="209"/>
      <c r="AQ441" s="3"/>
      <c r="AR441" s="40"/>
      <c r="AS441" s="238"/>
    </row>
    <row r="442" spans="1:45" s="229" customFormat="1">
      <c r="A442" s="83" t="s">
        <v>323</v>
      </c>
      <c r="B442" s="386">
        <v>12.331666666666667</v>
      </c>
      <c r="C442" s="229" t="s">
        <v>217</v>
      </c>
      <c r="D442" s="229" t="s">
        <v>677</v>
      </c>
      <c r="E442" s="229" t="s">
        <v>2</v>
      </c>
      <c r="F442" s="229">
        <v>106</v>
      </c>
      <c r="G442" s="40">
        <f>F442/76</f>
        <v>1.3947368421052631</v>
      </c>
      <c r="H442" s="14">
        <v>0</v>
      </c>
      <c r="I442" s="229">
        <v>0</v>
      </c>
      <c r="J442" s="229">
        <v>0</v>
      </c>
      <c r="K442" s="26">
        <v>1</v>
      </c>
      <c r="L442" s="14">
        <v>0</v>
      </c>
      <c r="M442" s="229">
        <v>0</v>
      </c>
      <c r="N442" s="229">
        <v>0</v>
      </c>
      <c r="O442" s="229">
        <v>0</v>
      </c>
      <c r="P442" s="26">
        <v>0</v>
      </c>
      <c r="Q442" s="14">
        <v>0</v>
      </c>
      <c r="R442" s="229">
        <v>0</v>
      </c>
      <c r="S442" s="229">
        <v>0</v>
      </c>
      <c r="T442" s="229">
        <v>0</v>
      </c>
      <c r="U442" s="229">
        <v>0</v>
      </c>
      <c r="V442" s="229">
        <v>0</v>
      </c>
      <c r="W442" s="229">
        <v>0</v>
      </c>
      <c r="X442" s="229">
        <v>0</v>
      </c>
      <c r="Y442" s="229">
        <v>0</v>
      </c>
      <c r="Z442" s="229">
        <v>0</v>
      </c>
      <c r="AA442" s="229">
        <v>0</v>
      </c>
      <c r="AC442" s="12">
        <v>1</v>
      </c>
      <c r="AD442" s="14">
        <v>1</v>
      </c>
      <c r="AE442" s="14">
        <v>0</v>
      </c>
      <c r="AF442" s="26">
        <v>0</v>
      </c>
      <c r="AG442" s="12">
        <v>104</v>
      </c>
      <c r="AH442" s="14">
        <v>1</v>
      </c>
      <c r="AI442" s="209"/>
      <c r="AJ442" s="3"/>
      <c r="AK442" s="3"/>
      <c r="AL442" s="3"/>
      <c r="AM442" s="3"/>
      <c r="AN442" s="3"/>
      <c r="AO442" s="40"/>
      <c r="AP442" s="209"/>
      <c r="AQ442" s="3"/>
      <c r="AR442" s="40"/>
      <c r="AS442" s="238"/>
    </row>
    <row r="443" spans="1:45" s="229" customFormat="1">
      <c r="A443" s="83" t="s">
        <v>323</v>
      </c>
      <c r="B443" s="386">
        <v>12.331666666666667</v>
      </c>
      <c r="C443" s="229" t="s">
        <v>217</v>
      </c>
      <c r="D443" s="229" t="s">
        <v>677</v>
      </c>
      <c r="E443" s="229" t="s">
        <v>3</v>
      </c>
      <c r="F443" s="229">
        <v>304</v>
      </c>
      <c r="G443" s="40">
        <f>F443/190</f>
        <v>1.6</v>
      </c>
      <c r="H443" s="14">
        <v>0</v>
      </c>
      <c r="I443" s="229">
        <v>0</v>
      </c>
      <c r="J443" s="229">
        <v>0</v>
      </c>
      <c r="K443" s="26">
        <v>1</v>
      </c>
      <c r="L443" s="14">
        <v>0</v>
      </c>
      <c r="M443" s="229">
        <v>0</v>
      </c>
      <c r="N443" s="229">
        <v>0</v>
      </c>
      <c r="O443" s="229">
        <v>0</v>
      </c>
      <c r="P443" s="26">
        <v>0</v>
      </c>
      <c r="Q443" s="14">
        <v>2</v>
      </c>
      <c r="R443" s="229">
        <v>0</v>
      </c>
      <c r="S443" s="229">
        <v>7</v>
      </c>
      <c r="T443" s="229">
        <v>0</v>
      </c>
      <c r="U443" s="229">
        <v>0</v>
      </c>
      <c r="V443" s="229">
        <v>6</v>
      </c>
      <c r="W443" s="229">
        <v>23</v>
      </c>
      <c r="X443" s="229">
        <v>0</v>
      </c>
      <c r="Y443" s="229">
        <v>0</v>
      </c>
      <c r="Z443" s="229">
        <v>0</v>
      </c>
      <c r="AA443" s="229">
        <v>0</v>
      </c>
      <c r="AC443" s="12">
        <v>1</v>
      </c>
      <c r="AD443" s="14">
        <v>1</v>
      </c>
      <c r="AE443" s="14">
        <v>0</v>
      </c>
      <c r="AF443" s="26">
        <v>0</v>
      </c>
      <c r="AG443" s="12">
        <v>104</v>
      </c>
      <c r="AH443" s="14">
        <v>0</v>
      </c>
      <c r="AI443" s="209"/>
      <c r="AJ443" s="3"/>
      <c r="AK443" s="3"/>
      <c r="AL443" s="3"/>
      <c r="AM443" s="3"/>
      <c r="AN443" s="3"/>
      <c r="AO443" s="40"/>
      <c r="AP443" s="209"/>
      <c r="AQ443" s="3"/>
      <c r="AR443" s="40"/>
      <c r="AS443" s="238"/>
    </row>
    <row r="444" spans="1:45" s="229" customFormat="1">
      <c r="A444" s="83" t="s">
        <v>323</v>
      </c>
      <c r="B444" s="386">
        <v>12.331666666666667</v>
      </c>
      <c r="C444" s="229" t="s">
        <v>217</v>
      </c>
      <c r="D444" s="229" t="s">
        <v>678</v>
      </c>
      <c r="F444" s="229">
        <v>370</v>
      </c>
      <c r="G444" s="40">
        <f>F444/158</f>
        <v>2.3417721518987342</v>
      </c>
      <c r="H444" s="14">
        <v>0</v>
      </c>
      <c r="I444" s="229">
        <v>1</v>
      </c>
      <c r="J444" s="229">
        <v>0</v>
      </c>
      <c r="K444" s="26">
        <v>1</v>
      </c>
      <c r="L444" s="14">
        <v>0</v>
      </c>
      <c r="M444" s="229">
        <v>0</v>
      </c>
      <c r="N444" s="229">
        <v>1</v>
      </c>
      <c r="O444" s="229">
        <v>0</v>
      </c>
      <c r="P444" s="26">
        <v>1</v>
      </c>
      <c r="Q444" s="14">
        <v>2</v>
      </c>
      <c r="R444" s="229">
        <v>0</v>
      </c>
      <c r="S444" s="229">
        <v>5</v>
      </c>
      <c r="T444" s="229">
        <v>0</v>
      </c>
      <c r="U444" s="229">
        <v>0</v>
      </c>
      <c r="V444" s="229">
        <v>5</v>
      </c>
      <c r="W444" s="229">
        <v>8</v>
      </c>
      <c r="X444" s="229">
        <v>0</v>
      </c>
      <c r="Y444" s="229">
        <v>0</v>
      </c>
      <c r="Z444" s="229">
        <v>0</v>
      </c>
      <c r="AA444" s="229">
        <v>0</v>
      </c>
      <c r="AC444" s="12">
        <v>2</v>
      </c>
      <c r="AD444" s="14">
        <v>5</v>
      </c>
      <c r="AE444" s="14">
        <v>58</v>
      </c>
      <c r="AF444" s="26">
        <v>209</v>
      </c>
      <c r="AG444" s="12">
        <v>74</v>
      </c>
      <c r="AH444" s="14">
        <v>0</v>
      </c>
      <c r="AI444" s="209"/>
      <c r="AJ444" s="3"/>
      <c r="AK444" s="3"/>
      <c r="AL444" s="3"/>
      <c r="AM444" s="3"/>
      <c r="AN444" s="3"/>
      <c r="AO444" s="40"/>
      <c r="AP444" s="209"/>
      <c r="AQ444" s="3"/>
      <c r="AR444" s="40"/>
      <c r="AS444" s="238"/>
    </row>
    <row r="445" spans="1:45" s="229" customFormat="1">
      <c r="A445" s="83" t="s">
        <v>323</v>
      </c>
      <c r="B445" s="386">
        <v>12.331666666666667</v>
      </c>
      <c r="C445" s="229" t="s">
        <v>217</v>
      </c>
      <c r="D445" s="229" t="s">
        <v>680</v>
      </c>
      <c r="E445" s="229" t="s">
        <v>0</v>
      </c>
      <c r="F445" s="229">
        <v>656</v>
      </c>
      <c r="G445" s="40">
        <f>F445/355</f>
        <v>1.847887323943662</v>
      </c>
      <c r="H445" s="14">
        <v>1</v>
      </c>
      <c r="I445" s="229">
        <v>0</v>
      </c>
      <c r="J445" s="229">
        <v>0</v>
      </c>
      <c r="K445" s="26">
        <v>1</v>
      </c>
      <c r="L445" s="14">
        <v>0</v>
      </c>
      <c r="M445" s="229">
        <v>0</v>
      </c>
      <c r="N445" s="229">
        <v>1</v>
      </c>
      <c r="O445" s="229">
        <v>1</v>
      </c>
      <c r="P445" s="26">
        <v>2</v>
      </c>
      <c r="Q445" s="14">
        <v>2</v>
      </c>
      <c r="R445" s="229">
        <v>5</v>
      </c>
      <c r="S445" s="229">
        <v>15</v>
      </c>
      <c r="T445" s="229">
        <v>0</v>
      </c>
      <c r="U445" s="229">
        <v>0</v>
      </c>
      <c r="V445" s="229">
        <v>0</v>
      </c>
      <c r="W445" s="229">
        <v>38</v>
      </c>
      <c r="X445" s="229">
        <v>0</v>
      </c>
      <c r="Y445" s="229">
        <v>0</v>
      </c>
      <c r="Z445" s="229">
        <v>0</v>
      </c>
      <c r="AA445" s="229">
        <v>0</v>
      </c>
      <c r="AC445" s="12">
        <v>2</v>
      </c>
      <c r="AD445" s="14">
        <v>7</v>
      </c>
      <c r="AE445" s="14">
        <v>46</v>
      </c>
      <c r="AF445" s="26">
        <v>330</v>
      </c>
      <c r="AG445" s="12">
        <v>85</v>
      </c>
      <c r="AH445" s="14">
        <v>1</v>
      </c>
      <c r="AI445" s="209"/>
      <c r="AJ445" s="3"/>
      <c r="AK445" s="3"/>
      <c r="AL445" s="3"/>
      <c r="AM445" s="3"/>
      <c r="AN445" s="3"/>
      <c r="AO445" s="40"/>
      <c r="AP445" s="209"/>
      <c r="AQ445" s="3"/>
      <c r="AR445" s="40"/>
      <c r="AS445" s="238"/>
    </row>
    <row r="446" spans="1:45" s="229" customFormat="1">
      <c r="A446" s="83" t="s">
        <v>323</v>
      </c>
      <c r="B446" s="386">
        <v>12.331666666666667</v>
      </c>
      <c r="C446" s="229" t="s">
        <v>217</v>
      </c>
      <c r="D446" s="229" t="s">
        <v>680</v>
      </c>
      <c r="E446" s="229" t="s">
        <v>1</v>
      </c>
      <c r="F446" s="229">
        <v>119</v>
      </c>
      <c r="G446" s="40">
        <f>F446/72</f>
        <v>1.6527777777777777</v>
      </c>
      <c r="H446" s="14">
        <v>1</v>
      </c>
      <c r="I446" s="229">
        <v>0</v>
      </c>
      <c r="J446" s="229">
        <v>0</v>
      </c>
      <c r="K446" s="26">
        <v>0</v>
      </c>
      <c r="L446" s="14">
        <v>0</v>
      </c>
      <c r="M446" s="229">
        <v>0</v>
      </c>
      <c r="N446" s="229">
        <v>0</v>
      </c>
      <c r="O446" s="229">
        <v>0</v>
      </c>
      <c r="P446" s="26">
        <v>0</v>
      </c>
      <c r="Q446" s="14">
        <v>0</v>
      </c>
      <c r="R446" s="229">
        <v>0</v>
      </c>
      <c r="S446" s="229">
        <v>0</v>
      </c>
      <c r="T446" s="229">
        <v>0</v>
      </c>
      <c r="U446" s="229">
        <v>0</v>
      </c>
      <c r="V446" s="229">
        <v>0</v>
      </c>
      <c r="W446" s="229">
        <v>0</v>
      </c>
      <c r="X446" s="229">
        <v>0</v>
      </c>
      <c r="Y446" s="229">
        <v>0</v>
      </c>
      <c r="Z446" s="229">
        <v>0</v>
      </c>
      <c r="AA446" s="229">
        <v>0</v>
      </c>
      <c r="AC446" s="12">
        <v>1</v>
      </c>
      <c r="AD446" s="14">
        <v>1</v>
      </c>
      <c r="AE446" s="14">
        <v>0</v>
      </c>
      <c r="AF446" s="26">
        <v>0</v>
      </c>
      <c r="AG446" s="12">
        <v>85</v>
      </c>
      <c r="AH446" s="14">
        <v>0</v>
      </c>
      <c r="AI446" s="209"/>
      <c r="AJ446" s="3"/>
      <c r="AK446" s="3"/>
      <c r="AL446" s="3"/>
      <c r="AM446" s="3"/>
      <c r="AN446" s="3"/>
      <c r="AO446" s="40"/>
      <c r="AP446" s="209"/>
      <c r="AQ446" s="3"/>
      <c r="AR446" s="40"/>
      <c r="AS446" s="238"/>
    </row>
    <row r="447" spans="1:45" s="229" customFormat="1">
      <c r="A447" s="83" t="s">
        <v>323</v>
      </c>
      <c r="B447" s="386">
        <v>12.331666666666667</v>
      </c>
      <c r="C447" s="229" t="s">
        <v>217</v>
      </c>
      <c r="D447" s="229" t="s">
        <v>681</v>
      </c>
      <c r="E447" s="229" t="s">
        <v>0</v>
      </c>
      <c r="F447" s="229">
        <v>517</v>
      </c>
      <c r="G447" s="40">
        <f>F447/406</f>
        <v>1.2733990147783252</v>
      </c>
      <c r="H447" s="14">
        <v>1</v>
      </c>
      <c r="I447" s="229">
        <v>0</v>
      </c>
      <c r="J447" s="229">
        <v>0</v>
      </c>
      <c r="K447" s="26">
        <v>1</v>
      </c>
      <c r="L447" s="14">
        <v>0</v>
      </c>
      <c r="M447" s="229">
        <v>0</v>
      </c>
      <c r="N447" s="229">
        <v>0</v>
      </c>
      <c r="O447" s="229">
        <v>0</v>
      </c>
      <c r="P447" s="26">
        <v>0</v>
      </c>
      <c r="Q447" s="14">
        <v>1</v>
      </c>
      <c r="R447" s="229">
        <v>0</v>
      </c>
      <c r="S447" s="229">
        <v>0</v>
      </c>
      <c r="T447" s="229">
        <v>0</v>
      </c>
      <c r="U447" s="229">
        <v>0</v>
      </c>
      <c r="V447" s="229">
        <v>0</v>
      </c>
      <c r="W447" s="229">
        <v>9</v>
      </c>
      <c r="X447" s="229">
        <v>0</v>
      </c>
      <c r="Y447" s="229">
        <v>0</v>
      </c>
      <c r="Z447" s="229">
        <v>0</v>
      </c>
      <c r="AA447" s="229">
        <v>0</v>
      </c>
      <c r="AC447" s="12">
        <v>2</v>
      </c>
      <c r="AD447" s="14">
        <v>9</v>
      </c>
      <c r="AE447" s="14">
        <v>58</v>
      </c>
      <c r="AF447" s="26">
        <v>222</v>
      </c>
      <c r="AG447" s="12">
        <v>89</v>
      </c>
      <c r="AH447" s="14">
        <v>1</v>
      </c>
      <c r="AI447" s="209"/>
      <c r="AJ447" s="3"/>
      <c r="AK447" s="3"/>
      <c r="AL447" s="3"/>
      <c r="AM447" s="3"/>
      <c r="AN447" s="3"/>
      <c r="AO447" s="40"/>
      <c r="AP447" s="209"/>
      <c r="AQ447" s="3"/>
      <c r="AR447" s="40"/>
      <c r="AS447" s="238"/>
    </row>
    <row r="448" spans="1:45" s="229" customFormat="1">
      <c r="A448" s="83" t="s">
        <v>323</v>
      </c>
      <c r="B448" s="386">
        <v>12.331666666666667</v>
      </c>
      <c r="C448" s="229" t="s">
        <v>217</v>
      </c>
      <c r="D448" s="229" t="s">
        <v>681</v>
      </c>
      <c r="E448" s="229" t="s">
        <v>1</v>
      </c>
      <c r="F448" s="229">
        <v>226</v>
      </c>
      <c r="G448" s="40">
        <f>F448/153</f>
        <v>1.477124183006536</v>
      </c>
      <c r="H448" s="14">
        <v>1</v>
      </c>
      <c r="I448" s="229">
        <v>0</v>
      </c>
      <c r="J448" s="229">
        <v>0</v>
      </c>
      <c r="K448" s="26">
        <v>1</v>
      </c>
      <c r="L448" s="14">
        <v>0</v>
      </c>
      <c r="M448" s="229">
        <v>0</v>
      </c>
      <c r="N448" s="229">
        <v>0</v>
      </c>
      <c r="O448" s="229">
        <v>0</v>
      </c>
      <c r="P448" s="26">
        <v>0</v>
      </c>
      <c r="Q448" s="14">
        <v>0</v>
      </c>
      <c r="R448" s="229">
        <v>0</v>
      </c>
      <c r="S448" s="229">
        <v>0</v>
      </c>
      <c r="T448" s="229">
        <v>0</v>
      </c>
      <c r="U448" s="229">
        <v>0</v>
      </c>
      <c r="V448" s="229">
        <v>0</v>
      </c>
      <c r="W448" s="229">
        <v>0</v>
      </c>
      <c r="X448" s="229">
        <v>0</v>
      </c>
      <c r="Y448" s="229">
        <v>0</v>
      </c>
      <c r="Z448" s="229">
        <v>0</v>
      </c>
      <c r="AA448" s="229">
        <v>0</v>
      </c>
      <c r="AC448" s="12">
        <v>2</v>
      </c>
      <c r="AD448" s="14">
        <v>13</v>
      </c>
      <c r="AE448" s="14">
        <v>15</v>
      </c>
      <c r="AF448" s="26">
        <v>126</v>
      </c>
      <c r="AG448" s="12">
        <v>89</v>
      </c>
      <c r="AH448" s="14">
        <v>1</v>
      </c>
      <c r="AI448" s="209"/>
      <c r="AJ448" s="3"/>
      <c r="AK448" s="3"/>
      <c r="AL448" s="3"/>
      <c r="AM448" s="3"/>
      <c r="AN448" s="3"/>
      <c r="AO448" s="40"/>
      <c r="AP448" s="209"/>
      <c r="AQ448" s="3"/>
      <c r="AR448" s="40"/>
      <c r="AS448" s="238"/>
    </row>
    <row r="449" spans="1:45" s="229" customFormat="1">
      <c r="A449" s="83" t="s">
        <v>323</v>
      </c>
      <c r="B449" s="386">
        <v>12.331666666666667</v>
      </c>
      <c r="C449" s="229" t="s">
        <v>217</v>
      </c>
      <c r="D449" s="229" t="s">
        <v>681</v>
      </c>
      <c r="E449" s="229" t="s">
        <v>2</v>
      </c>
      <c r="F449" s="229">
        <v>244</v>
      </c>
      <c r="G449" s="40">
        <f>F449/168</f>
        <v>1.4523809523809523</v>
      </c>
      <c r="H449" s="14">
        <v>1</v>
      </c>
      <c r="I449" s="229">
        <v>0</v>
      </c>
      <c r="J449" s="229">
        <v>0</v>
      </c>
      <c r="K449" s="26">
        <v>1</v>
      </c>
      <c r="L449" s="14">
        <v>0</v>
      </c>
      <c r="M449" s="229">
        <v>0</v>
      </c>
      <c r="N449" s="229">
        <v>0</v>
      </c>
      <c r="O449" s="229">
        <v>0</v>
      </c>
      <c r="P449" s="26">
        <v>0</v>
      </c>
      <c r="Q449" s="14">
        <v>0</v>
      </c>
      <c r="R449" s="229">
        <v>0</v>
      </c>
      <c r="S449" s="229">
        <v>0</v>
      </c>
      <c r="T449" s="229">
        <v>0</v>
      </c>
      <c r="U449" s="229">
        <v>0</v>
      </c>
      <c r="V449" s="229">
        <v>0</v>
      </c>
      <c r="W449" s="229">
        <v>0</v>
      </c>
      <c r="X449" s="229">
        <v>0</v>
      </c>
      <c r="Y449" s="229">
        <v>0</v>
      </c>
      <c r="Z449" s="229">
        <v>0</v>
      </c>
      <c r="AA449" s="229">
        <v>0</v>
      </c>
      <c r="AC449" s="12">
        <v>2</v>
      </c>
      <c r="AD449" s="14">
        <v>2</v>
      </c>
      <c r="AE449" s="14">
        <v>86</v>
      </c>
      <c r="AF449" s="26">
        <v>244</v>
      </c>
      <c r="AG449" s="12">
        <v>89</v>
      </c>
      <c r="AH449" s="14">
        <v>1</v>
      </c>
      <c r="AI449" s="209"/>
      <c r="AJ449" s="3"/>
      <c r="AK449" s="3"/>
      <c r="AL449" s="3"/>
      <c r="AM449" s="3"/>
      <c r="AN449" s="3"/>
      <c r="AO449" s="40"/>
      <c r="AP449" s="209"/>
      <c r="AQ449" s="3"/>
      <c r="AR449" s="40"/>
      <c r="AS449" s="238"/>
    </row>
    <row r="450" spans="1:45" s="229" customFormat="1">
      <c r="A450" s="83" t="s">
        <v>323</v>
      </c>
      <c r="B450" s="386">
        <v>12.331666666666667</v>
      </c>
      <c r="C450" s="229" t="s">
        <v>217</v>
      </c>
      <c r="D450" s="229" t="s">
        <v>682</v>
      </c>
      <c r="E450" s="229" t="s">
        <v>1</v>
      </c>
      <c r="F450" s="229">
        <v>613</v>
      </c>
      <c r="G450" s="40">
        <f>F450/262</f>
        <v>2.3396946564885495</v>
      </c>
      <c r="H450" s="14">
        <v>1</v>
      </c>
      <c r="I450" s="229">
        <v>0</v>
      </c>
      <c r="J450" s="229">
        <v>0</v>
      </c>
      <c r="K450" s="26">
        <v>1</v>
      </c>
      <c r="L450" s="14">
        <v>0</v>
      </c>
      <c r="M450" s="229">
        <v>0</v>
      </c>
      <c r="N450" s="229">
        <v>1</v>
      </c>
      <c r="O450" s="229">
        <v>0</v>
      </c>
      <c r="P450" s="26">
        <v>1</v>
      </c>
      <c r="Q450" s="14">
        <v>1</v>
      </c>
      <c r="R450" s="229">
        <v>0</v>
      </c>
      <c r="S450" s="229">
        <v>9</v>
      </c>
      <c r="T450" s="229">
        <v>0</v>
      </c>
      <c r="U450" s="229">
        <v>0</v>
      </c>
      <c r="V450" s="229">
        <v>0</v>
      </c>
      <c r="W450" s="229">
        <v>20</v>
      </c>
      <c r="X450" s="229">
        <v>0</v>
      </c>
      <c r="Y450" s="229">
        <v>0</v>
      </c>
      <c r="Z450" s="229">
        <v>0</v>
      </c>
      <c r="AA450" s="229">
        <v>0</v>
      </c>
      <c r="AC450" s="12">
        <v>2</v>
      </c>
      <c r="AD450" s="14">
        <v>6</v>
      </c>
      <c r="AE450" s="14">
        <v>79</v>
      </c>
      <c r="AF450" s="26">
        <v>262</v>
      </c>
      <c r="AG450" s="12">
        <v>132</v>
      </c>
      <c r="AH450" s="14">
        <v>0</v>
      </c>
      <c r="AI450" s="209"/>
      <c r="AJ450" s="3"/>
      <c r="AK450" s="3"/>
      <c r="AL450" s="3"/>
      <c r="AM450" s="3"/>
      <c r="AN450" s="3"/>
      <c r="AO450" s="40"/>
      <c r="AP450" s="209"/>
      <c r="AQ450" s="3"/>
      <c r="AR450" s="40"/>
      <c r="AS450" s="238"/>
    </row>
    <row r="451" spans="1:45" s="229" customFormat="1">
      <c r="A451" s="83" t="s">
        <v>323</v>
      </c>
      <c r="B451" s="386">
        <v>12.331666666666667</v>
      </c>
      <c r="C451" s="229" t="s">
        <v>217</v>
      </c>
      <c r="D451" s="229" t="s">
        <v>682</v>
      </c>
      <c r="E451" s="229" t="s">
        <v>2</v>
      </c>
      <c r="F451" s="229">
        <v>534</v>
      </c>
      <c r="G451" s="40">
        <f>F451/254</f>
        <v>2.1023622047244093</v>
      </c>
      <c r="H451" s="14">
        <v>1</v>
      </c>
      <c r="I451" s="229">
        <v>0</v>
      </c>
      <c r="J451" s="229">
        <v>1</v>
      </c>
      <c r="K451" s="26">
        <v>0</v>
      </c>
      <c r="L451" s="14">
        <v>0</v>
      </c>
      <c r="M451" s="229">
        <v>0</v>
      </c>
      <c r="N451" s="229">
        <v>1</v>
      </c>
      <c r="O451" s="229">
        <v>0</v>
      </c>
      <c r="P451" s="26">
        <v>1</v>
      </c>
      <c r="Q451" s="14">
        <v>5</v>
      </c>
      <c r="R451" s="229">
        <v>0</v>
      </c>
      <c r="S451" s="229">
        <v>0</v>
      </c>
      <c r="T451" s="229">
        <v>0</v>
      </c>
      <c r="U451" s="229">
        <v>0</v>
      </c>
      <c r="V451" s="229">
        <v>0</v>
      </c>
      <c r="W451" s="229">
        <v>0</v>
      </c>
      <c r="X451" s="229">
        <v>0</v>
      </c>
      <c r="Y451" s="229">
        <v>0</v>
      </c>
      <c r="Z451" s="229">
        <v>0</v>
      </c>
      <c r="AA451" s="229">
        <v>95</v>
      </c>
      <c r="AC451" s="12">
        <v>2</v>
      </c>
      <c r="AD451" s="14">
        <v>3</v>
      </c>
      <c r="AE451" s="14">
        <v>115</v>
      </c>
      <c r="AF451" s="26">
        <v>318</v>
      </c>
      <c r="AG451" s="12">
        <v>132</v>
      </c>
      <c r="AH451" s="14">
        <v>0</v>
      </c>
      <c r="AI451" s="209"/>
      <c r="AJ451" s="3"/>
      <c r="AK451" s="3"/>
      <c r="AL451" s="3"/>
      <c r="AM451" s="3"/>
      <c r="AN451" s="3"/>
      <c r="AO451" s="40"/>
      <c r="AP451" s="209"/>
      <c r="AQ451" s="3"/>
      <c r="AR451" s="40"/>
      <c r="AS451" s="238"/>
    </row>
    <row r="452" spans="1:45" s="229" customFormat="1">
      <c r="A452" s="83" t="s">
        <v>323</v>
      </c>
      <c r="B452" s="386">
        <v>12.331666666666667</v>
      </c>
      <c r="C452" s="229" t="s">
        <v>217</v>
      </c>
      <c r="D452" s="229" t="s">
        <v>682</v>
      </c>
      <c r="E452" s="229" t="s">
        <v>3</v>
      </c>
      <c r="F452" s="229">
        <v>508</v>
      </c>
      <c r="G452" s="40">
        <f>F452/308</f>
        <v>1.6493506493506493</v>
      </c>
      <c r="H452" s="14">
        <v>1</v>
      </c>
      <c r="I452" s="229">
        <v>0</v>
      </c>
      <c r="J452" s="229">
        <v>0</v>
      </c>
      <c r="K452" s="26">
        <v>1</v>
      </c>
      <c r="L452" s="14">
        <v>0</v>
      </c>
      <c r="M452" s="229">
        <v>0</v>
      </c>
      <c r="N452" s="229">
        <v>1</v>
      </c>
      <c r="O452" s="229">
        <v>0</v>
      </c>
      <c r="P452" s="26">
        <v>1</v>
      </c>
      <c r="Q452" s="14">
        <v>1</v>
      </c>
      <c r="R452" s="229">
        <v>15</v>
      </c>
      <c r="S452" s="229">
        <v>18</v>
      </c>
      <c r="T452" s="229">
        <v>0</v>
      </c>
      <c r="U452" s="229">
        <v>0</v>
      </c>
      <c r="V452" s="229">
        <v>0</v>
      </c>
      <c r="W452" s="229">
        <v>0</v>
      </c>
      <c r="X452" s="229">
        <v>0</v>
      </c>
      <c r="Y452" s="229">
        <v>0</v>
      </c>
      <c r="Z452" s="229">
        <v>0</v>
      </c>
      <c r="AA452" s="229">
        <v>0</v>
      </c>
      <c r="AC452" s="12">
        <v>2</v>
      </c>
      <c r="AD452" s="14">
        <v>5</v>
      </c>
      <c r="AE452" s="14">
        <v>69</v>
      </c>
      <c r="AF452" s="26">
        <v>327</v>
      </c>
      <c r="AG452" s="12">
        <v>132</v>
      </c>
      <c r="AH452" s="14">
        <v>0</v>
      </c>
      <c r="AI452" s="209"/>
      <c r="AJ452" s="3"/>
      <c r="AK452" s="3"/>
      <c r="AL452" s="3"/>
      <c r="AM452" s="3"/>
      <c r="AN452" s="3"/>
      <c r="AO452" s="40"/>
      <c r="AP452" s="209"/>
      <c r="AQ452" s="3"/>
      <c r="AR452" s="40"/>
      <c r="AS452" s="238"/>
    </row>
    <row r="453" spans="1:45" s="229" customFormat="1">
      <c r="A453" s="83" t="s">
        <v>323</v>
      </c>
      <c r="B453" s="386">
        <v>12.331666666666667</v>
      </c>
      <c r="C453" s="24" t="s">
        <v>217</v>
      </c>
      <c r="D453" s="229" t="s">
        <v>683</v>
      </c>
      <c r="E453" s="229" t="s">
        <v>0</v>
      </c>
      <c r="F453" s="229">
        <v>366</v>
      </c>
      <c r="G453" s="40">
        <f>F453/214</f>
        <v>1.7102803738317758</v>
      </c>
      <c r="H453" s="14">
        <v>0</v>
      </c>
      <c r="I453" s="229">
        <v>0</v>
      </c>
      <c r="J453" s="229">
        <v>0</v>
      </c>
      <c r="K453" s="26">
        <v>1</v>
      </c>
      <c r="L453" s="14">
        <v>0</v>
      </c>
      <c r="M453" s="229">
        <v>0</v>
      </c>
      <c r="N453" s="229">
        <v>1</v>
      </c>
      <c r="O453" s="229">
        <v>0</v>
      </c>
      <c r="P453" s="26">
        <v>1</v>
      </c>
      <c r="Q453" s="14">
        <v>3</v>
      </c>
      <c r="R453" s="229">
        <v>0</v>
      </c>
      <c r="S453" s="229">
        <v>15</v>
      </c>
      <c r="T453" s="229">
        <v>0</v>
      </c>
      <c r="U453" s="229">
        <v>0</v>
      </c>
      <c r="V453" s="229">
        <v>0</v>
      </c>
      <c r="W453" s="229">
        <v>41</v>
      </c>
      <c r="X453" s="229">
        <v>0</v>
      </c>
      <c r="Y453" s="229">
        <v>24</v>
      </c>
      <c r="Z453" s="229">
        <v>0</v>
      </c>
      <c r="AA453" s="229">
        <v>0</v>
      </c>
      <c r="AC453" s="12">
        <v>2</v>
      </c>
      <c r="AD453" s="14">
        <v>2</v>
      </c>
      <c r="AE453" s="14">
        <v>185</v>
      </c>
      <c r="AF453" s="26">
        <v>298</v>
      </c>
      <c r="AG453" s="12">
        <v>111</v>
      </c>
      <c r="AH453" s="14">
        <v>0</v>
      </c>
      <c r="AI453" s="209"/>
      <c r="AJ453" s="3"/>
      <c r="AK453" s="3"/>
      <c r="AL453" s="3"/>
      <c r="AM453" s="3"/>
      <c r="AN453" s="3"/>
      <c r="AO453" s="40"/>
      <c r="AP453" s="209"/>
      <c r="AQ453" s="3"/>
      <c r="AR453" s="40"/>
      <c r="AS453" s="238"/>
    </row>
    <row r="454" spans="1:45" s="229" customFormat="1">
      <c r="A454" s="83" t="s">
        <v>323</v>
      </c>
      <c r="B454" s="386">
        <v>12.331666666666667</v>
      </c>
      <c r="C454" s="24" t="s">
        <v>217</v>
      </c>
      <c r="D454" s="229" t="s">
        <v>683</v>
      </c>
      <c r="E454" s="229" t="s">
        <v>1</v>
      </c>
      <c r="F454" s="229">
        <v>145</v>
      </c>
      <c r="G454" s="40">
        <f>F454/107</f>
        <v>1.3551401869158879</v>
      </c>
      <c r="H454" s="14">
        <v>0</v>
      </c>
      <c r="I454" s="229">
        <v>0</v>
      </c>
      <c r="J454" s="229">
        <v>0</v>
      </c>
      <c r="K454" s="26">
        <v>1</v>
      </c>
      <c r="L454" s="14">
        <v>0</v>
      </c>
      <c r="M454" s="229">
        <v>0</v>
      </c>
      <c r="N454" s="229">
        <v>0</v>
      </c>
      <c r="O454" s="229">
        <v>0</v>
      </c>
      <c r="P454" s="26">
        <v>0</v>
      </c>
      <c r="Q454" s="14">
        <v>0</v>
      </c>
      <c r="R454" s="229">
        <v>0</v>
      </c>
      <c r="S454" s="229">
        <v>0</v>
      </c>
      <c r="T454" s="229">
        <v>0</v>
      </c>
      <c r="U454" s="229">
        <v>0</v>
      </c>
      <c r="V454" s="229">
        <v>0</v>
      </c>
      <c r="W454" s="229">
        <v>0</v>
      </c>
      <c r="X454" s="229">
        <v>0</v>
      </c>
      <c r="Y454" s="229">
        <v>0</v>
      </c>
      <c r="Z454" s="229">
        <v>0</v>
      </c>
      <c r="AA454" s="229">
        <v>0</v>
      </c>
      <c r="AC454" s="12">
        <v>2</v>
      </c>
      <c r="AD454" s="14">
        <v>5</v>
      </c>
      <c r="AE454" s="14">
        <v>37</v>
      </c>
      <c r="AF454" s="26">
        <v>115</v>
      </c>
      <c r="AG454" s="12">
        <v>111</v>
      </c>
      <c r="AH454" s="14">
        <v>0</v>
      </c>
      <c r="AI454" s="209">
        <v>85.779452660285912</v>
      </c>
      <c r="AJ454" s="3">
        <v>85.794994628565149</v>
      </c>
      <c r="AK454" s="3">
        <v>85.798092273620341</v>
      </c>
      <c r="AL454" s="3"/>
      <c r="AM454" s="3"/>
      <c r="AN454" s="3"/>
      <c r="AO454" s="40"/>
      <c r="AP454" s="209"/>
      <c r="AQ454" s="3"/>
      <c r="AR454" s="40"/>
      <c r="AS454" s="238"/>
    </row>
    <row r="455" spans="1:45" s="229" customFormat="1">
      <c r="A455" s="83" t="s">
        <v>323</v>
      </c>
      <c r="B455" s="386">
        <v>12.331666666666667</v>
      </c>
      <c r="C455" s="24" t="s">
        <v>217</v>
      </c>
      <c r="D455" s="229" t="s">
        <v>683</v>
      </c>
      <c r="E455" s="229" t="s">
        <v>2</v>
      </c>
      <c r="F455" s="229">
        <v>174</v>
      </c>
      <c r="G455" s="40">
        <f>F455/109</f>
        <v>1.5963302752293578</v>
      </c>
      <c r="H455" s="14">
        <v>1</v>
      </c>
      <c r="I455" s="229">
        <v>0</v>
      </c>
      <c r="J455" s="229">
        <v>0</v>
      </c>
      <c r="K455" s="26">
        <v>1</v>
      </c>
      <c r="L455" s="14">
        <v>0</v>
      </c>
      <c r="M455" s="229">
        <v>0</v>
      </c>
      <c r="N455" s="229">
        <v>0</v>
      </c>
      <c r="O455" s="229">
        <v>0</v>
      </c>
      <c r="P455" s="26">
        <v>0</v>
      </c>
      <c r="Q455" s="14">
        <v>0</v>
      </c>
      <c r="R455" s="229">
        <v>0</v>
      </c>
      <c r="S455" s="229">
        <v>0</v>
      </c>
      <c r="T455" s="229">
        <v>0</v>
      </c>
      <c r="U455" s="229">
        <v>0</v>
      </c>
      <c r="V455" s="229">
        <v>0</v>
      </c>
      <c r="W455" s="229">
        <v>0</v>
      </c>
      <c r="X455" s="229">
        <v>0</v>
      </c>
      <c r="Y455" s="229">
        <v>0</v>
      </c>
      <c r="Z455" s="229">
        <v>0</v>
      </c>
      <c r="AA455" s="229">
        <v>0</v>
      </c>
      <c r="AC455" s="12">
        <v>2</v>
      </c>
      <c r="AD455" s="14">
        <v>3</v>
      </c>
      <c r="AE455" s="14">
        <v>86</v>
      </c>
      <c r="AF455" s="26">
        <v>119</v>
      </c>
      <c r="AG455" s="12">
        <v>111</v>
      </c>
      <c r="AH455" s="14">
        <v>0</v>
      </c>
      <c r="AI455" s="209"/>
      <c r="AJ455" s="3"/>
      <c r="AK455" s="3"/>
      <c r="AL455" s="3"/>
      <c r="AM455" s="3"/>
      <c r="AN455" s="3"/>
      <c r="AO455" s="40"/>
      <c r="AP455" s="209"/>
      <c r="AQ455" s="3"/>
      <c r="AR455" s="40"/>
      <c r="AS455" s="238"/>
    </row>
    <row r="456" spans="1:45" s="229" customFormat="1">
      <c r="A456" s="83" t="s">
        <v>323</v>
      </c>
      <c r="B456" s="386">
        <v>12.331666666666667</v>
      </c>
      <c r="C456" s="24" t="s">
        <v>217</v>
      </c>
      <c r="D456" s="229" t="s">
        <v>683</v>
      </c>
      <c r="E456" s="229" t="s">
        <v>3</v>
      </c>
      <c r="F456" s="229">
        <v>196</v>
      </c>
      <c r="G456" s="40">
        <f>F456/162</f>
        <v>1.2098765432098766</v>
      </c>
      <c r="H456" s="14">
        <v>1</v>
      </c>
      <c r="I456" s="229">
        <v>0</v>
      </c>
      <c r="J456" s="229">
        <v>0</v>
      </c>
      <c r="K456" s="26">
        <v>1</v>
      </c>
      <c r="L456" s="14">
        <v>0</v>
      </c>
      <c r="M456" s="229">
        <v>0</v>
      </c>
      <c r="N456" s="229">
        <v>1</v>
      </c>
      <c r="O456" s="229">
        <v>0</v>
      </c>
      <c r="P456" s="26">
        <v>1</v>
      </c>
      <c r="Q456" s="14">
        <v>2</v>
      </c>
      <c r="R456" s="229">
        <v>0</v>
      </c>
      <c r="S456" s="229">
        <v>10</v>
      </c>
      <c r="T456" s="229">
        <v>0</v>
      </c>
      <c r="U456" s="229">
        <v>0</v>
      </c>
      <c r="V456" s="229">
        <v>0</v>
      </c>
      <c r="W456" s="229">
        <v>8</v>
      </c>
      <c r="X456" s="229">
        <v>0</v>
      </c>
      <c r="Y456" s="229">
        <v>0</v>
      </c>
      <c r="Z456" s="229">
        <v>0</v>
      </c>
      <c r="AA456" s="229">
        <v>0</v>
      </c>
      <c r="AC456" s="12">
        <v>2</v>
      </c>
      <c r="AD456" s="14">
        <v>2</v>
      </c>
      <c r="AE456" s="14">
        <v>60</v>
      </c>
      <c r="AF456" s="26">
        <v>196</v>
      </c>
      <c r="AG456" s="12">
        <v>111</v>
      </c>
      <c r="AH456" s="14">
        <v>0</v>
      </c>
      <c r="AI456" s="209">
        <v>86.037784244275386</v>
      </c>
      <c r="AJ456" s="3"/>
      <c r="AK456" s="3"/>
      <c r="AL456" s="3"/>
      <c r="AM456" s="3"/>
      <c r="AN456" s="3"/>
      <c r="AO456" s="40"/>
      <c r="AP456" s="209">
        <v>85.87695844994569</v>
      </c>
      <c r="AQ456" s="3"/>
      <c r="AR456" s="40"/>
      <c r="AS456" s="238"/>
    </row>
    <row r="457" spans="1:45" s="229" customFormat="1">
      <c r="A457" s="83" t="s">
        <v>323</v>
      </c>
      <c r="B457" s="386">
        <v>12.331666666666667</v>
      </c>
      <c r="C457" s="24" t="s">
        <v>217</v>
      </c>
      <c r="D457" s="229" t="s">
        <v>683</v>
      </c>
      <c r="E457" s="229" t="s">
        <v>4</v>
      </c>
      <c r="F457" s="229">
        <v>150</v>
      </c>
      <c r="G457" s="40">
        <f>F457/68</f>
        <v>2.2058823529411766</v>
      </c>
      <c r="H457" s="14">
        <v>1</v>
      </c>
      <c r="I457" s="229">
        <v>0</v>
      </c>
      <c r="J457" s="229">
        <v>0</v>
      </c>
      <c r="K457" s="26">
        <v>0</v>
      </c>
      <c r="L457" s="14">
        <v>0</v>
      </c>
      <c r="M457" s="229">
        <v>0</v>
      </c>
      <c r="N457" s="229">
        <v>0</v>
      </c>
      <c r="O457" s="229">
        <v>0</v>
      </c>
      <c r="P457" s="26">
        <v>0</v>
      </c>
      <c r="Q457" s="14">
        <v>0</v>
      </c>
      <c r="R457" s="229">
        <v>0</v>
      </c>
      <c r="S457" s="229">
        <v>0</v>
      </c>
      <c r="T457" s="229">
        <v>0</v>
      </c>
      <c r="U457" s="229">
        <v>0</v>
      </c>
      <c r="V457" s="229">
        <v>0</v>
      </c>
      <c r="W457" s="229">
        <v>0</v>
      </c>
      <c r="X457" s="229">
        <v>0</v>
      </c>
      <c r="Y457" s="229">
        <v>0</v>
      </c>
      <c r="Z457" s="229">
        <v>0</v>
      </c>
      <c r="AA457" s="229">
        <v>0</v>
      </c>
      <c r="AC457" s="12">
        <v>1</v>
      </c>
      <c r="AD457" s="14">
        <v>1</v>
      </c>
      <c r="AE457" s="14">
        <v>0</v>
      </c>
      <c r="AF457" s="26">
        <v>0</v>
      </c>
      <c r="AG457" s="12">
        <v>111</v>
      </c>
      <c r="AH457" s="14">
        <v>0</v>
      </c>
      <c r="AI457" s="209"/>
      <c r="AJ457" s="3"/>
      <c r="AK457" s="3"/>
      <c r="AL457" s="3"/>
      <c r="AM457" s="3"/>
      <c r="AN457" s="3"/>
      <c r="AO457" s="40"/>
      <c r="AP457" s="209"/>
      <c r="AQ457" s="3"/>
      <c r="AR457" s="40"/>
      <c r="AS457" s="238"/>
    </row>
    <row r="458" spans="1:45" s="229" customFormat="1">
      <c r="A458" s="83" t="s">
        <v>323</v>
      </c>
      <c r="B458" s="386">
        <v>12.331666666666667</v>
      </c>
      <c r="C458" s="24" t="s">
        <v>217</v>
      </c>
      <c r="D458" s="229" t="s">
        <v>683</v>
      </c>
      <c r="E458" s="229" t="s">
        <v>5</v>
      </c>
      <c r="F458" s="229">
        <v>161</v>
      </c>
      <c r="G458" s="40">
        <f>F458/92</f>
        <v>1.75</v>
      </c>
      <c r="H458" s="14">
        <v>0</v>
      </c>
      <c r="I458" s="229">
        <v>0</v>
      </c>
      <c r="J458" s="229">
        <v>0</v>
      </c>
      <c r="K458" s="26">
        <v>1</v>
      </c>
      <c r="L458" s="14">
        <v>0</v>
      </c>
      <c r="M458" s="229">
        <v>0</v>
      </c>
      <c r="N458" s="229">
        <v>0</v>
      </c>
      <c r="O458" s="229">
        <v>0</v>
      </c>
      <c r="P458" s="26">
        <v>0</v>
      </c>
      <c r="Q458" s="14">
        <v>0</v>
      </c>
      <c r="R458" s="229">
        <v>0</v>
      </c>
      <c r="S458" s="229">
        <v>0</v>
      </c>
      <c r="T458" s="229">
        <v>0</v>
      </c>
      <c r="U458" s="229">
        <v>0</v>
      </c>
      <c r="V458" s="229">
        <v>0</v>
      </c>
      <c r="W458" s="229">
        <v>0</v>
      </c>
      <c r="X458" s="229">
        <v>0</v>
      </c>
      <c r="Y458" s="229">
        <v>0</v>
      </c>
      <c r="Z458" s="229">
        <v>0</v>
      </c>
      <c r="AA458" s="229">
        <v>0</v>
      </c>
      <c r="AC458" s="12">
        <v>1</v>
      </c>
      <c r="AD458" s="14">
        <v>1</v>
      </c>
      <c r="AE458" s="14">
        <v>0</v>
      </c>
      <c r="AF458" s="26">
        <v>0</v>
      </c>
      <c r="AG458" s="12">
        <v>111</v>
      </c>
      <c r="AH458" s="14">
        <v>1</v>
      </c>
      <c r="AI458" s="209"/>
      <c r="AJ458" s="3"/>
      <c r="AK458" s="3"/>
      <c r="AL458" s="3"/>
      <c r="AM458" s="3"/>
      <c r="AN458" s="3"/>
      <c r="AO458" s="40"/>
      <c r="AP458" s="209"/>
      <c r="AQ458" s="3"/>
      <c r="AR458" s="40"/>
      <c r="AS458" s="238"/>
    </row>
    <row r="459" spans="1:45" s="229" customFormat="1">
      <c r="A459" s="83" t="s">
        <v>323</v>
      </c>
      <c r="B459" s="386">
        <v>12.331666666666667</v>
      </c>
      <c r="C459" s="24" t="s">
        <v>217</v>
      </c>
      <c r="D459" s="229" t="s">
        <v>684</v>
      </c>
      <c r="E459" s="229" t="s">
        <v>0</v>
      </c>
      <c r="F459" s="229">
        <v>1288</v>
      </c>
      <c r="G459" s="40">
        <f>F459/318</f>
        <v>4.050314465408805</v>
      </c>
      <c r="H459" s="14">
        <v>0</v>
      </c>
      <c r="I459" s="229">
        <v>0</v>
      </c>
      <c r="J459" s="229">
        <v>1</v>
      </c>
      <c r="K459" s="26">
        <v>1</v>
      </c>
      <c r="L459" s="14">
        <v>0</v>
      </c>
      <c r="M459" s="229">
        <v>0</v>
      </c>
      <c r="N459" s="229">
        <v>1</v>
      </c>
      <c r="O459" s="229">
        <v>0</v>
      </c>
      <c r="P459" s="26">
        <v>1</v>
      </c>
      <c r="Q459" s="14">
        <v>2</v>
      </c>
      <c r="R459" s="229">
        <v>0</v>
      </c>
      <c r="S459" s="229">
        <v>0</v>
      </c>
      <c r="T459" s="229">
        <v>0</v>
      </c>
      <c r="U459" s="229">
        <v>0</v>
      </c>
      <c r="V459" s="229">
        <v>10</v>
      </c>
      <c r="W459" s="229">
        <v>59</v>
      </c>
      <c r="X459" s="229">
        <v>0</v>
      </c>
      <c r="Y459" s="229">
        <v>0</v>
      </c>
      <c r="Z459" s="229">
        <v>0</v>
      </c>
      <c r="AA459" s="229">
        <v>0</v>
      </c>
      <c r="AC459" s="12">
        <v>2</v>
      </c>
      <c r="AD459" s="14">
        <v>3</v>
      </c>
      <c r="AE459" s="14">
        <v>279</v>
      </c>
      <c r="AF459" s="26">
        <v>739</v>
      </c>
      <c r="AG459" s="12">
        <v>118</v>
      </c>
      <c r="AH459" s="14">
        <v>0</v>
      </c>
      <c r="AI459" s="209"/>
      <c r="AJ459" s="3"/>
      <c r="AK459" s="3"/>
      <c r="AL459" s="3"/>
      <c r="AM459" s="3"/>
      <c r="AN459" s="3"/>
      <c r="AO459" s="40"/>
      <c r="AP459" s="209"/>
      <c r="AQ459" s="3"/>
      <c r="AR459" s="40"/>
      <c r="AS459" s="238"/>
    </row>
    <row r="460" spans="1:45" s="229" customFormat="1">
      <c r="A460" s="83" t="s">
        <v>323</v>
      </c>
      <c r="B460" s="386">
        <v>12.331666666666667</v>
      </c>
      <c r="C460" s="24" t="s">
        <v>217</v>
      </c>
      <c r="D460" s="229" t="s">
        <v>684</v>
      </c>
      <c r="E460" s="229" t="s">
        <v>1</v>
      </c>
      <c r="F460" s="229">
        <v>152</v>
      </c>
      <c r="G460" s="40">
        <f>F460/107</f>
        <v>1.4205607476635513</v>
      </c>
      <c r="H460" s="14">
        <v>1</v>
      </c>
      <c r="I460" s="229">
        <v>0</v>
      </c>
      <c r="J460" s="229">
        <v>0</v>
      </c>
      <c r="K460" s="26">
        <v>0</v>
      </c>
      <c r="L460" s="14">
        <v>0</v>
      </c>
      <c r="M460" s="229">
        <v>0</v>
      </c>
      <c r="N460" s="229">
        <v>0</v>
      </c>
      <c r="O460" s="229">
        <v>0</v>
      </c>
      <c r="P460" s="26">
        <v>0</v>
      </c>
      <c r="Q460" s="14">
        <v>0</v>
      </c>
      <c r="R460" s="229">
        <v>0</v>
      </c>
      <c r="S460" s="229">
        <v>0</v>
      </c>
      <c r="T460" s="229">
        <v>0</v>
      </c>
      <c r="U460" s="229">
        <v>0</v>
      </c>
      <c r="V460" s="229">
        <v>0</v>
      </c>
      <c r="W460" s="229">
        <v>0</v>
      </c>
      <c r="X460" s="229">
        <v>0</v>
      </c>
      <c r="Y460" s="229">
        <v>0</v>
      </c>
      <c r="Z460" s="229">
        <v>0</v>
      </c>
      <c r="AA460" s="229">
        <v>0</v>
      </c>
      <c r="AC460" s="12">
        <v>1</v>
      </c>
      <c r="AD460" s="14">
        <v>1</v>
      </c>
      <c r="AE460" s="14">
        <v>0</v>
      </c>
      <c r="AF460" s="26">
        <v>0</v>
      </c>
      <c r="AG460" s="12">
        <v>118</v>
      </c>
      <c r="AH460" s="14">
        <v>0</v>
      </c>
      <c r="AI460" s="209"/>
      <c r="AJ460" s="3"/>
      <c r="AK460" s="3"/>
      <c r="AL460" s="3"/>
      <c r="AM460" s="3"/>
      <c r="AN460" s="3"/>
      <c r="AO460" s="40"/>
      <c r="AP460" s="209"/>
      <c r="AQ460" s="3"/>
      <c r="AR460" s="40"/>
      <c r="AS460" s="238"/>
    </row>
    <row r="461" spans="1:45" s="229" customFormat="1">
      <c r="A461" s="83" t="s">
        <v>323</v>
      </c>
      <c r="B461" s="386">
        <v>12.331666666666667</v>
      </c>
      <c r="C461" s="229" t="s">
        <v>217</v>
      </c>
      <c r="D461" s="229" t="s">
        <v>685</v>
      </c>
      <c r="E461" s="229" t="s">
        <v>0</v>
      </c>
      <c r="F461" s="229">
        <v>755</v>
      </c>
      <c r="G461" s="40">
        <f>F461/673</f>
        <v>1.1218424962852898</v>
      </c>
      <c r="H461" s="14">
        <v>1</v>
      </c>
      <c r="I461" s="229">
        <v>0</v>
      </c>
      <c r="J461" s="229">
        <v>1</v>
      </c>
      <c r="K461" s="26">
        <v>1</v>
      </c>
      <c r="L461" s="14">
        <v>0</v>
      </c>
      <c r="M461" s="229">
        <v>0</v>
      </c>
      <c r="N461" s="229">
        <v>1</v>
      </c>
      <c r="O461" s="229">
        <v>0</v>
      </c>
      <c r="P461" s="26">
        <v>1</v>
      </c>
      <c r="Q461" s="14">
        <v>15</v>
      </c>
      <c r="R461" s="229">
        <v>10</v>
      </c>
      <c r="S461" s="229">
        <v>17</v>
      </c>
      <c r="T461" s="229">
        <v>0</v>
      </c>
      <c r="U461" s="229">
        <v>0</v>
      </c>
      <c r="V461" s="229">
        <v>0</v>
      </c>
      <c r="W461" s="229">
        <v>33</v>
      </c>
      <c r="X461" s="229">
        <v>0</v>
      </c>
      <c r="Y461" s="229">
        <v>0</v>
      </c>
      <c r="Z461" s="229">
        <v>183</v>
      </c>
      <c r="AA461" s="229">
        <v>186</v>
      </c>
      <c r="AC461" s="12">
        <v>2</v>
      </c>
      <c r="AD461" s="14">
        <v>6</v>
      </c>
      <c r="AE461" s="14">
        <v>29</v>
      </c>
      <c r="AF461" s="26">
        <v>551</v>
      </c>
      <c r="AG461" s="12">
        <v>115</v>
      </c>
      <c r="AH461" s="14">
        <v>1</v>
      </c>
      <c r="AI461" s="209"/>
      <c r="AJ461" s="3"/>
      <c r="AK461" s="3"/>
      <c r="AL461" s="3"/>
      <c r="AM461" s="3"/>
      <c r="AN461" s="3"/>
      <c r="AO461" s="40"/>
      <c r="AP461" s="209"/>
      <c r="AQ461" s="3"/>
      <c r="AR461" s="40"/>
      <c r="AS461" s="238"/>
    </row>
    <row r="462" spans="1:45" s="229" customFormat="1">
      <c r="A462" s="83" t="s">
        <v>323</v>
      </c>
      <c r="B462" s="386">
        <v>12.331666666666667</v>
      </c>
      <c r="C462" s="229" t="s">
        <v>217</v>
      </c>
      <c r="D462" s="229" t="s">
        <v>685</v>
      </c>
      <c r="E462" s="229" t="s">
        <v>1</v>
      </c>
      <c r="F462" s="229">
        <v>180</v>
      </c>
      <c r="G462" s="40">
        <f>F462/129</f>
        <v>1.3953488372093024</v>
      </c>
      <c r="H462" s="14">
        <v>1</v>
      </c>
      <c r="I462" s="229">
        <v>0</v>
      </c>
      <c r="J462" s="229">
        <v>0</v>
      </c>
      <c r="K462" s="26">
        <v>0</v>
      </c>
      <c r="L462" s="14">
        <v>0</v>
      </c>
      <c r="M462" s="229">
        <v>0</v>
      </c>
      <c r="N462" s="229">
        <v>0</v>
      </c>
      <c r="O462" s="229">
        <v>0</v>
      </c>
      <c r="P462" s="26">
        <v>0</v>
      </c>
      <c r="Q462" s="14">
        <v>0</v>
      </c>
      <c r="R462" s="229">
        <v>0</v>
      </c>
      <c r="S462" s="229">
        <v>0</v>
      </c>
      <c r="T462" s="229">
        <v>0</v>
      </c>
      <c r="U462" s="229">
        <v>0</v>
      </c>
      <c r="V462" s="229">
        <v>0</v>
      </c>
      <c r="W462" s="229">
        <v>0</v>
      </c>
      <c r="X462" s="229">
        <v>0</v>
      </c>
      <c r="Y462" s="229">
        <v>0</v>
      </c>
      <c r="Z462" s="229">
        <v>0</v>
      </c>
      <c r="AA462" s="229">
        <v>0</v>
      </c>
      <c r="AC462" s="12">
        <v>2</v>
      </c>
      <c r="AD462" s="14">
        <v>2</v>
      </c>
      <c r="AE462" s="14">
        <v>90</v>
      </c>
      <c r="AF462" s="26">
        <v>180</v>
      </c>
      <c r="AG462" s="12">
        <v>115</v>
      </c>
      <c r="AH462" s="14">
        <v>0</v>
      </c>
      <c r="AI462" s="209"/>
      <c r="AJ462" s="3"/>
      <c r="AK462" s="3"/>
      <c r="AL462" s="3"/>
      <c r="AM462" s="3"/>
      <c r="AN462" s="3"/>
      <c r="AO462" s="40"/>
      <c r="AP462" s="209"/>
      <c r="AQ462" s="3"/>
      <c r="AR462" s="40"/>
      <c r="AS462" s="238"/>
    </row>
    <row r="463" spans="1:45" s="229" customFormat="1">
      <c r="A463" s="83" t="s">
        <v>323</v>
      </c>
      <c r="B463" s="386">
        <v>12.331666666666667</v>
      </c>
      <c r="C463" s="229" t="s">
        <v>217</v>
      </c>
      <c r="D463" s="229" t="s">
        <v>685</v>
      </c>
      <c r="E463" s="229" t="s">
        <v>2</v>
      </c>
      <c r="F463" s="229">
        <v>264</v>
      </c>
      <c r="G463" s="40">
        <f>F463/209</f>
        <v>1.263157894736842</v>
      </c>
      <c r="H463" s="14">
        <v>0</v>
      </c>
      <c r="I463" s="229">
        <v>0</v>
      </c>
      <c r="J463" s="229">
        <v>0</v>
      </c>
      <c r="K463" s="26">
        <v>1</v>
      </c>
      <c r="L463" s="14">
        <v>0</v>
      </c>
      <c r="M463" s="229">
        <v>0</v>
      </c>
      <c r="N463" s="229">
        <v>0</v>
      </c>
      <c r="O463" s="229">
        <v>0</v>
      </c>
      <c r="P463" s="26">
        <v>0</v>
      </c>
      <c r="Q463" s="14">
        <v>1</v>
      </c>
      <c r="R463" s="229">
        <v>0</v>
      </c>
      <c r="S463" s="229">
        <v>0</v>
      </c>
      <c r="T463" s="229">
        <v>0</v>
      </c>
      <c r="U463" s="229">
        <v>0</v>
      </c>
      <c r="V463" s="229">
        <v>0</v>
      </c>
      <c r="W463" s="229">
        <v>7</v>
      </c>
      <c r="X463" s="229">
        <v>0</v>
      </c>
      <c r="Y463" s="229">
        <v>0</v>
      </c>
      <c r="Z463" s="229">
        <v>0</v>
      </c>
      <c r="AA463" s="229">
        <v>0</v>
      </c>
      <c r="AC463" s="12">
        <v>2</v>
      </c>
      <c r="AD463" s="14">
        <v>2</v>
      </c>
      <c r="AE463" s="14">
        <v>91</v>
      </c>
      <c r="AF463" s="26">
        <v>264</v>
      </c>
      <c r="AG463" s="12">
        <v>115</v>
      </c>
      <c r="AH463" s="14">
        <v>1</v>
      </c>
      <c r="AI463" s="209"/>
      <c r="AJ463" s="3"/>
      <c r="AK463" s="3"/>
      <c r="AL463" s="3"/>
      <c r="AM463" s="3"/>
      <c r="AN463" s="3"/>
      <c r="AO463" s="40"/>
      <c r="AP463" s="209"/>
      <c r="AQ463" s="3"/>
      <c r="AR463" s="40"/>
      <c r="AS463" s="238"/>
    </row>
    <row r="464" spans="1:45" s="229" customFormat="1">
      <c r="A464" s="83" t="s">
        <v>323</v>
      </c>
      <c r="B464" s="386">
        <v>12.331666666666667</v>
      </c>
      <c r="C464" s="229" t="s">
        <v>217</v>
      </c>
      <c r="D464" s="229" t="s">
        <v>686</v>
      </c>
      <c r="E464" s="229" t="s">
        <v>0</v>
      </c>
      <c r="F464" s="229">
        <v>129</v>
      </c>
      <c r="G464" s="40">
        <f>F464/88</f>
        <v>1.4659090909090908</v>
      </c>
      <c r="H464" s="14">
        <v>1</v>
      </c>
      <c r="I464" s="229">
        <v>0</v>
      </c>
      <c r="J464" s="229">
        <v>0</v>
      </c>
      <c r="K464" s="26">
        <v>0</v>
      </c>
      <c r="L464" s="14">
        <v>0</v>
      </c>
      <c r="M464" s="229">
        <v>0</v>
      </c>
      <c r="N464" s="229">
        <v>0</v>
      </c>
      <c r="O464" s="229">
        <v>0</v>
      </c>
      <c r="P464" s="26">
        <v>0</v>
      </c>
      <c r="Q464" s="14">
        <v>0</v>
      </c>
      <c r="R464" s="229">
        <v>0</v>
      </c>
      <c r="S464" s="229">
        <v>0</v>
      </c>
      <c r="T464" s="229">
        <v>0</v>
      </c>
      <c r="U464" s="229">
        <v>0</v>
      </c>
      <c r="V464" s="229">
        <v>0</v>
      </c>
      <c r="W464" s="229">
        <v>0</v>
      </c>
      <c r="X464" s="229">
        <v>0</v>
      </c>
      <c r="Y464" s="229">
        <v>0</v>
      </c>
      <c r="Z464" s="229">
        <v>0</v>
      </c>
      <c r="AA464" s="229">
        <v>0</v>
      </c>
      <c r="AC464" s="12">
        <v>1</v>
      </c>
      <c r="AD464" s="14">
        <v>1</v>
      </c>
      <c r="AE464" s="14">
        <v>0</v>
      </c>
      <c r="AF464" s="26">
        <v>0</v>
      </c>
      <c r="AG464" s="12">
        <v>120</v>
      </c>
      <c r="AH464" s="14">
        <v>0</v>
      </c>
      <c r="AI464" s="209"/>
      <c r="AJ464" s="3"/>
      <c r="AK464" s="3"/>
      <c r="AL464" s="3"/>
      <c r="AM464" s="3"/>
      <c r="AN464" s="3"/>
      <c r="AO464" s="40"/>
      <c r="AP464" s="209"/>
      <c r="AQ464" s="3"/>
      <c r="AR464" s="40"/>
      <c r="AS464" s="238"/>
    </row>
    <row r="465" spans="1:45" s="229" customFormat="1">
      <c r="A465" s="83" t="s">
        <v>323</v>
      </c>
      <c r="B465" s="386">
        <v>12.331666666666667</v>
      </c>
      <c r="C465" s="24" t="s">
        <v>217</v>
      </c>
      <c r="D465" s="24" t="s">
        <v>686</v>
      </c>
      <c r="E465" s="229" t="s">
        <v>1</v>
      </c>
      <c r="F465" s="229">
        <v>601</v>
      </c>
      <c r="G465" s="40">
        <f>F465/379</f>
        <v>1.5857519788918206</v>
      </c>
      <c r="H465" s="14">
        <v>0</v>
      </c>
      <c r="I465" s="229">
        <v>0</v>
      </c>
      <c r="J465" s="229">
        <v>1</v>
      </c>
      <c r="K465" s="26">
        <v>0</v>
      </c>
      <c r="L465" s="14">
        <v>0</v>
      </c>
      <c r="M465" s="229">
        <v>0</v>
      </c>
      <c r="N465" s="229">
        <v>1</v>
      </c>
      <c r="O465" s="229">
        <v>0</v>
      </c>
      <c r="P465" s="26">
        <v>1</v>
      </c>
      <c r="Q465" s="14">
        <v>2</v>
      </c>
      <c r="R465" s="229">
        <v>0</v>
      </c>
      <c r="S465" s="229">
        <v>0</v>
      </c>
      <c r="T465" s="229">
        <v>0</v>
      </c>
      <c r="U465" s="229">
        <v>0</v>
      </c>
      <c r="V465" s="229">
        <v>20</v>
      </c>
      <c r="W465" s="229">
        <v>31</v>
      </c>
      <c r="X465" s="229">
        <v>0</v>
      </c>
      <c r="Y465" s="229">
        <v>0</v>
      </c>
      <c r="Z465" s="229">
        <v>0</v>
      </c>
      <c r="AA465" s="229">
        <v>0</v>
      </c>
      <c r="AC465" s="12">
        <v>2</v>
      </c>
      <c r="AD465" s="14">
        <v>2</v>
      </c>
      <c r="AE465" s="14">
        <v>497</v>
      </c>
      <c r="AF465" s="26">
        <v>601</v>
      </c>
      <c r="AG465" s="12">
        <v>120</v>
      </c>
      <c r="AH465" s="14">
        <v>0</v>
      </c>
      <c r="AI465" s="209"/>
      <c r="AJ465" s="3"/>
      <c r="AK465" s="3"/>
      <c r="AL465" s="3"/>
      <c r="AM465" s="3"/>
      <c r="AN465" s="3"/>
      <c r="AO465" s="40"/>
      <c r="AP465" s="209"/>
      <c r="AQ465" s="3"/>
      <c r="AR465" s="40"/>
      <c r="AS465" s="238"/>
    </row>
    <row r="466" spans="1:45" s="229" customFormat="1" ht="17" thickBot="1">
      <c r="A466" s="83" t="s">
        <v>323</v>
      </c>
      <c r="B466" s="385">
        <v>12.331666666666667</v>
      </c>
      <c r="C466" s="36" t="s">
        <v>217</v>
      </c>
      <c r="D466" s="36" t="s">
        <v>686</v>
      </c>
      <c r="E466" s="36" t="s">
        <v>2</v>
      </c>
      <c r="F466" s="36">
        <v>503</v>
      </c>
      <c r="G466" s="48">
        <f>F466/281</f>
        <v>1.790035587188612</v>
      </c>
      <c r="H466" s="34">
        <v>0</v>
      </c>
      <c r="I466" s="36">
        <v>0</v>
      </c>
      <c r="J466" s="36">
        <v>1</v>
      </c>
      <c r="K466" s="35">
        <v>0</v>
      </c>
      <c r="L466" s="34">
        <v>1</v>
      </c>
      <c r="M466" s="36">
        <v>0</v>
      </c>
      <c r="N466" s="36">
        <v>0</v>
      </c>
      <c r="O466" s="36">
        <v>0</v>
      </c>
      <c r="P466" s="35">
        <v>1</v>
      </c>
      <c r="Q466" s="34">
        <v>0</v>
      </c>
      <c r="R466" s="36">
        <v>0</v>
      </c>
      <c r="S466" s="36">
        <v>0</v>
      </c>
      <c r="T466" s="36">
        <v>0</v>
      </c>
      <c r="U466" s="36">
        <v>0</v>
      </c>
      <c r="V466" s="36">
        <v>0</v>
      </c>
      <c r="W466" s="36">
        <v>0</v>
      </c>
      <c r="X466" s="36">
        <v>0</v>
      </c>
      <c r="Y466" s="36">
        <v>0</v>
      </c>
      <c r="Z466" s="36">
        <v>0</v>
      </c>
      <c r="AA466" s="36">
        <v>0</v>
      </c>
      <c r="AB466" s="36"/>
      <c r="AC466" s="33">
        <v>1</v>
      </c>
      <c r="AD466" s="34">
        <v>1</v>
      </c>
      <c r="AE466" s="34">
        <v>0</v>
      </c>
      <c r="AF466" s="35">
        <v>0</v>
      </c>
      <c r="AG466" s="33">
        <v>120</v>
      </c>
      <c r="AH466" s="34">
        <v>1</v>
      </c>
      <c r="AI466" s="210"/>
      <c r="AJ466" s="51"/>
      <c r="AK466" s="51"/>
      <c r="AL466" s="51"/>
      <c r="AM466" s="51"/>
      <c r="AN466" s="51"/>
      <c r="AO466" s="48"/>
      <c r="AP466" s="210"/>
      <c r="AQ466" s="51"/>
      <c r="AR466" s="48"/>
      <c r="AS466" s="239"/>
    </row>
    <row r="467" spans="1:45" s="229" customFormat="1">
      <c r="A467" s="147" t="s">
        <v>323</v>
      </c>
      <c r="B467" s="384">
        <v>12.331666666666667</v>
      </c>
      <c r="C467" s="229" t="s">
        <v>218</v>
      </c>
      <c r="D467" s="229" t="s">
        <v>423</v>
      </c>
      <c r="E467" s="229" t="s">
        <v>0</v>
      </c>
      <c r="F467" s="229">
        <v>904</v>
      </c>
      <c r="G467" s="40">
        <f>F467/576</f>
        <v>1.5694444444444444</v>
      </c>
      <c r="H467" s="14">
        <v>1</v>
      </c>
      <c r="I467" s="229">
        <v>0</v>
      </c>
      <c r="J467" s="229">
        <v>0</v>
      </c>
      <c r="K467" s="26">
        <v>0</v>
      </c>
      <c r="L467" s="14">
        <v>0</v>
      </c>
      <c r="M467" s="229">
        <v>0</v>
      </c>
      <c r="N467" s="229">
        <v>1</v>
      </c>
      <c r="O467" s="229">
        <v>0</v>
      </c>
      <c r="P467" s="26">
        <v>1</v>
      </c>
      <c r="Q467" s="14">
        <v>5</v>
      </c>
      <c r="R467" s="229">
        <v>0</v>
      </c>
      <c r="S467" s="229">
        <v>0</v>
      </c>
      <c r="T467" s="229">
        <v>0</v>
      </c>
      <c r="U467" s="229">
        <v>0</v>
      </c>
      <c r="V467" s="229">
        <v>0</v>
      </c>
      <c r="W467" s="229">
        <v>0</v>
      </c>
      <c r="X467" s="229">
        <v>100</v>
      </c>
      <c r="Y467" s="229">
        <v>156</v>
      </c>
      <c r="Z467" s="229">
        <v>0</v>
      </c>
      <c r="AA467" s="229">
        <v>0</v>
      </c>
      <c r="AC467" s="12">
        <v>1</v>
      </c>
      <c r="AD467" s="14">
        <v>1</v>
      </c>
      <c r="AE467" s="14">
        <v>0</v>
      </c>
      <c r="AF467" s="26">
        <v>0</v>
      </c>
      <c r="AG467" s="12">
        <v>77</v>
      </c>
      <c r="AH467" s="14">
        <v>0</v>
      </c>
      <c r="AI467" s="209">
        <v>87</v>
      </c>
      <c r="AJ467" s="3"/>
      <c r="AK467" s="3"/>
      <c r="AL467" s="3"/>
      <c r="AM467" s="3"/>
      <c r="AN467" s="3"/>
      <c r="AO467" s="40"/>
      <c r="AP467" s="209">
        <v>86.3</v>
      </c>
      <c r="AQ467" s="3"/>
      <c r="AR467" s="40"/>
      <c r="AS467" s="238"/>
    </row>
    <row r="468" spans="1:45" s="229" customFormat="1">
      <c r="A468" s="83" t="s">
        <v>323</v>
      </c>
      <c r="B468" s="386">
        <v>12.331666666666667</v>
      </c>
      <c r="C468" s="229" t="s">
        <v>218</v>
      </c>
      <c r="D468" s="229" t="s">
        <v>423</v>
      </c>
      <c r="E468" s="229" t="s">
        <v>1</v>
      </c>
      <c r="F468" s="229">
        <v>315</v>
      </c>
      <c r="G468" s="40">
        <f>F468/290</f>
        <v>1.0862068965517242</v>
      </c>
      <c r="H468" s="14">
        <v>1</v>
      </c>
      <c r="I468" s="229">
        <v>0</v>
      </c>
      <c r="J468" s="229">
        <v>0</v>
      </c>
      <c r="K468" s="26">
        <v>0</v>
      </c>
      <c r="L468" s="14">
        <v>0</v>
      </c>
      <c r="M468" s="229">
        <v>0</v>
      </c>
      <c r="N468" s="229">
        <v>1</v>
      </c>
      <c r="O468" s="229">
        <v>0</v>
      </c>
      <c r="P468" s="26">
        <v>1</v>
      </c>
      <c r="Q468" s="14">
        <v>0</v>
      </c>
      <c r="R468" s="229">
        <v>0</v>
      </c>
      <c r="S468" s="229">
        <v>0</v>
      </c>
      <c r="T468" s="229">
        <v>0</v>
      </c>
      <c r="U468" s="229">
        <v>0</v>
      </c>
      <c r="V468" s="229">
        <v>0</v>
      </c>
      <c r="W468" s="229">
        <v>0</v>
      </c>
      <c r="X468" s="229">
        <v>0</v>
      </c>
      <c r="Y468" s="229">
        <v>0</v>
      </c>
      <c r="Z468" s="229">
        <v>0</v>
      </c>
      <c r="AA468" s="229">
        <v>0</v>
      </c>
      <c r="AC468" s="12">
        <v>1</v>
      </c>
      <c r="AD468" s="14">
        <v>1</v>
      </c>
      <c r="AE468" s="14">
        <v>0</v>
      </c>
      <c r="AF468" s="26">
        <v>0</v>
      </c>
      <c r="AG468" s="12">
        <v>77</v>
      </c>
      <c r="AH468" s="14">
        <v>0</v>
      </c>
      <c r="AI468" s="209"/>
      <c r="AJ468" s="3"/>
      <c r="AK468" s="3"/>
      <c r="AL468" s="3"/>
      <c r="AM468" s="3"/>
      <c r="AN468" s="3"/>
      <c r="AO468" s="40"/>
      <c r="AP468" s="209"/>
      <c r="AQ468" s="3"/>
      <c r="AR468" s="40"/>
      <c r="AS468" s="238"/>
    </row>
    <row r="469" spans="1:45" s="229" customFormat="1">
      <c r="A469" s="83" t="s">
        <v>323</v>
      </c>
      <c r="B469" s="386">
        <v>12.331666666666667</v>
      </c>
      <c r="C469" s="229" t="s">
        <v>218</v>
      </c>
      <c r="D469" s="229" t="s">
        <v>423</v>
      </c>
      <c r="E469" s="229" t="s">
        <v>2</v>
      </c>
      <c r="F469" s="229">
        <v>124</v>
      </c>
      <c r="G469" s="40">
        <f>F469/83</f>
        <v>1.4939759036144578</v>
      </c>
      <c r="H469" s="14">
        <v>1</v>
      </c>
      <c r="I469" s="229">
        <v>0</v>
      </c>
      <c r="J469" s="229">
        <v>0</v>
      </c>
      <c r="K469" s="26">
        <v>0</v>
      </c>
      <c r="L469" s="14">
        <v>0</v>
      </c>
      <c r="M469" s="229">
        <v>0</v>
      </c>
      <c r="N469" s="229">
        <v>0</v>
      </c>
      <c r="O469" s="229">
        <v>0</v>
      </c>
      <c r="P469" s="26">
        <v>0</v>
      </c>
      <c r="Q469" s="14">
        <v>5</v>
      </c>
      <c r="R469" s="229">
        <v>0</v>
      </c>
      <c r="S469" s="229">
        <v>0</v>
      </c>
      <c r="T469" s="229">
        <v>0</v>
      </c>
      <c r="U469" s="229">
        <v>0</v>
      </c>
      <c r="V469" s="229">
        <v>0</v>
      </c>
      <c r="W469" s="229">
        <v>0</v>
      </c>
      <c r="X469" s="229">
        <v>0</v>
      </c>
      <c r="Y469" s="229">
        <v>14</v>
      </c>
      <c r="Z469" s="229">
        <v>0</v>
      </c>
      <c r="AA469" s="229">
        <v>0</v>
      </c>
      <c r="AC469" s="12">
        <v>1</v>
      </c>
      <c r="AD469" s="14">
        <v>1</v>
      </c>
      <c r="AE469" s="14">
        <v>0</v>
      </c>
      <c r="AF469" s="26">
        <v>0</v>
      </c>
      <c r="AG469" s="12">
        <v>77</v>
      </c>
      <c r="AH469" s="14">
        <v>0</v>
      </c>
      <c r="AI469" s="209"/>
      <c r="AJ469" s="3"/>
      <c r="AK469" s="3"/>
      <c r="AL469" s="3"/>
      <c r="AM469" s="3"/>
      <c r="AN469" s="3"/>
      <c r="AO469" s="40"/>
      <c r="AP469" s="209"/>
      <c r="AQ469" s="3"/>
      <c r="AR469" s="40"/>
      <c r="AS469" s="238"/>
    </row>
    <row r="470" spans="1:45" s="229" customFormat="1">
      <c r="A470" s="83" t="s">
        <v>323</v>
      </c>
      <c r="B470" s="386">
        <v>12.331666666666667</v>
      </c>
      <c r="C470" s="229" t="s">
        <v>218</v>
      </c>
      <c r="D470" s="229" t="s">
        <v>622</v>
      </c>
      <c r="E470" s="229" t="s">
        <v>0</v>
      </c>
      <c r="F470" s="229">
        <v>169</v>
      </c>
      <c r="G470" s="40">
        <f>F470/146</f>
        <v>1.1575342465753424</v>
      </c>
      <c r="H470" s="14">
        <v>0</v>
      </c>
      <c r="I470" s="229">
        <v>0</v>
      </c>
      <c r="J470" s="229">
        <v>0</v>
      </c>
      <c r="K470" s="26">
        <v>1</v>
      </c>
      <c r="L470" s="14">
        <v>0</v>
      </c>
      <c r="M470" s="229">
        <v>0</v>
      </c>
      <c r="N470" s="229">
        <v>0</v>
      </c>
      <c r="O470" s="229">
        <v>1</v>
      </c>
      <c r="P470" s="26">
        <v>1</v>
      </c>
      <c r="Q470" s="14">
        <v>5</v>
      </c>
      <c r="R470" s="229">
        <v>0</v>
      </c>
      <c r="S470" s="229">
        <v>0</v>
      </c>
      <c r="T470" s="229">
        <v>0</v>
      </c>
      <c r="U470" s="229">
        <v>0</v>
      </c>
      <c r="V470" s="229">
        <v>0</v>
      </c>
      <c r="W470" s="229">
        <v>0</v>
      </c>
      <c r="X470" s="229">
        <v>0</v>
      </c>
      <c r="Y470" s="229">
        <v>0</v>
      </c>
      <c r="Z470" s="229">
        <v>0</v>
      </c>
      <c r="AA470" s="229">
        <v>43</v>
      </c>
      <c r="AC470" s="12">
        <v>2</v>
      </c>
      <c r="AD470" s="14">
        <v>2</v>
      </c>
      <c r="AE470" s="14">
        <v>57</v>
      </c>
      <c r="AF470" s="26">
        <v>209</v>
      </c>
      <c r="AG470" s="12">
        <v>61</v>
      </c>
      <c r="AH470" s="14">
        <v>1</v>
      </c>
      <c r="AI470" s="209"/>
      <c r="AJ470" s="3"/>
      <c r="AK470" s="3"/>
      <c r="AL470" s="3"/>
      <c r="AM470" s="3"/>
      <c r="AN470" s="3"/>
      <c r="AO470" s="40"/>
      <c r="AP470" s="209">
        <v>85.4</v>
      </c>
      <c r="AQ470" s="3"/>
      <c r="AR470" s="40"/>
      <c r="AS470" s="238"/>
    </row>
    <row r="471" spans="1:45" s="229" customFormat="1">
      <c r="A471" s="83" t="s">
        <v>323</v>
      </c>
      <c r="B471" s="386">
        <v>12.331666666666667</v>
      </c>
      <c r="C471" s="229" t="s">
        <v>218</v>
      </c>
      <c r="D471" s="229" t="s">
        <v>622</v>
      </c>
      <c r="E471" s="229" t="s">
        <v>1</v>
      </c>
      <c r="F471" s="229">
        <v>209</v>
      </c>
      <c r="G471" s="40">
        <f>F471/168</f>
        <v>1.2440476190476191</v>
      </c>
      <c r="H471" s="14">
        <v>0</v>
      </c>
      <c r="I471" s="229">
        <v>0</v>
      </c>
      <c r="J471" s="229">
        <v>0</v>
      </c>
      <c r="K471" s="26">
        <v>1</v>
      </c>
      <c r="L471" s="14">
        <v>0</v>
      </c>
      <c r="M471" s="229">
        <v>0</v>
      </c>
      <c r="N471" s="229">
        <v>0</v>
      </c>
      <c r="O471" s="229">
        <v>1</v>
      </c>
      <c r="P471" s="26">
        <v>1</v>
      </c>
      <c r="Q471" s="14">
        <v>10</v>
      </c>
      <c r="R471" s="229">
        <v>0</v>
      </c>
      <c r="S471" s="229">
        <v>0</v>
      </c>
      <c r="T471" s="229">
        <v>0</v>
      </c>
      <c r="U471" s="229">
        <v>0</v>
      </c>
      <c r="V471" s="229">
        <v>0</v>
      </c>
      <c r="W471" s="229">
        <v>0</v>
      </c>
      <c r="X471" s="229">
        <v>0</v>
      </c>
      <c r="Y471" s="229">
        <v>0</v>
      </c>
      <c r="Z471" s="229">
        <v>0</v>
      </c>
      <c r="AA471" s="229">
        <v>75</v>
      </c>
      <c r="AC471" s="12">
        <v>1</v>
      </c>
      <c r="AD471" s="14">
        <v>1</v>
      </c>
      <c r="AE471" s="14">
        <v>0</v>
      </c>
      <c r="AF471" s="26">
        <v>0</v>
      </c>
      <c r="AG471" s="12">
        <v>61</v>
      </c>
      <c r="AH471" s="14">
        <v>1</v>
      </c>
      <c r="AI471" s="209">
        <v>82.6</v>
      </c>
      <c r="AJ471" s="3"/>
      <c r="AK471" s="3"/>
      <c r="AL471" s="3"/>
      <c r="AM471" s="3"/>
      <c r="AN471" s="3"/>
      <c r="AO471" s="40"/>
      <c r="AP471" s="209">
        <v>85.8</v>
      </c>
      <c r="AQ471" s="3"/>
      <c r="AR471" s="40"/>
      <c r="AS471" s="238"/>
    </row>
    <row r="472" spans="1:45" s="229" customFormat="1">
      <c r="A472" s="83" t="s">
        <v>323</v>
      </c>
      <c r="B472" s="386">
        <v>12.331666666666667</v>
      </c>
      <c r="C472" s="229" t="s">
        <v>218</v>
      </c>
      <c r="D472" s="229" t="s">
        <v>620</v>
      </c>
      <c r="E472" s="229" t="s">
        <v>0</v>
      </c>
      <c r="F472" s="229">
        <v>182</v>
      </c>
      <c r="G472" s="40">
        <f>F472/155</f>
        <v>1.1741935483870967</v>
      </c>
      <c r="H472" s="14">
        <v>0</v>
      </c>
      <c r="I472" s="229">
        <v>0</v>
      </c>
      <c r="J472" s="229">
        <v>1</v>
      </c>
      <c r="K472" s="26">
        <v>0</v>
      </c>
      <c r="L472" s="14">
        <v>0</v>
      </c>
      <c r="M472" s="229">
        <v>0</v>
      </c>
      <c r="N472" s="229">
        <v>1</v>
      </c>
      <c r="O472" s="229">
        <v>0</v>
      </c>
      <c r="P472" s="26">
        <v>1</v>
      </c>
      <c r="Q472" s="14">
        <v>5</v>
      </c>
      <c r="R472" s="229">
        <v>0</v>
      </c>
      <c r="S472" s="229">
        <v>0</v>
      </c>
      <c r="T472" s="229">
        <v>0</v>
      </c>
      <c r="U472" s="229">
        <v>0</v>
      </c>
      <c r="V472" s="229">
        <v>0</v>
      </c>
      <c r="W472" s="229">
        <v>28</v>
      </c>
      <c r="X472" s="229">
        <v>0</v>
      </c>
      <c r="Y472" s="229">
        <v>0</v>
      </c>
      <c r="Z472" s="229">
        <v>0</v>
      </c>
      <c r="AA472" s="229">
        <v>0</v>
      </c>
      <c r="AC472" s="12">
        <v>1</v>
      </c>
      <c r="AD472" s="14">
        <v>1</v>
      </c>
      <c r="AE472" s="14">
        <v>0</v>
      </c>
      <c r="AF472" s="26">
        <v>0</v>
      </c>
      <c r="AG472" s="12">
        <v>87</v>
      </c>
      <c r="AH472" s="14">
        <v>0</v>
      </c>
      <c r="AI472" s="209"/>
      <c r="AJ472" s="3"/>
      <c r="AK472" s="3"/>
      <c r="AL472" s="3"/>
      <c r="AM472" s="3"/>
      <c r="AN472" s="3"/>
      <c r="AO472" s="40"/>
      <c r="AP472" s="209"/>
      <c r="AQ472" s="3"/>
      <c r="AR472" s="40"/>
      <c r="AS472" s="238"/>
    </row>
    <row r="473" spans="1:45" s="229" customFormat="1">
      <c r="A473" s="83" t="s">
        <v>323</v>
      </c>
      <c r="B473" s="386">
        <v>12.331666666666667</v>
      </c>
      <c r="C473" s="229" t="s">
        <v>218</v>
      </c>
      <c r="D473" s="229" t="s">
        <v>620</v>
      </c>
      <c r="E473" s="229" t="s">
        <v>1</v>
      </c>
      <c r="F473" s="229">
        <v>536</v>
      </c>
      <c r="G473" s="40">
        <f>F473/237</f>
        <v>2.2616033755274261</v>
      </c>
      <c r="H473" s="14">
        <v>0</v>
      </c>
      <c r="I473" s="229">
        <v>0</v>
      </c>
      <c r="J473" s="229">
        <v>1</v>
      </c>
      <c r="K473" s="26">
        <v>0</v>
      </c>
      <c r="L473" s="14">
        <v>0</v>
      </c>
      <c r="M473" s="229">
        <v>0</v>
      </c>
      <c r="N473" s="229">
        <v>1</v>
      </c>
      <c r="O473" s="229">
        <v>0</v>
      </c>
      <c r="P473" s="26">
        <v>1</v>
      </c>
      <c r="Q473" s="14">
        <v>2</v>
      </c>
      <c r="R473" s="229">
        <v>0</v>
      </c>
      <c r="S473" s="229">
        <v>0</v>
      </c>
      <c r="T473" s="229">
        <v>0</v>
      </c>
      <c r="U473" s="229">
        <v>0</v>
      </c>
      <c r="V473" s="229">
        <v>10</v>
      </c>
      <c r="W473" s="229">
        <v>24</v>
      </c>
      <c r="X473" s="229">
        <v>0</v>
      </c>
      <c r="Y473" s="229">
        <v>0</v>
      </c>
      <c r="Z473" s="229">
        <v>0</v>
      </c>
      <c r="AA473" s="229">
        <v>0</v>
      </c>
      <c r="AC473" s="12">
        <v>1</v>
      </c>
      <c r="AD473" s="14">
        <v>1</v>
      </c>
      <c r="AE473" s="14">
        <v>0</v>
      </c>
      <c r="AF473" s="26">
        <v>0</v>
      </c>
      <c r="AG473" s="12">
        <v>87</v>
      </c>
      <c r="AH473" s="14">
        <v>1</v>
      </c>
      <c r="AI473" s="209"/>
      <c r="AJ473" s="3"/>
      <c r="AK473" s="3"/>
      <c r="AL473" s="3"/>
      <c r="AM473" s="3"/>
      <c r="AN473" s="3"/>
      <c r="AO473" s="40"/>
      <c r="AP473" s="209"/>
      <c r="AQ473" s="3"/>
      <c r="AR473" s="40"/>
      <c r="AS473" s="238"/>
    </row>
    <row r="474" spans="1:45" s="229" customFormat="1">
      <c r="A474" s="83" t="s">
        <v>323</v>
      </c>
      <c r="B474" s="386">
        <v>12.331666666666667</v>
      </c>
      <c r="C474" s="229" t="s">
        <v>218</v>
      </c>
      <c r="D474" s="229" t="s">
        <v>629</v>
      </c>
      <c r="E474" s="229" t="s">
        <v>0</v>
      </c>
      <c r="F474" s="229">
        <v>586</v>
      </c>
      <c r="G474" s="40">
        <f>F474/332</f>
        <v>1.7650602409638554</v>
      </c>
      <c r="H474" s="14">
        <v>0</v>
      </c>
      <c r="I474" s="229">
        <v>0</v>
      </c>
      <c r="J474" s="229">
        <v>1</v>
      </c>
      <c r="K474" s="26">
        <v>0</v>
      </c>
      <c r="L474" s="14">
        <v>1</v>
      </c>
      <c r="M474" s="229">
        <v>0</v>
      </c>
      <c r="N474" s="229">
        <v>0</v>
      </c>
      <c r="O474" s="229">
        <v>0</v>
      </c>
      <c r="P474" s="26">
        <v>1</v>
      </c>
      <c r="Q474" s="14">
        <v>20</v>
      </c>
      <c r="R474" s="229">
        <v>0</v>
      </c>
      <c r="S474" s="229">
        <v>0</v>
      </c>
      <c r="T474" s="229">
        <v>0</v>
      </c>
      <c r="U474" s="229">
        <v>0</v>
      </c>
      <c r="V474" s="229">
        <v>0</v>
      </c>
      <c r="W474" s="229">
        <v>47</v>
      </c>
      <c r="X474" s="229">
        <v>0</v>
      </c>
      <c r="Y474" s="229">
        <v>0</v>
      </c>
      <c r="Z474" s="229">
        <v>0</v>
      </c>
      <c r="AA474" s="229">
        <v>143</v>
      </c>
      <c r="AC474" s="12">
        <v>1</v>
      </c>
      <c r="AD474" s="14">
        <v>1</v>
      </c>
      <c r="AE474" s="14">
        <v>0</v>
      </c>
      <c r="AF474" s="26">
        <v>0</v>
      </c>
      <c r="AG474" s="12">
        <v>90</v>
      </c>
      <c r="AH474" s="14">
        <v>0</v>
      </c>
      <c r="AI474" s="209">
        <v>86</v>
      </c>
      <c r="AJ474" s="3"/>
      <c r="AK474" s="3"/>
      <c r="AL474" s="3"/>
      <c r="AM474" s="3"/>
      <c r="AN474" s="3"/>
      <c r="AO474" s="40"/>
      <c r="AP474" s="209">
        <v>84</v>
      </c>
      <c r="AQ474" s="3"/>
      <c r="AR474" s="40"/>
      <c r="AS474" s="238"/>
    </row>
    <row r="475" spans="1:45" s="229" customFormat="1">
      <c r="A475" s="83" t="s">
        <v>323</v>
      </c>
      <c r="B475" s="386">
        <v>12.331666666666667</v>
      </c>
      <c r="C475" s="229" t="s">
        <v>218</v>
      </c>
      <c r="D475" s="229" t="s">
        <v>629</v>
      </c>
      <c r="E475" s="229" t="s">
        <v>1</v>
      </c>
      <c r="F475" s="229">
        <v>285</v>
      </c>
      <c r="G475" s="40">
        <f>F475/117</f>
        <v>2.4358974358974357</v>
      </c>
      <c r="H475" s="14">
        <v>0</v>
      </c>
      <c r="I475" s="229">
        <v>0</v>
      </c>
      <c r="J475" s="229">
        <v>1</v>
      </c>
      <c r="K475" s="26">
        <v>0</v>
      </c>
      <c r="L475" s="14">
        <v>1</v>
      </c>
      <c r="M475" s="229">
        <v>0</v>
      </c>
      <c r="N475" s="229">
        <v>0</v>
      </c>
      <c r="O475" s="229">
        <v>0</v>
      </c>
      <c r="P475" s="26">
        <v>1</v>
      </c>
      <c r="Q475" s="14">
        <v>5</v>
      </c>
      <c r="R475" s="229">
        <v>0</v>
      </c>
      <c r="S475" s="229">
        <v>0</v>
      </c>
      <c r="T475" s="229">
        <v>0</v>
      </c>
      <c r="U475" s="229">
        <v>0</v>
      </c>
      <c r="V475" s="229">
        <v>7</v>
      </c>
      <c r="W475" s="229">
        <v>39</v>
      </c>
      <c r="X475" s="229">
        <v>0</v>
      </c>
      <c r="Y475" s="229">
        <v>0</v>
      </c>
      <c r="Z475" s="229">
        <v>0</v>
      </c>
      <c r="AA475" s="229">
        <v>18</v>
      </c>
      <c r="AC475" s="12">
        <v>1</v>
      </c>
      <c r="AD475" s="14">
        <v>1</v>
      </c>
      <c r="AE475" s="14">
        <v>0</v>
      </c>
      <c r="AF475" s="26">
        <v>0</v>
      </c>
      <c r="AG475" s="12">
        <v>90</v>
      </c>
      <c r="AH475" s="14">
        <v>0</v>
      </c>
      <c r="AI475" s="209"/>
      <c r="AJ475" s="3"/>
      <c r="AK475" s="3"/>
      <c r="AL475" s="3"/>
      <c r="AM475" s="3"/>
      <c r="AN475" s="3"/>
      <c r="AO475" s="40"/>
      <c r="AP475" s="209"/>
      <c r="AQ475" s="3"/>
      <c r="AR475" s="40"/>
      <c r="AS475" s="238"/>
    </row>
    <row r="476" spans="1:45" s="229" customFormat="1">
      <c r="A476" s="83" t="s">
        <v>323</v>
      </c>
      <c r="B476" s="386">
        <v>12.331666666666667</v>
      </c>
      <c r="C476" s="229" t="s">
        <v>218</v>
      </c>
      <c r="D476" s="229" t="s">
        <v>629</v>
      </c>
      <c r="E476" s="229" t="s">
        <v>2</v>
      </c>
      <c r="F476" s="229">
        <v>108</v>
      </c>
      <c r="G476" s="40">
        <f>F476/63</f>
        <v>1.7142857142857142</v>
      </c>
      <c r="H476" s="14">
        <v>0</v>
      </c>
      <c r="I476" s="229">
        <v>0</v>
      </c>
      <c r="J476" s="229">
        <v>1</v>
      </c>
      <c r="K476" s="26">
        <v>0</v>
      </c>
      <c r="L476" s="14">
        <v>0</v>
      </c>
      <c r="M476" s="229">
        <v>0</v>
      </c>
      <c r="N476" s="229">
        <v>0</v>
      </c>
      <c r="O476" s="229">
        <v>1</v>
      </c>
      <c r="P476" s="26">
        <v>1</v>
      </c>
      <c r="Q476" s="14">
        <v>15</v>
      </c>
      <c r="R476" s="229">
        <v>0</v>
      </c>
      <c r="S476" s="229">
        <v>6</v>
      </c>
      <c r="T476" s="229">
        <v>0</v>
      </c>
      <c r="U476" s="229">
        <v>0</v>
      </c>
      <c r="V476" s="229">
        <v>17</v>
      </c>
      <c r="W476" s="229">
        <v>30</v>
      </c>
      <c r="X476" s="229">
        <v>0</v>
      </c>
      <c r="Y476" s="229">
        <v>0</v>
      </c>
      <c r="Z476" s="229">
        <v>0</v>
      </c>
      <c r="AA476" s="229">
        <v>15</v>
      </c>
      <c r="AC476" s="12">
        <v>1</v>
      </c>
      <c r="AD476" s="14">
        <v>1</v>
      </c>
      <c r="AE476" s="14">
        <v>0</v>
      </c>
      <c r="AF476" s="26">
        <v>0</v>
      </c>
      <c r="AG476" s="12">
        <v>90</v>
      </c>
      <c r="AH476" s="14">
        <v>0</v>
      </c>
      <c r="AI476" s="209"/>
      <c r="AJ476" s="3"/>
      <c r="AK476" s="3"/>
      <c r="AL476" s="3"/>
      <c r="AM476" s="3"/>
      <c r="AN476" s="3"/>
      <c r="AO476" s="40"/>
      <c r="AP476" s="209"/>
      <c r="AQ476" s="3"/>
      <c r="AR476" s="40"/>
      <c r="AS476" s="238"/>
    </row>
    <row r="477" spans="1:45" s="229" customFormat="1">
      <c r="A477" s="83" t="s">
        <v>323</v>
      </c>
      <c r="B477" s="386">
        <v>12.331666666666667</v>
      </c>
      <c r="C477" s="229" t="s">
        <v>218</v>
      </c>
      <c r="D477" s="229" t="s">
        <v>634</v>
      </c>
      <c r="E477" s="229" t="s">
        <v>0</v>
      </c>
      <c r="F477" s="229">
        <v>142</v>
      </c>
      <c r="G477" s="40">
        <f>F477/110</f>
        <v>1.290909090909091</v>
      </c>
      <c r="H477" s="14">
        <v>1</v>
      </c>
      <c r="I477" s="229">
        <v>0</v>
      </c>
      <c r="J477" s="229">
        <v>0</v>
      </c>
      <c r="K477" s="26">
        <v>0</v>
      </c>
      <c r="L477" s="14">
        <v>0</v>
      </c>
      <c r="M477" s="229">
        <v>0</v>
      </c>
      <c r="N477" s="229">
        <v>0</v>
      </c>
      <c r="O477" s="229">
        <v>0</v>
      </c>
      <c r="P477" s="26">
        <v>0</v>
      </c>
      <c r="Q477" s="14">
        <v>0</v>
      </c>
      <c r="R477" s="229">
        <v>0</v>
      </c>
      <c r="S477" s="229">
        <v>0</v>
      </c>
      <c r="T477" s="229">
        <v>0</v>
      </c>
      <c r="U477" s="229">
        <v>0</v>
      </c>
      <c r="V477" s="229">
        <v>0</v>
      </c>
      <c r="W477" s="229">
        <v>0</v>
      </c>
      <c r="X477" s="229">
        <v>0</v>
      </c>
      <c r="Y477" s="229">
        <v>0</v>
      </c>
      <c r="Z477" s="229">
        <v>0</v>
      </c>
      <c r="AA477" s="229">
        <v>0</v>
      </c>
      <c r="AC477" s="12">
        <v>1</v>
      </c>
      <c r="AD477" s="14">
        <v>1</v>
      </c>
      <c r="AE477" s="14">
        <v>0</v>
      </c>
      <c r="AF477" s="26">
        <v>0</v>
      </c>
      <c r="AG477" s="12">
        <v>77</v>
      </c>
      <c r="AH477" s="14">
        <v>1</v>
      </c>
      <c r="AI477" s="209"/>
      <c r="AJ477" s="3"/>
      <c r="AK477" s="3"/>
      <c r="AL477" s="3"/>
      <c r="AM477" s="3"/>
      <c r="AN477" s="3"/>
      <c r="AO477" s="40"/>
      <c r="AP477" s="209"/>
      <c r="AQ477" s="3"/>
      <c r="AR477" s="40"/>
      <c r="AS477" s="238"/>
    </row>
    <row r="478" spans="1:45" s="229" customFormat="1">
      <c r="A478" s="83" t="s">
        <v>323</v>
      </c>
      <c r="B478" s="386">
        <v>12.331666666666667</v>
      </c>
      <c r="C478" s="229" t="s">
        <v>218</v>
      </c>
      <c r="D478" s="229" t="s">
        <v>634</v>
      </c>
      <c r="E478" s="229" t="s">
        <v>1</v>
      </c>
      <c r="F478" s="229">
        <v>70</v>
      </c>
      <c r="G478" s="40">
        <f>F478/47</f>
        <v>1.4893617021276595</v>
      </c>
      <c r="H478" s="14">
        <v>0</v>
      </c>
      <c r="I478" s="229">
        <v>0</v>
      </c>
      <c r="J478" s="229">
        <v>0</v>
      </c>
      <c r="K478" s="26">
        <v>1</v>
      </c>
      <c r="L478" s="14">
        <v>0</v>
      </c>
      <c r="M478" s="229">
        <v>0</v>
      </c>
      <c r="N478" s="229">
        <v>0</v>
      </c>
      <c r="O478" s="229">
        <v>0</v>
      </c>
      <c r="P478" s="26">
        <v>0</v>
      </c>
      <c r="Q478" s="14">
        <v>2</v>
      </c>
      <c r="R478" s="229">
        <v>0</v>
      </c>
      <c r="S478" s="229">
        <v>0</v>
      </c>
      <c r="T478" s="229">
        <v>0</v>
      </c>
      <c r="U478" s="229">
        <v>0</v>
      </c>
      <c r="V478" s="229">
        <v>0</v>
      </c>
      <c r="W478" s="229">
        <v>0</v>
      </c>
      <c r="X478" s="229">
        <v>0</v>
      </c>
      <c r="Y478" s="229">
        <v>0</v>
      </c>
      <c r="Z478" s="229">
        <v>0</v>
      </c>
      <c r="AA478" s="229">
        <v>5</v>
      </c>
      <c r="AC478" s="12">
        <v>1</v>
      </c>
      <c r="AD478" s="14">
        <v>1</v>
      </c>
      <c r="AE478" s="14">
        <v>0</v>
      </c>
      <c r="AF478" s="26">
        <v>0</v>
      </c>
      <c r="AG478" s="12">
        <v>77</v>
      </c>
      <c r="AH478" s="14">
        <v>1</v>
      </c>
      <c r="AI478" s="209"/>
      <c r="AJ478" s="3"/>
      <c r="AK478" s="3"/>
      <c r="AL478" s="3"/>
      <c r="AM478" s="3"/>
      <c r="AN478" s="3"/>
      <c r="AO478" s="40"/>
      <c r="AP478" s="209"/>
      <c r="AQ478" s="3"/>
      <c r="AR478" s="40"/>
      <c r="AS478" s="238"/>
    </row>
    <row r="479" spans="1:45" s="229" customFormat="1">
      <c r="A479" s="83" t="s">
        <v>323</v>
      </c>
      <c r="B479" s="386">
        <v>12.331666666666667</v>
      </c>
      <c r="C479" s="229" t="s">
        <v>218</v>
      </c>
      <c r="D479" s="229" t="s">
        <v>634</v>
      </c>
      <c r="E479" s="229" t="s">
        <v>2</v>
      </c>
      <c r="F479" s="229">
        <v>82</v>
      </c>
      <c r="G479" s="40">
        <f>F479/54</f>
        <v>1.5185185185185186</v>
      </c>
      <c r="H479" s="14">
        <v>1</v>
      </c>
      <c r="I479" s="229">
        <v>0</v>
      </c>
      <c r="J479" s="229">
        <v>0</v>
      </c>
      <c r="K479" s="26">
        <v>0</v>
      </c>
      <c r="L479" s="14">
        <v>0</v>
      </c>
      <c r="M479" s="229">
        <v>0</v>
      </c>
      <c r="N479" s="229">
        <v>0</v>
      </c>
      <c r="O479" s="229">
        <v>0</v>
      </c>
      <c r="P479" s="26">
        <v>0</v>
      </c>
      <c r="Q479" s="14">
        <v>0</v>
      </c>
      <c r="R479" s="229">
        <v>0</v>
      </c>
      <c r="S479" s="229">
        <v>0</v>
      </c>
      <c r="T479" s="229">
        <v>0</v>
      </c>
      <c r="U479" s="229">
        <v>0</v>
      </c>
      <c r="V479" s="229">
        <v>0</v>
      </c>
      <c r="W479" s="229">
        <v>0</v>
      </c>
      <c r="X479" s="229">
        <v>0</v>
      </c>
      <c r="Y479" s="229">
        <v>0</v>
      </c>
      <c r="Z479" s="229">
        <v>0</v>
      </c>
      <c r="AA479" s="229">
        <v>0</v>
      </c>
      <c r="AC479" s="12">
        <v>1</v>
      </c>
      <c r="AD479" s="14">
        <v>1</v>
      </c>
      <c r="AE479" s="14">
        <v>0</v>
      </c>
      <c r="AF479" s="26">
        <v>0</v>
      </c>
      <c r="AG479" s="12">
        <v>77</v>
      </c>
      <c r="AH479" s="14">
        <v>0</v>
      </c>
      <c r="AI479" s="209"/>
      <c r="AJ479" s="3"/>
      <c r="AK479" s="3"/>
      <c r="AL479" s="3"/>
      <c r="AM479" s="3"/>
      <c r="AN479" s="3"/>
      <c r="AO479" s="40"/>
      <c r="AP479" s="209"/>
      <c r="AQ479" s="3"/>
      <c r="AR479" s="40"/>
      <c r="AS479" s="238"/>
    </row>
    <row r="480" spans="1:45" s="229" customFormat="1">
      <c r="A480" s="83" t="s">
        <v>323</v>
      </c>
      <c r="B480" s="386">
        <v>12.331666666666667</v>
      </c>
      <c r="C480" s="229" t="s">
        <v>218</v>
      </c>
      <c r="D480" s="229" t="s">
        <v>634</v>
      </c>
      <c r="E480" s="229" t="s">
        <v>3</v>
      </c>
      <c r="F480" s="229">
        <v>145</v>
      </c>
      <c r="G480" s="40">
        <f>F480/208</f>
        <v>0.69711538461538458</v>
      </c>
      <c r="H480" s="14">
        <v>1</v>
      </c>
      <c r="I480" s="229">
        <v>0</v>
      </c>
      <c r="J480" s="229">
        <v>0</v>
      </c>
      <c r="K480" s="26">
        <v>0</v>
      </c>
      <c r="L480" s="14">
        <v>0</v>
      </c>
      <c r="M480" s="229">
        <v>0</v>
      </c>
      <c r="N480" s="229">
        <v>0</v>
      </c>
      <c r="O480" s="229">
        <v>0</v>
      </c>
      <c r="P480" s="26">
        <v>0</v>
      </c>
      <c r="Q480" s="14">
        <v>5</v>
      </c>
      <c r="R480" s="229">
        <v>0</v>
      </c>
      <c r="S480" s="229">
        <v>0</v>
      </c>
      <c r="T480" s="229">
        <v>0</v>
      </c>
      <c r="U480" s="229">
        <v>0</v>
      </c>
      <c r="V480" s="229">
        <v>0</v>
      </c>
      <c r="W480" s="229">
        <v>0</v>
      </c>
      <c r="X480" s="229">
        <v>0</v>
      </c>
      <c r="Y480" s="229">
        <v>0</v>
      </c>
      <c r="Z480" s="229">
        <v>0</v>
      </c>
      <c r="AA480" s="229">
        <v>29</v>
      </c>
      <c r="AC480" s="12">
        <v>1</v>
      </c>
      <c r="AD480" s="14">
        <v>1</v>
      </c>
      <c r="AE480" s="14">
        <v>0</v>
      </c>
      <c r="AF480" s="26">
        <v>0</v>
      </c>
      <c r="AG480" s="12">
        <v>77</v>
      </c>
      <c r="AH480" s="14">
        <v>1</v>
      </c>
      <c r="AI480" s="209"/>
      <c r="AJ480" s="3"/>
      <c r="AK480" s="3"/>
      <c r="AL480" s="3"/>
      <c r="AM480" s="3"/>
      <c r="AN480" s="3"/>
      <c r="AO480" s="40"/>
      <c r="AP480" s="209"/>
      <c r="AQ480" s="3"/>
      <c r="AR480" s="40"/>
      <c r="AS480" s="238"/>
    </row>
    <row r="481" spans="1:45" s="229" customFormat="1">
      <c r="A481" s="83" t="s">
        <v>323</v>
      </c>
      <c r="B481" s="386">
        <v>12.331666666666667</v>
      </c>
      <c r="C481" s="229" t="s">
        <v>218</v>
      </c>
      <c r="D481" s="229" t="s">
        <v>625</v>
      </c>
      <c r="E481" s="229" t="s">
        <v>0</v>
      </c>
      <c r="F481" s="229">
        <v>285</v>
      </c>
      <c r="G481" s="40">
        <f>F481/102</f>
        <v>2.7941176470588234</v>
      </c>
      <c r="H481" s="14">
        <v>0</v>
      </c>
      <c r="I481" s="229">
        <v>0</v>
      </c>
      <c r="J481" s="229">
        <v>1</v>
      </c>
      <c r="K481" s="26">
        <v>0</v>
      </c>
      <c r="L481" s="14">
        <v>0</v>
      </c>
      <c r="M481" s="229">
        <v>0</v>
      </c>
      <c r="N481" s="229">
        <v>0</v>
      </c>
      <c r="O481" s="229">
        <v>0</v>
      </c>
      <c r="P481" s="26">
        <v>0</v>
      </c>
      <c r="Q481" s="14">
        <v>0</v>
      </c>
      <c r="R481" s="229">
        <v>0</v>
      </c>
      <c r="S481" s="229">
        <v>0</v>
      </c>
      <c r="T481" s="229">
        <v>0</v>
      </c>
      <c r="U481" s="229">
        <v>0</v>
      </c>
      <c r="V481" s="229">
        <v>0</v>
      </c>
      <c r="W481" s="229">
        <v>0</v>
      </c>
      <c r="X481" s="229">
        <v>0</v>
      </c>
      <c r="Y481" s="229">
        <v>0</v>
      </c>
      <c r="Z481" s="229">
        <v>0</v>
      </c>
      <c r="AA481" s="229">
        <v>0</v>
      </c>
      <c r="AC481" s="12">
        <v>1</v>
      </c>
      <c r="AD481" s="14">
        <v>1</v>
      </c>
      <c r="AE481" s="14">
        <v>0</v>
      </c>
      <c r="AF481" s="26">
        <v>0</v>
      </c>
      <c r="AG481" s="12">
        <v>63</v>
      </c>
      <c r="AH481" s="14">
        <v>1</v>
      </c>
      <c r="AI481" s="209"/>
      <c r="AJ481" s="3"/>
      <c r="AK481" s="3"/>
      <c r="AL481" s="3"/>
      <c r="AM481" s="3"/>
      <c r="AN481" s="3"/>
      <c r="AO481" s="40"/>
      <c r="AP481" s="209"/>
      <c r="AQ481" s="3"/>
      <c r="AR481" s="40"/>
      <c r="AS481" s="238"/>
    </row>
    <row r="482" spans="1:45" s="229" customFormat="1">
      <c r="A482" s="83" t="s">
        <v>323</v>
      </c>
      <c r="B482" s="386">
        <v>12.331666666666667</v>
      </c>
      <c r="C482" s="229" t="s">
        <v>218</v>
      </c>
      <c r="D482" s="229" t="s">
        <v>625</v>
      </c>
      <c r="E482" s="229" t="s">
        <v>1</v>
      </c>
      <c r="F482" s="229">
        <v>178</v>
      </c>
      <c r="G482" s="40">
        <f>F482/86</f>
        <v>2.0697674418604652</v>
      </c>
      <c r="H482" s="14">
        <v>0</v>
      </c>
      <c r="I482" s="229">
        <v>0</v>
      </c>
      <c r="J482" s="229">
        <v>0</v>
      </c>
      <c r="K482" s="26">
        <v>1</v>
      </c>
      <c r="L482" s="14">
        <v>0</v>
      </c>
      <c r="M482" s="229">
        <v>0</v>
      </c>
      <c r="N482" s="229">
        <v>0</v>
      </c>
      <c r="O482" s="229">
        <v>0</v>
      </c>
      <c r="P482" s="26">
        <v>0</v>
      </c>
      <c r="Q482" s="14">
        <v>0</v>
      </c>
      <c r="R482" s="229">
        <v>0</v>
      </c>
      <c r="S482" s="229">
        <v>0</v>
      </c>
      <c r="T482" s="229">
        <v>0</v>
      </c>
      <c r="U482" s="229">
        <v>0</v>
      </c>
      <c r="V482" s="229">
        <v>0</v>
      </c>
      <c r="W482" s="229">
        <v>0</v>
      </c>
      <c r="X482" s="229">
        <v>0</v>
      </c>
      <c r="Y482" s="229">
        <v>0</v>
      </c>
      <c r="Z482" s="229">
        <v>0</v>
      </c>
      <c r="AA482" s="229">
        <v>0</v>
      </c>
      <c r="AC482" s="12">
        <v>1</v>
      </c>
      <c r="AD482" s="14">
        <v>1</v>
      </c>
      <c r="AE482" s="14">
        <v>0</v>
      </c>
      <c r="AF482" s="26">
        <v>0</v>
      </c>
      <c r="AG482" s="12">
        <v>63</v>
      </c>
      <c r="AH482" s="14">
        <v>0</v>
      </c>
      <c r="AI482" s="209"/>
      <c r="AJ482" s="3"/>
      <c r="AK482" s="3"/>
      <c r="AL482" s="3"/>
      <c r="AM482" s="3"/>
      <c r="AN482" s="3"/>
      <c r="AO482" s="40"/>
      <c r="AP482" s="209"/>
      <c r="AQ482" s="3"/>
      <c r="AR482" s="40"/>
      <c r="AS482" s="238"/>
    </row>
    <row r="483" spans="1:45" s="229" customFormat="1">
      <c r="A483" s="83" t="s">
        <v>323</v>
      </c>
      <c r="B483" s="386">
        <v>12.331666666666667</v>
      </c>
      <c r="C483" s="229" t="s">
        <v>218</v>
      </c>
      <c r="D483" s="229" t="s">
        <v>630</v>
      </c>
      <c r="E483" s="229" t="s">
        <v>0</v>
      </c>
      <c r="F483" s="229">
        <v>120</v>
      </c>
      <c r="G483" s="40">
        <f>F483/121</f>
        <v>0.99173553719008267</v>
      </c>
      <c r="H483" s="14">
        <v>1</v>
      </c>
      <c r="I483" s="229">
        <v>0</v>
      </c>
      <c r="J483" s="229">
        <v>0</v>
      </c>
      <c r="K483" s="26">
        <v>0</v>
      </c>
      <c r="L483" s="14">
        <v>0</v>
      </c>
      <c r="M483" s="229">
        <v>0</v>
      </c>
      <c r="N483" s="229">
        <v>0</v>
      </c>
      <c r="O483" s="229">
        <v>0</v>
      </c>
      <c r="P483" s="26">
        <v>0</v>
      </c>
      <c r="Q483" s="14">
        <v>5</v>
      </c>
      <c r="R483" s="229">
        <v>0</v>
      </c>
      <c r="S483" s="229">
        <v>19</v>
      </c>
      <c r="T483" s="229">
        <v>0</v>
      </c>
      <c r="U483" s="229">
        <v>0</v>
      </c>
      <c r="V483" s="229">
        <v>0</v>
      </c>
      <c r="W483" s="229">
        <v>0</v>
      </c>
      <c r="X483" s="229">
        <v>0</v>
      </c>
      <c r="Y483" s="229">
        <v>0</v>
      </c>
      <c r="Z483" s="229">
        <v>0</v>
      </c>
      <c r="AA483" s="229">
        <v>0</v>
      </c>
      <c r="AC483" s="12">
        <v>1</v>
      </c>
      <c r="AD483" s="14">
        <v>1</v>
      </c>
      <c r="AE483" s="14">
        <v>0</v>
      </c>
      <c r="AF483" s="26">
        <v>0</v>
      </c>
      <c r="AG483" s="12">
        <v>130</v>
      </c>
      <c r="AH483" s="14">
        <v>0</v>
      </c>
      <c r="AI483" s="209"/>
      <c r="AJ483" s="3"/>
      <c r="AK483" s="3"/>
      <c r="AL483" s="3"/>
      <c r="AM483" s="3"/>
      <c r="AN483" s="3"/>
      <c r="AO483" s="40"/>
      <c r="AP483" s="209"/>
      <c r="AQ483" s="3"/>
      <c r="AR483" s="40"/>
      <c r="AS483" s="238"/>
    </row>
    <row r="484" spans="1:45" s="229" customFormat="1">
      <c r="A484" s="83" t="s">
        <v>323</v>
      </c>
      <c r="B484" s="386">
        <v>12.331666666666667</v>
      </c>
      <c r="C484" s="229" t="s">
        <v>218</v>
      </c>
      <c r="D484" s="229" t="s">
        <v>630</v>
      </c>
      <c r="E484" s="229" t="s">
        <v>1</v>
      </c>
      <c r="F484" s="229">
        <v>139</v>
      </c>
      <c r="G484" s="40">
        <f>F484/109</f>
        <v>1.275229357798165</v>
      </c>
      <c r="H484" s="14">
        <v>1</v>
      </c>
      <c r="I484" s="229">
        <v>0</v>
      </c>
      <c r="J484" s="229">
        <v>0</v>
      </c>
      <c r="K484" s="26">
        <v>0</v>
      </c>
      <c r="L484" s="14">
        <v>0</v>
      </c>
      <c r="M484" s="229">
        <v>0</v>
      </c>
      <c r="N484" s="229">
        <v>1</v>
      </c>
      <c r="O484" s="229">
        <v>0</v>
      </c>
      <c r="P484" s="26">
        <v>1</v>
      </c>
      <c r="Q484" s="14">
        <v>0</v>
      </c>
      <c r="R484" s="229">
        <v>0</v>
      </c>
      <c r="S484" s="229">
        <v>0</v>
      </c>
      <c r="T484" s="229">
        <v>0</v>
      </c>
      <c r="U484" s="229">
        <v>0</v>
      </c>
      <c r="V484" s="229">
        <v>0</v>
      </c>
      <c r="W484" s="229">
        <v>0</v>
      </c>
      <c r="X484" s="229">
        <v>0</v>
      </c>
      <c r="Y484" s="229">
        <v>0</v>
      </c>
      <c r="Z484" s="229">
        <v>0</v>
      </c>
      <c r="AA484" s="229">
        <v>0</v>
      </c>
      <c r="AC484" s="12">
        <v>1</v>
      </c>
      <c r="AD484" s="14">
        <v>1</v>
      </c>
      <c r="AE484" s="14">
        <v>0</v>
      </c>
      <c r="AF484" s="26">
        <v>0</v>
      </c>
      <c r="AG484" s="12">
        <v>130</v>
      </c>
      <c r="AH484" s="14">
        <v>0</v>
      </c>
      <c r="AI484" s="209"/>
      <c r="AJ484" s="3"/>
      <c r="AK484" s="3"/>
      <c r="AL484" s="3"/>
      <c r="AM484" s="3"/>
      <c r="AN484" s="3"/>
      <c r="AO484" s="40"/>
      <c r="AP484" s="209"/>
      <c r="AQ484" s="3"/>
      <c r="AR484" s="40"/>
      <c r="AS484" s="238"/>
    </row>
    <row r="485" spans="1:45" s="229" customFormat="1">
      <c r="A485" s="83" t="s">
        <v>323</v>
      </c>
      <c r="B485" s="386">
        <v>12.331666666666667</v>
      </c>
      <c r="C485" s="229" t="s">
        <v>218</v>
      </c>
      <c r="D485" s="229" t="s">
        <v>630</v>
      </c>
      <c r="E485" s="229" t="s">
        <v>2</v>
      </c>
      <c r="F485" s="229">
        <v>1118</v>
      </c>
      <c r="G485" s="40">
        <f>F485/761</f>
        <v>1.4691195795006571</v>
      </c>
      <c r="H485" s="14">
        <v>0</v>
      </c>
      <c r="I485" s="229">
        <v>1</v>
      </c>
      <c r="J485" s="229">
        <v>0</v>
      </c>
      <c r="K485" s="26">
        <v>0</v>
      </c>
      <c r="L485" s="14">
        <v>0</v>
      </c>
      <c r="M485" s="229">
        <v>0</v>
      </c>
      <c r="N485" s="229">
        <v>1</v>
      </c>
      <c r="O485" s="229">
        <v>0</v>
      </c>
      <c r="P485" s="26">
        <v>1</v>
      </c>
      <c r="Q485" s="14">
        <v>4</v>
      </c>
      <c r="R485" s="229">
        <v>0</v>
      </c>
      <c r="S485" s="229">
        <v>0</v>
      </c>
      <c r="T485" s="229">
        <v>0</v>
      </c>
      <c r="U485" s="229">
        <v>0</v>
      </c>
      <c r="V485" s="229">
        <v>120</v>
      </c>
      <c r="W485" s="229">
        <v>125</v>
      </c>
      <c r="X485" s="229">
        <v>0</v>
      </c>
      <c r="Y485" s="229">
        <v>0</v>
      </c>
      <c r="Z485" s="229">
        <v>0</v>
      </c>
      <c r="AA485" s="229">
        <v>0</v>
      </c>
      <c r="AC485" s="12">
        <v>1</v>
      </c>
      <c r="AD485" s="14">
        <v>1</v>
      </c>
      <c r="AE485" s="14">
        <v>0</v>
      </c>
      <c r="AF485" s="26">
        <v>0</v>
      </c>
      <c r="AG485" s="12">
        <v>130</v>
      </c>
      <c r="AH485" s="14">
        <v>1</v>
      </c>
      <c r="AI485" s="209"/>
      <c r="AJ485" s="3"/>
      <c r="AK485" s="3"/>
      <c r="AL485" s="3"/>
      <c r="AM485" s="3"/>
      <c r="AN485" s="3"/>
      <c r="AO485" s="40"/>
      <c r="AP485" s="209"/>
      <c r="AQ485" s="3"/>
      <c r="AR485" s="40"/>
      <c r="AS485" s="238"/>
    </row>
    <row r="486" spans="1:45" s="229" customFormat="1">
      <c r="A486" s="83" t="s">
        <v>323</v>
      </c>
      <c r="B486" s="386">
        <v>12.331666666666667</v>
      </c>
      <c r="C486" s="229" t="s">
        <v>218</v>
      </c>
      <c r="D486" s="229" t="s">
        <v>630</v>
      </c>
      <c r="E486" s="229" t="s">
        <v>3</v>
      </c>
      <c r="F486" s="229">
        <v>256</v>
      </c>
      <c r="G486" s="40">
        <f>F486/164</f>
        <v>1.5609756097560976</v>
      </c>
      <c r="H486" s="14">
        <v>1</v>
      </c>
      <c r="I486" s="229">
        <v>0</v>
      </c>
      <c r="J486" s="229">
        <v>0</v>
      </c>
      <c r="K486" s="26">
        <v>0</v>
      </c>
      <c r="L486" s="14">
        <v>0</v>
      </c>
      <c r="M486" s="229">
        <v>0</v>
      </c>
      <c r="N486" s="229">
        <v>1</v>
      </c>
      <c r="O486" s="229">
        <v>0</v>
      </c>
      <c r="P486" s="26">
        <v>1</v>
      </c>
      <c r="Q486" s="14">
        <v>5</v>
      </c>
      <c r="R486" s="229">
        <v>0</v>
      </c>
      <c r="S486" s="229">
        <v>0</v>
      </c>
      <c r="T486" s="229">
        <v>0</v>
      </c>
      <c r="U486" s="229">
        <v>0</v>
      </c>
      <c r="V486" s="229">
        <v>22</v>
      </c>
      <c r="W486" s="229">
        <v>49</v>
      </c>
      <c r="X486" s="229">
        <v>0</v>
      </c>
      <c r="Y486" s="229">
        <v>0</v>
      </c>
      <c r="Z486" s="229">
        <v>0</v>
      </c>
      <c r="AA486" s="229">
        <v>0</v>
      </c>
      <c r="AC486" s="12">
        <v>1</v>
      </c>
      <c r="AD486" s="14">
        <v>1</v>
      </c>
      <c r="AE486" s="14">
        <v>0</v>
      </c>
      <c r="AF486" s="26">
        <v>0</v>
      </c>
      <c r="AG486" s="12">
        <v>130</v>
      </c>
      <c r="AH486" s="14">
        <v>0</v>
      </c>
      <c r="AI486" s="209"/>
      <c r="AJ486" s="3"/>
      <c r="AK486" s="3"/>
      <c r="AL486" s="3"/>
      <c r="AM486" s="3"/>
      <c r="AN486" s="3"/>
      <c r="AO486" s="40"/>
      <c r="AP486" s="209"/>
      <c r="AQ486" s="3"/>
      <c r="AR486" s="40"/>
      <c r="AS486" s="238"/>
    </row>
    <row r="487" spans="1:45" s="229" customFormat="1">
      <c r="A487" s="83" t="s">
        <v>323</v>
      </c>
      <c r="B487" s="386">
        <v>12.331666666666667</v>
      </c>
      <c r="C487" s="229" t="s">
        <v>218</v>
      </c>
      <c r="D487" s="229" t="s">
        <v>630</v>
      </c>
      <c r="E487" s="229" t="s">
        <v>4</v>
      </c>
      <c r="F487" s="229">
        <v>225</v>
      </c>
      <c r="G487" s="40">
        <f>F487/186</f>
        <v>1.2096774193548387</v>
      </c>
      <c r="H487" s="14">
        <v>1</v>
      </c>
      <c r="I487" s="229">
        <v>0</v>
      </c>
      <c r="J487" s="229">
        <v>0</v>
      </c>
      <c r="K487" s="26">
        <v>0</v>
      </c>
      <c r="L487" s="14">
        <v>0</v>
      </c>
      <c r="M487" s="229">
        <v>0</v>
      </c>
      <c r="N487" s="229">
        <v>1</v>
      </c>
      <c r="O487" s="229">
        <v>0</v>
      </c>
      <c r="P487" s="26">
        <v>1</v>
      </c>
      <c r="Q487" s="14">
        <v>0</v>
      </c>
      <c r="R487" s="229">
        <v>0</v>
      </c>
      <c r="S487" s="229">
        <v>0</v>
      </c>
      <c r="T487" s="229">
        <v>0</v>
      </c>
      <c r="U487" s="229">
        <v>0</v>
      </c>
      <c r="V487" s="229">
        <v>0</v>
      </c>
      <c r="W487" s="229">
        <v>0</v>
      </c>
      <c r="X487" s="229">
        <v>0</v>
      </c>
      <c r="Y487" s="229">
        <v>0</v>
      </c>
      <c r="Z487" s="229">
        <v>0</v>
      </c>
      <c r="AA487" s="229">
        <v>0</v>
      </c>
      <c r="AC487" s="12">
        <v>1</v>
      </c>
      <c r="AD487" s="14">
        <v>1</v>
      </c>
      <c r="AE487" s="14">
        <v>0</v>
      </c>
      <c r="AF487" s="26">
        <v>0</v>
      </c>
      <c r="AG487" s="12">
        <v>130</v>
      </c>
      <c r="AH487" s="14">
        <v>0</v>
      </c>
      <c r="AI487" s="209"/>
      <c r="AJ487" s="3"/>
      <c r="AK487" s="3"/>
      <c r="AL487" s="3"/>
      <c r="AM487" s="3"/>
      <c r="AN487" s="3"/>
      <c r="AO487" s="40"/>
      <c r="AP487" s="209"/>
      <c r="AQ487" s="3"/>
      <c r="AR487" s="40"/>
      <c r="AS487" s="238"/>
    </row>
    <row r="488" spans="1:45" s="229" customFormat="1">
      <c r="A488" s="83" t="s">
        <v>323</v>
      </c>
      <c r="B488" s="386">
        <v>12.331666666666667</v>
      </c>
      <c r="C488" s="229" t="s">
        <v>218</v>
      </c>
      <c r="D488" s="229" t="s">
        <v>637</v>
      </c>
      <c r="E488" s="229" t="s">
        <v>2</v>
      </c>
      <c r="F488" s="229">
        <v>1421</v>
      </c>
      <c r="G488" s="40">
        <f>F488/901</f>
        <v>1.5771365149833518</v>
      </c>
      <c r="H488" s="14">
        <v>0</v>
      </c>
      <c r="I488" s="229">
        <v>0</v>
      </c>
      <c r="J488" s="229">
        <v>1</v>
      </c>
      <c r="K488" s="26">
        <v>0</v>
      </c>
      <c r="L488" s="14">
        <v>0</v>
      </c>
      <c r="M488" s="229">
        <v>0</v>
      </c>
      <c r="N488" s="229">
        <v>0</v>
      </c>
      <c r="O488" s="229">
        <v>0</v>
      </c>
      <c r="P488" s="26">
        <v>0</v>
      </c>
      <c r="Q488" s="14">
        <v>2</v>
      </c>
      <c r="R488" s="229">
        <v>0</v>
      </c>
      <c r="S488" s="229">
        <v>0</v>
      </c>
      <c r="T488" s="229">
        <v>0</v>
      </c>
      <c r="U488" s="229">
        <v>0</v>
      </c>
      <c r="V488" s="229">
        <v>29</v>
      </c>
      <c r="W488" s="229">
        <v>206</v>
      </c>
      <c r="X488" s="229">
        <v>0</v>
      </c>
      <c r="Y488" s="229">
        <v>0</v>
      </c>
      <c r="Z488" s="229">
        <v>71</v>
      </c>
      <c r="AA488" s="229">
        <v>96</v>
      </c>
      <c r="AB488" s="229">
        <v>0</v>
      </c>
      <c r="AC488" s="12">
        <v>1</v>
      </c>
      <c r="AD488" s="14">
        <v>1</v>
      </c>
      <c r="AE488" s="14">
        <v>0</v>
      </c>
      <c r="AF488" s="26">
        <v>0</v>
      </c>
      <c r="AG488" s="12">
        <v>94</v>
      </c>
      <c r="AH488" s="14">
        <v>0</v>
      </c>
      <c r="AI488" s="209">
        <v>86.6</v>
      </c>
      <c r="AJ488" s="3"/>
      <c r="AK488" s="3"/>
      <c r="AL488" s="3"/>
      <c r="AM488" s="3"/>
      <c r="AN488" s="3"/>
      <c r="AO488" s="40"/>
      <c r="AP488" s="209">
        <v>86</v>
      </c>
      <c r="AQ488" s="3"/>
      <c r="AR488" s="40"/>
      <c r="AS488" s="238"/>
    </row>
    <row r="489" spans="1:45" s="229" customFormat="1">
      <c r="A489" s="83" t="s">
        <v>323</v>
      </c>
      <c r="B489" s="386">
        <v>12.331666666666667</v>
      </c>
      <c r="C489" s="229" t="s">
        <v>218</v>
      </c>
      <c r="D489" s="229" t="s">
        <v>637</v>
      </c>
      <c r="E489" s="229" t="s">
        <v>1</v>
      </c>
      <c r="F489" s="229">
        <v>1502</v>
      </c>
      <c r="G489" s="40">
        <f>F489/893</f>
        <v>1.6819708846584547</v>
      </c>
      <c r="H489" s="14">
        <v>0</v>
      </c>
      <c r="I489" s="229">
        <v>0</v>
      </c>
      <c r="J489" s="229">
        <v>1</v>
      </c>
      <c r="K489" s="26">
        <v>0</v>
      </c>
      <c r="L489" s="14">
        <v>0</v>
      </c>
      <c r="M489" s="229">
        <v>0</v>
      </c>
      <c r="N489" s="229">
        <v>0</v>
      </c>
      <c r="O489" s="229">
        <v>1</v>
      </c>
      <c r="P489" s="26">
        <v>1</v>
      </c>
      <c r="Q489" s="14">
        <v>10</v>
      </c>
      <c r="R489" s="229">
        <v>0</v>
      </c>
      <c r="S489" s="229">
        <v>0</v>
      </c>
      <c r="T489" s="229">
        <v>0</v>
      </c>
      <c r="U489" s="229">
        <v>0</v>
      </c>
      <c r="V489" s="229">
        <v>31</v>
      </c>
      <c r="W489" s="229">
        <v>48</v>
      </c>
      <c r="X489" s="229">
        <v>0</v>
      </c>
      <c r="Y489" s="229">
        <v>0</v>
      </c>
      <c r="Z489" s="229">
        <v>68</v>
      </c>
      <c r="AA489" s="229">
        <v>237</v>
      </c>
      <c r="AB489" s="229">
        <v>0</v>
      </c>
      <c r="AC489" s="12">
        <v>2</v>
      </c>
      <c r="AD489" s="14">
        <v>3</v>
      </c>
      <c r="AE489" s="14">
        <v>746</v>
      </c>
      <c r="AF489" s="26">
        <v>1046</v>
      </c>
      <c r="AG489" s="12">
        <v>94</v>
      </c>
      <c r="AH489" s="14">
        <v>0</v>
      </c>
      <c r="AI489" s="209">
        <v>86.5</v>
      </c>
      <c r="AJ489" s="3"/>
      <c r="AK489" s="3"/>
      <c r="AL489" s="3"/>
      <c r="AM489" s="3"/>
      <c r="AN489" s="3"/>
      <c r="AO489" s="40"/>
      <c r="AP489" s="209">
        <v>86.1</v>
      </c>
      <c r="AQ489" s="3"/>
      <c r="AR489" s="40"/>
      <c r="AS489" s="238"/>
    </row>
    <row r="490" spans="1:45" s="229" customFormat="1">
      <c r="A490" s="83" t="s">
        <v>323</v>
      </c>
      <c r="B490" s="386">
        <v>12.331666666666667</v>
      </c>
      <c r="C490" s="229" t="s">
        <v>218</v>
      </c>
      <c r="D490" s="229" t="s">
        <v>637</v>
      </c>
      <c r="E490" s="229" t="s">
        <v>0</v>
      </c>
      <c r="F490" s="229">
        <v>184</v>
      </c>
      <c r="G490" s="40">
        <f>F490/181</f>
        <v>1.0165745856353592</v>
      </c>
      <c r="H490" s="14">
        <v>1</v>
      </c>
      <c r="I490" s="229">
        <v>0</v>
      </c>
      <c r="J490" s="229">
        <v>0</v>
      </c>
      <c r="K490" s="26">
        <v>0</v>
      </c>
      <c r="L490" s="14">
        <v>0</v>
      </c>
      <c r="M490" s="229">
        <v>0</v>
      </c>
      <c r="N490" s="229">
        <v>0</v>
      </c>
      <c r="O490" s="229">
        <v>0</v>
      </c>
      <c r="P490" s="26">
        <v>0</v>
      </c>
      <c r="Q490" s="14">
        <v>5</v>
      </c>
      <c r="R490" s="229">
        <v>0</v>
      </c>
      <c r="S490" s="229">
        <v>17</v>
      </c>
      <c r="T490" s="229">
        <v>0</v>
      </c>
      <c r="U490" s="229">
        <v>0</v>
      </c>
      <c r="V490" s="229">
        <v>27</v>
      </c>
      <c r="W490" s="229">
        <v>35</v>
      </c>
      <c r="X490" s="229">
        <v>0</v>
      </c>
      <c r="Y490" s="229">
        <v>0</v>
      </c>
      <c r="Z490" s="229">
        <v>0</v>
      </c>
      <c r="AA490" s="229">
        <v>0</v>
      </c>
      <c r="AB490" s="229">
        <v>0</v>
      </c>
      <c r="AC490" s="12">
        <v>2</v>
      </c>
      <c r="AD490" s="14">
        <v>2</v>
      </c>
      <c r="AE490" s="14">
        <v>60</v>
      </c>
      <c r="AF490" s="26">
        <v>184</v>
      </c>
      <c r="AG490" s="12">
        <v>94</v>
      </c>
      <c r="AH490" s="14">
        <v>1</v>
      </c>
      <c r="AI490" s="209">
        <v>85.8</v>
      </c>
      <c r="AJ490" s="3"/>
      <c r="AK490" s="3"/>
      <c r="AL490" s="3"/>
      <c r="AM490" s="3"/>
      <c r="AN490" s="3"/>
      <c r="AO490" s="40"/>
      <c r="AP490" s="209">
        <v>85.8</v>
      </c>
      <c r="AQ490" s="3"/>
      <c r="AR490" s="40"/>
      <c r="AS490" s="238"/>
    </row>
    <row r="491" spans="1:45" s="229" customFormat="1">
      <c r="A491" s="83" t="s">
        <v>323</v>
      </c>
      <c r="B491" s="386">
        <v>12.331666666666667</v>
      </c>
      <c r="C491" s="229" t="s">
        <v>218</v>
      </c>
      <c r="D491" s="229" t="s">
        <v>638</v>
      </c>
      <c r="F491" s="229">
        <v>1458</v>
      </c>
      <c r="G491" s="40">
        <f>F491/531</f>
        <v>2.7457627118644066</v>
      </c>
      <c r="H491" s="14">
        <v>1</v>
      </c>
      <c r="I491" s="229">
        <v>1</v>
      </c>
      <c r="J491" s="229">
        <v>0</v>
      </c>
      <c r="K491" s="26">
        <v>1</v>
      </c>
      <c r="L491" s="14">
        <v>0</v>
      </c>
      <c r="M491" s="229">
        <v>0</v>
      </c>
      <c r="N491" s="229">
        <v>0</v>
      </c>
      <c r="O491" s="229">
        <v>1</v>
      </c>
      <c r="P491" s="26">
        <v>1</v>
      </c>
      <c r="Q491" s="14">
        <v>5</v>
      </c>
      <c r="R491" s="229">
        <v>0</v>
      </c>
      <c r="S491" s="229">
        <v>0</v>
      </c>
      <c r="T491" s="229">
        <v>0</v>
      </c>
      <c r="U491" s="229">
        <v>0</v>
      </c>
      <c r="V491" s="229">
        <v>11</v>
      </c>
      <c r="W491" s="229">
        <v>61</v>
      </c>
      <c r="X491" s="229">
        <v>0</v>
      </c>
      <c r="Y491" s="229">
        <v>0</v>
      </c>
      <c r="Z491" s="229">
        <v>0</v>
      </c>
      <c r="AA491" s="229">
        <v>0</v>
      </c>
      <c r="AC491" s="12">
        <v>2</v>
      </c>
      <c r="AD491" s="14">
        <v>10</v>
      </c>
      <c r="AE491" s="14">
        <v>64</v>
      </c>
      <c r="AF491" s="26">
        <v>710</v>
      </c>
      <c r="AG491" s="12">
        <v>119</v>
      </c>
      <c r="AH491" s="14">
        <v>1</v>
      </c>
      <c r="AI491" s="209"/>
      <c r="AJ491" s="3"/>
      <c r="AK491" s="3"/>
      <c r="AL491" s="3"/>
      <c r="AM491" s="3"/>
      <c r="AN491" s="3"/>
      <c r="AO491" s="40"/>
      <c r="AP491" s="209"/>
      <c r="AQ491" s="3"/>
      <c r="AR491" s="40"/>
      <c r="AS491" s="238"/>
    </row>
    <row r="492" spans="1:45" s="229" customFormat="1">
      <c r="A492" s="83" t="s">
        <v>323</v>
      </c>
      <c r="B492" s="386">
        <v>12.331666666666667</v>
      </c>
      <c r="C492" s="229" t="s">
        <v>218</v>
      </c>
      <c r="D492" s="229" t="s">
        <v>648</v>
      </c>
      <c r="E492" s="229" t="s">
        <v>0</v>
      </c>
      <c r="F492" s="229">
        <v>296</v>
      </c>
      <c r="G492" s="40">
        <f>F492/234</f>
        <v>1.2649572649572649</v>
      </c>
      <c r="H492" s="14">
        <v>0</v>
      </c>
      <c r="I492" s="229">
        <v>0</v>
      </c>
      <c r="J492" s="229">
        <v>1</v>
      </c>
      <c r="K492" s="26">
        <v>0</v>
      </c>
      <c r="L492" s="14">
        <v>1</v>
      </c>
      <c r="M492" s="229">
        <v>0</v>
      </c>
      <c r="N492" s="229">
        <v>0</v>
      </c>
      <c r="O492" s="229">
        <v>0</v>
      </c>
      <c r="P492" s="26">
        <v>1</v>
      </c>
      <c r="Q492" s="14">
        <v>8</v>
      </c>
      <c r="R492" s="229">
        <v>0</v>
      </c>
      <c r="S492" s="229">
        <v>10</v>
      </c>
      <c r="T492" s="229">
        <v>0</v>
      </c>
      <c r="U492" s="229">
        <v>0</v>
      </c>
      <c r="V492" s="229">
        <v>0</v>
      </c>
      <c r="W492" s="229">
        <v>0</v>
      </c>
      <c r="X492" s="229">
        <v>0</v>
      </c>
      <c r="Y492" s="229">
        <v>0</v>
      </c>
      <c r="Z492" s="229">
        <v>0</v>
      </c>
      <c r="AA492" s="229">
        <v>41</v>
      </c>
      <c r="AC492" s="12">
        <v>1</v>
      </c>
      <c r="AD492" s="14">
        <v>1</v>
      </c>
      <c r="AE492" s="14">
        <v>0</v>
      </c>
      <c r="AF492" s="26">
        <v>0</v>
      </c>
      <c r="AG492" s="12">
        <v>92</v>
      </c>
      <c r="AH492" s="14">
        <v>1</v>
      </c>
      <c r="AI492" s="209"/>
      <c r="AJ492" s="3"/>
      <c r="AK492" s="3"/>
      <c r="AL492" s="3"/>
      <c r="AM492" s="3"/>
      <c r="AN492" s="3"/>
      <c r="AO492" s="40"/>
      <c r="AP492" s="209"/>
      <c r="AQ492" s="3"/>
      <c r="AR492" s="40"/>
      <c r="AS492" s="238"/>
    </row>
    <row r="493" spans="1:45" s="229" customFormat="1">
      <c r="A493" s="83" t="s">
        <v>323</v>
      </c>
      <c r="B493" s="386">
        <v>12.331666666666667</v>
      </c>
      <c r="C493" s="229" t="s">
        <v>218</v>
      </c>
      <c r="D493" s="229" t="s">
        <v>648</v>
      </c>
      <c r="E493" s="229" t="s">
        <v>1</v>
      </c>
      <c r="F493" s="229">
        <v>164</v>
      </c>
      <c r="G493" s="40">
        <f>F493/84</f>
        <v>1.9523809523809523</v>
      </c>
      <c r="H493" s="14">
        <v>0</v>
      </c>
      <c r="I493" s="229">
        <v>1</v>
      </c>
      <c r="J493" s="229">
        <v>0</v>
      </c>
      <c r="K493" s="26">
        <v>0</v>
      </c>
      <c r="L493" s="14">
        <v>0</v>
      </c>
      <c r="M493" s="229">
        <v>0</v>
      </c>
      <c r="N493" s="229">
        <v>1</v>
      </c>
      <c r="O493" s="229">
        <v>0</v>
      </c>
      <c r="P493" s="26">
        <v>1</v>
      </c>
      <c r="Q493" s="14">
        <v>0</v>
      </c>
      <c r="R493" s="229">
        <v>0</v>
      </c>
      <c r="S493" s="229">
        <v>0</v>
      </c>
      <c r="T493" s="229">
        <v>0</v>
      </c>
      <c r="U493" s="229">
        <v>0</v>
      </c>
      <c r="V493" s="229">
        <v>0</v>
      </c>
      <c r="W493" s="229">
        <v>0</v>
      </c>
      <c r="X493" s="229">
        <v>0</v>
      </c>
      <c r="Y493" s="229">
        <v>0</v>
      </c>
      <c r="Z493" s="229">
        <v>0</v>
      </c>
      <c r="AA493" s="229">
        <v>0</v>
      </c>
      <c r="AC493" s="12">
        <v>1</v>
      </c>
      <c r="AD493" s="14">
        <v>1</v>
      </c>
      <c r="AE493" s="14">
        <v>0</v>
      </c>
      <c r="AF493" s="26">
        <v>0</v>
      </c>
      <c r="AG493" s="12">
        <v>92</v>
      </c>
      <c r="AH493" s="14">
        <v>0</v>
      </c>
      <c r="AI493" s="209"/>
      <c r="AJ493" s="3"/>
      <c r="AK493" s="3"/>
      <c r="AL493" s="3"/>
      <c r="AM493" s="3"/>
      <c r="AN493" s="3"/>
      <c r="AO493" s="40"/>
      <c r="AP493" s="209"/>
      <c r="AQ493" s="3"/>
      <c r="AR493" s="40"/>
      <c r="AS493" s="238"/>
    </row>
    <row r="494" spans="1:45" s="229" customFormat="1">
      <c r="A494" s="83" t="s">
        <v>323</v>
      </c>
      <c r="B494" s="386">
        <v>12.331666666666667</v>
      </c>
      <c r="C494" s="229" t="s">
        <v>218</v>
      </c>
      <c r="D494" s="229" t="s">
        <v>648</v>
      </c>
      <c r="E494" s="229" t="s">
        <v>2</v>
      </c>
      <c r="F494" s="229">
        <v>176</v>
      </c>
      <c r="G494" s="40">
        <f>F494/146</f>
        <v>1.2054794520547945</v>
      </c>
      <c r="H494" s="14">
        <v>0</v>
      </c>
      <c r="I494" s="229">
        <v>0</v>
      </c>
      <c r="J494" s="229">
        <v>1</v>
      </c>
      <c r="K494" s="26">
        <v>0</v>
      </c>
      <c r="L494" s="14">
        <v>1</v>
      </c>
      <c r="M494" s="229">
        <v>0</v>
      </c>
      <c r="N494" s="229">
        <v>0</v>
      </c>
      <c r="O494" s="229">
        <v>0</v>
      </c>
      <c r="P494" s="26">
        <v>1</v>
      </c>
      <c r="Q494" s="14">
        <v>1</v>
      </c>
      <c r="R494" s="229">
        <v>0</v>
      </c>
      <c r="S494" s="229">
        <v>5</v>
      </c>
      <c r="T494" s="229">
        <v>0</v>
      </c>
      <c r="U494" s="229">
        <v>0</v>
      </c>
      <c r="V494" s="229">
        <v>0</v>
      </c>
      <c r="W494" s="229">
        <v>0</v>
      </c>
      <c r="X494" s="229">
        <v>0</v>
      </c>
      <c r="Y494" s="229">
        <v>0</v>
      </c>
      <c r="Z494" s="229">
        <v>0</v>
      </c>
      <c r="AA494" s="229">
        <v>0</v>
      </c>
      <c r="AC494" s="12">
        <v>1</v>
      </c>
      <c r="AD494" s="14">
        <v>1</v>
      </c>
      <c r="AE494" s="14">
        <v>0</v>
      </c>
      <c r="AF494" s="26">
        <v>0</v>
      </c>
      <c r="AG494" s="12">
        <v>92</v>
      </c>
      <c r="AH494" s="14">
        <v>1</v>
      </c>
      <c r="AI494" s="209"/>
      <c r="AJ494" s="3"/>
      <c r="AK494" s="3"/>
      <c r="AL494" s="3"/>
      <c r="AM494" s="3"/>
      <c r="AN494" s="3"/>
      <c r="AO494" s="40"/>
      <c r="AP494" s="209"/>
      <c r="AQ494" s="3"/>
      <c r="AR494" s="40"/>
      <c r="AS494" s="238"/>
    </row>
    <row r="495" spans="1:45" s="229" customFormat="1">
      <c r="A495" s="83" t="s">
        <v>323</v>
      </c>
      <c r="B495" s="386">
        <v>12.331666666666667</v>
      </c>
      <c r="C495" s="229" t="s">
        <v>218</v>
      </c>
      <c r="D495" s="229" t="s">
        <v>648</v>
      </c>
      <c r="E495" s="229" t="s">
        <v>3</v>
      </c>
      <c r="F495" s="229">
        <v>147</v>
      </c>
      <c r="G495" s="40">
        <f>F495/130</f>
        <v>1.1307692307692307</v>
      </c>
      <c r="H495" s="14">
        <v>0</v>
      </c>
      <c r="I495" s="229">
        <v>0</v>
      </c>
      <c r="J495" s="229">
        <v>1</v>
      </c>
      <c r="K495" s="26">
        <v>0</v>
      </c>
      <c r="L495" s="14">
        <v>1</v>
      </c>
      <c r="M495" s="229">
        <v>0</v>
      </c>
      <c r="N495" s="229">
        <v>0</v>
      </c>
      <c r="O495" s="229">
        <v>0</v>
      </c>
      <c r="P495" s="26">
        <v>1</v>
      </c>
      <c r="Q495" s="14">
        <v>1</v>
      </c>
      <c r="R495" s="229">
        <v>0</v>
      </c>
      <c r="S495" s="229">
        <v>0</v>
      </c>
      <c r="T495" s="229">
        <v>0</v>
      </c>
      <c r="U495" s="229">
        <v>0</v>
      </c>
      <c r="V495" s="229">
        <v>0</v>
      </c>
      <c r="W495" s="229">
        <v>7</v>
      </c>
      <c r="X495" s="229">
        <v>0</v>
      </c>
      <c r="Y495" s="229">
        <v>0</v>
      </c>
      <c r="Z495" s="229">
        <v>0</v>
      </c>
      <c r="AA495" s="229">
        <v>0</v>
      </c>
      <c r="AC495" s="12">
        <v>1</v>
      </c>
      <c r="AD495" s="14">
        <v>1</v>
      </c>
      <c r="AE495" s="14">
        <v>0</v>
      </c>
      <c r="AF495" s="26">
        <v>0</v>
      </c>
      <c r="AG495" s="12">
        <v>92</v>
      </c>
      <c r="AH495" s="14">
        <v>1</v>
      </c>
      <c r="AI495" s="209"/>
      <c r="AJ495" s="3"/>
      <c r="AK495" s="3"/>
      <c r="AL495" s="3"/>
      <c r="AM495" s="3"/>
      <c r="AN495" s="3"/>
      <c r="AO495" s="40"/>
      <c r="AP495" s="209"/>
      <c r="AQ495" s="3"/>
      <c r="AR495" s="40"/>
      <c r="AS495" s="238"/>
    </row>
    <row r="496" spans="1:45" s="229" customFormat="1">
      <c r="A496" s="83" t="s">
        <v>323</v>
      </c>
      <c r="B496" s="386">
        <v>12.331666666666667</v>
      </c>
      <c r="C496" s="229" t="s">
        <v>218</v>
      </c>
      <c r="D496" s="229" t="s">
        <v>649</v>
      </c>
      <c r="F496" s="229">
        <v>448</v>
      </c>
      <c r="G496" s="40">
        <f>F496/266</f>
        <v>1.6842105263157894</v>
      </c>
      <c r="H496" s="14">
        <v>1</v>
      </c>
      <c r="I496" s="229">
        <v>0</v>
      </c>
      <c r="J496" s="229">
        <v>0</v>
      </c>
      <c r="K496" s="26">
        <v>0</v>
      </c>
      <c r="L496" s="14">
        <v>0</v>
      </c>
      <c r="M496" s="229">
        <v>0</v>
      </c>
      <c r="N496" s="229">
        <v>0</v>
      </c>
      <c r="O496" s="229">
        <v>0</v>
      </c>
      <c r="P496" s="26">
        <v>0</v>
      </c>
      <c r="Q496" s="14">
        <v>0</v>
      </c>
      <c r="R496" s="229">
        <v>0</v>
      </c>
      <c r="S496" s="229">
        <v>0</v>
      </c>
      <c r="T496" s="229">
        <v>0</v>
      </c>
      <c r="U496" s="229">
        <v>0</v>
      </c>
      <c r="V496" s="229">
        <v>0</v>
      </c>
      <c r="W496" s="229">
        <v>0</v>
      </c>
      <c r="X496" s="229">
        <v>0</v>
      </c>
      <c r="Y496" s="229">
        <v>0</v>
      </c>
      <c r="Z496" s="229">
        <v>0</v>
      </c>
      <c r="AA496" s="229">
        <v>0</v>
      </c>
      <c r="AC496" s="12">
        <v>1</v>
      </c>
      <c r="AD496" s="14">
        <v>1</v>
      </c>
      <c r="AE496" s="14">
        <v>0</v>
      </c>
      <c r="AF496" s="26">
        <v>0</v>
      </c>
      <c r="AG496" s="12">
        <v>92</v>
      </c>
      <c r="AH496" s="14">
        <v>1</v>
      </c>
      <c r="AI496" s="209"/>
      <c r="AJ496" s="3"/>
      <c r="AK496" s="3"/>
      <c r="AL496" s="3"/>
      <c r="AM496" s="3"/>
      <c r="AN496" s="3"/>
      <c r="AO496" s="40"/>
      <c r="AP496" s="209"/>
      <c r="AQ496" s="3"/>
      <c r="AR496" s="40"/>
      <c r="AS496" s="238"/>
    </row>
    <row r="497" spans="1:45" s="229" customFormat="1">
      <c r="A497" s="83" t="s">
        <v>323</v>
      </c>
      <c r="B497" s="386">
        <v>12.331666666666667</v>
      </c>
      <c r="C497" s="229" t="s">
        <v>218</v>
      </c>
      <c r="D497" s="229" t="s">
        <v>674</v>
      </c>
      <c r="F497" s="229">
        <v>624</v>
      </c>
      <c r="G497" s="40">
        <f>F497/227</f>
        <v>2.748898678414097</v>
      </c>
      <c r="H497" s="14">
        <v>0</v>
      </c>
      <c r="I497" s="229">
        <v>0</v>
      </c>
      <c r="J497" s="229">
        <v>1</v>
      </c>
      <c r="K497" s="26">
        <v>0</v>
      </c>
      <c r="L497" s="14">
        <v>1</v>
      </c>
      <c r="M497" s="229">
        <v>0</v>
      </c>
      <c r="N497" s="229">
        <v>0</v>
      </c>
      <c r="O497" s="229">
        <v>0</v>
      </c>
      <c r="P497" s="26">
        <v>1</v>
      </c>
      <c r="Q497" s="14">
        <v>5</v>
      </c>
      <c r="R497" s="229">
        <v>0</v>
      </c>
      <c r="S497" s="229">
        <v>0</v>
      </c>
      <c r="T497" s="229">
        <v>0</v>
      </c>
      <c r="U497" s="229">
        <v>0</v>
      </c>
      <c r="V497" s="229">
        <v>7</v>
      </c>
      <c r="W497" s="229">
        <v>42</v>
      </c>
      <c r="X497" s="229">
        <v>0</v>
      </c>
      <c r="Y497" s="229">
        <v>0</v>
      </c>
      <c r="Z497" s="229">
        <v>0</v>
      </c>
      <c r="AA497" s="229">
        <v>0</v>
      </c>
      <c r="AC497" s="12">
        <v>1</v>
      </c>
      <c r="AD497" s="14">
        <v>1</v>
      </c>
      <c r="AE497" s="14">
        <v>0</v>
      </c>
      <c r="AF497" s="26">
        <v>0</v>
      </c>
      <c r="AG497" s="12">
        <v>67</v>
      </c>
      <c r="AH497" s="14">
        <v>1</v>
      </c>
      <c r="AI497" s="209">
        <v>86.4</v>
      </c>
      <c r="AJ497" s="3"/>
      <c r="AK497" s="3"/>
      <c r="AL497" s="3"/>
      <c r="AM497" s="3"/>
      <c r="AN497" s="3"/>
      <c r="AO497" s="40"/>
      <c r="AP497" s="209">
        <v>85</v>
      </c>
      <c r="AQ497" s="3"/>
      <c r="AR497" s="40"/>
      <c r="AS497" s="238"/>
    </row>
    <row r="498" spans="1:45" s="229" customFormat="1">
      <c r="A498" s="83" t="s">
        <v>323</v>
      </c>
      <c r="B498" s="386">
        <v>12.331666666666667</v>
      </c>
      <c r="C498" s="229" t="s">
        <v>218</v>
      </c>
      <c r="D498" s="229" t="s">
        <v>675</v>
      </c>
      <c r="F498" s="229">
        <v>399</v>
      </c>
      <c r="G498" s="40">
        <f>F498/187</f>
        <v>2.1336898395721926</v>
      </c>
      <c r="H498" s="14">
        <v>0</v>
      </c>
      <c r="I498" s="229">
        <v>0</v>
      </c>
      <c r="J498" s="229">
        <v>1</v>
      </c>
      <c r="K498" s="26">
        <v>0</v>
      </c>
      <c r="L498" s="14">
        <v>1</v>
      </c>
      <c r="M498" s="229">
        <v>0</v>
      </c>
      <c r="N498" s="229">
        <v>0</v>
      </c>
      <c r="O498" s="229">
        <v>0</v>
      </c>
      <c r="P498" s="26">
        <v>1</v>
      </c>
      <c r="Q498" s="14">
        <v>0</v>
      </c>
      <c r="R498" s="229">
        <v>0</v>
      </c>
      <c r="S498" s="229">
        <v>0</v>
      </c>
      <c r="T498" s="229">
        <v>0</v>
      </c>
      <c r="U498" s="229">
        <v>0</v>
      </c>
      <c r="V498" s="229">
        <v>0</v>
      </c>
      <c r="W498" s="229">
        <v>0</v>
      </c>
      <c r="X498" s="229">
        <v>0</v>
      </c>
      <c r="Y498" s="229">
        <v>0</v>
      </c>
      <c r="Z498" s="229">
        <v>0</v>
      </c>
      <c r="AA498" s="229">
        <v>0</v>
      </c>
      <c r="AC498" s="12">
        <v>1</v>
      </c>
      <c r="AD498" s="14">
        <v>1</v>
      </c>
      <c r="AE498" s="14">
        <v>0</v>
      </c>
      <c r="AF498" s="26">
        <v>0</v>
      </c>
      <c r="AG498" s="12">
        <v>84</v>
      </c>
      <c r="AH498" s="14">
        <v>0</v>
      </c>
      <c r="AI498" s="209">
        <v>86.3</v>
      </c>
      <c r="AJ498" s="3"/>
      <c r="AK498" s="3"/>
      <c r="AL498" s="3"/>
      <c r="AM498" s="3"/>
      <c r="AN498" s="3"/>
      <c r="AO498" s="40"/>
      <c r="AP498" s="209"/>
      <c r="AQ498" s="3"/>
      <c r="AR498" s="40"/>
      <c r="AS498" s="238"/>
    </row>
    <row r="499" spans="1:45" s="229" customFormat="1">
      <c r="A499" s="83" t="s">
        <v>323</v>
      </c>
      <c r="B499" s="386">
        <v>12.331666666666667</v>
      </c>
      <c r="C499" s="229" t="s">
        <v>218</v>
      </c>
      <c r="D499" s="229" t="s">
        <v>677</v>
      </c>
      <c r="E499" s="229" t="s">
        <v>0</v>
      </c>
      <c r="F499" s="229">
        <v>243</v>
      </c>
      <c r="G499" s="40">
        <f>F499/134</f>
        <v>1.8134328358208955</v>
      </c>
      <c r="H499" s="14">
        <v>1</v>
      </c>
      <c r="I499" s="229">
        <v>0</v>
      </c>
      <c r="J499" s="229">
        <v>1</v>
      </c>
      <c r="K499" s="26">
        <v>1</v>
      </c>
      <c r="L499" s="14">
        <v>0</v>
      </c>
      <c r="M499" s="229">
        <v>0</v>
      </c>
      <c r="N499" s="229">
        <v>0</v>
      </c>
      <c r="O499" s="229">
        <v>0</v>
      </c>
      <c r="P499" s="26">
        <v>0</v>
      </c>
      <c r="Q499" s="14">
        <v>5</v>
      </c>
      <c r="R499" s="229">
        <v>0</v>
      </c>
      <c r="S499" s="229">
        <v>0</v>
      </c>
      <c r="T499" s="229">
        <v>0</v>
      </c>
      <c r="U499" s="229">
        <v>0</v>
      </c>
      <c r="V499" s="229">
        <v>0</v>
      </c>
      <c r="W499" s="229">
        <v>0</v>
      </c>
      <c r="X499" s="229">
        <v>0</v>
      </c>
      <c r="Y499" s="229">
        <v>0</v>
      </c>
      <c r="Z499" s="229">
        <v>0</v>
      </c>
      <c r="AA499" s="229">
        <v>13</v>
      </c>
      <c r="AC499" s="12">
        <v>2</v>
      </c>
      <c r="AD499" s="14">
        <v>3</v>
      </c>
      <c r="AE499" s="14">
        <v>146</v>
      </c>
      <c r="AF499" s="26">
        <v>169</v>
      </c>
      <c r="AG499" s="12">
        <v>109</v>
      </c>
      <c r="AH499" s="14">
        <v>1</v>
      </c>
      <c r="AI499" s="209"/>
      <c r="AJ499" s="3"/>
      <c r="AK499" s="3"/>
      <c r="AL499" s="3"/>
      <c r="AM499" s="3"/>
      <c r="AN499" s="3"/>
      <c r="AO499" s="40"/>
      <c r="AP499" s="209"/>
      <c r="AQ499" s="3"/>
      <c r="AR499" s="40"/>
      <c r="AS499" s="238"/>
    </row>
    <row r="500" spans="1:45" s="229" customFormat="1">
      <c r="A500" s="83" t="s">
        <v>323</v>
      </c>
      <c r="B500" s="386">
        <v>12.331666666666667</v>
      </c>
      <c r="C500" s="229" t="s">
        <v>218</v>
      </c>
      <c r="D500" s="229" t="s">
        <v>677</v>
      </c>
      <c r="E500" s="229" t="s">
        <v>1</v>
      </c>
      <c r="F500" s="229">
        <v>176</v>
      </c>
      <c r="G500" s="40">
        <f>F500/97</f>
        <v>1.8144329896907216</v>
      </c>
      <c r="H500" s="14">
        <v>0</v>
      </c>
      <c r="I500" s="229">
        <v>0</v>
      </c>
      <c r="J500" s="229">
        <v>0</v>
      </c>
      <c r="K500" s="26">
        <v>1</v>
      </c>
      <c r="L500" s="14">
        <v>0</v>
      </c>
      <c r="M500" s="229">
        <v>0</v>
      </c>
      <c r="N500" s="229">
        <v>0</v>
      </c>
      <c r="O500" s="229">
        <v>0</v>
      </c>
      <c r="P500" s="26">
        <v>0</v>
      </c>
      <c r="Q500" s="14">
        <v>2</v>
      </c>
      <c r="R500" s="229">
        <v>0</v>
      </c>
      <c r="S500" s="229">
        <v>0</v>
      </c>
      <c r="T500" s="229">
        <v>0</v>
      </c>
      <c r="U500" s="229">
        <v>0</v>
      </c>
      <c r="V500" s="229">
        <v>0</v>
      </c>
      <c r="W500" s="229">
        <v>14</v>
      </c>
      <c r="X500" s="229">
        <v>0</v>
      </c>
      <c r="Y500" s="229">
        <v>0</v>
      </c>
      <c r="Z500" s="229">
        <v>0</v>
      </c>
      <c r="AA500" s="229">
        <v>0</v>
      </c>
      <c r="AC500" s="12">
        <v>1</v>
      </c>
      <c r="AD500" s="14">
        <v>1</v>
      </c>
      <c r="AE500" s="14">
        <v>0</v>
      </c>
      <c r="AF500" s="26">
        <v>0</v>
      </c>
      <c r="AG500" s="12">
        <v>109</v>
      </c>
      <c r="AH500" s="14">
        <v>0</v>
      </c>
      <c r="AI500" s="209"/>
      <c r="AJ500" s="3"/>
      <c r="AK500" s="3"/>
      <c r="AL500" s="3"/>
      <c r="AM500" s="3"/>
      <c r="AN500" s="3"/>
      <c r="AO500" s="40"/>
      <c r="AP500" s="209"/>
      <c r="AQ500" s="3"/>
      <c r="AR500" s="40"/>
      <c r="AS500" s="238"/>
    </row>
    <row r="501" spans="1:45" s="229" customFormat="1">
      <c r="A501" s="83" t="s">
        <v>323</v>
      </c>
      <c r="B501" s="386">
        <v>12.331666666666667</v>
      </c>
      <c r="C501" s="229" t="s">
        <v>218</v>
      </c>
      <c r="D501" s="229" t="s">
        <v>677</v>
      </c>
      <c r="E501" s="229" t="s">
        <v>2</v>
      </c>
      <c r="F501" s="229">
        <v>422</v>
      </c>
      <c r="G501" s="40">
        <f>F501/152</f>
        <v>2.7763157894736841</v>
      </c>
      <c r="H501" s="14">
        <v>0</v>
      </c>
      <c r="I501" s="229">
        <v>0</v>
      </c>
      <c r="J501" s="229">
        <v>0</v>
      </c>
      <c r="K501" s="26">
        <v>1</v>
      </c>
      <c r="L501" s="14">
        <v>0</v>
      </c>
      <c r="M501" s="229">
        <v>0</v>
      </c>
      <c r="N501" s="229">
        <v>0</v>
      </c>
      <c r="O501" s="229">
        <v>0</v>
      </c>
      <c r="P501" s="26">
        <v>0</v>
      </c>
      <c r="Q501" s="14">
        <v>5</v>
      </c>
      <c r="R501" s="229">
        <v>0</v>
      </c>
      <c r="S501" s="229">
        <v>0</v>
      </c>
      <c r="T501" s="229">
        <v>0</v>
      </c>
      <c r="U501" s="229">
        <v>0</v>
      </c>
      <c r="V501" s="229">
        <v>16</v>
      </c>
      <c r="W501" s="229">
        <v>82</v>
      </c>
      <c r="X501" s="229">
        <v>0</v>
      </c>
      <c r="Y501" s="229">
        <v>0</v>
      </c>
      <c r="Z501" s="229">
        <v>0</v>
      </c>
      <c r="AA501" s="229">
        <v>0</v>
      </c>
      <c r="AC501" s="12">
        <v>2</v>
      </c>
      <c r="AD501" s="14">
        <v>2</v>
      </c>
      <c r="AE501" s="14">
        <v>89</v>
      </c>
      <c r="AF501" s="26">
        <v>422</v>
      </c>
      <c r="AG501" s="12">
        <v>109</v>
      </c>
      <c r="AH501" s="14">
        <v>1</v>
      </c>
      <c r="AI501" s="209"/>
      <c r="AJ501" s="3"/>
      <c r="AK501" s="3"/>
      <c r="AL501" s="3"/>
      <c r="AM501" s="3"/>
      <c r="AN501" s="3"/>
      <c r="AO501" s="40"/>
      <c r="AP501" s="209"/>
      <c r="AQ501" s="3"/>
      <c r="AR501" s="40"/>
      <c r="AS501" s="238"/>
    </row>
    <row r="502" spans="1:45" s="229" customFormat="1">
      <c r="A502" s="83" t="s">
        <v>323</v>
      </c>
      <c r="B502" s="386">
        <v>12.331666666666667</v>
      </c>
      <c r="C502" s="229" t="s">
        <v>218</v>
      </c>
      <c r="D502" s="229" t="s">
        <v>677</v>
      </c>
      <c r="E502" s="229" t="s">
        <v>3</v>
      </c>
      <c r="F502" s="229">
        <v>203</v>
      </c>
      <c r="G502" s="40">
        <f>F502/93</f>
        <v>2.182795698924731</v>
      </c>
      <c r="H502" s="14">
        <v>0</v>
      </c>
      <c r="I502" s="229">
        <v>0</v>
      </c>
      <c r="J502" s="229">
        <v>1</v>
      </c>
      <c r="K502" s="26">
        <v>0</v>
      </c>
      <c r="L502" s="14">
        <v>0</v>
      </c>
      <c r="M502" s="229">
        <v>0</v>
      </c>
      <c r="N502" s="229">
        <v>0</v>
      </c>
      <c r="O502" s="229">
        <v>0</v>
      </c>
      <c r="P502" s="26">
        <v>0</v>
      </c>
      <c r="Q502" s="14">
        <v>0</v>
      </c>
      <c r="R502" s="229">
        <v>0</v>
      </c>
      <c r="S502" s="229">
        <v>0</v>
      </c>
      <c r="T502" s="229">
        <v>0</v>
      </c>
      <c r="U502" s="229">
        <v>0</v>
      </c>
      <c r="V502" s="229">
        <v>0</v>
      </c>
      <c r="W502" s="229">
        <v>0</v>
      </c>
      <c r="X502" s="229">
        <v>0</v>
      </c>
      <c r="Y502" s="229">
        <v>0</v>
      </c>
      <c r="Z502" s="229">
        <v>0</v>
      </c>
      <c r="AA502" s="229">
        <v>0</v>
      </c>
      <c r="AC502" s="12">
        <v>1</v>
      </c>
      <c r="AD502" s="14">
        <v>1</v>
      </c>
      <c r="AE502" s="14">
        <v>0</v>
      </c>
      <c r="AF502" s="26">
        <v>0</v>
      </c>
      <c r="AG502" s="12">
        <v>109</v>
      </c>
      <c r="AH502" s="14">
        <v>1</v>
      </c>
      <c r="AI502" s="209"/>
      <c r="AJ502" s="3"/>
      <c r="AK502" s="3"/>
      <c r="AL502" s="3"/>
      <c r="AM502" s="3"/>
      <c r="AN502" s="3"/>
      <c r="AO502" s="40"/>
      <c r="AP502" s="209"/>
      <c r="AQ502" s="3"/>
      <c r="AR502" s="40"/>
      <c r="AS502" s="238"/>
    </row>
    <row r="503" spans="1:45" s="229" customFormat="1" ht="17" thickBot="1">
      <c r="A503" s="84" t="s">
        <v>323</v>
      </c>
      <c r="B503" s="385">
        <v>12.331666666666667</v>
      </c>
      <c r="C503" s="229" t="s">
        <v>218</v>
      </c>
      <c r="D503" s="229" t="s">
        <v>677</v>
      </c>
      <c r="E503" s="229" t="s">
        <v>4</v>
      </c>
      <c r="F503" s="229">
        <v>108</v>
      </c>
      <c r="G503" s="40">
        <f>F503/91</f>
        <v>1.1868131868131868</v>
      </c>
      <c r="H503" s="14">
        <v>0</v>
      </c>
      <c r="I503" s="229">
        <v>0</v>
      </c>
      <c r="J503" s="229">
        <v>1</v>
      </c>
      <c r="K503" s="26">
        <v>0</v>
      </c>
      <c r="L503" s="14">
        <v>0</v>
      </c>
      <c r="M503" s="229">
        <v>0</v>
      </c>
      <c r="N503" s="229">
        <v>0</v>
      </c>
      <c r="O503" s="229">
        <v>0</v>
      </c>
      <c r="P503" s="26">
        <v>0</v>
      </c>
      <c r="Q503" s="14">
        <v>0</v>
      </c>
      <c r="R503" s="229">
        <v>0</v>
      </c>
      <c r="S503" s="229">
        <v>0</v>
      </c>
      <c r="T503" s="229">
        <v>0</v>
      </c>
      <c r="U503" s="229">
        <v>0</v>
      </c>
      <c r="V503" s="229">
        <v>0</v>
      </c>
      <c r="W503" s="229">
        <v>0</v>
      </c>
      <c r="X503" s="229">
        <v>0</v>
      </c>
      <c r="Y503" s="229">
        <v>0</v>
      </c>
      <c r="Z503" s="229">
        <v>0</v>
      </c>
      <c r="AA503" s="229">
        <v>0</v>
      </c>
      <c r="AC503" s="12">
        <v>1</v>
      </c>
      <c r="AD503" s="14">
        <v>1</v>
      </c>
      <c r="AE503" s="14">
        <v>0</v>
      </c>
      <c r="AF503" s="26">
        <v>0</v>
      </c>
      <c r="AG503" s="12">
        <v>109</v>
      </c>
      <c r="AH503" s="14">
        <v>0</v>
      </c>
      <c r="AI503" s="209"/>
      <c r="AJ503" s="3"/>
      <c r="AK503" s="3"/>
      <c r="AL503" s="3"/>
      <c r="AM503" s="3"/>
      <c r="AN503" s="3"/>
      <c r="AO503" s="40"/>
      <c r="AP503" s="209"/>
      <c r="AQ503" s="3"/>
      <c r="AR503" s="40"/>
      <c r="AS503" s="238"/>
    </row>
    <row r="504" spans="1:45" s="229" customFormat="1">
      <c r="A504" s="83" t="s">
        <v>323</v>
      </c>
      <c r="B504" s="384">
        <v>12.705666666666668</v>
      </c>
      <c r="C504" s="8" t="s">
        <v>421</v>
      </c>
      <c r="D504" s="8" t="s">
        <v>423</v>
      </c>
      <c r="E504" s="8" t="s">
        <v>0</v>
      </c>
      <c r="F504" s="8">
        <v>2238</v>
      </c>
      <c r="G504" s="10">
        <f>F504/2178</f>
        <v>1.0275482093663912</v>
      </c>
      <c r="H504" s="11">
        <v>0</v>
      </c>
      <c r="I504" s="8">
        <v>0</v>
      </c>
      <c r="J504" s="8">
        <v>1</v>
      </c>
      <c r="K504" s="41">
        <v>0</v>
      </c>
      <c r="L504" s="11">
        <v>0</v>
      </c>
      <c r="M504" s="8">
        <v>0</v>
      </c>
      <c r="N504" s="8">
        <v>1</v>
      </c>
      <c r="O504" s="8">
        <v>0</v>
      </c>
      <c r="P504" s="41">
        <v>1</v>
      </c>
      <c r="Q504" s="11">
        <v>2</v>
      </c>
      <c r="R504" s="8">
        <v>0</v>
      </c>
      <c r="S504" s="8">
        <v>0</v>
      </c>
      <c r="T504" s="8">
        <v>0</v>
      </c>
      <c r="U504" s="8">
        <v>0</v>
      </c>
      <c r="V504" s="8">
        <v>15</v>
      </c>
      <c r="W504" s="8">
        <v>110</v>
      </c>
      <c r="X504" s="8">
        <v>0</v>
      </c>
      <c r="Y504" s="8">
        <v>0</v>
      </c>
      <c r="Z504" s="8">
        <v>0</v>
      </c>
      <c r="AA504" s="8">
        <v>0</v>
      </c>
      <c r="AB504" s="8"/>
      <c r="AC504" s="9">
        <v>1</v>
      </c>
      <c r="AD504" s="11">
        <v>1</v>
      </c>
      <c r="AE504" s="11">
        <v>0</v>
      </c>
      <c r="AF504" s="41">
        <v>0</v>
      </c>
      <c r="AG504" s="9">
        <v>146</v>
      </c>
      <c r="AH504" s="11">
        <v>0</v>
      </c>
      <c r="AI504" s="208">
        <v>86.8</v>
      </c>
      <c r="AJ504" s="54"/>
      <c r="AK504" s="54"/>
      <c r="AL504" s="54"/>
      <c r="AM504" s="54"/>
      <c r="AN504" s="54"/>
      <c r="AO504" s="10"/>
      <c r="AP504" s="208">
        <v>86.3</v>
      </c>
      <c r="AQ504" s="54"/>
      <c r="AR504" s="10"/>
      <c r="AS504" s="237"/>
    </row>
    <row r="505" spans="1:45" s="229" customFormat="1">
      <c r="A505" s="83" t="s">
        <v>323</v>
      </c>
      <c r="B505" s="386">
        <v>12.705666666666668</v>
      </c>
      <c r="C505" s="229" t="s">
        <v>421</v>
      </c>
      <c r="D505" s="229" t="s">
        <v>622</v>
      </c>
      <c r="E505" s="229" t="s">
        <v>0</v>
      </c>
      <c r="F505" s="229">
        <v>2797</v>
      </c>
      <c r="G505" s="40">
        <f>F505/839</f>
        <v>3.3337306317044102</v>
      </c>
      <c r="H505" s="14">
        <v>0</v>
      </c>
      <c r="I505" s="229">
        <v>0</v>
      </c>
      <c r="J505" s="229">
        <v>1</v>
      </c>
      <c r="K505" s="26">
        <v>0</v>
      </c>
      <c r="L505" s="14">
        <v>0</v>
      </c>
      <c r="M505" s="229">
        <v>0</v>
      </c>
      <c r="N505" s="229">
        <v>1</v>
      </c>
      <c r="O505" s="229">
        <v>0</v>
      </c>
      <c r="P505" s="26">
        <v>1</v>
      </c>
      <c r="Q505" s="14">
        <v>2</v>
      </c>
      <c r="R505" s="229">
        <v>0</v>
      </c>
      <c r="S505" s="229">
        <v>0</v>
      </c>
      <c r="T505" s="229">
        <v>0</v>
      </c>
      <c r="U505" s="229">
        <v>0</v>
      </c>
      <c r="V505" s="229">
        <v>0</v>
      </c>
      <c r="W505" s="229">
        <v>53</v>
      </c>
      <c r="X505" s="229">
        <v>0</v>
      </c>
      <c r="Y505" s="229">
        <v>17</v>
      </c>
      <c r="Z505" s="229">
        <v>0</v>
      </c>
      <c r="AA505" s="229">
        <v>0</v>
      </c>
      <c r="AB505" s="229">
        <v>1</v>
      </c>
      <c r="AC505" s="12">
        <v>1</v>
      </c>
      <c r="AD505" s="14">
        <v>1</v>
      </c>
      <c r="AE505" s="14">
        <v>0</v>
      </c>
      <c r="AF505" s="26">
        <v>0</v>
      </c>
      <c r="AG505" s="12">
        <v>145</v>
      </c>
      <c r="AH505" s="14">
        <v>0</v>
      </c>
      <c r="AI505" s="209">
        <v>87.5</v>
      </c>
      <c r="AJ505" s="3">
        <v>89.6</v>
      </c>
      <c r="AK505" s="3"/>
      <c r="AL505" s="3"/>
      <c r="AM505" s="3"/>
      <c r="AN505" s="3"/>
      <c r="AO505" s="40"/>
      <c r="AP505" s="209">
        <v>85.7</v>
      </c>
      <c r="AQ505" s="250">
        <v>86.5</v>
      </c>
      <c r="AR505" s="251"/>
      <c r="AS505" s="252"/>
    </row>
    <row r="506" spans="1:45" s="229" customFormat="1">
      <c r="A506" s="83" t="s">
        <v>323</v>
      </c>
      <c r="B506" s="386">
        <v>12.705666666666668</v>
      </c>
      <c r="C506" s="229" t="s">
        <v>421</v>
      </c>
      <c r="D506" s="229" t="s">
        <v>620</v>
      </c>
      <c r="F506" s="229">
        <v>449</v>
      </c>
      <c r="G506" s="40">
        <f>F506/370</f>
        <v>1.2135135135135136</v>
      </c>
      <c r="H506" s="14">
        <v>0</v>
      </c>
      <c r="I506" s="229">
        <v>1</v>
      </c>
      <c r="J506" s="229">
        <v>0</v>
      </c>
      <c r="K506" s="26">
        <v>1</v>
      </c>
      <c r="L506" s="14">
        <v>0</v>
      </c>
      <c r="M506" s="229">
        <v>1</v>
      </c>
      <c r="N506" s="229">
        <v>0</v>
      </c>
      <c r="O506" s="229">
        <v>0</v>
      </c>
      <c r="P506" s="26">
        <v>1</v>
      </c>
      <c r="Q506" s="14">
        <v>5</v>
      </c>
      <c r="R506" s="229">
        <v>0</v>
      </c>
      <c r="S506" s="229">
        <v>4</v>
      </c>
      <c r="T506" s="229">
        <v>0</v>
      </c>
      <c r="U506" s="229">
        <v>0</v>
      </c>
      <c r="V506" s="229">
        <v>0</v>
      </c>
      <c r="W506" s="229">
        <v>0</v>
      </c>
      <c r="X506" s="229">
        <v>0</v>
      </c>
      <c r="Y506" s="229">
        <v>0</v>
      </c>
      <c r="Z506" s="229">
        <v>35</v>
      </c>
      <c r="AA506" s="229">
        <v>38</v>
      </c>
      <c r="AC506" s="12">
        <v>2</v>
      </c>
      <c r="AD506" s="14">
        <v>5</v>
      </c>
      <c r="AE506" s="14">
        <v>155</v>
      </c>
      <c r="AF506" s="26">
        <v>411</v>
      </c>
      <c r="AG506" s="12">
        <v>73</v>
      </c>
      <c r="AH506" s="14">
        <v>1</v>
      </c>
      <c r="AI506" s="209"/>
      <c r="AJ506" s="3"/>
      <c r="AK506" s="3"/>
      <c r="AL506" s="3"/>
      <c r="AM506" s="3"/>
      <c r="AN506" s="3"/>
      <c r="AO506" s="40"/>
      <c r="AP506" s="209"/>
      <c r="AQ506" s="3"/>
      <c r="AR506" s="40"/>
      <c r="AS506" s="238"/>
    </row>
    <row r="507" spans="1:45" s="229" customFormat="1">
      <c r="A507" s="83" t="s">
        <v>323</v>
      </c>
      <c r="B507" s="386">
        <v>12.705666666666668</v>
      </c>
      <c r="C507" s="229" t="s">
        <v>421</v>
      </c>
      <c r="D507" s="229" t="s">
        <v>629</v>
      </c>
      <c r="F507" s="229">
        <v>593</v>
      </c>
      <c r="G507" s="40">
        <f>F507/482</f>
        <v>1.2302904564315353</v>
      </c>
      <c r="H507" s="14">
        <v>1</v>
      </c>
      <c r="I507" s="229">
        <v>0</v>
      </c>
      <c r="J507" s="229">
        <v>0</v>
      </c>
      <c r="K507" s="26">
        <v>0</v>
      </c>
      <c r="L507" s="14">
        <v>0</v>
      </c>
      <c r="M507" s="229">
        <v>0</v>
      </c>
      <c r="N507" s="229">
        <v>1</v>
      </c>
      <c r="O507" s="229">
        <v>0</v>
      </c>
      <c r="P507" s="26">
        <v>1</v>
      </c>
      <c r="Q507" s="14">
        <v>0</v>
      </c>
      <c r="R507" s="229">
        <v>0</v>
      </c>
      <c r="S507" s="229">
        <v>0</v>
      </c>
      <c r="T507" s="229">
        <v>0</v>
      </c>
      <c r="U507" s="229">
        <v>0</v>
      </c>
      <c r="V507" s="229">
        <v>0</v>
      </c>
      <c r="W507" s="229">
        <v>0</v>
      </c>
      <c r="X507" s="229">
        <v>0</v>
      </c>
      <c r="Y507" s="229">
        <v>0</v>
      </c>
      <c r="Z507" s="229">
        <v>0</v>
      </c>
      <c r="AA507" s="229">
        <v>0</v>
      </c>
      <c r="AC507" s="12">
        <v>1</v>
      </c>
      <c r="AD507" s="14">
        <v>1</v>
      </c>
      <c r="AE507" s="14">
        <v>0</v>
      </c>
      <c r="AF507" s="26">
        <v>0</v>
      </c>
      <c r="AG507" s="12">
        <v>116</v>
      </c>
      <c r="AH507" s="14">
        <v>1</v>
      </c>
      <c r="AI507" s="209"/>
      <c r="AJ507" s="3"/>
      <c r="AK507" s="3"/>
      <c r="AL507" s="3"/>
      <c r="AM507" s="3"/>
      <c r="AN507" s="3"/>
      <c r="AO507" s="40"/>
      <c r="AP507" s="209"/>
      <c r="AQ507" s="3"/>
      <c r="AR507" s="40"/>
      <c r="AS507" s="238"/>
    </row>
    <row r="508" spans="1:45" s="229" customFormat="1">
      <c r="A508" s="83" t="s">
        <v>323</v>
      </c>
      <c r="B508" s="386">
        <v>12.705666666666668</v>
      </c>
      <c r="C508" s="229" t="s">
        <v>421</v>
      </c>
      <c r="D508" s="229" t="s">
        <v>634</v>
      </c>
      <c r="E508" s="229" t="s">
        <v>0</v>
      </c>
      <c r="F508" s="229">
        <v>243</v>
      </c>
      <c r="G508" s="40">
        <f>F508/88</f>
        <v>2.7613636363636362</v>
      </c>
      <c r="H508" s="14">
        <v>1</v>
      </c>
      <c r="I508" s="229">
        <v>0</v>
      </c>
      <c r="J508" s="229">
        <v>0</v>
      </c>
      <c r="K508" s="26">
        <v>1</v>
      </c>
      <c r="L508" s="14">
        <v>0</v>
      </c>
      <c r="M508" s="229">
        <v>0</v>
      </c>
      <c r="N508" s="229">
        <v>1</v>
      </c>
      <c r="O508" s="229">
        <v>0</v>
      </c>
      <c r="P508" s="26">
        <v>1</v>
      </c>
      <c r="Q508" s="14">
        <v>0</v>
      </c>
      <c r="R508" s="229">
        <v>0</v>
      </c>
      <c r="S508" s="229">
        <v>0</v>
      </c>
      <c r="T508" s="229">
        <v>0</v>
      </c>
      <c r="U508" s="229">
        <v>0</v>
      </c>
      <c r="V508" s="229">
        <v>0</v>
      </c>
      <c r="W508" s="229">
        <v>0</v>
      </c>
      <c r="X508" s="229">
        <v>0</v>
      </c>
      <c r="Y508" s="229">
        <v>0</v>
      </c>
      <c r="Z508" s="229">
        <v>0</v>
      </c>
      <c r="AA508" s="229">
        <v>0</v>
      </c>
      <c r="AC508" s="12">
        <v>2</v>
      </c>
      <c r="AD508" s="14">
        <v>2</v>
      </c>
      <c r="AE508" s="14">
        <v>118</v>
      </c>
      <c r="AF508" s="26">
        <v>243</v>
      </c>
      <c r="AG508" s="12">
        <v>109</v>
      </c>
      <c r="AH508" s="14">
        <v>1</v>
      </c>
      <c r="AI508" s="209"/>
      <c r="AJ508" s="3"/>
      <c r="AK508" s="3"/>
      <c r="AL508" s="3"/>
      <c r="AM508" s="3"/>
      <c r="AN508" s="3"/>
      <c r="AO508" s="40"/>
      <c r="AP508" s="209"/>
      <c r="AQ508" s="3"/>
      <c r="AR508" s="40"/>
      <c r="AS508" s="238"/>
    </row>
    <row r="509" spans="1:45" s="229" customFormat="1">
      <c r="A509" s="83" t="s">
        <v>323</v>
      </c>
      <c r="B509" s="386">
        <v>12.705666666666668</v>
      </c>
      <c r="C509" s="229" t="s">
        <v>421</v>
      </c>
      <c r="D509" s="229" t="s">
        <v>634</v>
      </c>
      <c r="E509" s="229" t="s">
        <v>1</v>
      </c>
      <c r="F509" s="229">
        <v>293</v>
      </c>
      <c r="G509" s="40">
        <f>F509/243</f>
        <v>1.2057613168724279</v>
      </c>
      <c r="H509" s="14">
        <v>1</v>
      </c>
      <c r="I509" s="229">
        <v>0</v>
      </c>
      <c r="J509" s="229">
        <v>0</v>
      </c>
      <c r="K509" s="26">
        <v>1</v>
      </c>
      <c r="L509" s="14">
        <v>0</v>
      </c>
      <c r="M509" s="229">
        <v>0</v>
      </c>
      <c r="N509" s="229">
        <v>1</v>
      </c>
      <c r="O509" s="229">
        <v>0</v>
      </c>
      <c r="P509" s="26">
        <v>1</v>
      </c>
      <c r="Q509" s="14">
        <v>3</v>
      </c>
      <c r="R509" s="229">
        <v>8</v>
      </c>
      <c r="S509" s="229">
        <v>15</v>
      </c>
      <c r="T509" s="229">
        <v>0</v>
      </c>
      <c r="U509" s="229">
        <v>0</v>
      </c>
      <c r="V509" s="229">
        <v>0</v>
      </c>
      <c r="W509" s="229">
        <v>7</v>
      </c>
      <c r="X509" s="229">
        <v>0</v>
      </c>
      <c r="Y509" s="229">
        <v>0</v>
      </c>
      <c r="Z509" s="229">
        <v>0</v>
      </c>
      <c r="AA509" s="229">
        <v>31</v>
      </c>
      <c r="AC509" s="12">
        <v>2</v>
      </c>
      <c r="AD509" s="14">
        <v>5</v>
      </c>
      <c r="AE509" s="14">
        <v>47</v>
      </c>
      <c r="AF509" s="26">
        <v>221</v>
      </c>
      <c r="AG509" s="12">
        <v>109</v>
      </c>
      <c r="AH509" s="14">
        <v>0</v>
      </c>
      <c r="AI509" s="209"/>
      <c r="AJ509" s="3"/>
      <c r="AK509" s="3"/>
      <c r="AL509" s="3"/>
      <c r="AM509" s="3"/>
      <c r="AN509" s="3"/>
      <c r="AO509" s="40"/>
      <c r="AP509" s="209"/>
      <c r="AQ509" s="3"/>
      <c r="AR509" s="40"/>
      <c r="AS509" s="238"/>
    </row>
    <row r="510" spans="1:45" s="229" customFormat="1">
      <c r="A510" s="83" t="s">
        <v>323</v>
      </c>
      <c r="B510" s="386">
        <v>12.705666666666668</v>
      </c>
      <c r="C510" s="229" t="s">
        <v>421</v>
      </c>
      <c r="D510" s="229" t="s">
        <v>634</v>
      </c>
      <c r="E510" s="229" t="s">
        <v>2</v>
      </c>
      <c r="F510" s="229">
        <v>91</v>
      </c>
      <c r="G510" s="40">
        <f>F510/80</f>
        <v>1.1375</v>
      </c>
      <c r="H510" s="14">
        <v>0</v>
      </c>
      <c r="I510" s="229">
        <v>0</v>
      </c>
      <c r="J510" s="229">
        <v>0</v>
      </c>
      <c r="K510" s="26">
        <v>1</v>
      </c>
      <c r="L510" s="14">
        <v>0</v>
      </c>
      <c r="M510" s="229">
        <v>0</v>
      </c>
      <c r="N510" s="229">
        <v>1</v>
      </c>
      <c r="O510" s="229">
        <v>0</v>
      </c>
      <c r="P510" s="26">
        <v>1</v>
      </c>
      <c r="Q510" s="14">
        <v>2</v>
      </c>
      <c r="R510" s="229">
        <v>0</v>
      </c>
      <c r="S510" s="229">
        <v>7</v>
      </c>
      <c r="T510" s="229">
        <v>0</v>
      </c>
      <c r="U510" s="229">
        <v>0</v>
      </c>
      <c r="V510" s="229">
        <v>0</v>
      </c>
      <c r="W510" s="229">
        <v>0</v>
      </c>
      <c r="X510" s="229">
        <v>0</v>
      </c>
      <c r="Y510" s="229">
        <v>0</v>
      </c>
      <c r="Z510" s="229">
        <v>0</v>
      </c>
      <c r="AA510" s="229">
        <v>17</v>
      </c>
      <c r="AC510" s="12">
        <v>1</v>
      </c>
      <c r="AD510" s="14">
        <v>1</v>
      </c>
      <c r="AE510" s="14">
        <v>0</v>
      </c>
      <c r="AF510" s="26">
        <v>0</v>
      </c>
      <c r="AG510" s="12">
        <v>109</v>
      </c>
      <c r="AH510" s="14">
        <v>0</v>
      </c>
      <c r="AI510" s="209"/>
      <c r="AJ510" s="3"/>
      <c r="AK510" s="3"/>
      <c r="AL510" s="3"/>
      <c r="AM510" s="3"/>
      <c r="AN510" s="3"/>
      <c r="AO510" s="40"/>
      <c r="AP510" s="209"/>
      <c r="AQ510" s="3"/>
      <c r="AR510" s="40"/>
      <c r="AS510" s="238"/>
    </row>
    <row r="511" spans="1:45" s="229" customFormat="1">
      <c r="A511" s="83" t="s">
        <v>323</v>
      </c>
      <c r="B511" s="386">
        <v>12.705666666666668</v>
      </c>
      <c r="C511" s="229" t="s">
        <v>421</v>
      </c>
      <c r="D511" s="229" t="s">
        <v>625</v>
      </c>
      <c r="E511" s="229" t="s">
        <v>0</v>
      </c>
      <c r="F511" s="229">
        <v>193</v>
      </c>
      <c r="G511" s="40">
        <f>F511/97</f>
        <v>1.9896907216494846</v>
      </c>
      <c r="H511" s="14">
        <v>1</v>
      </c>
      <c r="I511" s="229">
        <v>0</v>
      </c>
      <c r="J511" s="229">
        <v>0</v>
      </c>
      <c r="K511" s="26">
        <v>0</v>
      </c>
      <c r="L511" s="14">
        <v>0</v>
      </c>
      <c r="M511" s="229">
        <v>0</v>
      </c>
      <c r="N511" s="229">
        <v>0</v>
      </c>
      <c r="O511" s="229">
        <v>0</v>
      </c>
      <c r="P511" s="26">
        <v>0</v>
      </c>
      <c r="Q511" s="14">
        <v>0</v>
      </c>
      <c r="R511" s="229">
        <v>0</v>
      </c>
      <c r="S511" s="229">
        <v>0</v>
      </c>
      <c r="T511" s="229">
        <v>0</v>
      </c>
      <c r="U511" s="229">
        <v>0</v>
      </c>
      <c r="V511" s="229">
        <v>0</v>
      </c>
      <c r="W511" s="229">
        <v>0</v>
      </c>
      <c r="X511" s="229">
        <v>0</v>
      </c>
      <c r="Y511" s="229">
        <v>0</v>
      </c>
      <c r="Z511" s="229">
        <v>0</v>
      </c>
      <c r="AA511" s="229">
        <v>0</v>
      </c>
      <c r="AC511" s="12">
        <v>1</v>
      </c>
      <c r="AD511" s="14">
        <v>1</v>
      </c>
      <c r="AE511" s="14">
        <v>0</v>
      </c>
      <c r="AF511" s="26">
        <v>0</v>
      </c>
      <c r="AG511" s="12"/>
      <c r="AH511" s="14">
        <v>0</v>
      </c>
      <c r="AI511" s="209"/>
      <c r="AJ511" s="3"/>
      <c r="AK511" s="3"/>
      <c r="AL511" s="3"/>
      <c r="AM511" s="3"/>
      <c r="AN511" s="3"/>
      <c r="AO511" s="40"/>
      <c r="AP511" s="209"/>
      <c r="AQ511" s="3"/>
      <c r="AR511" s="40"/>
      <c r="AS511" s="238"/>
    </row>
    <row r="512" spans="1:45" s="229" customFormat="1">
      <c r="A512" s="83" t="s">
        <v>323</v>
      </c>
      <c r="B512" s="386">
        <v>12.705666666666668</v>
      </c>
      <c r="C512" s="229" t="s">
        <v>421</v>
      </c>
      <c r="D512" s="229" t="s">
        <v>625</v>
      </c>
      <c r="E512" s="229" t="s">
        <v>1</v>
      </c>
      <c r="F512" s="229">
        <v>186</v>
      </c>
      <c r="G512" s="40">
        <f>F512/146</f>
        <v>1.273972602739726</v>
      </c>
      <c r="H512" s="14">
        <v>0</v>
      </c>
      <c r="I512" s="229">
        <v>0</v>
      </c>
      <c r="J512" s="229">
        <v>0</v>
      </c>
      <c r="K512" s="26">
        <v>1</v>
      </c>
      <c r="L512" s="14">
        <v>0</v>
      </c>
      <c r="M512" s="229">
        <v>0</v>
      </c>
      <c r="N512" s="229">
        <v>0</v>
      </c>
      <c r="O512" s="229">
        <v>0</v>
      </c>
      <c r="P512" s="26">
        <v>0</v>
      </c>
      <c r="Q512" s="14">
        <v>2</v>
      </c>
      <c r="R512" s="229">
        <v>0</v>
      </c>
      <c r="S512" s="229">
        <v>0</v>
      </c>
      <c r="T512" s="229">
        <v>0</v>
      </c>
      <c r="U512" s="229">
        <v>0</v>
      </c>
      <c r="V512" s="229">
        <v>0</v>
      </c>
      <c r="W512" s="229">
        <v>41</v>
      </c>
      <c r="X512" s="229">
        <v>0</v>
      </c>
      <c r="Y512" s="229">
        <v>0</v>
      </c>
      <c r="Z512" s="229">
        <v>0</v>
      </c>
      <c r="AA512" s="229">
        <v>0</v>
      </c>
      <c r="AC512" s="12">
        <v>1</v>
      </c>
      <c r="AD512" s="14">
        <v>1</v>
      </c>
      <c r="AE512" s="14">
        <v>0</v>
      </c>
      <c r="AF512" s="26">
        <v>0</v>
      </c>
      <c r="AG512" s="12"/>
      <c r="AH512" s="14">
        <v>0</v>
      </c>
      <c r="AI512" s="209"/>
      <c r="AJ512" s="3"/>
      <c r="AK512" s="3"/>
      <c r="AL512" s="3"/>
      <c r="AM512" s="3"/>
      <c r="AN512" s="3"/>
      <c r="AO512" s="40"/>
      <c r="AP512" s="209"/>
      <c r="AQ512" s="3"/>
      <c r="AR512" s="40"/>
      <c r="AS512" s="238"/>
    </row>
    <row r="513" spans="1:45" s="229" customFormat="1">
      <c r="A513" s="83" t="s">
        <v>323</v>
      </c>
      <c r="B513" s="386">
        <v>12.705666666666668</v>
      </c>
      <c r="C513" s="229" t="s">
        <v>421</v>
      </c>
      <c r="D513" s="229" t="s">
        <v>630</v>
      </c>
      <c r="E513" s="229" t="s">
        <v>0</v>
      </c>
      <c r="F513" s="229">
        <v>190</v>
      </c>
      <c r="G513" s="40">
        <f>F513/170</f>
        <v>1.1176470588235294</v>
      </c>
      <c r="H513" s="14">
        <v>0</v>
      </c>
      <c r="I513" s="229">
        <v>0</v>
      </c>
      <c r="J513" s="229">
        <v>0</v>
      </c>
      <c r="K513" s="26">
        <v>1</v>
      </c>
      <c r="L513" s="14">
        <v>0</v>
      </c>
      <c r="M513" s="229">
        <v>0</v>
      </c>
      <c r="N513" s="229">
        <v>1</v>
      </c>
      <c r="O513" s="229">
        <v>0</v>
      </c>
      <c r="P513" s="26">
        <v>1</v>
      </c>
      <c r="Q513" s="14">
        <v>4</v>
      </c>
      <c r="R513" s="229">
        <v>0</v>
      </c>
      <c r="S513" s="229">
        <v>0</v>
      </c>
      <c r="T513" s="229">
        <v>0</v>
      </c>
      <c r="U513" s="229">
        <v>0</v>
      </c>
      <c r="V513" s="229">
        <v>18</v>
      </c>
      <c r="W513" s="229">
        <v>25</v>
      </c>
      <c r="X513" s="229">
        <v>0</v>
      </c>
      <c r="Y513" s="229">
        <v>0</v>
      </c>
      <c r="Z513" s="229">
        <v>0</v>
      </c>
      <c r="AA513" s="229">
        <v>0</v>
      </c>
      <c r="AC513" s="12">
        <v>2</v>
      </c>
      <c r="AD513" s="14">
        <v>2</v>
      </c>
      <c r="AE513" s="14">
        <v>147</v>
      </c>
      <c r="AF513" s="26">
        <v>174</v>
      </c>
      <c r="AG513" s="12">
        <v>92</v>
      </c>
      <c r="AH513" s="14">
        <v>1</v>
      </c>
      <c r="AI513" s="209"/>
      <c r="AJ513" s="3"/>
      <c r="AK513" s="3"/>
      <c r="AL513" s="3"/>
      <c r="AM513" s="3"/>
      <c r="AN513" s="3"/>
      <c r="AO513" s="40"/>
      <c r="AP513" s="209"/>
      <c r="AQ513" s="3"/>
      <c r="AR513" s="40"/>
      <c r="AS513" s="238"/>
    </row>
    <row r="514" spans="1:45" s="229" customFormat="1">
      <c r="A514" s="83" t="s">
        <v>323</v>
      </c>
      <c r="B514" s="386">
        <v>12.705666666666668</v>
      </c>
      <c r="C514" s="229" t="s">
        <v>421</v>
      </c>
      <c r="D514" s="229" t="s">
        <v>630</v>
      </c>
      <c r="E514" s="229" t="s">
        <v>1</v>
      </c>
      <c r="F514" s="229">
        <v>186</v>
      </c>
      <c r="G514" s="40">
        <f>F514/154</f>
        <v>1.2077922077922079</v>
      </c>
      <c r="H514" s="14">
        <v>1</v>
      </c>
      <c r="I514" s="229">
        <v>0</v>
      </c>
      <c r="J514" s="229">
        <v>0</v>
      </c>
      <c r="K514" s="26">
        <v>0</v>
      </c>
      <c r="L514" s="14">
        <v>0</v>
      </c>
      <c r="M514" s="229">
        <v>0</v>
      </c>
      <c r="N514" s="229">
        <v>0</v>
      </c>
      <c r="O514" s="229">
        <v>0</v>
      </c>
      <c r="P514" s="26">
        <v>0</v>
      </c>
      <c r="Q514" s="14">
        <v>2</v>
      </c>
      <c r="R514" s="229">
        <v>0</v>
      </c>
      <c r="S514" s="229">
        <v>0</v>
      </c>
      <c r="T514" s="229">
        <v>0</v>
      </c>
      <c r="U514" s="229">
        <v>0</v>
      </c>
      <c r="V514" s="229">
        <v>0</v>
      </c>
      <c r="W514" s="229">
        <v>65</v>
      </c>
      <c r="X514" s="229">
        <v>0</v>
      </c>
      <c r="Y514" s="229">
        <v>0</v>
      </c>
      <c r="Z514" s="229">
        <v>0</v>
      </c>
      <c r="AA514" s="229">
        <v>0</v>
      </c>
      <c r="AC514" s="12">
        <v>1</v>
      </c>
      <c r="AD514" s="14">
        <v>1</v>
      </c>
      <c r="AE514" s="14">
        <v>0</v>
      </c>
      <c r="AF514" s="26">
        <v>0</v>
      </c>
      <c r="AG514" s="12">
        <v>92</v>
      </c>
      <c r="AH514" s="14">
        <v>0</v>
      </c>
      <c r="AI514" s="209"/>
      <c r="AJ514" s="3"/>
      <c r="AK514" s="3"/>
      <c r="AL514" s="3"/>
      <c r="AM514" s="3"/>
      <c r="AN514" s="3"/>
      <c r="AO514" s="40"/>
      <c r="AP514" s="209"/>
      <c r="AQ514" s="3"/>
      <c r="AR514" s="40"/>
      <c r="AS514" s="238"/>
    </row>
    <row r="515" spans="1:45" s="229" customFormat="1">
      <c r="A515" s="83" t="s">
        <v>323</v>
      </c>
      <c r="B515" s="386">
        <v>12.705666666666668</v>
      </c>
      <c r="C515" s="229" t="s">
        <v>421</v>
      </c>
      <c r="D515" s="229" t="s">
        <v>630</v>
      </c>
      <c r="E515" s="229" t="s">
        <v>2</v>
      </c>
      <c r="F515" s="229">
        <v>154</v>
      </c>
      <c r="G515" s="40">
        <f>F515/116</f>
        <v>1.3275862068965518</v>
      </c>
      <c r="H515" s="14">
        <v>1</v>
      </c>
      <c r="I515" s="229">
        <v>0</v>
      </c>
      <c r="J515" s="229">
        <v>0</v>
      </c>
      <c r="K515" s="26">
        <v>0</v>
      </c>
      <c r="L515" s="14">
        <v>0</v>
      </c>
      <c r="M515" s="229">
        <v>0</v>
      </c>
      <c r="N515" s="229">
        <v>0</v>
      </c>
      <c r="O515" s="229">
        <v>0</v>
      </c>
      <c r="P515" s="26">
        <v>0</v>
      </c>
      <c r="Q515" s="14">
        <v>1</v>
      </c>
      <c r="R515" s="229">
        <v>0</v>
      </c>
      <c r="S515" s="229">
        <v>0</v>
      </c>
      <c r="T515" s="229">
        <v>0</v>
      </c>
      <c r="U515" s="229">
        <v>0</v>
      </c>
      <c r="V515" s="229">
        <v>0</v>
      </c>
      <c r="W515" s="229">
        <v>15</v>
      </c>
      <c r="X515" s="229">
        <v>0</v>
      </c>
      <c r="Y515" s="229">
        <v>0</v>
      </c>
      <c r="Z515" s="229">
        <v>0</v>
      </c>
      <c r="AA515" s="229">
        <v>0</v>
      </c>
      <c r="AC515" s="12">
        <v>1</v>
      </c>
      <c r="AD515" s="14">
        <v>1</v>
      </c>
      <c r="AE515" s="14">
        <v>0</v>
      </c>
      <c r="AF515" s="26">
        <v>0</v>
      </c>
      <c r="AG515" s="12">
        <v>92</v>
      </c>
      <c r="AH515" s="14">
        <v>1</v>
      </c>
      <c r="AI515" s="209"/>
      <c r="AJ515" s="3"/>
      <c r="AK515" s="3"/>
      <c r="AL515" s="3"/>
      <c r="AM515" s="3"/>
      <c r="AN515" s="3"/>
      <c r="AO515" s="40"/>
      <c r="AP515" s="209"/>
      <c r="AQ515" s="3"/>
      <c r="AR515" s="40"/>
      <c r="AS515" s="238"/>
    </row>
    <row r="516" spans="1:45" s="229" customFormat="1">
      <c r="A516" s="83" t="s">
        <v>323</v>
      </c>
      <c r="B516" s="386">
        <v>12.705666666666668</v>
      </c>
      <c r="C516" s="229" t="s">
        <v>421</v>
      </c>
      <c r="D516" s="229" t="s">
        <v>630</v>
      </c>
      <c r="E516" s="229" t="s">
        <v>3</v>
      </c>
      <c r="F516" s="229">
        <v>229</v>
      </c>
      <c r="G516" s="40">
        <f>F516/224</f>
        <v>1.0223214285714286</v>
      </c>
      <c r="H516" s="14">
        <v>0</v>
      </c>
      <c r="I516" s="229">
        <v>0</v>
      </c>
      <c r="J516" s="229">
        <v>0</v>
      </c>
      <c r="K516" s="26">
        <v>1</v>
      </c>
      <c r="L516" s="14">
        <v>0</v>
      </c>
      <c r="M516" s="229">
        <v>0</v>
      </c>
      <c r="N516" s="229">
        <v>1</v>
      </c>
      <c r="O516" s="229">
        <v>0</v>
      </c>
      <c r="P516" s="26">
        <v>1</v>
      </c>
      <c r="Q516" s="14">
        <v>0</v>
      </c>
      <c r="R516" s="229">
        <v>0</v>
      </c>
      <c r="S516" s="229">
        <v>0</v>
      </c>
      <c r="T516" s="229">
        <v>0</v>
      </c>
      <c r="U516" s="229">
        <v>0</v>
      </c>
      <c r="V516" s="229">
        <v>0</v>
      </c>
      <c r="W516" s="229">
        <v>0</v>
      </c>
      <c r="X516" s="229">
        <v>0</v>
      </c>
      <c r="Y516" s="229">
        <v>0</v>
      </c>
      <c r="Z516" s="229">
        <v>0</v>
      </c>
      <c r="AA516" s="229">
        <v>0</v>
      </c>
      <c r="AC516" s="12">
        <v>2</v>
      </c>
      <c r="AD516" s="14">
        <v>2</v>
      </c>
      <c r="AE516" s="14">
        <v>62</v>
      </c>
      <c r="AF516" s="26">
        <v>229</v>
      </c>
      <c r="AG516" s="12">
        <v>92</v>
      </c>
      <c r="AH516" s="14">
        <v>0</v>
      </c>
      <c r="AI516" s="209"/>
      <c r="AJ516" s="3"/>
      <c r="AK516" s="3"/>
      <c r="AL516" s="3"/>
      <c r="AM516" s="3"/>
      <c r="AN516" s="3"/>
      <c r="AO516" s="40"/>
      <c r="AP516" s="209"/>
      <c r="AQ516" s="3"/>
      <c r="AR516" s="40"/>
      <c r="AS516" s="238"/>
    </row>
    <row r="517" spans="1:45" s="229" customFormat="1">
      <c r="A517" s="83" t="s">
        <v>323</v>
      </c>
      <c r="B517" s="386">
        <v>12.705666666666668</v>
      </c>
      <c r="C517" s="229" t="s">
        <v>421</v>
      </c>
      <c r="D517" s="229" t="s">
        <v>630</v>
      </c>
      <c r="E517" s="229" t="s">
        <v>4</v>
      </c>
      <c r="F517" s="229">
        <v>183</v>
      </c>
      <c r="G517" s="40">
        <f>F517/150</f>
        <v>1.22</v>
      </c>
      <c r="H517" s="14">
        <v>1</v>
      </c>
      <c r="I517" s="229">
        <v>0</v>
      </c>
      <c r="J517" s="229">
        <v>0</v>
      </c>
      <c r="K517" s="26">
        <v>1</v>
      </c>
      <c r="L517" s="14">
        <v>0</v>
      </c>
      <c r="M517" s="229">
        <v>0</v>
      </c>
      <c r="N517" s="229">
        <v>1</v>
      </c>
      <c r="O517" s="229">
        <v>0</v>
      </c>
      <c r="P517" s="26">
        <v>1</v>
      </c>
      <c r="Q517" s="14">
        <v>0</v>
      </c>
      <c r="R517" s="229">
        <v>0</v>
      </c>
      <c r="S517" s="229">
        <v>0</v>
      </c>
      <c r="T517" s="229">
        <v>0</v>
      </c>
      <c r="U517" s="229">
        <v>0</v>
      </c>
      <c r="V517" s="229">
        <v>0</v>
      </c>
      <c r="W517" s="229">
        <v>0</v>
      </c>
      <c r="X517" s="229">
        <v>0</v>
      </c>
      <c r="Y517" s="229">
        <v>0</v>
      </c>
      <c r="Z517" s="229">
        <v>0</v>
      </c>
      <c r="AA517" s="229">
        <v>0</v>
      </c>
      <c r="AC517" s="12">
        <v>2</v>
      </c>
      <c r="AD517" s="14">
        <v>2</v>
      </c>
      <c r="AE517" s="14">
        <v>98</v>
      </c>
      <c r="AF517" s="26">
        <v>150</v>
      </c>
      <c r="AG517" s="12">
        <v>92</v>
      </c>
      <c r="AH517" s="14">
        <v>1</v>
      </c>
      <c r="AI517" s="209"/>
      <c r="AJ517" s="3"/>
      <c r="AK517" s="3"/>
      <c r="AL517" s="3"/>
      <c r="AM517" s="3"/>
      <c r="AN517" s="3"/>
      <c r="AO517" s="40"/>
      <c r="AP517" s="209"/>
      <c r="AQ517" s="3"/>
      <c r="AR517" s="40"/>
      <c r="AS517" s="238"/>
    </row>
    <row r="518" spans="1:45" s="229" customFormat="1">
      <c r="A518" s="83" t="s">
        <v>323</v>
      </c>
      <c r="B518" s="386">
        <v>12.705666666666668</v>
      </c>
      <c r="C518" s="229" t="s">
        <v>421</v>
      </c>
      <c r="D518" s="229" t="s">
        <v>637</v>
      </c>
      <c r="E518" s="229" t="s">
        <v>0</v>
      </c>
      <c r="F518" s="229">
        <v>475</v>
      </c>
      <c r="G518" s="40">
        <f>F518/390</f>
        <v>1.2179487179487178</v>
      </c>
      <c r="H518" s="14">
        <v>0</v>
      </c>
      <c r="I518" s="229">
        <v>0</v>
      </c>
      <c r="J518" s="229">
        <v>0</v>
      </c>
      <c r="K518" s="26">
        <v>1</v>
      </c>
      <c r="L518" s="14">
        <v>0</v>
      </c>
      <c r="M518" s="229">
        <v>1</v>
      </c>
      <c r="N518" s="229">
        <v>0</v>
      </c>
      <c r="O518" s="229">
        <v>0</v>
      </c>
      <c r="P518" s="26">
        <v>1</v>
      </c>
      <c r="Q518" s="14">
        <v>8</v>
      </c>
      <c r="R518" s="229">
        <v>7</v>
      </c>
      <c r="S518" s="229">
        <v>47</v>
      </c>
      <c r="T518" s="229">
        <v>0</v>
      </c>
      <c r="U518" s="229">
        <v>0</v>
      </c>
      <c r="V518" s="229">
        <v>0</v>
      </c>
      <c r="W518" s="229">
        <v>0</v>
      </c>
      <c r="X518" s="229">
        <v>0</v>
      </c>
      <c r="Y518" s="229">
        <v>0</v>
      </c>
      <c r="Z518" s="229">
        <v>0</v>
      </c>
      <c r="AA518" s="229">
        <v>0</v>
      </c>
      <c r="AC518" s="12">
        <v>2</v>
      </c>
      <c r="AD518" s="14">
        <v>6</v>
      </c>
      <c r="AE518" s="14">
        <v>44</v>
      </c>
      <c r="AF518" s="26">
        <v>400</v>
      </c>
      <c r="AG518" s="12"/>
      <c r="AH518" s="14">
        <v>1</v>
      </c>
      <c r="AI518" s="209"/>
      <c r="AJ518" s="3"/>
      <c r="AK518" s="3"/>
      <c r="AL518" s="3"/>
      <c r="AM518" s="3"/>
      <c r="AN518" s="3"/>
      <c r="AO518" s="40"/>
      <c r="AP518" s="209"/>
      <c r="AQ518" s="3"/>
      <c r="AR518" s="40"/>
      <c r="AS518" s="238"/>
    </row>
    <row r="519" spans="1:45" s="229" customFormat="1">
      <c r="A519" s="83" t="s">
        <v>323</v>
      </c>
      <c r="B519" s="386">
        <v>12.705666666666668</v>
      </c>
      <c r="C519" s="229" t="s">
        <v>421</v>
      </c>
      <c r="D519" s="229" t="s">
        <v>637</v>
      </c>
      <c r="E519" s="229" t="s">
        <v>1</v>
      </c>
      <c r="F519" s="229">
        <v>150</v>
      </c>
      <c r="G519" s="40">
        <f>F519/109</f>
        <v>1.3761467889908257</v>
      </c>
      <c r="H519" s="14">
        <v>1</v>
      </c>
      <c r="I519" s="229">
        <v>0</v>
      </c>
      <c r="J519" s="229">
        <v>0</v>
      </c>
      <c r="K519" s="26">
        <v>0</v>
      </c>
      <c r="L519" s="14">
        <v>0</v>
      </c>
      <c r="M519" s="229">
        <v>0</v>
      </c>
      <c r="N519" s="229">
        <v>0</v>
      </c>
      <c r="O519" s="229">
        <v>0</v>
      </c>
      <c r="P519" s="26">
        <v>0</v>
      </c>
      <c r="Q519" s="14">
        <v>5</v>
      </c>
      <c r="R519" s="229">
        <v>0</v>
      </c>
      <c r="S519" s="229">
        <v>0</v>
      </c>
      <c r="T519" s="229">
        <v>0</v>
      </c>
      <c r="U519" s="229">
        <v>0</v>
      </c>
      <c r="V519" s="229">
        <v>10</v>
      </c>
      <c r="W519" s="229">
        <v>19</v>
      </c>
      <c r="X519" s="229">
        <v>0</v>
      </c>
      <c r="Y519" s="229">
        <v>0</v>
      </c>
      <c r="Z519" s="229">
        <v>0</v>
      </c>
      <c r="AA519" s="229">
        <v>0</v>
      </c>
      <c r="AC519" s="12">
        <v>2</v>
      </c>
      <c r="AD519" s="14">
        <v>2</v>
      </c>
      <c r="AE519" s="14">
        <v>107</v>
      </c>
      <c r="AF519" s="26">
        <v>150</v>
      </c>
      <c r="AG519" s="12"/>
      <c r="AH519" s="14">
        <v>1</v>
      </c>
      <c r="AI519" s="209"/>
      <c r="AJ519" s="3"/>
      <c r="AK519" s="3"/>
      <c r="AL519" s="3"/>
      <c r="AM519" s="3"/>
      <c r="AN519" s="3"/>
      <c r="AO519" s="40"/>
      <c r="AP519" s="209"/>
      <c r="AQ519" s="3"/>
      <c r="AR519" s="40"/>
      <c r="AS519" s="238"/>
    </row>
    <row r="520" spans="1:45" s="229" customFormat="1">
      <c r="A520" s="83" t="s">
        <v>323</v>
      </c>
      <c r="B520" s="386">
        <v>12.705666666666668</v>
      </c>
      <c r="C520" s="229" t="s">
        <v>421</v>
      </c>
      <c r="D520" s="229" t="s">
        <v>638</v>
      </c>
      <c r="F520" s="229">
        <v>2222</v>
      </c>
      <c r="G520" s="40">
        <f>F520/1255</f>
        <v>1.7705179282868526</v>
      </c>
      <c r="H520" s="14">
        <v>1</v>
      </c>
      <c r="I520" s="229">
        <v>0</v>
      </c>
      <c r="J520" s="229">
        <v>1</v>
      </c>
      <c r="K520" s="26">
        <v>1</v>
      </c>
      <c r="L520" s="14">
        <v>0</v>
      </c>
      <c r="M520" s="229">
        <v>0</v>
      </c>
      <c r="N520" s="229">
        <v>1</v>
      </c>
      <c r="O520" s="229">
        <v>0</v>
      </c>
      <c r="P520" s="26">
        <v>1</v>
      </c>
      <c r="Q520" s="14">
        <v>5</v>
      </c>
      <c r="R520" s="229">
        <v>0</v>
      </c>
      <c r="S520" s="229">
        <v>37</v>
      </c>
      <c r="T520" s="229">
        <v>0</v>
      </c>
      <c r="U520" s="229">
        <v>0</v>
      </c>
      <c r="V520" s="229">
        <v>158</v>
      </c>
      <c r="W520" s="229">
        <v>187</v>
      </c>
      <c r="X520" s="229">
        <v>0</v>
      </c>
      <c r="Y520" s="229">
        <v>0</v>
      </c>
      <c r="Z520" s="229">
        <v>0</v>
      </c>
      <c r="AA520" s="229">
        <v>0</v>
      </c>
      <c r="AC520" s="12">
        <v>2</v>
      </c>
      <c r="AD520" s="14">
        <v>5</v>
      </c>
      <c r="AE520" s="14">
        <v>305</v>
      </c>
      <c r="AF520" s="26">
        <v>1275</v>
      </c>
      <c r="AG520" s="12">
        <v>115</v>
      </c>
      <c r="AH520" s="14">
        <v>0</v>
      </c>
      <c r="AI520" s="209">
        <v>85.8</v>
      </c>
      <c r="AJ520" s="3">
        <v>86.2</v>
      </c>
      <c r="AK520" s="3"/>
      <c r="AL520" s="3"/>
      <c r="AM520" s="3"/>
      <c r="AN520" s="3"/>
      <c r="AO520" s="40"/>
      <c r="AP520" s="209">
        <v>85.8</v>
      </c>
      <c r="AQ520" s="3">
        <v>85.8</v>
      </c>
      <c r="AR520" s="40"/>
      <c r="AS520" s="238"/>
    </row>
    <row r="521" spans="1:45" s="229" customFormat="1">
      <c r="A521" s="83" t="s">
        <v>323</v>
      </c>
      <c r="B521" s="386">
        <v>12.705666666666668</v>
      </c>
      <c r="C521" s="229" t="s">
        <v>421</v>
      </c>
      <c r="D521" s="229" t="s">
        <v>639</v>
      </c>
      <c r="F521" s="229">
        <v>532</v>
      </c>
      <c r="G521" s="40">
        <f>F521/296</f>
        <v>1.7972972972972974</v>
      </c>
      <c r="H521" s="14">
        <v>0</v>
      </c>
      <c r="I521" s="229">
        <v>0</v>
      </c>
      <c r="J521" s="229">
        <v>0</v>
      </c>
      <c r="K521" s="26">
        <v>1</v>
      </c>
      <c r="L521" s="14">
        <v>0</v>
      </c>
      <c r="M521" s="229">
        <v>0</v>
      </c>
      <c r="N521" s="229">
        <v>1</v>
      </c>
      <c r="O521" s="229">
        <v>0</v>
      </c>
      <c r="P521" s="26">
        <v>1</v>
      </c>
      <c r="Q521" s="14">
        <v>1</v>
      </c>
      <c r="R521" s="229">
        <v>0</v>
      </c>
      <c r="S521" s="229">
        <v>0</v>
      </c>
      <c r="T521" s="229">
        <v>0</v>
      </c>
      <c r="U521" s="229">
        <v>0</v>
      </c>
      <c r="V521" s="229">
        <v>0</v>
      </c>
      <c r="W521" s="229">
        <v>12</v>
      </c>
      <c r="X521" s="229">
        <v>0</v>
      </c>
      <c r="Y521" s="229">
        <v>0</v>
      </c>
      <c r="Z521" s="229">
        <v>0</v>
      </c>
      <c r="AA521" s="229">
        <v>0</v>
      </c>
      <c r="AC521" s="12">
        <v>2</v>
      </c>
      <c r="AD521" s="14">
        <v>2</v>
      </c>
      <c r="AE521" s="14">
        <v>284</v>
      </c>
      <c r="AF521" s="26">
        <v>306</v>
      </c>
      <c r="AG521" s="12">
        <v>129</v>
      </c>
      <c r="AH521" s="14">
        <v>1</v>
      </c>
      <c r="AI521" s="209"/>
      <c r="AJ521" s="3"/>
      <c r="AK521" s="3"/>
      <c r="AL521" s="3"/>
      <c r="AM521" s="3"/>
      <c r="AN521" s="3"/>
      <c r="AO521" s="40"/>
      <c r="AP521" s="209"/>
      <c r="AQ521" s="3"/>
      <c r="AR521" s="40"/>
      <c r="AS521" s="238"/>
    </row>
    <row r="522" spans="1:45" s="229" customFormat="1">
      <c r="A522" s="83" t="s">
        <v>323</v>
      </c>
      <c r="B522" s="386">
        <v>12.705666666666668</v>
      </c>
      <c r="C522" s="229" t="s">
        <v>421</v>
      </c>
      <c r="D522" s="229" t="s">
        <v>641</v>
      </c>
      <c r="E522" s="229" t="s">
        <v>0</v>
      </c>
      <c r="F522" s="229">
        <v>959</v>
      </c>
      <c r="G522" s="40">
        <f>F522/579</f>
        <v>1.6563039723661486</v>
      </c>
      <c r="H522" s="14">
        <v>0</v>
      </c>
      <c r="I522" s="229">
        <v>0</v>
      </c>
      <c r="J522" s="229">
        <v>1</v>
      </c>
      <c r="K522" s="26">
        <v>0</v>
      </c>
      <c r="L522" s="14">
        <v>0</v>
      </c>
      <c r="M522" s="229">
        <v>1</v>
      </c>
      <c r="N522" s="229">
        <v>0</v>
      </c>
      <c r="O522" s="229">
        <v>0</v>
      </c>
      <c r="P522" s="26">
        <v>1</v>
      </c>
      <c r="Q522" s="14">
        <v>15</v>
      </c>
      <c r="R522" s="229">
        <v>4</v>
      </c>
      <c r="S522" s="229">
        <v>23</v>
      </c>
      <c r="T522" s="229">
        <v>0</v>
      </c>
      <c r="U522" s="229">
        <v>0</v>
      </c>
      <c r="V522" s="229">
        <v>51</v>
      </c>
      <c r="W522" s="229">
        <v>145</v>
      </c>
      <c r="X522" s="229">
        <v>0</v>
      </c>
      <c r="Y522" s="229">
        <v>0</v>
      </c>
      <c r="Z522" s="229">
        <v>0</v>
      </c>
      <c r="AA522" s="229">
        <v>0</v>
      </c>
      <c r="AC522" s="12">
        <v>1</v>
      </c>
      <c r="AD522" s="14">
        <v>1</v>
      </c>
      <c r="AE522" s="14">
        <v>0</v>
      </c>
      <c r="AF522" s="26">
        <v>0</v>
      </c>
      <c r="AG522" s="12">
        <v>128</v>
      </c>
      <c r="AH522" s="14">
        <v>1</v>
      </c>
      <c r="AI522" s="209">
        <v>85.8</v>
      </c>
      <c r="AJ522" s="3"/>
      <c r="AK522" s="3"/>
      <c r="AL522" s="3"/>
      <c r="AM522" s="3"/>
      <c r="AN522" s="3"/>
      <c r="AO522" s="40"/>
      <c r="AP522" s="209"/>
      <c r="AQ522" s="3"/>
      <c r="AR522" s="40"/>
      <c r="AS522" s="238"/>
    </row>
    <row r="523" spans="1:45" s="229" customFormat="1">
      <c r="A523" s="83" t="s">
        <v>323</v>
      </c>
      <c r="B523" s="386">
        <v>12.705666666666668</v>
      </c>
      <c r="C523" s="229" t="s">
        <v>421</v>
      </c>
      <c r="D523" s="229" t="s">
        <v>641</v>
      </c>
      <c r="E523" s="229" t="s">
        <v>1</v>
      </c>
      <c r="F523" s="229">
        <v>675</v>
      </c>
      <c r="G523" s="40">
        <f>F523/357</f>
        <v>1.8907563025210083</v>
      </c>
      <c r="H523" s="14">
        <v>0</v>
      </c>
      <c r="I523" s="229">
        <v>1</v>
      </c>
      <c r="J523" s="229">
        <v>0</v>
      </c>
      <c r="K523" s="26">
        <v>0</v>
      </c>
      <c r="L523" s="14">
        <v>0</v>
      </c>
      <c r="M523" s="229">
        <v>0</v>
      </c>
      <c r="N523" s="229">
        <v>0</v>
      </c>
      <c r="O523" s="229">
        <v>1</v>
      </c>
      <c r="P523" s="26">
        <v>1</v>
      </c>
      <c r="Q523" s="14">
        <v>10</v>
      </c>
      <c r="R523" s="229">
        <v>0</v>
      </c>
      <c r="S523" s="229">
        <v>0</v>
      </c>
      <c r="T523" s="229">
        <v>0</v>
      </c>
      <c r="U523" s="229">
        <v>0</v>
      </c>
      <c r="V523" s="229">
        <v>0</v>
      </c>
      <c r="W523" s="229">
        <v>49</v>
      </c>
      <c r="X523" s="229">
        <v>0</v>
      </c>
      <c r="Y523" s="229">
        <v>0</v>
      </c>
      <c r="Z523" s="229">
        <v>0</v>
      </c>
      <c r="AA523" s="229">
        <v>134</v>
      </c>
      <c r="AC523" s="12">
        <v>1</v>
      </c>
      <c r="AD523" s="14">
        <v>1</v>
      </c>
      <c r="AE523" s="14">
        <v>0</v>
      </c>
      <c r="AF523" s="26">
        <v>0</v>
      </c>
      <c r="AG523" s="12">
        <v>128</v>
      </c>
      <c r="AH523" s="14">
        <v>0</v>
      </c>
      <c r="AI523" s="209">
        <v>85</v>
      </c>
      <c r="AJ523" s="3"/>
      <c r="AK523" s="3"/>
      <c r="AL523" s="3"/>
      <c r="AM523" s="3"/>
      <c r="AN523" s="3"/>
      <c r="AO523" s="40"/>
      <c r="AP523" s="209">
        <v>86</v>
      </c>
      <c r="AQ523" s="3"/>
      <c r="AR523" s="40"/>
      <c r="AS523" s="238"/>
    </row>
    <row r="524" spans="1:45" s="229" customFormat="1">
      <c r="A524" s="83" t="s">
        <v>323</v>
      </c>
      <c r="B524" s="386">
        <v>12.705666666666668</v>
      </c>
      <c r="C524" s="229" t="s">
        <v>421</v>
      </c>
      <c r="D524" s="229" t="s">
        <v>647</v>
      </c>
      <c r="E524" s="229" t="s">
        <v>0</v>
      </c>
      <c r="F524" s="229">
        <v>258</v>
      </c>
      <c r="G524" s="40">
        <f>F524/192</f>
        <v>1.34375</v>
      </c>
      <c r="H524" s="14">
        <v>1</v>
      </c>
      <c r="I524" s="229">
        <v>0</v>
      </c>
      <c r="J524" s="229">
        <v>0</v>
      </c>
      <c r="K524" s="26">
        <v>1</v>
      </c>
      <c r="L524" s="14">
        <v>0</v>
      </c>
      <c r="M524" s="229">
        <v>0</v>
      </c>
      <c r="N524" s="229">
        <v>1</v>
      </c>
      <c r="O524" s="229">
        <v>0</v>
      </c>
      <c r="P524" s="26">
        <v>1</v>
      </c>
      <c r="Q524" s="14">
        <v>2</v>
      </c>
      <c r="R524" s="229">
        <v>0</v>
      </c>
      <c r="S524" s="229">
        <v>0</v>
      </c>
      <c r="T524" s="229">
        <v>0</v>
      </c>
      <c r="U524" s="229">
        <v>0</v>
      </c>
      <c r="V524" s="229">
        <v>0</v>
      </c>
      <c r="W524" s="229">
        <v>77</v>
      </c>
      <c r="X524" s="229">
        <v>0</v>
      </c>
      <c r="Y524" s="229">
        <v>0</v>
      </c>
      <c r="Z524" s="229">
        <v>0</v>
      </c>
      <c r="AA524" s="229">
        <v>0</v>
      </c>
      <c r="AC524" s="12">
        <v>2</v>
      </c>
      <c r="AD524" s="14">
        <v>2</v>
      </c>
      <c r="AE524" s="14">
        <v>160</v>
      </c>
      <c r="AF524" s="26">
        <v>177</v>
      </c>
      <c r="AG524" s="12">
        <v>115</v>
      </c>
      <c r="AH524" s="14">
        <v>1</v>
      </c>
      <c r="AI524" s="209"/>
      <c r="AJ524" s="3"/>
      <c r="AK524" s="3"/>
      <c r="AL524" s="3"/>
      <c r="AM524" s="3"/>
      <c r="AN524" s="3"/>
      <c r="AO524" s="40"/>
      <c r="AP524" s="209"/>
      <c r="AQ524" s="3"/>
      <c r="AR524" s="40"/>
      <c r="AS524" s="238"/>
    </row>
    <row r="525" spans="1:45" s="229" customFormat="1">
      <c r="A525" s="83" t="s">
        <v>323</v>
      </c>
      <c r="B525" s="386">
        <v>12.705666666666668</v>
      </c>
      <c r="C525" s="229" t="s">
        <v>421</v>
      </c>
      <c r="D525" s="229" t="s">
        <v>647</v>
      </c>
      <c r="E525" s="229" t="s">
        <v>1</v>
      </c>
      <c r="F525" s="229">
        <v>363</v>
      </c>
      <c r="G525" s="40">
        <f>F525/263</f>
        <v>1.3802281368821292</v>
      </c>
      <c r="H525" s="14">
        <v>0</v>
      </c>
      <c r="I525" s="229">
        <v>0</v>
      </c>
      <c r="J525" s="229">
        <v>0</v>
      </c>
      <c r="K525" s="26">
        <v>1</v>
      </c>
      <c r="L525" s="14">
        <v>0</v>
      </c>
      <c r="M525" s="229">
        <v>0</v>
      </c>
      <c r="N525" s="229">
        <v>1</v>
      </c>
      <c r="O525" s="229">
        <v>0</v>
      </c>
      <c r="P525" s="26">
        <v>1</v>
      </c>
      <c r="Q525" s="14">
        <v>0</v>
      </c>
      <c r="R525" s="229">
        <v>0</v>
      </c>
      <c r="S525" s="229">
        <v>0</v>
      </c>
      <c r="T525" s="229">
        <v>0</v>
      </c>
      <c r="U525" s="229">
        <v>0</v>
      </c>
      <c r="V525" s="229">
        <v>0</v>
      </c>
      <c r="W525" s="229">
        <v>0</v>
      </c>
      <c r="X525" s="229">
        <v>0</v>
      </c>
      <c r="Y525" s="229">
        <v>0</v>
      </c>
      <c r="Z525" s="229">
        <v>0</v>
      </c>
      <c r="AA525" s="229">
        <v>0</v>
      </c>
      <c r="AC525" s="12">
        <v>2</v>
      </c>
      <c r="AD525" s="14">
        <v>4</v>
      </c>
      <c r="AE525" s="14">
        <v>64</v>
      </c>
      <c r="AF525" s="26">
        <v>270</v>
      </c>
      <c r="AG525" s="12">
        <v>115</v>
      </c>
      <c r="AH525" s="14">
        <v>1</v>
      </c>
      <c r="AI525" s="209"/>
      <c r="AJ525" s="3"/>
      <c r="AK525" s="3"/>
      <c r="AL525" s="3"/>
      <c r="AM525" s="3"/>
      <c r="AN525" s="3"/>
      <c r="AO525" s="40"/>
      <c r="AP525" s="209"/>
      <c r="AQ525" s="3"/>
      <c r="AR525" s="40"/>
      <c r="AS525" s="238"/>
    </row>
    <row r="526" spans="1:45" s="229" customFormat="1" ht="17" thickBot="1">
      <c r="A526" s="83" t="s">
        <v>323</v>
      </c>
      <c r="B526" s="385">
        <v>12.705666666666668</v>
      </c>
      <c r="C526" s="36" t="s">
        <v>421</v>
      </c>
      <c r="D526" s="36" t="s">
        <v>647</v>
      </c>
      <c r="E526" s="36" t="s">
        <v>2</v>
      </c>
      <c r="F526" s="36">
        <v>196</v>
      </c>
      <c r="G526" s="48">
        <f>F526/131</f>
        <v>1.4961832061068703</v>
      </c>
      <c r="H526" s="34">
        <v>1</v>
      </c>
      <c r="I526" s="36">
        <v>0</v>
      </c>
      <c r="J526" s="36">
        <v>0</v>
      </c>
      <c r="K526" s="35">
        <v>1</v>
      </c>
      <c r="L526" s="34">
        <v>0</v>
      </c>
      <c r="M526" s="36">
        <v>0</v>
      </c>
      <c r="N526" s="36">
        <v>1</v>
      </c>
      <c r="O526" s="36">
        <v>0</v>
      </c>
      <c r="P526" s="35">
        <v>1</v>
      </c>
      <c r="Q526" s="34">
        <v>0</v>
      </c>
      <c r="R526" s="36">
        <v>0</v>
      </c>
      <c r="S526" s="36">
        <v>0</v>
      </c>
      <c r="T526" s="36">
        <v>0</v>
      </c>
      <c r="U526" s="36">
        <v>0</v>
      </c>
      <c r="V526" s="36">
        <v>0</v>
      </c>
      <c r="W526" s="36">
        <v>0</v>
      </c>
      <c r="X526" s="36">
        <v>0</v>
      </c>
      <c r="Y526" s="36">
        <v>0</v>
      </c>
      <c r="Z526" s="36">
        <v>0</v>
      </c>
      <c r="AA526" s="36">
        <v>0</v>
      </c>
      <c r="AB526" s="36"/>
      <c r="AC526" s="33">
        <v>2</v>
      </c>
      <c r="AD526" s="34">
        <v>5</v>
      </c>
      <c r="AE526" s="34">
        <v>28</v>
      </c>
      <c r="AF526" s="35">
        <v>135</v>
      </c>
      <c r="AG526" s="33">
        <v>115</v>
      </c>
      <c r="AH526" s="34">
        <v>0</v>
      </c>
      <c r="AI526" s="210"/>
      <c r="AJ526" s="51"/>
      <c r="AK526" s="51"/>
      <c r="AL526" s="51"/>
      <c r="AM526" s="51"/>
      <c r="AN526" s="51"/>
      <c r="AO526" s="48"/>
      <c r="AP526" s="210"/>
      <c r="AQ526" s="51"/>
      <c r="AR526" s="48"/>
      <c r="AS526" s="239"/>
    </row>
    <row r="527" spans="1:45" s="229" customFormat="1">
      <c r="A527" s="147" t="s">
        <v>323</v>
      </c>
      <c r="B527" s="384">
        <v>12.705666666666668</v>
      </c>
      <c r="C527" s="229" t="s">
        <v>687</v>
      </c>
      <c r="D527" s="229" t="s">
        <v>622</v>
      </c>
      <c r="E527" s="229" t="s">
        <v>0</v>
      </c>
      <c r="F527" s="229">
        <v>456</v>
      </c>
      <c r="G527" s="40">
        <f>F527/374</f>
        <v>1.2192513368983957</v>
      </c>
      <c r="H527" s="14">
        <v>1</v>
      </c>
      <c r="I527" s="229">
        <v>0</v>
      </c>
      <c r="J527" s="229">
        <v>0</v>
      </c>
      <c r="K527" s="26">
        <v>0</v>
      </c>
      <c r="L527" s="14">
        <v>0</v>
      </c>
      <c r="M527" s="229">
        <v>0</v>
      </c>
      <c r="N527" s="229">
        <v>0</v>
      </c>
      <c r="O527" s="229">
        <v>0</v>
      </c>
      <c r="P527" s="26">
        <v>0</v>
      </c>
      <c r="Q527" s="14">
        <v>0</v>
      </c>
      <c r="R527" s="229">
        <v>0</v>
      </c>
      <c r="S527" s="229">
        <v>0</v>
      </c>
      <c r="T527" s="229">
        <v>0</v>
      </c>
      <c r="U527" s="229">
        <v>0</v>
      </c>
      <c r="V527" s="229">
        <v>0</v>
      </c>
      <c r="W527" s="229">
        <v>0</v>
      </c>
      <c r="X527" s="229">
        <v>0</v>
      </c>
      <c r="Y527" s="229">
        <v>0</v>
      </c>
      <c r="Z527" s="229">
        <v>0</v>
      </c>
      <c r="AA527" s="229">
        <v>0</v>
      </c>
      <c r="AB527" s="229">
        <v>0</v>
      </c>
      <c r="AC527" s="12">
        <v>1</v>
      </c>
      <c r="AD527" s="14">
        <v>1</v>
      </c>
      <c r="AE527" s="14">
        <v>0</v>
      </c>
      <c r="AF527" s="26">
        <v>0</v>
      </c>
      <c r="AG527" s="12">
        <v>154</v>
      </c>
      <c r="AH527" s="14">
        <v>1</v>
      </c>
      <c r="AI527" s="209"/>
      <c r="AJ527" s="3"/>
      <c r="AK527" s="3"/>
      <c r="AL527" s="3"/>
      <c r="AM527" s="3"/>
      <c r="AN527" s="3"/>
      <c r="AO527" s="40"/>
      <c r="AP527" s="209"/>
      <c r="AQ527" s="3"/>
      <c r="AR527" s="40"/>
      <c r="AS527" s="238"/>
    </row>
    <row r="528" spans="1:45" s="229" customFormat="1">
      <c r="A528" s="83" t="s">
        <v>323</v>
      </c>
      <c r="B528" s="386">
        <v>12.705666666666668</v>
      </c>
      <c r="C528" s="229" t="s">
        <v>687</v>
      </c>
      <c r="D528" s="229" t="s">
        <v>620</v>
      </c>
      <c r="E528" s="229" t="s">
        <v>0</v>
      </c>
      <c r="F528" s="229">
        <v>357</v>
      </c>
      <c r="G528" s="40">
        <f>F528/280</f>
        <v>1.2749999999999999</v>
      </c>
      <c r="H528" s="14">
        <v>0</v>
      </c>
      <c r="I528" s="229">
        <v>0</v>
      </c>
      <c r="J528" s="229">
        <v>1</v>
      </c>
      <c r="K528" s="26">
        <v>1</v>
      </c>
      <c r="L528" s="14">
        <v>0</v>
      </c>
      <c r="M528" s="229">
        <v>0</v>
      </c>
      <c r="N528" s="229">
        <v>0</v>
      </c>
      <c r="O528" s="229">
        <v>0</v>
      </c>
      <c r="P528" s="26">
        <v>0</v>
      </c>
      <c r="Q528" s="14">
        <v>0</v>
      </c>
      <c r="R528" s="229">
        <v>0</v>
      </c>
      <c r="S528" s="229">
        <v>0</v>
      </c>
      <c r="T528" s="229">
        <v>0</v>
      </c>
      <c r="U528" s="229">
        <v>0</v>
      </c>
      <c r="V528" s="229">
        <v>0</v>
      </c>
      <c r="W528" s="229">
        <v>0</v>
      </c>
      <c r="X528" s="229">
        <v>0</v>
      </c>
      <c r="Y528" s="229">
        <v>0</v>
      </c>
      <c r="Z528" s="229">
        <v>0</v>
      </c>
      <c r="AA528" s="229">
        <v>0</v>
      </c>
      <c r="AB528" s="229">
        <v>0</v>
      </c>
      <c r="AC528" s="12">
        <v>2</v>
      </c>
      <c r="AD528" s="14">
        <v>2</v>
      </c>
      <c r="AE528" s="14">
        <v>127</v>
      </c>
      <c r="AF528" s="26">
        <v>305</v>
      </c>
      <c r="AG528" s="12">
        <v>125</v>
      </c>
      <c r="AH528" s="14">
        <v>0</v>
      </c>
      <c r="AI528" s="209"/>
      <c r="AJ528" s="3"/>
      <c r="AK528" s="3"/>
      <c r="AL528" s="3"/>
      <c r="AM528" s="3"/>
      <c r="AN528" s="3"/>
      <c r="AO528" s="40"/>
      <c r="AP528" s="209"/>
      <c r="AQ528" s="3"/>
      <c r="AR528" s="40"/>
      <c r="AS528" s="238"/>
    </row>
    <row r="529" spans="1:45" s="229" customFormat="1">
      <c r="A529" s="83" t="s">
        <v>323</v>
      </c>
      <c r="B529" s="386">
        <v>12.705666666666668</v>
      </c>
      <c r="C529" s="229" t="s">
        <v>687</v>
      </c>
      <c r="D529" s="229" t="s">
        <v>620</v>
      </c>
      <c r="E529" s="229" t="s">
        <v>1</v>
      </c>
      <c r="F529" s="229">
        <v>353</v>
      </c>
      <c r="G529" s="40">
        <f>F529/217</f>
        <v>1.6267281105990783</v>
      </c>
      <c r="H529" s="14">
        <v>1</v>
      </c>
      <c r="I529" s="229">
        <v>0</v>
      </c>
      <c r="J529" s="229">
        <v>0</v>
      </c>
      <c r="K529" s="26">
        <v>0</v>
      </c>
      <c r="L529" s="14">
        <v>0</v>
      </c>
      <c r="M529" s="229">
        <v>0</v>
      </c>
      <c r="N529" s="229">
        <v>0</v>
      </c>
      <c r="O529" s="229">
        <v>0</v>
      </c>
      <c r="P529" s="26">
        <v>0</v>
      </c>
      <c r="Q529" s="14">
        <v>1</v>
      </c>
      <c r="R529" s="229">
        <v>0</v>
      </c>
      <c r="S529" s="229">
        <v>0</v>
      </c>
      <c r="T529" s="229">
        <v>0</v>
      </c>
      <c r="U529" s="229">
        <v>0</v>
      </c>
      <c r="V529" s="229">
        <v>0</v>
      </c>
      <c r="W529" s="229">
        <v>20</v>
      </c>
      <c r="X529" s="229">
        <v>0</v>
      </c>
      <c r="Y529" s="229">
        <v>0</v>
      </c>
      <c r="Z529" s="229">
        <v>0</v>
      </c>
      <c r="AA529" s="229">
        <v>0</v>
      </c>
      <c r="AB529" s="229">
        <v>1</v>
      </c>
      <c r="AC529" s="12">
        <v>1</v>
      </c>
      <c r="AD529" s="14">
        <v>1</v>
      </c>
      <c r="AE529" s="14">
        <v>0</v>
      </c>
      <c r="AF529" s="26">
        <v>0</v>
      </c>
      <c r="AG529" s="12">
        <v>125</v>
      </c>
      <c r="AH529" s="14">
        <v>0</v>
      </c>
      <c r="AI529" s="209"/>
      <c r="AJ529" s="3"/>
      <c r="AK529" s="3"/>
      <c r="AL529" s="3"/>
      <c r="AM529" s="3"/>
      <c r="AN529" s="3"/>
      <c r="AO529" s="40"/>
      <c r="AP529" s="209"/>
      <c r="AQ529" s="3"/>
      <c r="AR529" s="40"/>
      <c r="AS529" s="238"/>
    </row>
    <row r="530" spans="1:45" s="229" customFormat="1">
      <c r="A530" s="83" t="s">
        <v>323</v>
      </c>
      <c r="B530" s="386">
        <v>12.705666666666668</v>
      </c>
      <c r="C530" s="229" t="s">
        <v>687</v>
      </c>
      <c r="D530" s="229" t="s">
        <v>620</v>
      </c>
      <c r="E530" s="229" t="s">
        <v>2</v>
      </c>
      <c r="F530" s="229">
        <v>575</v>
      </c>
      <c r="G530" s="40">
        <f>F530/471</f>
        <v>1.2208067940552016</v>
      </c>
      <c r="H530" s="14">
        <v>0</v>
      </c>
      <c r="I530" s="229">
        <v>0</v>
      </c>
      <c r="J530" s="229">
        <v>0</v>
      </c>
      <c r="K530" s="26">
        <v>1</v>
      </c>
      <c r="L530" s="14">
        <v>0</v>
      </c>
      <c r="M530" s="229">
        <v>0</v>
      </c>
      <c r="N530" s="229">
        <v>0</v>
      </c>
      <c r="O530" s="229">
        <v>0</v>
      </c>
      <c r="P530" s="26">
        <v>0</v>
      </c>
      <c r="Q530" s="14">
        <v>0</v>
      </c>
      <c r="R530" s="229">
        <v>0</v>
      </c>
      <c r="S530" s="229">
        <v>0</v>
      </c>
      <c r="T530" s="229">
        <v>0</v>
      </c>
      <c r="U530" s="229">
        <v>0</v>
      </c>
      <c r="V530" s="229">
        <v>0</v>
      </c>
      <c r="W530" s="229">
        <v>0</v>
      </c>
      <c r="X530" s="229">
        <v>0</v>
      </c>
      <c r="Y530" s="229">
        <v>0</v>
      </c>
      <c r="Z530" s="229">
        <v>0</v>
      </c>
      <c r="AA530" s="229">
        <v>0</v>
      </c>
      <c r="AB530" s="229">
        <v>0</v>
      </c>
      <c r="AC530" s="12">
        <v>2</v>
      </c>
      <c r="AD530" s="14">
        <v>6</v>
      </c>
      <c r="AE530" s="14">
        <v>28</v>
      </c>
      <c r="AF530" s="26">
        <v>313</v>
      </c>
      <c r="AG530" s="12">
        <v>125</v>
      </c>
      <c r="AH530" s="14">
        <v>1</v>
      </c>
      <c r="AI530" s="209"/>
      <c r="AJ530" s="3"/>
      <c r="AK530" s="3"/>
      <c r="AL530" s="3"/>
      <c r="AM530" s="3"/>
      <c r="AN530" s="3"/>
      <c r="AO530" s="40"/>
      <c r="AP530" s="209"/>
      <c r="AQ530" s="3"/>
      <c r="AR530" s="40"/>
      <c r="AS530" s="238"/>
    </row>
    <row r="531" spans="1:45" s="229" customFormat="1">
      <c r="A531" s="83" t="s">
        <v>323</v>
      </c>
      <c r="B531" s="386">
        <v>12.705666666666668</v>
      </c>
      <c r="C531" s="229" t="s">
        <v>687</v>
      </c>
      <c r="D531" s="229" t="s">
        <v>629</v>
      </c>
      <c r="E531" s="229" t="s">
        <v>0</v>
      </c>
      <c r="F531" s="229">
        <v>452</v>
      </c>
      <c r="G531" s="40">
        <f>F531/288</f>
        <v>1.5694444444444444</v>
      </c>
      <c r="H531" s="14">
        <v>0</v>
      </c>
      <c r="I531" s="229">
        <v>0</v>
      </c>
      <c r="J531" s="229">
        <v>0</v>
      </c>
      <c r="K531" s="26">
        <v>1</v>
      </c>
      <c r="L531" s="14">
        <v>0</v>
      </c>
      <c r="M531" s="229">
        <v>0</v>
      </c>
      <c r="N531" s="229">
        <v>1</v>
      </c>
      <c r="O531" s="229">
        <v>0</v>
      </c>
      <c r="P531" s="26">
        <v>1</v>
      </c>
      <c r="Q531" s="14">
        <v>0</v>
      </c>
      <c r="R531" s="229">
        <v>0</v>
      </c>
      <c r="S531" s="229">
        <v>0</v>
      </c>
      <c r="T531" s="229">
        <v>0</v>
      </c>
      <c r="U531" s="229">
        <v>0</v>
      </c>
      <c r="V531" s="229">
        <v>0</v>
      </c>
      <c r="W531" s="229">
        <v>0</v>
      </c>
      <c r="X531" s="229">
        <v>0</v>
      </c>
      <c r="Y531" s="229">
        <v>0</v>
      </c>
      <c r="Z531" s="229">
        <v>0</v>
      </c>
      <c r="AA531" s="229">
        <v>0</v>
      </c>
      <c r="AB531" s="229">
        <v>0</v>
      </c>
      <c r="AC531" s="12">
        <v>2</v>
      </c>
      <c r="AD531" s="14">
        <v>2</v>
      </c>
      <c r="AE531" s="14">
        <v>262</v>
      </c>
      <c r="AF531" s="26">
        <v>306</v>
      </c>
      <c r="AG531" s="12">
        <v>107</v>
      </c>
      <c r="AH531" s="14">
        <v>0</v>
      </c>
      <c r="AI531" s="209"/>
      <c r="AJ531" s="3"/>
      <c r="AK531" s="3"/>
      <c r="AL531" s="3"/>
      <c r="AM531" s="3"/>
      <c r="AN531" s="3"/>
      <c r="AO531" s="40"/>
      <c r="AP531" s="209"/>
      <c r="AQ531" s="3"/>
      <c r="AR531" s="40"/>
      <c r="AS531" s="238"/>
    </row>
    <row r="532" spans="1:45" s="229" customFormat="1">
      <c r="A532" s="83" t="s">
        <v>323</v>
      </c>
      <c r="B532" s="386">
        <v>12.705666666666668</v>
      </c>
      <c r="C532" s="229" t="s">
        <v>687</v>
      </c>
      <c r="D532" s="229" t="s">
        <v>629</v>
      </c>
      <c r="E532" s="229" t="s">
        <v>1</v>
      </c>
      <c r="F532" s="229">
        <v>780</v>
      </c>
      <c r="G532" s="40">
        <f>F532/469</f>
        <v>1.6631130063965884</v>
      </c>
      <c r="H532" s="14">
        <v>0</v>
      </c>
      <c r="I532" s="229">
        <v>0</v>
      </c>
      <c r="J532" s="229">
        <v>0</v>
      </c>
      <c r="K532" s="26">
        <v>1</v>
      </c>
      <c r="L532" s="14">
        <v>0</v>
      </c>
      <c r="M532" s="229">
        <v>0</v>
      </c>
      <c r="N532" s="229">
        <v>1</v>
      </c>
      <c r="O532" s="229">
        <v>0</v>
      </c>
      <c r="P532" s="26">
        <v>1</v>
      </c>
      <c r="Q532" s="14">
        <v>0</v>
      </c>
      <c r="R532" s="229">
        <v>0</v>
      </c>
      <c r="S532" s="229">
        <v>0</v>
      </c>
      <c r="T532" s="229">
        <v>0</v>
      </c>
      <c r="U532" s="229">
        <v>0</v>
      </c>
      <c r="V532" s="229">
        <v>0</v>
      </c>
      <c r="W532" s="229">
        <v>0</v>
      </c>
      <c r="X532" s="229">
        <v>0</v>
      </c>
      <c r="Y532" s="229">
        <v>0</v>
      </c>
      <c r="Z532" s="229">
        <v>0</v>
      </c>
      <c r="AA532" s="229">
        <v>0</v>
      </c>
      <c r="AB532" s="229">
        <v>0</v>
      </c>
      <c r="AC532" s="12">
        <v>2</v>
      </c>
      <c r="AD532" s="14">
        <v>5</v>
      </c>
      <c r="AE532" s="14">
        <v>127</v>
      </c>
      <c r="AF532" s="26">
        <v>469</v>
      </c>
      <c r="AG532" s="12">
        <v>107</v>
      </c>
      <c r="AH532" s="14">
        <v>1</v>
      </c>
      <c r="AI532" s="209"/>
      <c r="AJ532" s="3"/>
      <c r="AK532" s="3"/>
      <c r="AL532" s="3"/>
      <c r="AM532" s="3"/>
      <c r="AN532" s="3"/>
      <c r="AO532" s="40"/>
      <c r="AP532" s="209"/>
      <c r="AQ532" s="3"/>
      <c r="AR532" s="40"/>
      <c r="AS532" s="238"/>
    </row>
    <row r="533" spans="1:45" s="229" customFormat="1">
      <c r="A533" s="83" t="s">
        <v>323</v>
      </c>
      <c r="B533" s="386">
        <v>12.705666666666668</v>
      </c>
      <c r="C533" s="229" t="s">
        <v>687</v>
      </c>
      <c r="D533" s="229" t="s">
        <v>629</v>
      </c>
      <c r="E533" s="229" t="s">
        <v>2</v>
      </c>
      <c r="F533" s="229">
        <v>252</v>
      </c>
      <c r="G533" s="40">
        <f>F533/163</f>
        <v>1.5460122699386503</v>
      </c>
      <c r="H533" s="14">
        <v>0</v>
      </c>
      <c r="I533" s="229">
        <v>0</v>
      </c>
      <c r="J533" s="229">
        <v>0</v>
      </c>
      <c r="K533" s="26">
        <v>1</v>
      </c>
      <c r="L533" s="14">
        <v>0</v>
      </c>
      <c r="M533" s="229">
        <v>0</v>
      </c>
      <c r="N533" s="229">
        <v>1</v>
      </c>
      <c r="O533" s="229">
        <v>0</v>
      </c>
      <c r="P533" s="26">
        <v>1</v>
      </c>
      <c r="Q533" s="14">
        <v>1</v>
      </c>
      <c r="R533" s="229">
        <v>0</v>
      </c>
      <c r="S533" s="229">
        <v>6</v>
      </c>
      <c r="T533" s="229">
        <v>0</v>
      </c>
      <c r="U533" s="229">
        <v>0</v>
      </c>
      <c r="V533" s="229">
        <v>0</v>
      </c>
      <c r="W533" s="229">
        <v>0</v>
      </c>
      <c r="X533" s="229">
        <v>0</v>
      </c>
      <c r="Y533" s="229">
        <v>0</v>
      </c>
      <c r="Z533" s="229">
        <v>0</v>
      </c>
      <c r="AA533" s="229">
        <v>0</v>
      </c>
      <c r="AB533" s="229">
        <v>1</v>
      </c>
      <c r="AC533" s="12">
        <v>1</v>
      </c>
      <c r="AD533" s="14">
        <v>1</v>
      </c>
      <c r="AE533" s="14">
        <v>0</v>
      </c>
      <c r="AF533" s="26">
        <v>0</v>
      </c>
      <c r="AG533" s="12">
        <v>107</v>
      </c>
      <c r="AH533" s="14">
        <v>0</v>
      </c>
      <c r="AI533" s="209"/>
      <c r="AJ533" s="3"/>
      <c r="AK533" s="3"/>
      <c r="AL533" s="3"/>
      <c r="AM533" s="3"/>
      <c r="AN533" s="3"/>
      <c r="AO533" s="40"/>
      <c r="AP533" s="209"/>
      <c r="AQ533" s="3"/>
      <c r="AR533" s="40"/>
      <c r="AS533" s="238"/>
    </row>
    <row r="534" spans="1:45" s="229" customFormat="1">
      <c r="A534" s="83" t="s">
        <v>323</v>
      </c>
      <c r="B534" s="386">
        <v>12.705666666666668</v>
      </c>
      <c r="C534" s="229" t="s">
        <v>687</v>
      </c>
      <c r="D534" s="229" t="s">
        <v>634</v>
      </c>
      <c r="E534" s="229" t="s">
        <v>0</v>
      </c>
      <c r="F534" s="229">
        <v>241</v>
      </c>
      <c r="G534" s="40">
        <f>F534/234</f>
        <v>1.0299145299145298</v>
      </c>
      <c r="H534" s="14">
        <v>0</v>
      </c>
      <c r="I534" s="229">
        <v>0</v>
      </c>
      <c r="J534" s="229">
        <v>0</v>
      </c>
      <c r="K534" s="26">
        <v>1</v>
      </c>
      <c r="L534" s="14">
        <v>0</v>
      </c>
      <c r="M534" s="229">
        <v>0</v>
      </c>
      <c r="N534" s="229">
        <v>1</v>
      </c>
      <c r="O534" s="229">
        <v>0</v>
      </c>
      <c r="P534" s="26">
        <v>1</v>
      </c>
      <c r="Q534" s="14">
        <v>5</v>
      </c>
      <c r="R534" s="229">
        <v>0</v>
      </c>
      <c r="S534" s="229">
        <v>0</v>
      </c>
      <c r="T534" s="229">
        <v>0</v>
      </c>
      <c r="U534" s="229">
        <v>0</v>
      </c>
      <c r="V534" s="229">
        <v>26</v>
      </c>
      <c r="W534" s="229">
        <v>45</v>
      </c>
      <c r="X534" s="229">
        <v>0</v>
      </c>
      <c r="Y534" s="229">
        <v>0</v>
      </c>
      <c r="Z534" s="229">
        <v>0</v>
      </c>
      <c r="AA534" s="229">
        <v>0</v>
      </c>
      <c r="AB534" s="229">
        <v>1</v>
      </c>
      <c r="AC534" s="12">
        <v>1</v>
      </c>
      <c r="AD534" s="14">
        <v>1</v>
      </c>
      <c r="AE534" s="14">
        <v>0</v>
      </c>
      <c r="AF534" s="26">
        <v>0</v>
      </c>
      <c r="AG534" s="12">
        <v>134</v>
      </c>
      <c r="AH534" s="14">
        <v>0</v>
      </c>
      <c r="AI534" s="209"/>
      <c r="AJ534" s="3"/>
      <c r="AK534" s="3"/>
      <c r="AL534" s="3"/>
      <c r="AM534" s="3"/>
      <c r="AN534" s="3"/>
      <c r="AO534" s="40"/>
      <c r="AP534" s="209"/>
      <c r="AQ534" s="3"/>
      <c r="AR534" s="40"/>
      <c r="AS534" s="238"/>
    </row>
    <row r="535" spans="1:45" s="229" customFormat="1">
      <c r="A535" s="83" t="s">
        <v>323</v>
      </c>
      <c r="B535" s="386">
        <v>12.705666666666668</v>
      </c>
      <c r="C535" s="229" t="s">
        <v>687</v>
      </c>
      <c r="D535" s="229" t="s">
        <v>634</v>
      </c>
      <c r="E535" s="229" t="s">
        <v>1</v>
      </c>
      <c r="F535" s="229">
        <v>630</v>
      </c>
      <c r="G535" s="40">
        <f>F535/317</f>
        <v>1.9873817034700316</v>
      </c>
      <c r="H535" s="14">
        <v>0</v>
      </c>
      <c r="I535" s="229">
        <v>0</v>
      </c>
      <c r="J535" s="229">
        <v>0</v>
      </c>
      <c r="K535" s="26">
        <v>1</v>
      </c>
      <c r="L535" s="14">
        <v>0</v>
      </c>
      <c r="M535" s="229">
        <v>0</v>
      </c>
      <c r="N535" s="229">
        <v>1</v>
      </c>
      <c r="O535" s="229">
        <v>0</v>
      </c>
      <c r="P535" s="26">
        <v>1</v>
      </c>
      <c r="Q535" s="14">
        <v>3</v>
      </c>
      <c r="R535" s="229">
        <v>0</v>
      </c>
      <c r="S535" s="229">
        <v>29</v>
      </c>
      <c r="T535" s="229">
        <v>0</v>
      </c>
      <c r="U535" s="229">
        <v>0</v>
      </c>
      <c r="V535" s="229">
        <v>15</v>
      </c>
      <c r="W535" s="229">
        <v>49</v>
      </c>
      <c r="X535" s="229">
        <v>0</v>
      </c>
      <c r="Y535" s="229">
        <v>0</v>
      </c>
      <c r="Z535" s="229">
        <v>0</v>
      </c>
      <c r="AA535" s="229">
        <v>0</v>
      </c>
      <c r="AB535" s="229">
        <v>1</v>
      </c>
      <c r="AC535" s="12">
        <v>1</v>
      </c>
      <c r="AD535" s="14">
        <v>1</v>
      </c>
      <c r="AE535" s="14">
        <v>0</v>
      </c>
      <c r="AF535" s="26">
        <v>0</v>
      </c>
      <c r="AG535" s="12">
        <v>134</v>
      </c>
      <c r="AH535" s="14">
        <v>0</v>
      </c>
      <c r="AI535" s="209"/>
      <c r="AJ535" s="3"/>
      <c r="AK535" s="3"/>
      <c r="AL535" s="3"/>
      <c r="AM535" s="3"/>
      <c r="AN535" s="3"/>
      <c r="AO535" s="40"/>
      <c r="AP535" s="209"/>
      <c r="AQ535" s="3"/>
      <c r="AR535" s="40"/>
      <c r="AS535" s="238"/>
    </row>
    <row r="536" spans="1:45" s="229" customFormat="1">
      <c r="A536" s="83" t="s">
        <v>323</v>
      </c>
      <c r="B536" s="386">
        <v>12.705666666666668</v>
      </c>
      <c r="C536" s="229" t="s">
        <v>687</v>
      </c>
      <c r="D536" s="229" t="s">
        <v>634</v>
      </c>
      <c r="E536" s="229" t="s">
        <v>2</v>
      </c>
      <c r="F536" s="229">
        <v>644</v>
      </c>
      <c r="G536" s="40">
        <f>F536/283</f>
        <v>2.2756183745583041</v>
      </c>
      <c r="H536" s="14">
        <v>0</v>
      </c>
      <c r="I536" s="229">
        <v>0</v>
      </c>
      <c r="J536" s="229">
        <v>0</v>
      </c>
      <c r="K536" s="26">
        <v>1</v>
      </c>
      <c r="L536" s="14">
        <v>0</v>
      </c>
      <c r="M536" s="229">
        <v>0</v>
      </c>
      <c r="N536" s="229">
        <v>1</v>
      </c>
      <c r="O536" s="229">
        <v>0</v>
      </c>
      <c r="P536" s="26">
        <v>1</v>
      </c>
      <c r="Q536" s="14">
        <v>0</v>
      </c>
      <c r="R536" s="229">
        <v>0</v>
      </c>
      <c r="S536" s="229">
        <v>0</v>
      </c>
      <c r="T536" s="229">
        <v>0</v>
      </c>
      <c r="U536" s="229">
        <v>0</v>
      </c>
      <c r="V536" s="229">
        <v>0</v>
      </c>
      <c r="W536" s="229">
        <v>0</v>
      </c>
      <c r="X536" s="229">
        <v>0</v>
      </c>
      <c r="Y536" s="229">
        <v>0</v>
      </c>
      <c r="Z536" s="229">
        <v>0</v>
      </c>
      <c r="AA536" s="229">
        <v>0</v>
      </c>
      <c r="AB536" s="229">
        <v>0</v>
      </c>
      <c r="AC536" s="12">
        <v>1</v>
      </c>
      <c r="AD536" s="14">
        <v>1</v>
      </c>
      <c r="AE536" s="14">
        <v>0</v>
      </c>
      <c r="AF536" s="26">
        <v>0</v>
      </c>
      <c r="AG536" s="12">
        <v>134</v>
      </c>
      <c r="AH536" s="14">
        <v>1</v>
      </c>
      <c r="AI536" s="209"/>
      <c r="AJ536" s="3"/>
      <c r="AK536" s="3"/>
      <c r="AL536" s="3"/>
      <c r="AM536" s="3"/>
      <c r="AN536" s="3"/>
      <c r="AO536" s="40"/>
      <c r="AP536" s="209"/>
      <c r="AQ536" s="3"/>
      <c r="AR536" s="40"/>
      <c r="AS536" s="238"/>
    </row>
    <row r="537" spans="1:45" s="229" customFormat="1">
      <c r="A537" s="83" t="s">
        <v>323</v>
      </c>
      <c r="B537" s="386">
        <v>12.705666666666668</v>
      </c>
      <c r="C537" s="229" t="s">
        <v>687</v>
      </c>
      <c r="D537" s="229" t="s">
        <v>625</v>
      </c>
      <c r="F537" s="229">
        <v>589</v>
      </c>
      <c r="G537" s="40">
        <f>F537/420</f>
        <v>1.4023809523809523</v>
      </c>
      <c r="H537" s="14">
        <v>1</v>
      </c>
      <c r="I537" s="229">
        <v>0</v>
      </c>
      <c r="J537" s="229">
        <v>0</v>
      </c>
      <c r="K537" s="26">
        <v>1</v>
      </c>
      <c r="L537" s="14">
        <v>0</v>
      </c>
      <c r="M537" s="229">
        <v>0</v>
      </c>
      <c r="N537" s="229">
        <v>1</v>
      </c>
      <c r="O537" s="229">
        <v>0</v>
      </c>
      <c r="P537" s="26">
        <v>1</v>
      </c>
      <c r="Q537" s="14">
        <v>10</v>
      </c>
      <c r="R537" s="229">
        <v>0</v>
      </c>
      <c r="S537" s="229">
        <v>0</v>
      </c>
      <c r="T537" s="229">
        <v>0</v>
      </c>
      <c r="U537" s="229">
        <v>0</v>
      </c>
      <c r="V537" s="229">
        <v>25</v>
      </c>
      <c r="W537" s="229">
        <v>68</v>
      </c>
      <c r="X537" s="229">
        <v>0</v>
      </c>
      <c r="Y537" s="229">
        <v>0</v>
      </c>
      <c r="Z537" s="229">
        <v>0</v>
      </c>
      <c r="AA537" s="229">
        <v>102</v>
      </c>
      <c r="AB537" s="229">
        <v>1</v>
      </c>
      <c r="AC537" s="12">
        <v>2</v>
      </c>
      <c r="AD537" s="14">
        <v>2</v>
      </c>
      <c r="AE537" s="14">
        <v>168</v>
      </c>
      <c r="AF537" s="26">
        <v>515</v>
      </c>
      <c r="AG537" s="12">
        <v>60</v>
      </c>
      <c r="AH537" s="14">
        <v>1</v>
      </c>
      <c r="AI537" s="209">
        <v>87.1</v>
      </c>
      <c r="AJ537" s="3"/>
      <c r="AK537" s="3"/>
      <c r="AL537" s="3"/>
      <c r="AM537" s="3"/>
      <c r="AN537" s="3"/>
      <c r="AO537" s="40"/>
      <c r="AP537" s="209">
        <v>86.7</v>
      </c>
      <c r="AQ537" s="3"/>
      <c r="AR537" s="40"/>
      <c r="AS537" s="238"/>
    </row>
    <row r="538" spans="1:45" s="229" customFormat="1">
      <c r="A538" s="83" t="s">
        <v>323</v>
      </c>
      <c r="B538" s="386">
        <v>12.705666666666668</v>
      </c>
      <c r="C538" s="229" t="s">
        <v>687</v>
      </c>
      <c r="D538" s="229" t="s">
        <v>688</v>
      </c>
      <c r="F538" s="229">
        <v>414</v>
      </c>
      <c r="G538" s="40">
        <f>F538/366</f>
        <v>1.1311475409836065</v>
      </c>
      <c r="H538" s="14">
        <v>1</v>
      </c>
      <c r="I538" s="229">
        <v>0</v>
      </c>
      <c r="J538" s="229">
        <v>0</v>
      </c>
      <c r="K538" s="26">
        <v>0</v>
      </c>
      <c r="L538" s="14">
        <v>0</v>
      </c>
      <c r="M538" s="229">
        <v>0</v>
      </c>
      <c r="N538" s="229">
        <v>1</v>
      </c>
      <c r="O538" s="229">
        <v>0</v>
      </c>
      <c r="P538" s="26">
        <v>1</v>
      </c>
      <c r="Q538" s="14">
        <v>0</v>
      </c>
      <c r="R538" s="229">
        <v>0</v>
      </c>
      <c r="S538" s="229">
        <v>0</v>
      </c>
      <c r="T538" s="229">
        <v>0</v>
      </c>
      <c r="U538" s="229">
        <v>0</v>
      </c>
      <c r="V538" s="229">
        <v>0</v>
      </c>
      <c r="W538" s="229">
        <v>0</v>
      </c>
      <c r="X538" s="229">
        <v>0</v>
      </c>
      <c r="Y538" s="229">
        <v>0</v>
      </c>
      <c r="Z538" s="229">
        <v>0</v>
      </c>
      <c r="AA538" s="229">
        <v>0</v>
      </c>
      <c r="AB538" s="229">
        <v>0</v>
      </c>
      <c r="AC538" s="12">
        <v>1</v>
      </c>
      <c r="AD538" s="14">
        <v>1</v>
      </c>
      <c r="AE538" s="14">
        <v>0</v>
      </c>
      <c r="AF538" s="26">
        <v>0</v>
      </c>
      <c r="AG538" s="12">
        <v>117</v>
      </c>
      <c r="AH538" s="14">
        <v>1</v>
      </c>
      <c r="AI538" s="209">
        <v>86.5</v>
      </c>
      <c r="AJ538" s="3"/>
      <c r="AK538" s="3"/>
      <c r="AL538" s="3"/>
      <c r="AM538" s="3"/>
      <c r="AN538" s="3"/>
      <c r="AO538" s="40"/>
      <c r="AP538" s="209">
        <v>86.6</v>
      </c>
      <c r="AQ538" s="3"/>
      <c r="AR538" s="40"/>
      <c r="AS538" s="238"/>
    </row>
    <row r="539" spans="1:45" s="229" customFormat="1">
      <c r="A539" s="83" t="s">
        <v>323</v>
      </c>
      <c r="B539" s="386">
        <v>12.705666666666668</v>
      </c>
      <c r="C539" s="229" t="s">
        <v>687</v>
      </c>
      <c r="D539" s="229" t="s">
        <v>630</v>
      </c>
      <c r="E539" s="229" t="s">
        <v>0</v>
      </c>
      <c r="F539" s="229">
        <v>785</v>
      </c>
      <c r="G539" s="40">
        <f>F539/736</f>
        <v>1.0665760869565217</v>
      </c>
      <c r="H539" s="14">
        <v>0</v>
      </c>
      <c r="I539" s="229">
        <v>0</v>
      </c>
      <c r="J539" s="229">
        <v>0</v>
      </c>
      <c r="K539" s="26">
        <v>1</v>
      </c>
      <c r="L539" s="14">
        <v>0</v>
      </c>
      <c r="M539" s="229">
        <v>0</v>
      </c>
      <c r="N539" s="229">
        <v>0</v>
      </c>
      <c r="O539" s="229">
        <v>0</v>
      </c>
      <c r="P539" s="26">
        <v>0</v>
      </c>
      <c r="Q539" s="14">
        <v>0</v>
      </c>
      <c r="R539" s="229">
        <v>0</v>
      </c>
      <c r="S539" s="229">
        <v>0</v>
      </c>
      <c r="T539" s="229">
        <v>0</v>
      </c>
      <c r="U539" s="229">
        <v>0</v>
      </c>
      <c r="V539" s="229">
        <v>0</v>
      </c>
      <c r="W539" s="229">
        <v>0</v>
      </c>
      <c r="X539" s="229">
        <v>0</v>
      </c>
      <c r="Y539" s="229">
        <v>0</v>
      </c>
      <c r="Z539" s="229">
        <v>0</v>
      </c>
      <c r="AA539" s="229">
        <v>0</v>
      </c>
      <c r="AB539" s="229">
        <v>0</v>
      </c>
      <c r="AC539" s="12">
        <v>1</v>
      </c>
      <c r="AD539" s="14">
        <v>1</v>
      </c>
      <c r="AE539" s="14">
        <v>0</v>
      </c>
      <c r="AF539" s="26">
        <v>0</v>
      </c>
      <c r="AG539" s="12">
        <v>135</v>
      </c>
      <c r="AH539" s="14">
        <v>1</v>
      </c>
      <c r="AI539" s="209"/>
      <c r="AJ539" s="3"/>
      <c r="AK539" s="3"/>
      <c r="AL539" s="3"/>
      <c r="AM539" s="3"/>
      <c r="AN539" s="3"/>
      <c r="AO539" s="40"/>
      <c r="AP539" s="209"/>
      <c r="AQ539" s="3"/>
      <c r="AR539" s="40"/>
      <c r="AS539" s="238"/>
    </row>
    <row r="540" spans="1:45" s="229" customFormat="1">
      <c r="A540" s="83" t="s">
        <v>323</v>
      </c>
      <c r="B540" s="386">
        <v>12.705666666666668</v>
      </c>
      <c r="C540" s="229" t="s">
        <v>687</v>
      </c>
      <c r="D540" s="229" t="s">
        <v>630</v>
      </c>
      <c r="E540" s="229" t="s">
        <v>1</v>
      </c>
      <c r="F540" s="229">
        <v>386</v>
      </c>
      <c r="G540" s="40">
        <f>F540/286</f>
        <v>1.3496503496503496</v>
      </c>
      <c r="H540" s="14">
        <v>0</v>
      </c>
      <c r="I540" s="229">
        <v>0</v>
      </c>
      <c r="J540" s="229">
        <v>0</v>
      </c>
      <c r="K540" s="26">
        <v>1</v>
      </c>
      <c r="L540" s="14">
        <v>0</v>
      </c>
      <c r="M540" s="229">
        <v>0</v>
      </c>
      <c r="N540" s="229">
        <v>1</v>
      </c>
      <c r="O540" s="229">
        <v>0</v>
      </c>
      <c r="P540" s="26">
        <v>1</v>
      </c>
      <c r="Q540" s="14">
        <v>0</v>
      </c>
      <c r="R540" s="229">
        <v>0</v>
      </c>
      <c r="S540" s="229">
        <v>0</v>
      </c>
      <c r="T540" s="229">
        <v>0</v>
      </c>
      <c r="U540" s="229">
        <v>0</v>
      </c>
      <c r="V540" s="229">
        <v>0</v>
      </c>
      <c r="W540" s="229">
        <v>0</v>
      </c>
      <c r="X540" s="229">
        <v>0</v>
      </c>
      <c r="Y540" s="229">
        <v>0</v>
      </c>
      <c r="Z540" s="229">
        <v>0</v>
      </c>
      <c r="AA540" s="229">
        <v>0</v>
      </c>
      <c r="AB540" s="229">
        <v>0</v>
      </c>
      <c r="AC540" s="12">
        <v>1</v>
      </c>
      <c r="AD540" s="14">
        <v>1</v>
      </c>
      <c r="AE540" s="14">
        <v>0</v>
      </c>
      <c r="AF540" s="26">
        <v>0</v>
      </c>
      <c r="AG540" s="12">
        <v>135</v>
      </c>
      <c r="AH540" s="14">
        <v>1</v>
      </c>
      <c r="AI540" s="209"/>
      <c r="AJ540" s="3"/>
      <c r="AK540" s="3"/>
      <c r="AL540" s="3"/>
      <c r="AM540" s="3"/>
      <c r="AN540" s="3"/>
      <c r="AO540" s="40"/>
      <c r="AP540" s="209"/>
      <c r="AQ540" s="3"/>
      <c r="AR540" s="40"/>
      <c r="AS540" s="238"/>
    </row>
    <row r="541" spans="1:45" s="229" customFormat="1">
      <c r="A541" s="83" t="s">
        <v>323</v>
      </c>
      <c r="B541" s="386">
        <v>12.705666666666668</v>
      </c>
      <c r="C541" s="229" t="s">
        <v>687</v>
      </c>
      <c r="D541" s="229" t="s">
        <v>630</v>
      </c>
      <c r="E541" s="229" t="s">
        <v>2</v>
      </c>
      <c r="F541" s="229">
        <v>717</v>
      </c>
      <c r="G541" s="40">
        <f>F541/562</f>
        <v>1.2758007117437722</v>
      </c>
      <c r="H541" s="14">
        <v>0</v>
      </c>
      <c r="I541" s="229">
        <v>0</v>
      </c>
      <c r="J541" s="229">
        <v>0</v>
      </c>
      <c r="K541" s="26">
        <v>1</v>
      </c>
      <c r="L541" s="14">
        <v>0</v>
      </c>
      <c r="M541" s="229">
        <v>0</v>
      </c>
      <c r="N541" s="229">
        <v>0</v>
      </c>
      <c r="O541" s="229">
        <v>0</v>
      </c>
      <c r="P541" s="26">
        <v>0</v>
      </c>
      <c r="Q541" s="14">
        <v>1</v>
      </c>
      <c r="R541" s="229">
        <v>0</v>
      </c>
      <c r="S541" s="229">
        <v>0</v>
      </c>
      <c r="T541" s="229">
        <v>0</v>
      </c>
      <c r="U541" s="229">
        <v>0</v>
      </c>
      <c r="V541" s="229">
        <v>0</v>
      </c>
      <c r="W541" s="229">
        <v>54</v>
      </c>
      <c r="X541" s="229">
        <v>0</v>
      </c>
      <c r="Y541" s="229">
        <v>0</v>
      </c>
      <c r="Z541" s="229">
        <v>0</v>
      </c>
      <c r="AA541" s="229">
        <v>0</v>
      </c>
      <c r="AB541" s="229">
        <v>0</v>
      </c>
      <c r="AC541" s="12">
        <v>2</v>
      </c>
      <c r="AD541" s="14">
        <v>5</v>
      </c>
      <c r="AE541" s="14">
        <v>92</v>
      </c>
      <c r="AF541" s="26">
        <v>467</v>
      </c>
      <c r="AG541" s="12">
        <v>135</v>
      </c>
      <c r="AH541" s="14">
        <v>0</v>
      </c>
      <c r="AI541" s="209"/>
      <c r="AJ541" s="3"/>
      <c r="AK541" s="3"/>
      <c r="AL541" s="3"/>
      <c r="AM541" s="3"/>
      <c r="AN541" s="3"/>
      <c r="AO541" s="40"/>
      <c r="AP541" s="209"/>
      <c r="AQ541" s="3"/>
      <c r="AR541" s="40"/>
      <c r="AS541" s="238"/>
    </row>
    <row r="542" spans="1:45" s="229" customFormat="1">
      <c r="A542" s="83" t="s">
        <v>323</v>
      </c>
      <c r="B542" s="386">
        <v>12.705666666666668</v>
      </c>
      <c r="C542" s="229" t="s">
        <v>687</v>
      </c>
      <c r="D542" s="229" t="s">
        <v>637</v>
      </c>
      <c r="F542" s="229">
        <v>674</v>
      </c>
      <c r="G542" s="40">
        <f>F542/524</f>
        <v>1.2862595419847329</v>
      </c>
      <c r="H542" s="14">
        <v>0</v>
      </c>
      <c r="I542" s="229">
        <v>0</v>
      </c>
      <c r="J542" s="229">
        <v>0</v>
      </c>
      <c r="K542" s="26">
        <v>1</v>
      </c>
      <c r="L542" s="14">
        <v>0</v>
      </c>
      <c r="M542" s="229">
        <v>0</v>
      </c>
      <c r="N542" s="229">
        <v>1</v>
      </c>
      <c r="O542" s="229">
        <v>0</v>
      </c>
      <c r="P542" s="26">
        <v>1</v>
      </c>
      <c r="Q542" s="14">
        <v>1</v>
      </c>
      <c r="R542" s="229">
        <v>0</v>
      </c>
      <c r="S542" s="229">
        <v>10</v>
      </c>
      <c r="T542" s="229">
        <v>0</v>
      </c>
      <c r="U542" s="229">
        <v>0</v>
      </c>
      <c r="V542" s="229">
        <v>0</v>
      </c>
      <c r="W542" s="229">
        <v>0</v>
      </c>
      <c r="X542" s="229">
        <v>0</v>
      </c>
      <c r="Y542" s="229">
        <v>0</v>
      </c>
      <c r="Z542" s="229">
        <v>0</v>
      </c>
      <c r="AA542" s="229">
        <v>0</v>
      </c>
      <c r="AB542" s="229">
        <v>1</v>
      </c>
      <c r="AC542" s="12">
        <v>2</v>
      </c>
      <c r="AD542" s="14">
        <v>3</v>
      </c>
      <c r="AE542" s="14">
        <v>147</v>
      </c>
      <c r="AF542" s="26">
        <v>524</v>
      </c>
      <c r="AG542" s="12">
        <v>149</v>
      </c>
      <c r="AH542" s="14">
        <v>1</v>
      </c>
      <c r="AI542" s="209"/>
      <c r="AJ542" s="3"/>
      <c r="AK542" s="3"/>
      <c r="AL542" s="3"/>
      <c r="AM542" s="3"/>
      <c r="AN542" s="3"/>
      <c r="AO542" s="40"/>
      <c r="AP542" s="209"/>
      <c r="AQ542" s="3"/>
      <c r="AR542" s="40"/>
      <c r="AS542" s="238"/>
    </row>
    <row r="543" spans="1:45" s="229" customFormat="1">
      <c r="A543" s="83" t="s">
        <v>323</v>
      </c>
      <c r="B543" s="386">
        <v>12.705666666666668</v>
      </c>
      <c r="C543" s="229" t="s">
        <v>687</v>
      </c>
      <c r="D543" s="229" t="s">
        <v>641</v>
      </c>
      <c r="E543" s="229" t="s">
        <v>0</v>
      </c>
      <c r="F543" s="229">
        <v>382</v>
      </c>
      <c r="G543" s="40">
        <f>F543/238</f>
        <v>1.6050420168067228</v>
      </c>
      <c r="H543" s="14">
        <v>0</v>
      </c>
      <c r="I543" s="229">
        <v>0</v>
      </c>
      <c r="J543" s="229">
        <v>0</v>
      </c>
      <c r="K543" s="26">
        <v>1</v>
      </c>
      <c r="L543" s="14">
        <v>0</v>
      </c>
      <c r="M543" s="229">
        <v>0</v>
      </c>
      <c r="N543" s="229">
        <v>0</v>
      </c>
      <c r="O543" s="229">
        <v>0</v>
      </c>
      <c r="P543" s="26">
        <v>0</v>
      </c>
      <c r="Q543" s="14">
        <v>0</v>
      </c>
      <c r="R543" s="229">
        <v>0</v>
      </c>
      <c r="S543" s="229">
        <v>0</v>
      </c>
      <c r="T543" s="229">
        <v>0</v>
      </c>
      <c r="U543" s="229">
        <v>0</v>
      </c>
      <c r="V543" s="229">
        <v>0</v>
      </c>
      <c r="W543" s="229">
        <v>0</v>
      </c>
      <c r="X543" s="229">
        <v>0</v>
      </c>
      <c r="Y543" s="229">
        <v>0</v>
      </c>
      <c r="Z543" s="229">
        <v>0</v>
      </c>
      <c r="AA543" s="229">
        <v>0</v>
      </c>
      <c r="AB543" s="229">
        <v>0</v>
      </c>
      <c r="AC543" s="12">
        <v>1</v>
      </c>
      <c r="AD543" s="14">
        <v>1</v>
      </c>
      <c r="AE543" s="14">
        <v>0</v>
      </c>
      <c r="AF543" s="26">
        <v>0</v>
      </c>
      <c r="AG543" s="12">
        <v>142</v>
      </c>
      <c r="AH543" s="14">
        <v>0</v>
      </c>
      <c r="AI543" s="209"/>
      <c r="AJ543" s="3"/>
      <c r="AK543" s="3"/>
      <c r="AL543" s="3"/>
      <c r="AM543" s="3"/>
      <c r="AN543" s="3"/>
      <c r="AO543" s="40"/>
      <c r="AP543" s="209"/>
      <c r="AQ543" s="3"/>
      <c r="AR543" s="40"/>
      <c r="AS543" s="238"/>
    </row>
    <row r="544" spans="1:45" s="229" customFormat="1">
      <c r="A544" s="83" t="s">
        <v>323</v>
      </c>
      <c r="B544" s="386">
        <v>12.705666666666668</v>
      </c>
      <c r="C544" s="229" t="s">
        <v>687</v>
      </c>
      <c r="D544" s="229" t="s">
        <v>641</v>
      </c>
      <c r="E544" s="229" t="s">
        <v>1</v>
      </c>
      <c r="F544" s="229">
        <v>399</v>
      </c>
      <c r="G544" s="40">
        <f>F544/171</f>
        <v>2.3333333333333335</v>
      </c>
      <c r="H544" s="14">
        <v>1</v>
      </c>
      <c r="I544" s="229">
        <v>0</v>
      </c>
      <c r="J544" s="229">
        <v>0</v>
      </c>
      <c r="K544" s="26">
        <v>0</v>
      </c>
      <c r="L544" s="14">
        <v>0</v>
      </c>
      <c r="M544" s="229">
        <v>0</v>
      </c>
      <c r="N544" s="229">
        <v>0</v>
      </c>
      <c r="O544" s="229">
        <v>0</v>
      </c>
      <c r="P544" s="26">
        <v>0</v>
      </c>
      <c r="Q544" s="14">
        <v>0</v>
      </c>
      <c r="R544" s="229">
        <v>0</v>
      </c>
      <c r="S544" s="229">
        <v>0</v>
      </c>
      <c r="T544" s="229">
        <v>0</v>
      </c>
      <c r="U544" s="229">
        <v>0</v>
      </c>
      <c r="V544" s="229">
        <v>0</v>
      </c>
      <c r="W544" s="229">
        <v>0</v>
      </c>
      <c r="X544" s="229">
        <v>0</v>
      </c>
      <c r="Y544" s="229">
        <v>0</v>
      </c>
      <c r="Z544" s="229">
        <v>0</v>
      </c>
      <c r="AA544" s="229">
        <v>0</v>
      </c>
      <c r="AB544" s="229">
        <v>0</v>
      </c>
      <c r="AC544" s="12">
        <v>1</v>
      </c>
      <c r="AD544" s="14">
        <v>1</v>
      </c>
      <c r="AE544" s="14">
        <v>0</v>
      </c>
      <c r="AF544" s="26">
        <v>0</v>
      </c>
      <c r="AG544" s="12">
        <v>142</v>
      </c>
      <c r="AH544" s="14">
        <v>1</v>
      </c>
      <c r="AI544" s="209"/>
      <c r="AJ544" s="3"/>
      <c r="AK544" s="3"/>
      <c r="AL544" s="3"/>
      <c r="AM544" s="3"/>
      <c r="AN544" s="3"/>
      <c r="AO544" s="40"/>
      <c r="AP544" s="209"/>
      <c r="AQ544" s="3"/>
      <c r="AR544" s="40"/>
      <c r="AS544" s="238"/>
    </row>
    <row r="545" spans="1:45" s="229" customFormat="1">
      <c r="A545" s="83" t="s">
        <v>323</v>
      </c>
      <c r="B545" s="386">
        <v>12.705666666666668</v>
      </c>
      <c r="C545" s="229" t="s">
        <v>687</v>
      </c>
      <c r="D545" s="229" t="s">
        <v>648</v>
      </c>
      <c r="E545" s="229" t="s">
        <v>0</v>
      </c>
      <c r="F545" s="229">
        <v>1071</v>
      </c>
      <c r="G545" s="40">
        <f>F545/590</f>
        <v>1.8152542372881355</v>
      </c>
      <c r="H545" s="14">
        <v>0</v>
      </c>
      <c r="I545" s="229">
        <v>0</v>
      </c>
      <c r="J545" s="229">
        <v>0</v>
      </c>
      <c r="K545" s="26">
        <v>1</v>
      </c>
      <c r="L545" s="14">
        <v>0</v>
      </c>
      <c r="M545" s="229">
        <v>0</v>
      </c>
      <c r="N545" s="229">
        <v>0</v>
      </c>
      <c r="O545" s="229">
        <v>0</v>
      </c>
      <c r="P545" s="26">
        <v>0</v>
      </c>
      <c r="Q545" s="14">
        <v>2</v>
      </c>
      <c r="R545" s="229">
        <v>0</v>
      </c>
      <c r="S545" s="229">
        <v>0</v>
      </c>
      <c r="T545" s="229">
        <v>0</v>
      </c>
      <c r="U545" s="229">
        <v>0</v>
      </c>
      <c r="V545" s="229">
        <v>0</v>
      </c>
      <c r="W545" s="229">
        <v>92</v>
      </c>
      <c r="X545" s="229">
        <v>0</v>
      </c>
      <c r="Y545" s="229">
        <v>0</v>
      </c>
      <c r="Z545" s="229">
        <v>0</v>
      </c>
      <c r="AA545" s="229">
        <v>0</v>
      </c>
      <c r="AB545" s="229">
        <v>0</v>
      </c>
      <c r="AC545" s="12">
        <v>2</v>
      </c>
      <c r="AD545" s="14">
        <v>4</v>
      </c>
      <c r="AE545" s="14">
        <v>143</v>
      </c>
      <c r="AF545" s="26">
        <v>743</v>
      </c>
      <c r="AG545" s="12">
        <v>159</v>
      </c>
      <c r="AH545" s="14">
        <v>0</v>
      </c>
      <c r="AI545" s="209"/>
      <c r="AJ545" s="3"/>
      <c r="AK545" s="3"/>
      <c r="AL545" s="3"/>
      <c r="AM545" s="3"/>
      <c r="AN545" s="3"/>
      <c r="AO545" s="40"/>
      <c r="AP545" s="209"/>
      <c r="AQ545" s="3"/>
      <c r="AR545" s="40"/>
      <c r="AS545" s="238"/>
    </row>
    <row r="546" spans="1:45" s="229" customFormat="1">
      <c r="A546" s="83" t="s">
        <v>323</v>
      </c>
      <c r="B546" s="386">
        <v>12.705666666666668</v>
      </c>
      <c r="C546" s="229" t="s">
        <v>687</v>
      </c>
      <c r="D546" s="229" t="s">
        <v>648</v>
      </c>
      <c r="E546" s="229" t="s">
        <v>1</v>
      </c>
      <c r="F546" s="229">
        <v>787</v>
      </c>
      <c r="G546" s="40">
        <f>F546/682</f>
        <v>1.153958944281525</v>
      </c>
      <c r="H546" s="14">
        <v>0</v>
      </c>
      <c r="I546" s="229">
        <v>0</v>
      </c>
      <c r="J546" s="229">
        <v>0</v>
      </c>
      <c r="K546" s="26">
        <v>1</v>
      </c>
      <c r="L546" s="14">
        <v>0</v>
      </c>
      <c r="M546" s="229">
        <v>0</v>
      </c>
      <c r="N546" s="229">
        <v>1</v>
      </c>
      <c r="O546" s="229">
        <v>0</v>
      </c>
      <c r="P546" s="26">
        <v>1</v>
      </c>
      <c r="Q546" s="14">
        <v>4</v>
      </c>
      <c r="R546" s="229">
        <v>0</v>
      </c>
      <c r="S546" s="229">
        <v>0</v>
      </c>
      <c r="T546" s="229">
        <v>0</v>
      </c>
      <c r="U546" s="229">
        <v>0</v>
      </c>
      <c r="V546" s="229">
        <v>0</v>
      </c>
      <c r="W546" s="229">
        <v>0</v>
      </c>
      <c r="X546" s="229">
        <v>0</v>
      </c>
      <c r="Y546" s="229">
        <v>0</v>
      </c>
      <c r="Z546" s="229">
        <v>0</v>
      </c>
      <c r="AA546" s="229">
        <v>90</v>
      </c>
      <c r="AB546" s="229">
        <v>0</v>
      </c>
      <c r="AC546" s="12">
        <v>2</v>
      </c>
      <c r="AD546" s="14">
        <v>2</v>
      </c>
      <c r="AE546" s="14">
        <v>379</v>
      </c>
      <c r="AF546" s="26">
        <v>787</v>
      </c>
      <c r="AG546" s="12">
        <v>159</v>
      </c>
      <c r="AH546" s="14">
        <v>0</v>
      </c>
      <c r="AI546" s="209"/>
      <c r="AJ546" s="3"/>
      <c r="AK546" s="3"/>
      <c r="AL546" s="3"/>
      <c r="AM546" s="3"/>
      <c r="AN546" s="3"/>
      <c r="AO546" s="40"/>
      <c r="AP546" s="209"/>
      <c r="AQ546" s="3"/>
      <c r="AR546" s="40"/>
      <c r="AS546" s="238"/>
    </row>
    <row r="547" spans="1:45" s="229" customFormat="1">
      <c r="A547" s="83" t="s">
        <v>323</v>
      </c>
      <c r="B547" s="386">
        <v>12.705666666666668</v>
      </c>
      <c r="C547" s="229" t="s">
        <v>687</v>
      </c>
      <c r="D547" s="229" t="s">
        <v>669</v>
      </c>
      <c r="F547" s="229">
        <v>795</v>
      </c>
      <c r="G547" s="40">
        <f>F547/571</f>
        <v>1.3922942206654991</v>
      </c>
      <c r="H547" s="14">
        <v>0</v>
      </c>
      <c r="I547" s="229">
        <v>0</v>
      </c>
      <c r="J547" s="229">
        <v>0</v>
      </c>
      <c r="K547" s="26">
        <v>1</v>
      </c>
      <c r="L547" s="14">
        <v>0</v>
      </c>
      <c r="M547" s="229">
        <v>0</v>
      </c>
      <c r="N547" s="229">
        <v>0</v>
      </c>
      <c r="O547" s="229">
        <v>0</v>
      </c>
      <c r="P547" s="26">
        <v>0</v>
      </c>
      <c r="Q547" s="14">
        <v>0</v>
      </c>
      <c r="R547" s="229">
        <v>0</v>
      </c>
      <c r="S547" s="229">
        <v>0</v>
      </c>
      <c r="T547" s="229">
        <v>0</v>
      </c>
      <c r="U547" s="229">
        <v>0</v>
      </c>
      <c r="V547" s="229">
        <v>0</v>
      </c>
      <c r="W547" s="229">
        <v>0</v>
      </c>
      <c r="X547" s="229">
        <v>0</v>
      </c>
      <c r="Y547" s="229">
        <v>0</v>
      </c>
      <c r="Z547" s="229">
        <v>0</v>
      </c>
      <c r="AA547" s="229">
        <v>0</v>
      </c>
      <c r="AB547" s="229">
        <v>0</v>
      </c>
      <c r="AC547" s="12">
        <v>2</v>
      </c>
      <c r="AD547" s="14">
        <v>5</v>
      </c>
      <c r="AE547" s="14">
        <v>92</v>
      </c>
      <c r="AF547" s="26">
        <v>795</v>
      </c>
      <c r="AG547" s="12">
        <v>117</v>
      </c>
      <c r="AH547" s="14">
        <v>1</v>
      </c>
      <c r="AI547" s="209"/>
      <c r="AJ547" s="3"/>
      <c r="AK547" s="3"/>
      <c r="AL547" s="3"/>
      <c r="AM547" s="3"/>
      <c r="AN547" s="3"/>
      <c r="AO547" s="40"/>
      <c r="AP547" s="209"/>
      <c r="AQ547" s="3"/>
      <c r="AR547" s="40"/>
      <c r="AS547" s="238"/>
    </row>
    <row r="548" spans="1:45" s="229" customFormat="1">
      <c r="A548" s="83" t="s">
        <v>323</v>
      </c>
      <c r="B548" s="386">
        <v>12.705666666666668</v>
      </c>
      <c r="C548" s="229" t="s">
        <v>687</v>
      </c>
      <c r="D548" s="229" t="s">
        <v>671</v>
      </c>
      <c r="E548" s="229" t="s">
        <v>0</v>
      </c>
      <c r="F548" s="229">
        <v>206</v>
      </c>
      <c r="G548" s="40">
        <f>F548/132</f>
        <v>1.5606060606060606</v>
      </c>
      <c r="H548" s="14">
        <v>0</v>
      </c>
      <c r="I548" s="229">
        <v>0</v>
      </c>
      <c r="J548" s="229">
        <v>0</v>
      </c>
      <c r="K548" s="26">
        <v>1</v>
      </c>
      <c r="L548" s="14">
        <v>0</v>
      </c>
      <c r="M548" s="229">
        <v>0</v>
      </c>
      <c r="N548" s="229">
        <v>1</v>
      </c>
      <c r="O548" s="229">
        <v>0</v>
      </c>
      <c r="P548" s="26">
        <v>1</v>
      </c>
      <c r="Q548" s="14">
        <v>0</v>
      </c>
      <c r="R548" s="229">
        <v>0</v>
      </c>
      <c r="S548" s="229">
        <v>0</v>
      </c>
      <c r="T548" s="229">
        <v>0</v>
      </c>
      <c r="U548" s="229">
        <v>0</v>
      </c>
      <c r="V548" s="229">
        <v>0</v>
      </c>
      <c r="W548" s="229">
        <v>0</v>
      </c>
      <c r="X548" s="229">
        <v>0</v>
      </c>
      <c r="Y548" s="229">
        <v>0</v>
      </c>
      <c r="Z548" s="229">
        <v>0</v>
      </c>
      <c r="AA548" s="229">
        <v>0</v>
      </c>
      <c r="AB548" s="229">
        <v>0</v>
      </c>
      <c r="AC548" s="12">
        <v>1</v>
      </c>
      <c r="AD548" s="14">
        <v>1</v>
      </c>
      <c r="AE548" s="14">
        <v>0</v>
      </c>
      <c r="AF548" s="26">
        <v>0</v>
      </c>
      <c r="AG548" s="12">
        <v>114</v>
      </c>
      <c r="AH548" s="14">
        <v>0</v>
      </c>
      <c r="AI548" s="209">
        <v>86.9</v>
      </c>
      <c r="AJ548" s="3"/>
      <c r="AK548" s="3"/>
      <c r="AL548" s="3"/>
      <c r="AM548" s="3"/>
      <c r="AN548" s="3"/>
      <c r="AO548" s="40"/>
      <c r="AP548" s="209">
        <v>85.4</v>
      </c>
      <c r="AQ548" s="3"/>
      <c r="AR548" s="40"/>
      <c r="AS548" s="238"/>
    </row>
    <row r="549" spans="1:45" s="229" customFormat="1">
      <c r="A549" s="83" t="s">
        <v>323</v>
      </c>
      <c r="B549" s="386">
        <v>12.705666666666668</v>
      </c>
      <c r="C549" s="229" t="s">
        <v>687</v>
      </c>
      <c r="D549" s="229" t="s">
        <v>671</v>
      </c>
      <c r="E549" s="229" t="s">
        <v>1</v>
      </c>
      <c r="F549" s="229">
        <v>259</v>
      </c>
      <c r="G549" s="40">
        <f>F549/252</f>
        <v>1.0277777777777777</v>
      </c>
      <c r="H549" s="14">
        <v>1</v>
      </c>
      <c r="I549" s="229">
        <v>0</v>
      </c>
      <c r="J549" s="229">
        <v>0</v>
      </c>
      <c r="K549" s="26">
        <v>1</v>
      </c>
      <c r="L549" s="14">
        <v>0</v>
      </c>
      <c r="M549" s="229">
        <v>0</v>
      </c>
      <c r="N549" s="229">
        <v>0</v>
      </c>
      <c r="O549" s="229">
        <v>0</v>
      </c>
      <c r="P549" s="26">
        <v>0</v>
      </c>
      <c r="Q549" s="14">
        <v>0</v>
      </c>
      <c r="R549" s="229">
        <v>0</v>
      </c>
      <c r="S549" s="229">
        <v>0</v>
      </c>
      <c r="T549" s="229">
        <v>0</v>
      </c>
      <c r="U549" s="229">
        <v>0</v>
      </c>
      <c r="V549" s="229">
        <v>0</v>
      </c>
      <c r="W549" s="229">
        <v>0</v>
      </c>
      <c r="X549" s="229">
        <v>0</v>
      </c>
      <c r="Y549" s="229">
        <v>0</v>
      </c>
      <c r="Z549" s="229">
        <v>0</v>
      </c>
      <c r="AA549" s="229">
        <v>0</v>
      </c>
      <c r="AB549" s="229">
        <v>0</v>
      </c>
      <c r="AC549" s="12">
        <v>2</v>
      </c>
      <c r="AD549" s="14">
        <v>3</v>
      </c>
      <c r="AE549" s="14">
        <v>112</v>
      </c>
      <c r="AF549" s="26">
        <v>183</v>
      </c>
      <c r="AG549" s="12">
        <v>114</v>
      </c>
      <c r="AH549" s="14">
        <v>0</v>
      </c>
      <c r="AI549" s="209"/>
      <c r="AJ549" s="3"/>
      <c r="AK549" s="3"/>
      <c r="AL549" s="3"/>
      <c r="AM549" s="3"/>
      <c r="AN549" s="3"/>
      <c r="AO549" s="40"/>
      <c r="AP549" s="209"/>
      <c r="AQ549" s="3"/>
      <c r="AR549" s="40"/>
      <c r="AS549" s="238"/>
    </row>
    <row r="550" spans="1:45" s="229" customFormat="1" ht="17" thickBot="1">
      <c r="A550" s="84" t="s">
        <v>323</v>
      </c>
      <c r="B550" s="385">
        <v>12.705666666666668</v>
      </c>
      <c r="C550" s="229" t="s">
        <v>687</v>
      </c>
      <c r="D550" s="229" t="s">
        <v>672</v>
      </c>
      <c r="F550" s="229">
        <v>495</v>
      </c>
      <c r="G550" s="40">
        <f>F550/441</f>
        <v>1.1224489795918366</v>
      </c>
      <c r="H550" s="14">
        <v>0</v>
      </c>
      <c r="I550" s="229">
        <v>0</v>
      </c>
      <c r="J550" s="229">
        <v>0</v>
      </c>
      <c r="K550" s="26">
        <v>1</v>
      </c>
      <c r="L550" s="14">
        <v>0</v>
      </c>
      <c r="M550" s="229">
        <v>0</v>
      </c>
      <c r="N550" s="229">
        <v>0</v>
      </c>
      <c r="O550" s="229">
        <v>0</v>
      </c>
      <c r="P550" s="26">
        <v>0</v>
      </c>
      <c r="Q550" s="14">
        <v>0</v>
      </c>
      <c r="R550" s="229">
        <v>0</v>
      </c>
      <c r="S550" s="229">
        <v>0</v>
      </c>
      <c r="T550" s="229">
        <v>0</v>
      </c>
      <c r="U550" s="229">
        <v>0</v>
      </c>
      <c r="V550" s="229">
        <v>0</v>
      </c>
      <c r="W550" s="229">
        <v>0</v>
      </c>
      <c r="X550" s="229">
        <v>0</v>
      </c>
      <c r="Y550" s="229">
        <v>0</v>
      </c>
      <c r="Z550" s="229">
        <v>0</v>
      </c>
      <c r="AA550" s="229">
        <v>0</v>
      </c>
      <c r="AB550" s="229">
        <v>0</v>
      </c>
      <c r="AC550" s="12">
        <v>2</v>
      </c>
      <c r="AD550" s="14">
        <v>5</v>
      </c>
      <c r="AE550" s="14">
        <v>128</v>
      </c>
      <c r="AF550" s="26">
        <v>375</v>
      </c>
      <c r="AG550" s="12">
        <v>106</v>
      </c>
      <c r="AH550" s="14">
        <v>1</v>
      </c>
      <c r="AI550" s="209"/>
      <c r="AJ550" s="3"/>
      <c r="AK550" s="3"/>
      <c r="AL550" s="3"/>
      <c r="AM550" s="3"/>
      <c r="AN550" s="3"/>
      <c r="AO550" s="40"/>
      <c r="AP550" s="209"/>
      <c r="AQ550" s="3"/>
      <c r="AR550" s="40"/>
      <c r="AS550" s="238"/>
    </row>
    <row r="551" spans="1:45" s="229" customFormat="1">
      <c r="A551" s="42" t="s">
        <v>323</v>
      </c>
      <c r="B551" s="386">
        <v>12.705666666666668</v>
      </c>
      <c r="C551" s="8" t="s">
        <v>219</v>
      </c>
      <c r="D551" s="8" t="s">
        <v>423</v>
      </c>
      <c r="E551" s="8"/>
      <c r="F551" s="8">
        <v>277</v>
      </c>
      <c r="G551" s="10">
        <f>F551/247</f>
        <v>1.1214574898785425</v>
      </c>
      <c r="H551" s="11">
        <v>0</v>
      </c>
      <c r="I551" s="8">
        <v>0</v>
      </c>
      <c r="J551" s="8">
        <v>1</v>
      </c>
      <c r="K551" s="41">
        <v>0</v>
      </c>
      <c r="L551" s="11">
        <v>0</v>
      </c>
      <c r="M551" s="8">
        <v>0</v>
      </c>
      <c r="N551" s="8">
        <v>1</v>
      </c>
      <c r="O551" s="8">
        <v>0</v>
      </c>
      <c r="P551" s="41">
        <v>1</v>
      </c>
      <c r="Q551" s="11">
        <v>0</v>
      </c>
      <c r="R551" s="8">
        <v>0</v>
      </c>
      <c r="S551" s="8">
        <v>0</v>
      </c>
      <c r="T551" s="8">
        <v>0</v>
      </c>
      <c r="U551" s="8">
        <v>0</v>
      </c>
      <c r="V551" s="8">
        <v>0</v>
      </c>
      <c r="W551" s="8">
        <v>0</v>
      </c>
      <c r="X551" s="8">
        <v>0</v>
      </c>
      <c r="Y551" s="8">
        <v>0</v>
      </c>
      <c r="Z551" s="8">
        <v>0</v>
      </c>
      <c r="AA551" s="8">
        <v>0</v>
      </c>
      <c r="AB551" s="8"/>
      <c r="AC551" s="9">
        <v>1</v>
      </c>
      <c r="AD551" s="11">
        <v>1</v>
      </c>
      <c r="AE551" s="11">
        <v>0</v>
      </c>
      <c r="AF551" s="41">
        <v>0</v>
      </c>
      <c r="AG551" s="9">
        <v>96</v>
      </c>
      <c r="AH551" s="11">
        <v>0</v>
      </c>
      <c r="AI551" s="208"/>
      <c r="AJ551" s="54"/>
      <c r="AK551" s="54"/>
      <c r="AL551" s="54"/>
      <c r="AM551" s="54"/>
      <c r="AN551" s="54"/>
      <c r="AO551" s="10"/>
      <c r="AP551" s="208"/>
      <c r="AQ551" s="54"/>
      <c r="AR551" s="10"/>
      <c r="AS551" s="237"/>
    </row>
    <row r="552" spans="1:45" s="229" customFormat="1">
      <c r="A552" s="42" t="s">
        <v>323</v>
      </c>
      <c r="B552" s="386">
        <v>12.705666666666668</v>
      </c>
      <c r="C552" s="229" t="s">
        <v>219</v>
      </c>
      <c r="D552" s="229" t="s">
        <v>622</v>
      </c>
      <c r="F552" s="229">
        <v>496</v>
      </c>
      <c r="G552" s="40">
        <f>F552/477</f>
        <v>1.0398322851153039</v>
      </c>
      <c r="H552" s="14">
        <v>1</v>
      </c>
      <c r="I552" s="229">
        <v>0</v>
      </c>
      <c r="J552" s="229">
        <v>0</v>
      </c>
      <c r="K552" s="26">
        <v>1</v>
      </c>
      <c r="L552" s="14">
        <v>0</v>
      </c>
      <c r="M552" s="229">
        <v>0</v>
      </c>
      <c r="N552" s="229">
        <v>0</v>
      </c>
      <c r="O552" s="229">
        <v>1</v>
      </c>
      <c r="P552" s="26">
        <v>1</v>
      </c>
      <c r="Q552" s="14">
        <v>5</v>
      </c>
      <c r="R552" s="229">
        <v>23</v>
      </c>
      <c r="S552" s="229">
        <v>30</v>
      </c>
      <c r="T552" s="229">
        <v>0</v>
      </c>
      <c r="U552" s="229">
        <v>0</v>
      </c>
      <c r="V552" s="229">
        <v>0</v>
      </c>
      <c r="W552" s="229">
        <v>0</v>
      </c>
      <c r="X552" s="229">
        <v>0</v>
      </c>
      <c r="Y552" s="229">
        <v>0</v>
      </c>
      <c r="Z552" s="229">
        <v>0</v>
      </c>
      <c r="AA552" s="229">
        <v>0</v>
      </c>
      <c r="AC552" s="12">
        <v>2</v>
      </c>
      <c r="AD552" s="14">
        <v>2</v>
      </c>
      <c r="AE552" s="14">
        <v>252</v>
      </c>
      <c r="AF552" s="26">
        <v>477</v>
      </c>
      <c r="AG552" s="12">
        <v>80</v>
      </c>
      <c r="AH552" s="14">
        <v>0</v>
      </c>
      <c r="AI552" s="209"/>
      <c r="AJ552" s="3"/>
      <c r="AK552" s="3"/>
      <c r="AL552" s="3"/>
      <c r="AM552" s="3"/>
      <c r="AN552" s="3"/>
      <c r="AO552" s="40"/>
      <c r="AP552" s="209"/>
      <c r="AQ552" s="3"/>
      <c r="AR552" s="40"/>
      <c r="AS552" s="238"/>
    </row>
    <row r="553" spans="1:45" s="229" customFormat="1">
      <c r="A553" s="42" t="s">
        <v>323</v>
      </c>
      <c r="B553" s="386">
        <v>12.705666666666668</v>
      </c>
      <c r="C553" s="229" t="s">
        <v>219</v>
      </c>
      <c r="D553" s="229" t="s">
        <v>620</v>
      </c>
      <c r="F553" s="229">
        <v>558</v>
      </c>
      <c r="G553" s="40">
        <f>F553/288</f>
        <v>1.9375</v>
      </c>
      <c r="H553" s="14">
        <v>0</v>
      </c>
      <c r="I553" s="229">
        <v>1</v>
      </c>
      <c r="J553" s="229">
        <v>0</v>
      </c>
      <c r="K553" s="26">
        <v>0</v>
      </c>
      <c r="L553" s="14">
        <v>0</v>
      </c>
      <c r="M553" s="229">
        <v>0</v>
      </c>
      <c r="N553" s="229">
        <v>0</v>
      </c>
      <c r="O553" s="229">
        <v>0</v>
      </c>
      <c r="P553" s="26">
        <v>0</v>
      </c>
      <c r="Q553" s="14">
        <v>10</v>
      </c>
      <c r="R553" s="229">
        <v>0</v>
      </c>
      <c r="S553" s="229">
        <v>0</v>
      </c>
      <c r="T553" s="229">
        <v>0</v>
      </c>
      <c r="U553" s="229">
        <v>0</v>
      </c>
      <c r="V553" s="229">
        <v>38</v>
      </c>
      <c r="W553" s="229">
        <v>64</v>
      </c>
      <c r="X553" s="229">
        <v>0</v>
      </c>
      <c r="Y553" s="229">
        <v>0</v>
      </c>
      <c r="Z553" s="229">
        <v>0</v>
      </c>
      <c r="AA553" s="229">
        <v>0</v>
      </c>
      <c r="AC553" s="12">
        <v>1</v>
      </c>
      <c r="AD553" s="14">
        <v>1</v>
      </c>
      <c r="AE553" s="14">
        <v>0</v>
      </c>
      <c r="AF553" s="26">
        <v>0</v>
      </c>
      <c r="AG553" s="12">
        <v>68</v>
      </c>
      <c r="AH553" s="14">
        <v>1</v>
      </c>
      <c r="AI553" s="209"/>
      <c r="AJ553" s="3"/>
      <c r="AK553" s="3"/>
      <c r="AL553" s="3"/>
      <c r="AM553" s="3"/>
      <c r="AN553" s="3"/>
      <c r="AO553" s="40"/>
      <c r="AP553" s="209"/>
      <c r="AQ553" s="3"/>
      <c r="AR553" s="40"/>
      <c r="AS553" s="238"/>
    </row>
    <row r="554" spans="1:45" s="229" customFormat="1">
      <c r="A554" s="42" t="s">
        <v>323</v>
      </c>
      <c r="B554" s="386">
        <v>12.705666666666668</v>
      </c>
      <c r="C554" s="229" t="s">
        <v>219</v>
      </c>
      <c r="D554" s="229" t="s">
        <v>629</v>
      </c>
      <c r="E554" s="229" t="s">
        <v>0</v>
      </c>
      <c r="F554" s="229">
        <v>210</v>
      </c>
      <c r="G554" s="40">
        <f>F554/105</f>
        <v>2</v>
      </c>
      <c r="H554" s="14">
        <v>0</v>
      </c>
      <c r="I554" s="229">
        <v>0</v>
      </c>
      <c r="J554" s="229">
        <v>0</v>
      </c>
      <c r="K554" s="26">
        <v>1</v>
      </c>
      <c r="L554" s="14">
        <v>0</v>
      </c>
      <c r="M554" s="229">
        <v>0</v>
      </c>
      <c r="N554" s="229">
        <v>0</v>
      </c>
      <c r="O554" s="229">
        <v>0</v>
      </c>
      <c r="P554" s="26">
        <v>0</v>
      </c>
      <c r="Q554" s="14">
        <v>0</v>
      </c>
      <c r="R554" s="229">
        <v>0</v>
      </c>
      <c r="S554" s="229">
        <v>0</v>
      </c>
      <c r="T554" s="229">
        <v>0</v>
      </c>
      <c r="U554" s="229">
        <v>0</v>
      </c>
      <c r="V554" s="229">
        <v>0</v>
      </c>
      <c r="W554" s="229">
        <v>0</v>
      </c>
      <c r="X554" s="229">
        <v>0</v>
      </c>
      <c r="Y554" s="229">
        <v>0</v>
      </c>
      <c r="Z554" s="229">
        <v>0</v>
      </c>
      <c r="AA554" s="229">
        <v>0</v>
      </c>
      <c r="AC554" s="12">
        <v>1</v>
      </c>
      <c r="AD554" s="14">
        <v>1</v>
      </c>
      <c r="AE554" s="14">
        <v>0</v>
      </c>
      <c r="AF554" s="26">
        <v>0</v>
      </c>
      <c r="AG554" s="12">
        <v>69</v>
      </c>
      <c r="AH554" s="14">
        <v>0</v>
      </c>
      <c r="AI554" s="209"/>
      <c r="AJ554" s="3"/>
      <c r="AK554" s="3"/>
      <c r="AL554" s="3"/>
      <c r="AM554" s="3"/>
      <c r="AN554" s="3"/>
      <c r="AO554" s="40"/>
      <c r="AP554" s="209"/>
      <c r="AQ554" s="3"/>
      <c r="AR554" s="40"/>
      <c r="AS554" s="238"/>
    </row>
    <row r="555" spans="1:45" s="229" customFormat="1">
      <c r="A555" s="42" t="s">
        <v>323</v>
      </c>
      <c r="B555" s="386">
        <v>12.705666666666668</v>
      </c>
      <c r="C555" s="229" t="s">
        <v>219</v>
      </c>
      <c r="D555" s="229" t="s">
        <v>629</v>
      </c>
      <c r="E555" s="229" t="s">
        <v>1</v>
      </c>
      <c r="F555" s="229">
        <v>245</v>
      </c>
      <c r="G555" s="40">
        <f>F555/106</f>
        <v>2.3113207547169812</v>
      </c>
      <c r="H555" s="14">
        <v>1</v>
      </c>
      <c r="I555" s="229">
        <v>0</v>
      </c>
      <c r="J555" s="229">
        <v>0</v>
      </c>
      <c r="K555" s="26">
        <v>1</v>
      </c>
      <c r="L555" s="14">
        <v>0</v>
      </c>
      <c r="M555" s="229">
        <v>0</v>
      </c>
      <c r="N555" s="229">
        <v>0</v>
      </c>
      <c r="O555" s="229">
        <v>0</v>
      </c>
      <c r="P555" s="26">
        <v>0</v>
      </c>
      <c r="Q555" s="14">
        <v>5</v>
      </c>
      <c r="R555" s="229">
        <v>0</v>
      </c>
      <c r="S555" s="229">
        <v>0</v>
      </c>
      <c r="T555" s="229">
        <v>0</v>
      </c>
      <c r="U555" s="229">
        <v>0</v>
      </c>
      <c r="V555" s="229">
        <v>0</v>
      </c>
      <c r="W555" s="229">
        <v>21</v>
      </c>
      <c r="X555" s="229">
        <v>0</v>
      </c>
      <c r="Y555" s="229">
        <v>0</v>
      </c>
      <c r="Z555" s="229">
        <v>0</v>
      </c>
      <c r="AA555" s="229">
        <v>0</v>
      </c>
      <c r="AC555" s="12">
        <v>2</v>
      </c>
      <c r="AD555" s="14">
        <v>2</v>
      </c>
      <c r="AE555" s="14">
        <v>128</v>
      </c>
      <c r="AF555" s="26">
        <v>157</v>
      </c>
      <c r="AG555" s="12">
        <v>69</v>
      </c>
      <c r="AH555" s="14">
        <v>0</v>
      </c>
      <c r="AI555" s="209"/>
      <c r="AJ555" s="3"/>
      <c r="AK555" s="3"/>
      <c r="AL555" s="3"/>
      <c r="AM555" s="3"/>
      <c r="AN555" s="3"/>
      <c r="AO555" s="40"/>
      <c r="AP555" s="209"/>
      <c r="AQ555" s="3"/>
      <c r="AR555" s="40"/>
      <c r="AS555" s="238"/>
    </row>
    <row r="556" spans="1:45" s="229" customFormat="1">
      <c r="A556" s="42" t="s">
        <v>323</v>
      </c>
      <c r="B556" s="386">
        <v>12.705666666666668</v>
      </c>
      <c r="C556" s="229" t="s">
        <v>219</v>
      </c>
      <c r="D556" s="229" t="s">
        <v>629</v>
      </c>
      <c r="E556" s="229" t="s">
        <v>2</v>
      </c>
      <c r="F556" s="229">
        <v>228</v>
      </c>
      <c r="G556" s="40">
        <f>F556/155</f>
        <v>1.4709677419354839</v>
      </c>
      <c r="H556" s="14">
        <v>0</v>
      </c>
      <c r="I556" s="229">
        <v>0</v>
      </c>
      <c r="J556" s="229">
        <v>0</v>
      </c>
      <c r="K556" s="26">
        <v>1</v>
      </c>
      <c r="L556" s="14">
        <v>0</v>
      </c>
      <c r="M556" s="229">
        <v>0</v>
      </c>
      <c r="N556" s="229">
        <v>1</v>
      </c>
      <c r="O556" s="229">
        <v>0</v>
      </c>
      <c r="P556" s="26">
        <v>1</v>
      </c>
      <c r="Q556" s="14">
        <v>0</v>
      </c>
      <c r="R556" s="229">
        <v>0</v>
      </c>
      <c r="S556" s="229">
        <v>0</v>
      </c>
      <c r="T556" s="229">
        <v>0</v>
      </c>
      <c r="U556" s="229">
        <v>0</v>
      </c>
      <c r="V556" s="229">
        <v>0</v>
      </c>
      <c r="W556" s="229">
        <v>0</v>
      </c>
      <c r="X556" s="229">
        <v>0</v>
      </c>
      <c r="Y556" s="229">
        <v>0</v>
      </c>
      <c r="Z556" s="229">
        <v>0</v>
      </c>
      <c r="AA556" s="229">
        <v>0</v>
      </c>
      <c r="AC556" s="12">
        <v>1</v>
      </c>
      <c r="AD556" s="14">
        <v>1</v>
      </c>
      <c r="AE556" s="14">
        <v>0</v>
      </c>
      <c r="AF556" s="26">
        <v>0</v>
      </c>
      <c r="AG556" s="12">
        <v>69</v>
      </c>
      <c r="AH556" s="14">
        <v>0</v>
      </c>
      <c r="AI556" s="209"/>
      <c r="AJ556" s="3"/>
      <c r="AK556" s="3"/>
      <c r="AL556" s="3"/>
      <c r="AM556" s="3"/>
      <c r="AN556" s="3"/>
      <c r="AO556" s="40"/>
      <c r="AP556" s="209"/>
      <c r="AQ556" s="3"/>
      <c r="AR556" s="40"/>
      <c r="AS556" s="238"/>
    </row>
    <row r="557" spans="1:45" s="229" customFormat="1">
      <c r="A557" s="42" t="s">
        <v>323</v>
      </c>
      <c r="B557" s="386">
        <v>12.705666666666668</v>
      </c>
      <c r="C557" s="229" t="s">
        <v>219</v>
      </c>
      <c r="D557" s="229" t="s">
        <v>634</v>
      </c>
      <c r="E557" s="229" t="s">
        <v>0</v>
      </c>
      <c r="F557" s="229">
        <v>528</v>
      </c>
      <c r="G557" s="40">
        <f>F557/377</f>
        <v>1.4005305039787799</v>
      </c>
      <c r="H557" s="14">
        <v>0</v>
      </c>
      <c r="I557" s="229">
        <v>1</v>
      </c>
      <c r="J557" s="229">
        <v>0</v>
      </c>
      <c r="K557" s="26">
        <v>0</v>
      </c>
      <c r="L557" s="14">
        <v>0</v>
      </c>
      <c r="M557" s="229">
        <v>0</v>
      </c>
      <c r="N557" s="229">
        <v>1</v>
      </c>
      <c r="O557" s="229">
        <v>0</v>
      </c>
      <c r="P557" s="26">
        <v>1</v>
      </c>
      <c r="Q557" s="14">
        <v>0</v>
      </c>
      <c r="R557" s="229">
        <v>0</v>
      </c>
      <c r="S557" s="229">
        <v>0</v>
      </c>
      <c r="T557" s="229">
        <v>0</v>
      </c>
      <c r="U557" s="229">
        <v>0</v>
      </c>
      <c r="V557" s="229">
        <v>0</v>
      </c>
      <c r="W557" s="229">
        <v>0</v>
      </c>
      <c r="X557" s="229">
        <v>0</v>
      </c>
      <c r="Y557" s="229">
        <v>0</v>
      </c>
      <c r="Z557" s="229">
        <v>0</v>
      </c>
      <c r="AA557" s="229">
        <v>0</v>
      </c>
      <c r="AC557" s="12">
        <v>2</v>
      </c>
      <c r="AD557" s="14">
        <v>4</v>
      </c>
      <c r="AE557" s="14">
        <v>87</v>
      </c>
      <c r="AF557" s="26">
        <v>377</v>
      </c>
      <c r="AG557" s="12">
        <v>86</v>
      </c>
      <c r="AH557" s="14">
        <v>0</v>
      </c>
      <c r="AI557" s="209"/>
      <c r="AJ557" s="3"/>
      <c r="AK557" s="3"/>
      <c r="AL557" s="3"/>
      <c r="AM557" s="3"/>
      <c r="AN557" s="3"/>
      <c r="AO557" s="40"/>
      <c r="AP557" s="209"/>
      <c r="AQ557" s="3"/>
      <c r="AR557" s="40"/>
      <c r="AS557" s="238"/>
    </row>
    <row r="558" spans="1:45" s="229" customFormat="1">
      <c r="A558" s="42" t="s">
        <v>323</v>
      </c>
      <c r="B558" s="386">
        <v>12.705666666666668</v>
      </c>
      <c r="C558" s="229" t="s">
        <v>219</v>
      </c>
      <c r="D558" s="229" t="s">
        <v>634</v>
      </c>
      <c r="E558" s="229" t="s">
        <v>1</v>
      </c>
      <c r="F558" s="229">
        <v>440</v>
      </c>
      <c r="G558" s="40">
        <f>F558/375</f>
        <v>1.1733333333333333</v>
      </c>
      <c r="H558" s="14">
        <v>0</v>
      </c>
      <c r="I558" s="229">
        <v>0</v>
      </c>
      <c r="J558" s="229">
        <v>0</v>
      </c>
      <c r="K558" s="26">
        <v>1</v>
      </c>
      <c r="L558" s="14">
        <v>0</v>
      </c>
      <c r="M558" s="229">
        <v>0</v>
      </c>
      <c r="N558" s="229">
        <v>1</v>
      </c>
      <c r="O558" s="229">
        <v>0</v>
      </c>
      <c r="P558" s="26">
        <v>1</v>
      </c>
      <c r="Q558" s="14">
        <v>2</v>
      </c>
      <c r="R558" s="229">
        <v>0</v>
      </c>
      <c r="S558" s="229">
        <v>0</v>
      </c>
      <c r="T558" s="229">
        <v>0</v>
      </c>
      <c r="U558" s="229">
        <v>0</v>
      </c>
      <c r="V558" s="229">
        <v>0</v>
      </c>
      <c r="W558" s="229">
        <v>0</v>
      </c>
      <c r="X558" s="229">
        <v>15</v>
      </c>
      <c r="Y558" s="229">
        <v>29</v>
      </c>
      <c r="Z558" s="229">
        <v>0</v>
      </c>
      <c r="AA558" s="229">
        <v>0</v>
      </c>
      <c r="AC558" s="12">
        <v>1</v>
      </c>
      <c r="AD558" s="14">
        <v>1</v>
      </c>
      <c r="AE558" s="14">
        <v>0</v>
      </c>
      <c r="AF558" s="26">
        <v>0</v>
      </c>
      <c r="AG558" s="12">
        <v>86</v>
      </c>
      <c r="AH558" s="14">
        <v>1</v>
      </c>
      <c r="AI558" s="209"/>
      <c r="AJ558" s="3"/>
      <c r="AK558" s="3"/>
      <c r="AL558" s="3"/>
      <c r="AM558" s="3"/>
      <c r="AN558" s="3"/>
      <c r="AO558" s="40"/>
      <c r="AP558" s="209"/>
      <c r="AQ558" s="3"/>
      <c r="AR558" s="40"/>
      <c r="AS558" s="238"/>
    </row>
    <row r="559" spans="1:45" s="229" customFormat="1">
      <c r="A559" s="42" t="s">
        <v>323</v>
      </c>
      <c r="B559" s="386">
        <v>12.705666666666668</v>
      </c>
      <c r="C559" s="229" t="s">
        <v>219</v>
      </c>
      <c r="D559" s="229" t="s">
        <v>630</v>
      </c>
      <c r="E559" s="229" t="s">
        <v>0</v>
      </c>
      <c r="F559" s="229">
        <v>761</v>
      </c>
      <c r="G559" s="40">
        <f>F559/456</f>
        <v>1.6688596491228069</v>
      </c>
      <c r="H559" s="14">
        <v>1</v>
      </c>
      <c r="I559" s="229">
        <v>0</v>
      </c>
      <c r="J559" s="229">
        <v>0</v>
      </c>
      <c r="K559" s="26">
        <v>0</v>
      </c>
      <c r="L559" s="14">
        <v>0</v>
      </c>
      <c r="M559" s="229">
        <v>0</v>
      </c>
      <c r="N559" s="229">
        <v>0</v>
      </c>
      <c r="O559" s="229">
        <v>0</v>
      </c>
      <c r="P559" s="26">
        <v>0</v>
      </c>
      <c r="Q559" s="14">
        <v>3</v>
      </c>
      <c r="R559" s="229">
        <v>14</v>
      </c>
      <c r="S559" s="229">
        <v>47</v>
      </c>
      <c r="T559" s="229">
        <v>0</v>
      </c>
      <c r="U559" s="229">
        <v>0</v>
      </c>
      <c r="V559" s="229">
        <v>0</v>
      </c>
      <c r="W559" s="229">
        <v>0</v>
      </c>
      <c r="X559" s="229">
        <v>0</v>
      </c>
      <c r="Y559" s="229">
        <v>0</v>
      </c>
      <c r="Z559" s="229">
        <v>0</v>
      </c>
      <c r="AA559" s="229">
        <v>0</v>
      </c>
      <c r="AC559" s="12">
        <v>1</v>
      </c>
      <c r="AD559" s="14">
        <v>1</v>
      </c>
      <c r="AE559" s="14">
        <v>0</v>
      </c>
      <c r="AF559" s="26">
        <v>0</v>
      </c>
      <c r="AG559" s="12">
        <v>100</v>
      </c>
      <c r="AH559" s="14">
        <v>1</v>
      </c>
      <c r="AI559" s="209">
        <v>86.7</v>
      </c>
      <c r="AJ559" s="3"/>
      <c r="AK559" s="3"/>
      <c r="AL559" s="3"/>
      <c r="AM559" s="3"/>
      <c r="AN559" s="3"/>
      <c r="AO559" s="40"/>
      <c r="AP559" s="209">
        <v>86.7</v>
      </c>
      <c r="AQ559" s="3"/>
      <c r="AR559" s="40"/>
      <c r="AS559" s="238"/>
    </row>
    <row r="560" spans="1:45" s="229" customFormat="1">
      <c r="A560" s="42" t="s">
        <v>323</v>
      </c>
      <c r="B560" s="386">
        <v>12.705666666666668</v>
      </c>
      <c r="C560" s="229" t="s">
        <v>219</v>
      </c>
      <c r="D560" s="229" t="s">
        <v>630</v>
      </c>
      <c r="E560" s="229" t="s">
        <v>1</v>
      </c>
      <c r="F560" s="229">
        <v>109</v>
      </c>
      <c r="G560" s="40">
        <f>F560/82</f>
        <v>1.3292682926829269</v>
      </c>
      <c r="H560" s="14">
        <v>1</v>
      </c>
      <c r="I560" s="229">
        <v>0</v>
      </c>
      <c r="J560" s="229">
        <v>0</v>
      </c>
      <c r="K560" s="26">
        <v>0</v>
      </c>
      <c r="L560" s="14">
        <v>0</v>
      </c>
      <c r="M560" s="229">
        <v>0</v>
      </c>
      <c r="N560" s="229">
        <v>0</v>
      </c>
      <c r="O560" s="229">
        <v>0</v>
      </c>
      <c r="P560" s="26">
        <v>0</v>
      </c>
      <c r="Q560" s="14">
        <v>0</v>
      </c>
      <c r="R560" s="229">
        <v>0</v>
      </c>
      <c r="S560" s="229">
        <v>0</v>
      </c>
      <c r="T560" s="229">
        <v>0</v>
      </c>
      <c r="U560" s="229">
        <v>0</v>
      </c>
      <c r="V560" s="229">
        <v>0</v>
      </c>
      <c r="W560" s="229">
        <v>0</v>
      </c>
      <c r="X560" s="229">
        <v>0</v>
      </c>
      <c r="Y560" s="229">
        <v>0</v>
      </c>
      <c r="Z560" s="229">
        <v>0</v>
      </c>
      <c r="AA560" s="229">
        <v>0</v>
      </c>
      <c r="AC560" s="12">
        <v>1</v>
      </c>
      <c r="AD560" s="14">
        <v>1</v>
      </c>
      <c r="AE560" s="14">
        <v>0</v>
      </c>
      <c r="AF560" s="26">
        <v>0</v>
      </c>
      <c r="AG560" s="12">
        <v>100</v>
      </c>
      <c r="AH560" s="14">
        <v>0</v>
      </c>
      <c r="AI560" s="209"/>
      <c r="AJ560" s="3"/>
      <c r="AK560" s="3"/>
      <c r="AL560" s="3"/>
      <c r="AM560" s="3"/>
      <c r="AN560" s="3"/>
      <c r="AO560" s="40"/>
      <c r="AP560" s="209"/>
      <c r="AQ560" s="3"/>
      <c r="AR560" s="40"/>
      <c r="AS560" s="238"/>
    </row>
    <row r="561" spans="1:45" s="229" customFormat="1">
      <c r="A561" s="42" t="s">
        <v>323</v>
      </c>
      <c r="B561" s="386">
        <v>12.705666666666668</v>
      </c>
      <c r="C561" s="229" t="s">
        <v>219</v>
      </c>
      <c r="D561" s="229" t="s">
        <v>637</v>
      </c>
      <c r="E561" s="229" t="s">
        <v>0</v>
      </c>
      <c r="F561" s="229">
        <v>678</v>
      </c>
      <c r="G561" s="40">
        <f>F561/426</f>
        <v>1.591549295774648</v>
      </c>
      <c r="H561" s="14">
        <v>0</v>
      </c>
      <c r="I561" s="229">
        <v>1</v>
      </c>
      <c r="J561" s="229">
        <v>0</v>
      </c>
      <c r="K561" s="26">
        <v>1</v>
      </c>
      <c r="L561" s="14">
        <v>0</v>
      </c>
      <c r="M561" s="229">
        <v>0</v>
      </c>
      <c r="N561" s="229">
        <v>0</v>
      </c>
      <c r="O561" s="229">
        <v>0</v>
      </c>
      <c r="P561" s="26">
        <v>0</v>
      </c>
      <c r="Q561" s="14">
        <v>3</v>
      </c>
      <c r="R561" s="229">
        <v>6</v>
      </c>
      <c r="S561" s="229">
        <v>23</v>
      </c>
      <c r="T561" s="229">
        <v>0</v>
      </c>
      <c r="U561" s="229">
        <v>0</v>
      </c>
      <c r="V561" s="229">
        <v>0</v>
      </c>
      <c r="W561" s="229">
        <v>0</v>
      </c>
      <c r="X561" s="229">
        <v>0</v>
      </c>
      <c r="Y561" s="229">
        <v>0</v>
      </c>
      <c r="Z561" s="229">
        <v>0</v>
      </c>
      <c r="AA561" s="229">
        <v>0</v>
      </c>
      <c r="AC561" s="12">
        <v>2</v>
      </c>
      <c r="AD561" s="14">
        <v>4</v>
      </c>
      <c r="AE561" s="14">
        <v>141</v>
      </c>
      <c r="AF561" s="26">
        <v>396</v>
      </c>
      <c r="AG561" s="12">
        <v>122</v>
      </c>
      <c r="AH561" s="14">
        <v>0</v>
      </c>
      <c r="AI561" s="209"/>
      <c r="AJ561" s="3"/>
      <c r="AK561" s="3"/>
      <c r="AL561" s="3"/>
      <c r="AM561" s="3"/>
      <c r="AN561" s="3"/>
      <c r="AO561" s="40"/>
      <c r="AP561" s="209"/>
      <c r="AQ561" s="3"/>
      <c r="AR561" s="40"/>
      <c r="AS561" s="238"/>
    </row>
    <row r="562" spans="1:45" s="229" customFormat="1">
      <c r="A562" s="42" t="s">
        <v>323</v>
      </c>
      <c r="B562" s="386">
        <v>12.705666666666668</v>
      </c>
      <c r="C562" s="229" t="s">
        <v>219</v>
      </c>
      <c r="D562" s="229" t="s">
        <v>637</v>
      </c>
      <c r="E562" s="229" t="s">
        <v>1</v>
      </c>
      <c r="F562" s="229">
        <v>693</v>
      </c>
      <c r="G562" s="40">
        <f>F562/366</f>
        <v>1.8934426229508197</v>
      </c>
      <c r="H562" s="14">
        <v>1</v>
      </c>
      <c r="I562" s="229">
        <v>1</v>
      </c>
      <c r="J562" s="229">
        <v>0</v>
      </c>
      <c r="K562" s="26">
        <v>0</v>
      </c>
      <c r="L562" s="14">
        <v>0</v>
      </c>
      <c r="M562" s="229">
        <v>0</v>
      </c>
      <c r="N562" s="229">
        <v>1</v>
      </c>
      <c r="O562" s="229">
        <v>0</v>
      </c>
      <c r="P562" s="26">
        <v>1</v>
      </c>
      <c r="Q562" s="14">
        <v>0</v>
      </c>
      <c r="R562" s="229">
        <v>0</v>
      </c>
      <c r="S562" s="229">
        <v>0</v>
      </c>
      <c r="T562" s="229">
        <v>0</v>
      </c>
      <c r="U562" s="229">
        <v>0</v>
      </c>
      <c r="V562" s="229">
        <v>0</v>
      </c>
      <c r="W562" s="229">
        <v>0</v>
      </c>
      <c r="X562" s="229">
        <v>0</v>
      </c>
      <c r="Y562" s="229">
        <v>0</v>
      </c>
      <c r="Z562" s="229">
        <v>0</v>
      </c>
      <c r="AA562" s="229">
        <v>0</v>
      </c>
      <c r="AC562" s="12">
        <v>2</v>
      </c>
      <c r="AD562" s="14">
        <v>3</v>
      </c>
      <c r="AE562" s="14">
        <v>205</v>
      </c>
      <c r="AF562" s="26">
        <v>427</v>
      </c>
      <c r="AG562" s="12">
        <v>122</v>
      </c>
      <c r="AH562" s="14">
        <v>1</v>
      </c>
      <c r="AI562" s="209"/>
      <c r="AJ562" s="3"/>
      <c r="AK562" s="3"/>
      <c r="AL562" s="3"/>
      <c r="AM562" s="3"/>
      <c r="AN562" s="3"/>
      <c r="AO562" s="40"/>
      <c r="AP562" s="209"/>
      <c r="AQ562" s="3"/>
      <c r="AR562" s="40"/>
      <c r="AS562" s="238"/>
    </row>
    <row r="563" spans="1:45" s="229" customFormat="1">
      <c r="A563" s="42" t="s">
        <v>323</v>
      </c>
      <c r="B563" s="386">
        <v>12.705666666666668</v>
      </c>
      <c r="C563" s="229" t="s">
        <v>219</v>
      </c>
      <c r="D563" s="229" t="s">
        <v>637</v>
      </c>
      <c r="E563" s="229" t="s">
        <v>2</v>
      </c>
      <c r="F563" s="229">
        <v>452</v>
      </c>
      <c r="G563" s="40">
        <f>F563/390</f>
        <v>1.1589743589743591</v>
      </c>
      <c r="H563" s="14">
        <v>1</v>
      </c>
      <c r="I563" s="229">
        <v>0</v>
      </c>
      <c r="J563" s="229">
        <v>0</v>
      </c>
      <c r="K563" s="26">
        <v>0</v>
      </c>
      <c r="L563" s="14">
        <v>0</v>
      </c>
      <c r="M563" s="229">
        <v>0</v>
      </c>
      <c r="N563" s="229">
        <v>1</v>
      </c>
      <c r="O563" s="229">
        <v>0</v>
      </c>
      <c r="P563" s="26">
        <v>1</v>
      </c>
      <c r="Q563" s="14">
        <v>10</v>
      </c>
      <c r="R563" s="229">
        <v>0</v>
      </c>
      <c r="S563" s="229">
        <v>0</v>
      </c>
      <c r="T563" s="229">
        <v>0</v>
      </c>
      <c r="U563" s="229">
        <v>0</v>
      </c>
      <c r="V563" s="229">
        <v>42</v>
      </c>
      <c r="W563" s="229">
        <v>64</v>
      </c>
      <c r="X563" s="229">
        <v>0</v>
      </c>
      <c r="Y563" s="229">
        <v>91</v>
      </c>
      <c r="Z563" s="229">
        <v>0</v>
      </c>
      <c r="AA563" s="229">
        <v>0</v>
      </c>
      <c r="AC563" s="12">
        <v>1</v>
      </c>
      <c r="AD563" s="14">
        <v>1</v>
      </c>
      <c r="AE563" s="14">
        <v>0</v>
      </c>
      <c r="AF563" s="26">
        <v>0</v>
      </c>
      <c r="AG563" s="12">
        <v>122</v>
      </c>
      <c r="AH563" s="14">
        <v>1</v>
      </c>
      <c r="AI563" s="209"/>
      <c r="AJ563" s="3"/>
      <c r="AK563" s="3"/>
      <c r="AL563" s="3"/>
      <c r="AM563" s="3"/>
      <c r="AN563" s="3"/>
      <c r="AO563" s="40"/>
      <c r="AP563" s="209"/>
      <c r="AQ563" s="3"/>
      <c r="AR563" s="40"/>
      <c r="AS563" s="238"/>
    </row>
    <row r="564" spans="1:45" s="229" customFormat="1">
      <c r="A564" s="42" t="s">
        <v>323</v>
      </c>
      <c r="B564" s="386">
        <v>12.705666666666668</v>
      </c>
      <c r="C564" s="229" t="s">
        <v>219</v>
      </c>
      <c r="D564" s="229" t="s">
        <v>638</v>
      </c>
      <c r="E564" s="229" t="s">
        <v>0</v>
      </c>
      <c r="F564" s="229">
        <v>574</v>
      </c>
      <c r="G564" s="40">
        <f>F564/519</f>
        <v>1.1059730250481696</v>
      </c>
      <c r="H564" s="14">
        <v>1</v>
      </c>
      <c r="I564" s="229">
        <v>1</v>
      </c>
      <c r="J564" s="229">
        <v>0</v>
      </c>
      <c r="K564" s="26">
        <v>0</v>
      </c>
      <c r="L564" s="14">
        <v>0</v>
      </c>
      <c r="M564" s="229">
        <v>1</v>
      </c>
      <c r="N564" s="229">
        <v>0</v>
      </c>
      <c r="O564" s="229">
        <v>0</v>
      </c>
      <c r="P564" s="26">
        <v>1</v>
      </c>
      <c r="Q564" s="14">
        <v>10</v>
      </c>
      <c r="R564" s="229">
        <v>0</v>
      </c>
      <c r="S564" s="229">
        <v>0</v>
      </c>
      <c r="T564" s="229">
        <v>0</v>
      </c>
      <c r="U564" s="229">
        <v>0</v>
      </c>
      <c r="V564" s="229">
        <v>0</v>
      </c>
      <c r="W564" s="229">
        <v>134</v>
      </c>
      <c r="X564" s="229">
        <v>0</v>
      </c>
      <c r="Y564" s="229">
        <v>0</v>
      </c>
      <c r="Z564" s="229">
        <v>0</v>
      </c>
      <c r="AA564" s="229">
        <v>0</v>
      </c>
      <c r="AC564" s="12">
        <v>2</v>
      </c>
      <c r="AD564" s="14">
        <v>3</v>
      </c>
      <c r="AE564" s="14">
        <v>152</v>
      </c>
      <c r="AF564" s="26">
        <v>455</v>
      </c>
      <c r="AG564" s="12">
        <v>116</v>
      </c>
      <c r="AH564" s="14">
        <v>1</v>
      </c>
      <c r="AI564" s="209"/>
      <c r="AJ564" s="3"/>
      <c r="AK564" s="3"/>
      <c r="AL564" s="3"/>
      <c r="AM564" s="3"/>
      <c r="AN564" s="3"/>
      <c r="AO564" s="40"/>
      <c r="AP564" s="209"/>
      <c r="AQ564" s="3"/>
      <c r="AR564" s="40"/>
      <c r="AS564" s="238"/>
    </row>
    <row r="565" spans="1:45" s="229" customFormat="1">
      <c r="A565" s="42" t="s">
        <v>323</v>
      </c>
      <c r="B565" s="386">
        <v>12.705666666666668</v>
      </c>
      <c r="C565" s="229" t="s">
        <v>219</v>
      </c>
      <c r="D565" s="229" t="s">
        <v>638</v>
      </c>
      <c r="E565" s="229" t="s">
        <v>1</v>
      </c>
      <c r="F565" s="229">
        <v>273</v>
      </c>
      <c r="G565" s="40">
        <f>F565/163</f>
        <v>1.6748466257668713</v>
      </c>
      <c r="H565" s="14">
        <v>1</v>
      </c>
      <c r="I565" s="229">
        <v>0</v>
      </c>
      <c r="J565" s="229">
        <v>0</v>
      </c>
      <c r="K565" s="26">
        <v>0</v>
      </c>
      <c r="L565" s="14">
        <v>0</v>
      </c>
      <c r="M565" s="229">
        <v>0</v>
      </c>
      <c r="N565" s="229">
        <v>0</v>
      </c>
      <c r="O565" s="229">
        <v>0</v>
      </c>
      <c r="P565" s="26">
        <v>0</v>
      </c>
      <c r="Q565" s="14">
        <v>0</v>
      </c>
      <c r="R565" s="229">
        <v>0</v>
      </c>
      <c r="S565" s="229">
        <v>0</v>
      </c>
      <c r="T565" s="229">
        <v>0</v>
      </c>
      <c r="U565" s="229">
        <v>0</v>
      </c>
      <c r="V565" s="229">
        <v>0</v>
      </c>
      <c r="W565" s="229">
        <v>0</v>
      </c>
      <c r="X565" s="229">
        <v>0</v>
      </c>
      <c r="Y565" s="229">
        <v>0</v>
      </c>
      <c r="Z565" s="229">
        <v>0</v>
      </c>
      <c r="AA565" s="229">
        <v>0</v>
      </c>
      <c r="AC565" s="12">
        <v>2</v>
      </c>
      <c r="AD565" s="14">
        <v>3</v>
      </c>
      <c r="AE565" s="14">
        <v>205</v>
      </c>
      <c r="AF565" s="26">
        <v>48</v>
      </c>
      <c r="AG565" s="12">
        <v>116</v>
      </c>
      <c r="AH565" s="14">
        <v>0</v>
      </c>
      <c r="AI565" s="209"/>
      <c r="AJ565" s="3"/>
      <c r="AK565" s="3"/>
      <c r="AL565" s="3"/>
      <c r="AM565" s="3"/>
      <c r="AN565" s="3"/>
      <c r="AO565" s="40"/>
      <c r="AP565" s="209"/>
      <c r="AQ565" s="3"/>
      <c r="AR565" s="40"/>
      <c r="AS565" s="238"/>
    </row>
    <row r="566" spans="1:45" s="229" customFormat="1">
      <c r="A566" s="42" t="s">
        <v>323</v>
      </c>
      <c r="B566" s="386">
        <v>12.705666666666668</v>
      </c>
      <c r="C566" s="229" t="s">
        <v>219</v>
      </c>
      <c r="D566" s="229" t="s">
        <v>638</v>
      </c>
      <c r="E566" s="229" t="s">
        <v>2</v>
      </c>
      <c r="F566" s="229">
        <v>426</v>
      </c>
      <c r="G566" s="40">
        <f>F566/329</f>
        <v>1.2948328267477203</v>
      </c>
      <c r="H566" s="14">
        <v>0</v>
      </c>
      <c r="I566" s="229">
        <v>0</v>
      </c>
      <c r="J566" s="229">
        <v>0</v>
      </c>
      <c r="K566" s="26">
        <v>1</v>
      </c>
      <c r="L566" s="14">
        <v>0</v>
      </c>
      <c r="M566" s="229">
        <v>0</v>
      </c>
      <c r="N566" s="229">
        <v>0</v>
      </c>
      <c r="O566" s="229">
        <v>1</v>
      </c>
      <c r="P566" s="26">
        <v>1</v>
      </c>
      <c r="Q566" s="14">
        <v>1</v>
      </c>
      <c r="R566" s="229">
        <v>0</v>
      </c>
      <c r="S566" s="229">
        <v>13</v>
      </c>
      <c r="T566" s="229">
        <v>0</v>
      </c>
      <c r="U566" s="229">
        <v>0</v>
      </c>
      <c r="V566" s="229">
        <v>0</v>
      </c>
      <c r="W566" s="229">
        <v>0</v>
      </c>
      <c r="X566" s="229">
        <v>0</v>
      </c>
      <c r="Y566" s="229">
        <v>0</v>
      </c>
      <c r="Z566" s="229">
        <v>0</v>
      </c>
      <c r="AA566" s="229">
        <v>0</v>
      </c>
      <c r="AC566" s="12">
        <v>2</v>
      </c>
      <c r="AD566" s="14">
        <v>2</v>
      </c>
      <c r="AE566" s="14">
        <v>77</v>
      </c>
      <c r="AF566" s="26">
        <v>426</v>
      </c>
      <c r="AG566" s="12">
        <v>116</v>
      </c>
      <c r="AH566" s="14">
        <v>0</v>
      </c>
      <c r="AI566" s="209"/>
      <c r="AJ566" s="3"/>
      <c r="AK566" s="3"/>
      <c r="AL566" s="3"/>
      <c r="AM566" s="3"/>
      <c r="AN566" s="3"/>
      <c r="AO566" s="40"/>
      <c r="AP566" s="209"/>
      <c r="AQ566" s="3"/>
      <c r="AR566" s="40"/>
      <c r="AS566" s="238"/>
    </row>
    <row r="567" spans="1:45" s="229" customFormat="1">
      <c r="A567" s="42" t="s">
        <v>323</v>
      </c>
      <c r="B567" s="386">
        <v>12.705666666666668</v>
      </c>
      <c r="C567" s="229" t="s">
        <v>219</v>
      </c>
      <c r="D567" s="229" t="s">
        <v>638</v>
      </c>
      <c r="E567" s="229" t="s">
        <v>3</v>
      </c>
      <c r="F567" s="229">
        <v>237</v>
      </c>
      <c r="G567" s="40">
        <f>F567/159</f>
        <v>1.4905660377358489</v>
      </c>
      <c r="H567" s="14">
        <v>0</v>
      </c>
      <c r="I567" s="229">
        <v>0</v>
      </c>
      <c r="J567" s="229">
        <v>0</v>
      </c>
      <c r="K567" s="26">
        <v>1</v>
      </c>
      <c r="L567" s="14">
        <v>0</v>
      </c>
      <c r="M567" s="229">
        <v>0</v>
      </c>
      <c r="N567" s="229">
        <v>0</v>
      </c>
      <c r="O567" s="229">
        <v>0</v>
      </c>
      <c r="P567" s="26">
        <v>0</v>
      </c>
      <c r="Q567" s="14">
        <v>0</v>
      </c>
      <c r="R567" s="229">
        <v>0</v>
      </c>
      <c r="S567" s="229">
        <v>0</v>
      </c>
      <c r="T567" s="229">
        <v>0</v>
      </c>
      <c r="U567" s="229">
        <v>0</v>
      </c>
      <c r="V567" s="229">
        <v>0</v>
      </c>
      <c r="W567" s="229">
        <v>0</v>
      </c>
      <c r="X567" s="229">
        <v>0</v>
      </c>
      <c r="Y567" s="229">
        <v>0</v>
      </c>
      <c r="Z567" s="229">
        <v>0</v>
      </c>
      <c r="AA567" s="229">
        <v>0</v>
      </c>
      <c r="AC567" s="12">
        <v>1</v>
      </c>
      <c r="AD567" s="14">
        <v>1</v>
      </c>
      <c r="AE567" s="14">
        <v>0</v>
      </c>
      <c r="AF567" s="26">
        <v>0</v>
      </c>
      <c r="AG567" s="12">
        <v>116</v>
      </c>
      <c r="AH567" s="14">
        <v>0</v>
      </c>
      <c r="AI567" s="209"/>
      <c r="AJ567" s="3"/>
      <c r="AK567" s="3"/>
      <c r="AL567" s="3"/>
      <c r="AM567" s="3"/>
      <c r="AN567" s="3"/>
      <c r="AO567" s="40"/>
      <c r="AP567" s="209"/>
      <c r="AQ567" s="3"/>
      <c r="AR567" s="40"/>
      <c r="AS567" s="238"/>
    </row>
    <row r="568" spans="1:45" s="229" customFormat="1">
      <c r="A568" s="42" t="s">
        <v>323</v>
      </c>
      <c r="B568" s="386">
        <v>12.705666666666668</v>
      </c>
      <c r="C568" s="229" t="s">
        <v>219</v>
      </c>
      <c r="D568" s="229" t="s">
        <v>639</v>
      </c>
      <c r="E568" s="229" t="s">
        <v>0</v>
      </c>
      <c r="F568" s="229">
        <v>501</v>
      </c>
      <c r="G568" s="40">
        <f>F568/635</f>
        <v>0.78897637795275588</v>
      </c>
      <c r="H568" s="14">
        <v>0</v>
      </c>
      <c r="I568" s="229">
        <v>1</v>
      </c>
      <c r="J568" s="229">
        <v>0</v>
      </c>
      <c r="K568" s="26">
        <v>1</v>
      </c>
      <c r="L568" s="14">
        <v>0</v>
      </c>
      <c r="M568" s="229">
        <v>0</v>
      </c>
      <c r="N568" s="229">
        <v>1</v>
      </c>
      <c r="O568" s="229">
        <v>1</v>
      </c>
      <c r="P568" s="26">
        <v>2</v>
      </c>
      <c r="Q568" s="14">
        <v>4</v>
      </c>
      <c r="R568" s="229">
        <v>0</v>
      </c>
      <c r="S568" s="229">
        <v>0</v>
      </c>
      <c r="T568" s="229">
        <v>0</v>
      </c>
      <c r="U568" s="229">
        <v>0</v>
      </c>
      <c r="V568" s="229">
        <v>17</v>
      </c>
      <c r="W568" s="229">
        <v>133</v>
      </c>
      <c r="X568" s="229">
        <v>0</v>
      </c>
      <c r="Y568" s="229">
        <v>0</v>
      </c>
      <c r="Z568" s="229">
        <v>0</v>
      </c>
      <c r="AA568" s="229">
        <v>0</v>
      </c>
      <c r="AC568" s="12">
        <v>2</v>
      </c>
      <c r="AD568" s="14">
        <v>2</v>
      </c>
      <c r="AE568" s="14">
        <v>364</v>
      </c>
      <c r="AF568" s="26">
        <v>501</v>
      </c>
      <c r="AG568" s="12">
        <v>98</v>
      </c>
      <c r="AH568" s="14">
        <v>1</v>
      </c>
      <c r="AI568" s="209"/>
      <c r="AJ568" s="3"/>
      <c r="AK568" s="3"/>
      <c r="AL568" s="3"/>
      <c r="AM568" s="3"/>
      <c r="AN568" s="3"/>
      <c r="AO568" s="40"/>
      <c r="AP568" s="209"/>
      <c r="AQ568" s="3"/>
      <c r="AR568" s="40"/>
      <c r="AS568" s="238"/>
    </row>
    <row r="569" spans="1:45" s="229" customFormat="1">
      <c r="A569" s="42" t="s">
        <v>323</v>
      </c>
      <c r="B569" s="386">
        <v>12.705666666666668</v>
      </c>
      <c r="C569" s="229" t="s">
        <v>219</v>
      </c>
      <c r="D569" s="229" t="s">
        <v>639</v>
      </c>
      <c r="E569" s="229" t="s">
        <v>1</v>
      </c>
      <c r="F569" s="229">
        <v>169</v>
      </c>
      <c r="G569" s="40">
        <f>F569/154</f>
        <v>1.0974025974025974</v>
      </c>
      <c r="H569" s="14">
        <v>0</v>
      </c>
      <c r="I569" s="229">
        <v>0</v>
      </c>
      <c r="J569" s="229">
        <v>0</v>
      </c>
      <c r="K569" s="26">
        <v>1</v>
      </c>
      <c r="L569" s="14">
        <v>0</v>
      </c>
      <c r="M569" s="229">
        <v>0</v>
      </c>
      <c r="N569" s="229">
        <v>0</v>
      </c>
      <c r="O569" s="229">
        <v>0</v>
      </c>
      <c r="P569" s="26">
        <v>0</v>
      </c>
      <c r="Q569" s="14">
        <v>0</v>
      </c>
      <c r="R569" s="229">
        <v>0</v>
      </c>
      <c r="S569" s="229">
        <v>0</v>
      </c>
      <c r="T569" s="229">
        <v>0</v>
      </c>
      <c r="U569" s="229">
        <v>0</v>
      </c>
      <c r="V569" s="229">
        <v>0</v>
      </c>
      <c r="W569" s="229">
        <v>0</v>
      </c>
      <c r="X569" s="229">
        <v>0</v>
      </c>
      <c r="Y569" s="229">
        <v>0</v>
      </c>
      <c r="Z569" s="229">
        <v>0</v>
      </c>
      <c r="AA569" s="229">
        <v>0</v>
      </c>
      <c r="AC569" s="12">
        <v>1</v>
      </c>
      <c r="AD569" s="14">
        <v>1</v>
      </c>
      <c r="AE569" s="14">
        <v>0</v>
      </c>
      <c r="AF569" s="26">
        <v>0</v>
      </c>
      <c r="AG569" s="12">
        <v>98</v>
      </c>
      <c r="AH569" s="14">
        <v>0</v>
      </c>
      <c r="AI569" s="209"/>
      <c r="AJ569" s="3"/>
      <c r="AK569" s="3"/>
      <c r="AL569" s="3"/>
      <c r="AM569" s="3"/>
      <c r="AN569" s="3"/>
      <c r="AO569" s="40"/>
      <c r="AP569" s="209"/>
      <c r="AQ569" s="3"/>
      <c r="AR569" s="40"/>
      <c r="AS569" s="238"/>
    </row>
    <row r="570" spans="1:45" s="229" customFormat="1">
      <c r="A570" s="42" t="s">
        <v>323</v>
      </c>
      <c r="B570" s="386">
        <v>12.705666666666668</v>
      </c>
      <c r="C570" s="229" t="s">
        <v>219</v>
      </c>
      <c r="D570" s="229" t="s">
        <v>640</v>
      </c>
      <c r="E570" s="229" t="s">
        <v>0</v>
      </c>
      <c r="F570" s="229">
        <v>1214</v>
      </c>
      <c r="G570" s="40">
        <f>F570/581</f>
        <v>2.0895008605851979</v>
      </c>
      <c r="H570" s="14">
        <v>0</v>
      </c>
      <c r="I570" s="229">
        <v>1</v>
      </c>
      <c r="J570" s="229">
        <v>0</v>
      </c>
      <c r="K570" s="26">
        <v>1</v>
      </c>
      <c r="L570" s="14">
        <v>0</v>
      </c>
      <c r="M570" s="229">
        <v>0</v>
      </c>
      <c r="N570" s="229">
        <v>0</v>
      </c>
      <c r="O570" s="229">
        <v>1</v>
      </c>
      <c r="P570" s="26">
        <v>1</v>
      </c>
      <c r="Q570" s="14">
        <v>10</v>
      </c>
      <c r="R570" s="229">
        <v>0</v>
      </c>
      <c r="S570" s="229">
        <v>39</v>
      </c>
      <c r="T570" s="229">
        <v>0</v>
      </c>
      <c r="U570" s="229">
        <v>0</v>
      </c>
      <c r="V570" s="229">
        <v>80</v>
      </c>
      <c r="W570" s="229">
        <v>216</v>
      </c>
      <c r="X570" s="229">
        <v>0</v>
      </c>
      <c r="Y570" s="229">
        <v>0</v>
      </c>
      <c r="Z570" s="229">
        <v>0</v>
      </c>
      <c r="AA570" s="229">
        <v>250</v>
      </c>
      <c r="AC570" s="12">
        <v>2</v>
      </c>
      <c r="AD570" s="14">
        <v>2</v>
      </c>
      <c r="AE570" s="14">
        <v>252</v>
      </c>
      <c r="AF570" s="26">
        <v>1081</v>
      </c>
      <c r="AG570" s="12">
        <v>127</v>
      </c>
      <c r="AH570" s="14">
        <v>1</v>
      </c>
      <c r="AI570" s="209"/>
      <c r="AJ570" s="3"/>
      <c r="AK570" s="3"/>
      <c r="AL570" s="3"/>
      <c r="AM570" s="3"/>
      <c r="AN570" s="3"/>
      <c r="AO570" s="40"/>
      <c r="AP570" s="209"/>
      <c r="AQ570" s="3"/>
      <c r="AR570" s="40"/>
      <c r="AS570" s="238"/>
    </row>
    <row r="571" spans="1:45" s="229" customFormat="1">
      <c r="A571" s="42" t="s">
        <v>323</v>
      </c>
      <c r="B571" s="386">
        <v>12.705666666666668</v>
      </c>
      <c r="C571" s="229" t="s">
        <v>219</v>
      </c>
      <c r="D571" s="229" t="s">
        <v>640</v>
      </c>
      <c r="E571" s="229" t="s">
        <v>1</v>
      </c>
      <c r="F571" s="229">
        <v>414</v>
      </c>
      <c r="G571" s="40">
        <f>F571/391</f>
        <v>1.0588235294117647</v>
      </c>
      <c r="H571" s="14">
        <v>1</v>
      </c>
      <c r="I571" s="229">
        <v>0</v>
      </c>
      <c r="J571" s="229">
        <v>0</v>
      </c>
      <c r="K571" s="26">
        <v>1</v>
      </c>
      <c r="L571" s="14">
        <v>0</v>
      </c>
      <c r="M571" s="229">
        <v>0</v>
      </c>
      <c r="N571" s="229">
        <v>0</v>
      </c>
      <c r="O571" s="229">
        <v>0</v>
      </c>
      <c r="P571" s="26">
        <v>0</v>
      </c>
      <c r="Q571" s="14">
        <v>2</v>
      </c>
      <c r="R571" s="229">
        <v>0</v>
      </c>
      <c r="S571" s="229">
        <v>14</v>
      </c>
      <c r="T571" s="229">
        <v>0</v>
      </c>
      <c r="U571" s="229">
        <v>0</v>
      </c>
      <c r="V571" s="229">
        <v>0</v>
      </c>
      <c r="W571" s="229">
        <v>0</v>
      </c>
      <c r="X571" s="229">
        <v>0</v>
      </c>
      <c r="Y571" s="229">
        <v>0</v>
      </c>
      <c r="Z571" s="229">
        <v>0</v>
      </c>
      <c r="AA571" s="229">
        <v>0</v>
      </c>
      <c r="AC571" s="12">
        <v>2</v>
      </c>
      <c r="AD571" s="14">
        <v>4</v>
      </c>
      <c r="AE571" s="14">
        <v>86</v>
      </c>
      <c r="AF571" s="26">
        <v>357</v>
      </c>
      <c r="AG571" s="12">
        <v>127</v>
      </c>
      <c r="AH571" s="14">
        <v>1</v>
      </c>
      <c r="AI571" s="209"/>
      <c r="AJ571" s="3"/>
      <c r="AK571" s="3"/>
      <c r="AL571" s="3"/>
      <c r="AM571" s="3"/>
      <c r="AN571" s="3"/>
      <c r="AO571" s="40"/>
      <c r="AP571" s="209"/>
      <c r="AQ571" s="3"/>
      <c r="AR571" s="40"/>
      <c r="AS571" s="238"/>
    </row>
    <row r="572" spans="1:45" s="229" customFormat="1">
      <c r="A572" s="42" t="s">
        <v>323</v>
      </c>
      <c r="B572" s="386">
        <v>12.705666666666668</v>
      </c>
      <c r="C572" s="229" t="s">
        <v>219</v>
      </c>
      <c r="D572" s="229" t="s">
        <v>640</v>
      </c>
      <c r="E572" s="229" t="s">
        <v>2</v>
      </c>
      <c r="F572" s="229">
        <v>464</v>
      </c>
      <c r="G572" s="40">
        <f>F572/310</f>
        <v>1.4967741935483871</v>
      </c>
      <c r="H572" s="14">
        <v>1</v>
      </c>
      <c r="I572" s="229">
        <v>0</v>
      </c>
      <c r="J572" s="229">
        <v>0</v>
      </c>
      <c r="K572" s="26">
        <v>0</v>
      </c>
      <c r="L572" s="14">
        <v>0</v>
      </c>
      <c r="M572" s="229">
        <v>0</v>
      </c>
      <c r="N572" s="229">
        <v>0</v>
      </c>
      <c r="O572" s="229">
        <v>0</v>
      </c>
      <c r="P572" s="26">
        <v>0</v>
      </c>
      <c r="Q572" s="14">
        <v>2</v>
      </c>
      <c r="R572" s="229">
        <v>0</v>
      </c>
      <c r="S572" s="229">
        <v>0</v>
      </c>
      <c r="T572" s="229">
        <v>0</v>
      </c>
      <c r="U572" s="229">
        <v>0</v>
      </c>
      <c r="V572" s="229">
        <v>0</v>
      </c>
      <c r="W572" s="229">
        <v>20</v>
      </c>
      <c r="X572" s="229">
        <v>0</v>
      </c>
      <c r="Y572" s="229">
        <v>0</v>
      </c>
      <c r="Z572" s="229">
        <v>0</v>
      </c>
      <c r="AA572" s="229">
        <v>0</v>
      </c>
      <c r="AC572" s="12">
        <v>2</v>
      </c>
      <c r="AD572" s="14">
        <v>5</v>
      </c>
      <c r="AE572" s="14">
        <v>99</v>
      </c>
      <c r="AF572" s="26">
        <v>276</v>
      </c>
      <c r="AG572" s="12">
        <v>127</v>
      </c>
      <c r="AH572" s="14">
        <v>1</v>
      </c>
      <c r="AI572" s="209"/>
      <c r="AJ572" s="3"/>
      <c r="AK572" s="3"/>
      <c r="AL572" s="3"/>
      <c r="AM572" s="3"/>
      <c r="AN572" s="3"/>
      <c r="AO572" s="40"/>
      <c r="AP572" s="209"/>
      <c r="AQ572" s="3"/>
      <c r="AR572" s="40"/>
      <c r="AS572" s="238"/>
    </row>
    <row r="573" spans="1:45" s="229" customFormat="1">
      <c r="A573" s="42" t="s">
        <v>323</v>
      </c>
      <c r="B573" s="386">
        <v>12.705666666666668</v>
      </c>
      <c r="C573" s="229" t="s">
        <v>219</v>
      </c>
      <c r="D573" s="229" t="s">
        <v>641</v>
      </c>
      <c r="F573" s="229">
        <v>771</v>
      </c>
      <c r="G573" s="40">
        <f>F573/433</f>
        <v>1.7806004618937645</v>
      </c>
      <c r="H573" s="14">
        <v>0</v>
      </c>
      <c r="I573" s="229">
        <v>0</v>
      </c>
      <c r="J573" s="229">
        <v>0</v>
      </c>
      <c r="K573" s="26">
        <v>1</v>
      </c>
      <c r="L573" s="14">
        <v>0</v>
      </c>
      <c r="M573" s="229">
        <v>0</v>
      </c>
      <c r="N573" s="229">
        <v>1</v>
      </c>
      <c r="O573" s="229">
        <v>0</v>
      </c>
      <c r="P573" s="26">
        <v>1</v>
      </c>
      <c r="Q573" s="14">
        <v>4</v>
      </c>
      <c r="R573" s="229">
        <v>0</v>
      </c>
      <c r="S573" s="229">
        <v>0</v>
      </c>
      <c r="T573" s="229">
        <v>0</v>
      </c>
      <c r="U573" s="229">
        <v>0</v>
      </c>
      <c r="V573" s="229">
        <v>0</v>
      </c>
      <c r="W573" s="229">
        <v>72</v>
      </c>
      <c r="X573" s="229">
        <v>0</v>
      </c>
      <c r="Y573" s="229">
        <v>0</v>
      </c>
      <c r="Z573" s="229">
        <v>0</v>
      </c>
      <c r="AC573" s="12">
        <v>2</v>
      </c>
      <c r="AD573" s="14">
        <v>4</v>
      </c>
      <c r="AE573" s="14">
        <v>119</v>
      </c>
      <c r="AF573" s="26">
        <v>433</v>
      </c>
      <c r="AG573" s="12">
        <v>90</v>
      </c>
      <c r="AH573" s="14">
        <v>0</v>
      </c>
      <c r="AI573" s="209"/>
      <c r="AJ573" s="3"/>
      <c r="AK573" s="3"/>
      <c r="AL573" s="3"/>
      <c r="AM573" s="3"/>
      <c r="AN573" s="3"/>
      <c r="AO573" s="40"/>
      <c r="AP573" s="209"/>
      <c r="AQ573" s="3"/>
      <c r="AR573" s="40"/>
      <c r="AS573" s="238"/>
    </row>
    <row r="574" spans="1:45" s="229" customFormat="1">
      <c r="A574" s="42" t="s">
        <v>323</v>
      </c>
      <c r="B574" s="386">
        <v>12.705666666666668</v>
      </c>
      <c r="C574" s="229" t="s">
        <v>219</v>
      </c>
      <c r="D574" s="229" t="s">
        <v>647</v>
      </c>
      <c r="F574" s="229">
        <v>703</v>
      </c>
      <c r="G574" s="40">
        <f>F574/520</f>
        <v>1.351923076923077</v>
      </c>
      <c r="H574" s="14">
        <v>0</v>
      </c>
      <c r="I574" s="229">
        <v>0</v>
      </c>
      <c r="J574" s="229">
        <v>0</v>
      </c>
      <c r="K574" s="26">
        <v>1</v>
      </c>
      <c r="L574" s="14">
        <v>0</v>
      </c>
      <c r="M574" s="229">
        <v>0</v>
      </c>
      <c r="N574" s="229">
        <v>1</v>
      </c>
      <c r="O574" s="229">
        <v>0</v>
      </c>
      <c r="P574" s="26">
        <v>1</v>
      </c>
      <c r="Q574" s="14">
        <v>5</v>
      </c>
      <c r="R574" s="229">
        <v>0</v>
      </c>
      <c r="S574" s="229">
        <v>0</v>
      </c>
      <c r="T574" s="229">
        <v>0</v>
      </c>
      <c r="U574" s="229">
        <v>0</v>
      </c>
      <c r="V574" s="229">
        <v>58</v>
      </c>
      <c r="W574" s="229">
        <v>73</v>
      </c>
      <c r="X574" s="229">
        <v>0</v>
      </c>
      <c r="Y574" s="229">
        <v>0</v>
      </c>
      <c r="Z574" s="229">
        <v>0</v>
      </c>
      <c r="AA574" s="229">
        <v>0</v>
      </c>
      <c r="AC574" s="12">
        <v>1</v>
      </c>
      <c r="AD574" s="14">
        <v>1</v>
      </c>
      <c r="AE574" s="14">
        <v>0</v>
      </c>
      <c r="AF574" s="26">
        <v>0</v>
      </c>
      <c r="AG574" s="12">
        <v>131</v>
      </c>
      <c r="AH574" s="14">
        <v>1</v>
      </c>
      <c r="AI574" s="209"/>
      <c r="AJ574" s="3"/>
      <c r="AK574" s="3"/>
      <c r="AL574" s="3"/>
      <c r="AM574" s="3"/>
      <c r="AN574" s="3"/>
      <c r="AO574" s="40"/>
      <c r="AP574" s="209"/>
      <c r="AQ574" s="3"/>
      <c r="AR574" s="40"/>
      <c r="AS574" s="238"/>
    </row>
    <row r="575" spans="1:45" s="229" customFormat="1">
      <c r="A575" s="42" t="s">
        <v>323</v>
      </c>
      <c r="B575" s="386">
        <v>12.705666666666668</v>
      </c>
      <c r="C575" s="229" t="s">
        <v>219</v>
      </c>
      <c r="D575" s="229" t="s">
        <v>648</v>
      </c>
      <c r="E575" s="229" t="s">
        <v>0</v>
      </c>
      <c r="F575" s="229">
        <v>630</v>
      </c>
      <c r="G575" s="40">
        <f>F575/418</f>
        <v>1.5071770334928229</v>
      </c>
      <c r="H575" s="14">
        <v>0</v>
      </c>
      <c r="I575" s="229">
        <v>1</v>
      </c>
      <c r="J575" s="229">
        <v>0</v>
      </c>
      <c r="K575" s="26">
        <v>0</v>
      </c>
      <c r="L575" s="14">
        <v>0</v>
      </c>
      <c r="M575" s="229">
        <v>0</v>
      </c>
      <c r="N575" s="229">
        <v>0</v>
      </c>
      <c r="O575" s="229">
        <v>0</v>
      </c>
      <c r="P575" s="26">
        <v>0</v>
      </c>
      <c r="Q575" s="14">
        <v>10</v>
      </c>
      <c r="R575" s="229">
        <v>18</v>
      </c>
      <c r="S575" s="229">
        <v>95</v>
      </c>
      <c r="T575" s="229">
        <v>0</v>
      </c>
      <c r="U575" s="229">
        <v>0</v>
      </c>
      <c r="V575" s="229">
        <v>0</v>
      </c>
      <c r="W575" s="229">
        <v>0</v>
      </c>
      <c r="X575" s="229">
        <v>0</v>
      </c>
      <c r="Y575" s="229">
        <v>0</v>
      </c>
      <c r="Z575" s="229">
        <v>0</v>
      </c>
      <c r="AA575" s="229">
        <v>0</v>
      </c>
      <c r="AC575" s="12">
        <v>1</v>
      </c>
      <c r="AD575" s="14">
        <v>1</v>
      </c>
      <c r="AE575" s="14">
        <v>0</v>
      </c>
      <c r="AF575" s="26">
        <v>0</v>
      </c>
      <c r="AG575" s="12">
        <v>131</v>
      </c>
      <c r="AH575" s="14">
        <v>0</v>
      </c>
      <c r="AI575" s="209"/>
      <c r="AJ575" s="3"/>
      <c r="AK575" s="3"/>
      <c r="AL575" s="3"/>
      <c r="AM575" s="3"/>
      <c r="AN575" s="3"/>
      <c r="AO575" s="40"/>
      <c r="AP575" s="209"/>
      <c r="AQ575" s="3"/>
      <c r="AR575" s="40"/>
      <c r="AS575" s="238"/>
    </row>
    <row r="576" spans="1:45" s="229" customFormat="1">
      <c r="A576" s="42" t="s">
        <v>323</v>
      </c>
      <c r="B576" s="386">
        <v>12.705666666666668</v>
      </c>
      <c r="C576" s="229" t="s">
        <v>219</v>
      </c>
      <c r="D576" s="229" t="s">
        <v>648</v>
      </c>
      <c r="E576" s="229" t="s">
        <v>1</v>
      </c>
      <c r="F576" s="229">
        <v>434</v>
      </c>
      <c r="G576" s="40">
        <f>F576/303</f>
        <v>1.4323432343234324</v>
      </c>
      <c r="H576" s="14">
        <v>0</v>
      </c>
      <c r="I576" s="229">
        <v>1</v>
      </c>
      <c r="J576" s="229">
        <v>0</v>
      </c>
      <c r="K576" s="26">
        <v>1</v>
      </c>
      <c r="L576" s="14">
        <v>0</v>
      </c>
      <c r="M576" s="229">
        <v>0</v>
      </c>
      <c r="N576" s="229">
        <v>1</v>
      </c>
      <c r="O576" s="229">
        <v>0</v>
      </c>
      <c r="P576" s="26">
        <v>1</v>
      </c>
      <c r="Q576" s="14">
        <v>0</v>
      </c>
      <c r="R576" s="229">
        <v>0</v>
      </c>
      <c r="S576" s="229">
        <v>0</v>
      </c>
      <c r="T576" s="229">
        <v>0</v>
      </c>
      <c r="U576" s="229">
        <v>0</v>
      </c>
      <c r="V576" s="229">
        <v>0</v>
      </c>
      <c r="W576" s="229">
        <v>0</v>
      </c>
      <c r="X576" s="229">
        <v>0</v>
      </c>
      <c r="Y576" s="229">
        <v>0</v>
      </c>
      <c r="Z576" s="229">
        <v>0</v>
      </c>
      <c r="AA576" s="229">
        <v>0</v>
      </c>
      <c r="AC576" s="12">
        <v>2</v>
      </c>
      <c r="AD576" s="14">
        <v>2</v>
      </c>
      <c r="AE576" s="14">
        <v>165</v>
      </c>
      <c r="AF576" s="26">
        <v>345</v>
      </c>
      <c r="AG576" s="12">
        <v>131</v>
      </c>
      <c r="AH576" s="14">
        <v>0</v>
      </c>
      <c r="AI576" s="209"/>
      <c r="AJ576" s="3"/>
      <c r="AK576" s="3"/>
      <c r="AL576" s="3"/>
      <c r="AM576" s="3"/>
      <c r="AN576" s="3"/>
      <c r="AO576" s="40"/>
      <c r="AP576" s="209"/>
      <c r="AQ576" s="3"/>
      <c r="AR576" s="40"/>
      <c r="AS576" s="238"/>
    </row>
    <row r="577" spans="1:45" s="229" customFormat="1">
      <c r="A577" s="42" t="s">
        <v>323</v>
      </c>
      <c r="B577" s="386">
        <v>12.705666666666668</v>
      </c>
      <c r="C577" s="229" t="s">
        <v>219</v>
      </c>
      <c r="D577" s="229" t="s">
        <v>648</v>
      </c>
      <c r="E577" s="229" t="s">
        <v>2</v>
      </c>
      <c r="F577" s="229">
        <v>783</v>
      </c>
      <c r="G577" s="40">
        <f>F577/576</f>
        <v>1.359375</v>
      </c>
      <c r="H577" s="14">
        <v>0</v>
      </c>
      <c r="I577" s="229">
        <v>1</v>
      </c>
      <c r="J577" s="229">
        <v>0</v>
      </c>
      <c r="K577" s="26">
        <v>0</v>
      </c>
      <c r="L577" s="14">
        <v>0</v>
      </c>
      <c r="M577" s="229">
        <v>0</v>
      </c>
      <c r="N577" s="229">
        <v>1</v>
      </c>
      <c r="O577" s="229">
        <v>0</v>
      </c>
      <c r="P577" s="26">
        <v>1</v>
      </c>
      <c r="Q577" s="14">
        <v>10</v>
      </c>
      <c r="R577" s="229">
        <v>0</v>
      </c>
      <c r="S577" s="229">
        <v>0</v>
      </c>
      <c r="T577" s="229">
        <v>0</v>
      </c>
      <c r="U577" s="229">
        <v>0</v>
      </c>
      <c r="V577" s="229">
        <v>0</v>
      </c>
      <c r="W577" s="229">
        <v>0</v>
      </c>
      <c r="X577" s="229">
        <v>0</v>
      </c>
      <c r="Y577" s="229">
        <v>0</v>
      </c>
      <c r="Z577" s="229">
        <v>0</v>
      </c>
      <c r="AA577" s="229">
        <v>175</v>
      </c>
      <c r="AC577" s="12">
        <v>1</v>
      </c>
      <c r="AD577" s="14">
        <v>1</v>
      </c>
      <c r="AE577" s="14">
        <v>0</v>
      </c>
      <c r="AF577" s="26">
        <v>0</v>
      </c>
      <c r="AG577" s="12">
        <v>131</v>
      </c>
      <c r="AH577" s="14">
        <v>1</v>
      </c>
      <c r="AI577" s="209"/>
      <c r="AJ577" s="3"/>
      <c r="AK577" s="3"/>
      <c r="AL577" s="3"/>
      <c r="AM577" s="3"/>
      <c r="AN577" s="3"/>
      <c r="AO577" s="40"/>
      <c r="AP577" s="209"/>
      <c r="AQ577" s="3"/>
      <c r="AR577" s="40"/>
      <c r="AS577" s="238"/>
    </row>
    <row r="578" spans="1:45" s="229" customFormat="1">
      <c r="A578" s="42" t="s">
        <v>323</v>
      </c>
      <c r="B578" s="386">
        <v>12.705666666666668</v>
      </c>
      <c r="C578" s="229" t="s">
        <v>219</v>
      </c>
      <c r="D578" s="229" t="s">
        <v>649</v>
      </c>
      <c r="F578" s="229">
        <v>221</v>
      </c>
      <c r="G578" s="40">
        <f>F578/208</f>
        <v>1.0625</v>
      </c>
      <c r="H578" s="14">
        <v>0</v>
      </c>
      <c r="I578" s="229">
        <v>0</v>
      </c>
      <c r="J578" s="229">
        <v>0</v>
      </c>
      <c r="K578" s="26">
        <v>1</v>
      </c>
      <c r="L578" s="14">
        <v>0</v>
      </c>
      <c r="M578" s="229">
        <v>0</v>
      </c>
      <c r="N578" s="229">
        <v>0</v>
      </c>
      <c r="O578" s="229">
        <v>0</v>
      </c>
      <c r="P578" s="26">
        <v>0</v>
      </c>
      <c r="Q578" s="14">
        <v>0</v>
      </c>
      <c r="R578" s="229">
        <v>0</v>
      </c>
      <c r="S578" s="229">
        <v>0</v>
      </c>
      <c r="T578" s="229">
        <v>0</v>
      </c>
      <c r="U578" s="229">
        <v>0</v>
      </c>
      <c r="V578" s="229">
        <v>0</v>
      </c>
      <c r="W578" s="229">
        <v>0</v>
      </c>
      <c r="X578" s="229">
        <v>0</v>
      </c>
      <c r="Y578" s="229">
        <v>0</v>
      </c>
      <c r="Z578" s="229">
        <v>0</v>
      </c>
      <c r="AA578" s="229">
        <v>0</v>
      </c>
      <c r="AC578" s="12">
        <v>1</v>
      </c>
      <c r="AD578" s="14">
        <v>1</v>
      </c>
      <c r="AE578" s="14">
        <v>0</v>
      </c>
      <c r="AF578" s="26">
        <v>0</v>
      </c>
      <c r="AG578" s="12">
        <v>139</v>
      </c>
      <c r="AH578" s="14">
        <v>0</v>
      </c>
      <c r="AI578" s="209"/>
      <c r="AJ578" s="3"/>
      <c r="AK578" s="3"/>
      <c r="AL578" s="3"/>
      <c r="AM578" s="3"/>
      <c r="AN578" s="3"/>
      <c r="AO578" s="40"/>
      <c r="AP578" s="209"/>
      <c r="AQ578" s="3"/>
      <c r="AR578" s="40"/>
      <c r="AS578" s="238"/>
    </row>
    <row r="579" spans="1:45" s="229" customFormat="1">
      <c r="A579" s="42" t="s">
        <v>323</v>
      </c>
      <c r="B579" s="386">
        <v>12.705666666666668</v>
      </c>
      <c r="C579" s="229" t="s">
        <v>219</v>
      </c>
      <c r="D579" s="229" t="s">
        <v>669</v>
      </c>
      <c r="F579" s="229">
        <v>323</v>
      </c>
      <c r="G579" s="40">
        <f>F579/323</f>
        <v>1</v>
      </c>
      <c r="H579" s="14">
        <v>0</v>
      </c>
      <c r="I579" s="229">
        <v>1</v>
      </c>
      <c r="J579" s="229">
        <v>0</v>
      </c>
      <c r="K579" s="26">
        <v>0</v>
      </c>
      <c r="L579" s="14">
        <v>0</v>
      </c>
      <c r="M579" s="229">
        <v>0</v>
      </c>
      <c r="N579" s="229">
        <v>0</v>
      </c>
      <c r="O579" s="229">
        <v>0</v>
      </c>
      <c r="P579" s="26">
        <v>0</v>
      </c>
      <c r="Q579" s="14">
        <v>5</v>
      </c>
      <c r="R579" s="229">
        <v>0</v>
      </c>
      <c r="S579" s="229">
        <v>0</v>
      </c>
      <c r="T579" s="229">
        <v>0</v>
      </c>
      <c r="U579" s="229">
        <v>0</v>
      </c>
      <c r="V579" s="229">
        <v>0</v>
      </c>
      <c r="W579" s="229">
        <v>53</v>
      </c>
      <c r="X579" s="229">
        <v>0</v>
      </c>
      <c r="Y579" s="229">
        <v>0</v>
      </c>
      <c r="Z579" s="229">
        <v>0</v>
      </c>
      <c r="AA579" s="229">
        <v>0</v>
      </c>
      <c r="AC579" s="12">
        <v>1</v>
      </c>
      <c r="AD579" s="14">
        <v>1</v>
      </c>
      <c r="AE579" s="14">
        <v>0</v>
      </c>
      <c r="AF579" s="26">
        <v>0</v>
      </c>
      <c r="AG579" s="12">
        <v>134</v>
      </c>
      <c r="AH579" s="14">
        <v>1</v>
      </c>
      <c r="AI579" s="209"/>
      <c r="AJ579" s="3"/>
      <c r="AK579" s="3"/>
      <c r="AL579" s="3"/>
      <c r="AM579" s="3"/>
      <c r="AN579" s="3"/>
      <c r="AO579" s="40"/>
      <c r="AP579" s="209"/>
      <c r="AQ579" s="3"/>
      <c r="AR579" s="40"/>
      <c r="AS579" s="238"/>
    </row>
    <row r="580" spans="1:45" s="229" customFormat="1">
      <c r="A580" s="42" t="s">
        <v>323</v>
      </c>
      <c r="B580" s="386">
        <v>12.705666666666668</v>
      </c>
      <c r="C580" s="229" t="s">
        <v>219</v>
      </c>
      <c r="D580" s="229" t="s">
        <v>670</v>
      </c>
      <c r="E580" s="229" t="s">
        <v>0</v>
      </c>
      <c r="F580" s="229">
        <v>249</v>
      </c>
      <c r="G580" s="40">
        <f>F580/110</f>
        <v>2.2636363636363637</v>
      </c>
      <c r="H580" s="14">
        <v>0</v>
      </c>
      <c r="I580" s="229">
        <v>0</v>
      </c>
      <c r="J580" s="229">
        <v>0</v>
      </c>
      <c r="K580" s="26">
        <v>1</v>
      </c>
      <c r="L580" s="14">
        <v>0</v>
      </c>
      <c r="M580" s="229">
        <v>0</v>
      </c>
      <c r="N580" s="229">
        <v>0</v>
      </c>
      <c r="O580" s="229">
        <v>0</v>
      </c>
      <c r="P580" s="26">
        <v>0</v>
      </c>
      <c r="Q580" s="14">
        <v>0</v>
      </c>
      <c r="R580" s="229">
        <v>0</v>
      </c>
      <c r="S580" s="229">
        <v>0</v>
      </c>
      <c r="T580" s="229">
        <v>0</v>
      </c>
      <c r="U580" s="229">
        <v>0</v>
      </c>
      <c r="V580" s="229">
        <v>0</v>
      </c>
      <c r="W580" s="229">
        <v>0</v>
      </c>
      <c r="X580" s="229">
        <v>0</v>
      </c>
      <c r="Y580" s="229">
        <v>0</v>
      </c>
      <c r="Z580" s="229">
        <v>0</v>
      </c>
      <c r="AA580" s="229">
        <v>0</v>
      </c>
      <c r="AC580" s="12">
        <v>1</v>
      </c>
      <c r="AD580" s="14">
        <v>1</v>
      </c>
      <c r="AE580" s="14">
        <v>0</v>
      </c>
      <c r="AF580" s="26">
        <v>0</v>
      </c>
      <c r="AG580" s="12">
        <v>112</v>
      </c>
      <c r="AH580" s="14">
        <v>0</v>
      </c>
      <c r="AI580" s="209"/>
      <c r="AJ580" s="3"/>
      <c r="AK580" s="3"/>
      <c r="AL580" s="3"/>
      <c r="AM580" s="3"/>
      <c r="AN580" s="3"/>
      <c r="AO580" s="40"/>
      <c r="AP580" s="209"/>
      <c r="AQ580" s="3"/>
      <c r="AR580" s="40"/>
      <c r="AS580" s="238"/>
    </row>
    <row r="581" spans="1:45" s="229" customFormat="1">
      <c r="A581" s="42" t="s">
        <v>323</v>
      </c>
      <c r="B581" s="386">
        <v>12.705666666666668</v>
      </c>
      <c r="C581" s="229" t="s">
        <v>219</v>
      </c>
      <c r="D581" s="229" t="s">
        <v>670</v>
      </c>
      <c r="E581" s="229" t="s">
        <v>1</v>
      </c>
      <c r="F581" s="229">
        <v>451</v>
      </c>
      <c r="G581" s="40">
        <f>F581/442</f>
        <v>1.0203619909502262</v>
      </c>
      <c r="H581" s="14">
        <v>0</v>
      </c>
      <c r="I581" s="229">
        <v>0</v>
      </c>
      <c r="J581" s="229">
        <v>0</v>
      </c>
      <c r="K581" s="26">
        <v>1</v>
      </c>
      <c r="L581" s="14">
        <v>0</v>
      </c>
      <c r="M581" s="229">
        <v>0</v>
      </c>
      <c r="N581" s="229">
        <v>0</v>
      </c>
      <c r="O581" s="229">
        <v>0</v>
      </c>
      <c r="P581" s="26">
        <v>0</v>
      </c>
      <c r="Q581" s="14">
        <v>5</v>
      </c>
      <c r="R581" s="229">
        <v>0</v>
      </c>
      <c r="S581" s="229">
        <v>29</v>
      </c>
      <c r="T581" s="229">
        <v>0</v>
      </c>
      <c r="U581" s="229">
        <v>0</v>
      </c>
      <c r="V581" s="229">
        <v>16</v>
      </c>
      <c r="W581" s="229">
        <v>23</v>
      </c>
      <c r="X581" s="229">
        <v>0</v>
      </c>
      <c r="Y581" s="229">
        <v>0</v>
      </c>
      <c r="Z581" s="229">
        <v>0</v>
      </c>
      <c r="AA581" s="229">
        <v>0</v>
      </c>
      <c r="AC581" s="12">
        <v>1</v>
      </c>
      <c r="AD581" s="14">
        <v>1</v>
      </c>
      <c r="AE581" s="14">
        <v>0</v>
      </c>
      <c r="AF581" s="26">
        <v>0</v>
      </c>
      <c r="AG581" s="12">
        <v>112</v>
      </c>
      <c r="AH581" s="14">
        <v>1</v>
      </c>
      <c r="AI581" s="209"/>
      <c r="AJ581" s="3"/>
      <c r="AK581" s="3"/>
      <c r="AL581" s="3"/>
      <c r="AM581" s="3"/>
      <c r="AN581" s="3"/>
      <c r="AO581" s="40"/>
      <c r="AP581" s="209"/>
      <c r="AQ581" s="3"/>
      <c r="AR581" s="40"/>
      <c r="AS581" s="238"/>
    </row>
    <row r="582" spans="1:45" s="229" customFormat="1">
      <c r="A582" s="42" t="s">
        <v>323</v>
      </c>
      <c r="B582" s="386">
        <v>12.705666666666668</v>
      </c>
      <c r="C582" s="229" t="s">
        <v>219</v>
      </c>
      <c r="D582" s="229" t="s">
        <v>672</v>
      </c>
      <c r="E582" s="229" t="s">
        <v>0</v>
      </c>
      <c r="F582" s="229">
        <v>542</v>
      </c>
      <c r="G582" s="40">
        <f>F582/447</f>
        <v>1.2125279642058167</v>
      </c>
      <c r="H582" s="14">
        <v>0</v>
      </c>
      <c r="I582" s="229">
        <v>0</v>
      </c>
      <c r="J582" s="229">
        <v>0</v>
      </c>
      <c r="K582" s="26">
        <v>1</v>
      </c>
      <c r="L582" s="14">
        <v>0</v>
      </c>
      <c r="M582" s="229">
        <v>0</v>
      </c>
      <c r="N582" s="229">
        <v>1</v>
      </c>
      <c r="O582" s="229">
        <v>0</v>
      </c>
      <c r="P582" s="26">
        <v>1</v>
      </c>
      <c r="Q582" s="14">
        <v>0</v>
      </c>
      <c r="R582" s="229">
        <v>0</v>
      </c>
      <c r="S582" s="229">
        <v>0</v>
      </c>
      <c r="T582" s="229">
        <v>0</v>
      </c>
      <c r="U582" s="229">
        <v>0</v>
      </c>
      <c r="V582" s="229">
        <v>0</v>
      </c>
      <c r="W582" s="229">
        <v>0</v>
      </c>
      <c r="X582" s="229">
        <v>0</v>
      </c>
      <c r="Y582" s="229">
        <v>0</v>
      </c>
      <c r="Z582" s="229">
        <v>0</v>
      </c>
      <c r="AA582" s="229">
        <v>0</v>
      </c>
      <c r="AC582" s="12">
        <v>2</v>
      </c>
      <c r="AD582" s="14">
        <v>2</v>
      </c>
      <c r="AE582" s="14">
        <v>299</v>
      </c>
      <c r="AF582" s="26">
        <v>418</v>
      </c>
      <c r="AG582" s="12">
        <v>165</v>
      </c>
      <c r="AH582" s="14">
        <v>1</v>
      </c>
      <c r="AI582" s="209"/>
      <c r="AJ582" s="3"/>
      <c r="AK582" s="3"/>
      <c r="AL582" s="3"/>
      <c r="AM582" s="3"/>
      <c r="AN582" s="3"/>
      <c r="AO582" s="40"/>
      <c r="AP582" s="209"/>
      <c r="AQ582" s="3"/>
      <c r="AR582" s="40"/>
      <c r="AS582" s="238"/>
    </row>
    <row r="583" spans="1:45" s="229" customFormat="1">
      <c r="A583" s="42" t="s">
        <v>323</v>
      </c>
      <c r="B583" s="386">
        <v>12.705666666666668</v>
      </c>
      <c r="C583" s="229" t="s">
        <v>219</v>
      </c>
      <c r="D583" s="229" t="s">
        <v>672</v>
      </c>
      <c r="E583" s="229" t="s">
        <v>1</v>
      </c>
      <c r="F583" s="229">
        <v>436</v>
      </c>
      <c r="G583" s="40">
        <f>F583/334</f>
        <v>1.3053892215568863</v>
      </c>
      <c r="H583" s="14">
        <v>0</v>
      </c>
      <c r="I583" s="229">
        <v>1</v>
      </c>
      <c r="J583" s="229">
        <v>0</v>
      </c>
      <c r="K583" s="26">
        <v>0</v>
      </c>
      <c r="L583" s="14">
        <v>0</v>
      </c>
      <c r="M583" s="229">
        <v>0</v>
      </c>
      <c r="N583" s="229">
        <v>1</v>
      </c>
      <c r="O583" s="229">
        <v>0</v>
      </c>
      <c r="P583" s="26">
        <v>1</v>
      </c>
      <c r="Q583" s="14">
        <v>10</v>
      </c>
      <c r="R583" s="229">
        <v>0</v>
      </c>
      <c r="S583" s="229">
        <v>0</v>
      </c>
      <c r="T583" s="229">
        <v>0</v>
      </c>
      <c r="U583" s="229">
        <v>0</v>
      </c>
      <c r="V583" s="229">
        <v>72</v>
      </c>
      <c r="W583" s="229">
        <v>92</v>
      </c>
      <c r="X583" s="229">
        <v>0</v>
      </c>
      <c r="Y583" s="229">
        <v>0</v>
      </c>
      <c r="Z583" s="229">
        <v>0</v>
      </c>
      <c r="AA583" s="229">
        <v>0</v>
      </c>
      <c r="AC583" s="12">
        <v>1</v>
      </c>
      <c r="AD583" s="14">
        <v>1</v>
      </c>
      <c r="AE583" s="14">
        <v>0</v>
      </c>
      <c r="AF583" s="26">
        <v>0</v>
      </c>
      <c r="AG583" s="12">
        <v>165</v>
      </c>
      <c r="AH583" s="14">
        <v>0</v>
      </c>
      <c r="AI583" s="209"/>
      <c r="AJ583" s="3"/>
      <c r="AK583" s="3"/>
      <c r="AL583" s="3"/>
      <c r="AM583" s="3"/>
      <c r="AN583" s="3"/>
      <c r="AO583" s="40"/>
      <c r="AP583" s="209"/>
      <c r="AQ583" s="3"/>
      <c r="AR583" s="40"/>
      <c r="AS583" s="238"/>
    </row>
    <row r="584" spans="1:45" s="229" customFormat="1">
      <c r="A584" s="42" t="s">
        <v>323</v>
      </c>
      <c r="B584" s="386">
        <v>12.705666666666668</v>
      </c>
      <c r="C584" s="229" t="s">
        <v>219</v>
      </c>
      <c r="D584" s="229" t="s">
        <v>673</v>
      </c>
      <c r="F584" s="229">
        <v>607</v>
      </c>
      <c r="G584" s="40">
        <f>F584/380</f>
        <v>1.5973684210526315</v>
      </c>
      <c r="H584" s="14">
        <v>0</v>
      </c>
      <c r="I584" s="229">
        <v>0</v>
      </c>
      <c r="J584" s="229">
        <v>0</v>
      </c>
      <c r="K584" s="26">
        <v>1</v>
      </c>
      <c r="L584" s="14">
        <v>0</v>
      </c>
      <c r="M584" s="229">
        <v>0</v>
      </c>
      <c r="N584" s="229">
        <v>0</v>
      </c>
      <c r="O584" s="229">
        <v>0</v>
      </c>
      <c r="P584" s="26">
        <v>0</v>
      </c>
      <c r="Q584" s="14">
        <v>10</v>
      </c>
      <c r="R584" s="229">
        <v>34</v>
      </c>
      <c r="S584" s="229">
        <v>48</v>
      </c>
      <c r="T584" s="229">
        <v>0</v>
      </c>
      <c r="U584" s="229">
        <v>0</v>
      </c>
      <c r="V584" s="229">
        <v>0</v>
      </c>
      <c r="W584" s="229">
        <v>0</v>
      </c>
      <c r="X584" s="229">
        <v>0</v>
      </c>
      <c r="Y584" s="229">
        <v>0</v>
      </c>
      <c r="Z584" s="229">
        <v>0</v>
      </c>
      <c r="AA584" s="229">
        <v>131</v>
      </c>
      <c r="AC584" s="12">
        <v>1</v>
      </c>
      <c r="AD584" s="14">
        <v>1</v>
      </c>
      <c r="AE584" s="14">
        <v>0</v>
      </c>
      <c r="AF584" s="26">
        <v>0</v>
      </c>
      <c r="AG584" s="12">
        <v>109</v>
      </c>
      <c r="AH584" s="14">
        <v>0</v>
      </c>
      <c r="AI584" s="209">
        <v>87</v>
      </c>
      <c r="AJ584" s="3"/>
      <c r="AK584" s="3"/>
      <c r="AL584" s="3"/>
      <c r="AM584" s="3"/>
      <c r="AN584" s="3"/>
      <c r="AO584" s="40"/>
      <c r="AP584" s="209">
        <v>86.8</v>
      </c>
      <c r="AQ584" s="3"/>
      <c r="AR584" s="40"/>
      <c r="AS584" s="238"/>
    </row>
    <row r="585" spans="1:45" s="229" customFormat="1">
      <c r="A585" s="42" t="s">
        <v>323</v>
      </c>
      <c r="B585" s="386">
        <v>12.705666666666668</v>
      </c>
      <c r="C585" s="229" t="s">
        <v>219</v>
      </c>
      <c r="D585" s="229" t="s">
        <v>674</v>
      </c>
      <c r="E585" s="229" t="s">
        <v>0</v>
      </c>
      <c r="F585" s="229">
        <v>410</v>
      </c>
      <c r="G585" s="40">
        <f>F585/272</f>
        <v>1.5073529411764706</v>
      </c>
      <c r="H585" s="14">
        <v>0</v>
      </c>
      <c r="I585" s="229">
        <v>1</v>
      </c>
      <c r="J585" s="229">
        <v>0</v>
      </c>
      <c r="K585" s="26">
        <v>1</v>
      </c>
      <c r="L585" s="14"/>
      <c r="P585" s="26">
        <v>0</v>
      </c>
      <c r="Q585" s="14">
        <v>2</v>
      </c>
      <c r="R585" s="229">
        <v>6</v>
      </c>
      <c r="S585" s="229">
        <v>8</v>
      </c>
      <c r="T585" s="229">
        <v>0</v>
      </c>
      <c r="U585" s="229">
        <v>0</v>
      </c>
      <c r="V585" s="229">
        <v>0</v>
      </c>
      <c r="W585" s="229">
        <v>0</v>
      </c>
      <c r="X585" s="229">
        <v>0</v>
      </c>
      <c r="Y585" s="229">
        <v>0</v>
      </c>
      <c r="Z585" s="229">
        <v>0</v>
      </c>
      <c r="AA585" s="229">
        <v>0</v>
      </c>
      <c r="AC585" s="12">
        <v>2</v>
      </c>
      <c r="AD585" s="14">
        <v>2</v>
      </c>
      <c r="AE585" s="14">
        <v>272</v>
      </c>
      <c r="AF585" s="26">
        <v>289</v>
      </c>
      <c r="AG585" s="12">
        <v>118</v>
      </c>
      <c r="AH585" s="14">
        <v>0</v>
      </c>
      <c r="AI585" s="209"/>
      <c r="AJ585" s="3"/>
      <c r="AK585" s="3"/>
      <c r="AL585" s="3"/>
      <c r="AM585" s="3"/>
      <c r="AN585" s="3"/>
      <c r="AO585" s="40"/>
      <c r="AP585" s="209"/>
      <c r="AQ585" s="3"/>
      <c r="AR585" s="40"/>
      <c r="AS585" s="238"/>
    </row>
    <row r="586" spans="1:45" s="229" customFormat="1">
      <c r="A586" s="42" t="s">
        <v>323</v>
      </c>
      <c r="B586" s="386">
        <v>12.705666666666668</v>
      </c>
      <c r="C586" s="229" t="s">
        <v>219</v>
      </c>
      <c r="D586" s="229" t="s">
        <v>674</v>
      </c>
      <c r="E586" s="229" t="s">
        <v>1</v>
      </c>
      <c r="F586" s="229">
        <v>590</v>
      </c>
      <c r="G586" s="40">
        <f>F586/501</f>
        <v>1.1776447105788423</v>
      </c>
      <c r="H586" s="14">
        <v>0</v>
      </c>
      <c r="I586" s="229">
        <v>1</v>
      </c>
      <c r="J586" s="229">
        <v>0</v>
      </c>
      <c r="K586" s="26">
        <v>0</v>
      </c>
      <c r="L586" s="14">
        <v>0</v>
      </c>
      <c r="M586" s="229">
        <v>0</v>
      </c>
      <c r="N586" s="229">
        <v>0</v>
      </c>
      <c r="O586" s="229">
        <v>0</v>
      </c>
      <c r="P586" s="26">
        <v>0</v>
      </c>
      <c r="Q586" s="14">
        <v>2</v>
      </c>
      <c r="R586" s="229">
        <v>15</v>
      </c>
      <c r="S586" s="229">
        <v>30</v>
      </c>
      <c r="T586" s="229">
        <v>0</v>
      </c>
      <c r="U586" s="229">
        <v>0</v>
      </c>
      <c r="V586" s="229">
        <v>0</v>
      </c>
      <c r="W586" s="229">
        <v>0</v>
      </c>
      <c r="X586" s="229">
        <v>0</v>
      </c>
      <c r="Y586" s="229">
        <v>0</v>
      </c>
      <c r="Z586" s="229">
        <v>0</v>
      </c>
      <c r="AA586" s="229">
        <v>0</v>
      </c>
      <c r="AC586" s="12">
        <v>1</v>
      </c>
      <c r="AD586" s="14">
        <v>1</v>
      </c>
      <c r="AE586" s="14">
        <v>0</v>
      </c>
      <c r="AF586" s="26">
        <v>0</v>
      </c>
      <c r="AG586" s="12">
        <v>118</v>
      </c>
      <c r="AH586" s="14">
        <v>1</v>
      </c>
      <c r="AI586" s="209"/>
      <c r="AJ586" s="3"/>
      <c r="AK586" s="3"/>
      <c r="AL586" s="3"/>
      <c r="AM586" s="3"/>
      <c r="AN586" s="3"/>
      <c r="AO586" s="40"/>
      <c r="AP586" s="209"/>
      <c r="AQ586" s="3"/>
      <c r="AR586" s="40"/>
      <c r="AS586" s="238"/>
    </row>
    <row r="587" spans="1:45" s="229" customFormat="1">
      <c r="A587" s="42" t="s">
        <v>323</v>
      </c>
      <c r="B587" s="386">
        <v>12.705666666666668</v>
      </c>
      <c r="C587" s="229" t="s">
        <v>219</v>
      </c>
      <c r="D587" s="229" t="s">
        <v>677</v>
      </c>
      <c r="F587" s="229">
        <v>897</v>
      </c>
      <c r="G587" s="40">
        <f>F587/397</f>
        <v>2.2594458438287153</v>
      </c>
      <c r="H587" s="14">
        <v>0</v>
      </c>
      <c r="I587" s="229">
        <v>1</v>
      </c>
      <c r="J587" s="229">
        <v>0</v>
      </c>
      <c r="K587" s="26">
        <v>1</v>
      </c>
      <c r="L587" s="14">
        <v>0</v>
      </c>
      <c r="M587" s="229">
        <v>0</v>
      </c>
      <c r="N587" s="229">
        <v>0</v>
      </c>
      <c r="O587" s="229">
        <v>0</v>
      </c>
      <c r="P587" s="26">
        <v>0</v>
      </c>
      <c r="Q587" s="14">
        <v>2</v>
      </c>
      <c r="R587" s="229">
        <v>8</v>
      </c>
      <c r="S587" s="229">
        <v>19</v>
      </c>
      <c r="T587" s="229">
        <v>0</v>
      </c>
      <c r="U587" s="229">
        <v>0</v>
      </c>
      <c r="V587" s="229">
        <v>0</v>
      </c>
      <c r="W587" s="229">
        <v>0</v>
      </c>
      <c r="X587" s="229">
        <v>0</v>
      </c>
      <c r="Y587" s="229">
        <v>0</v>
      </c>
      <c r="Z587" s="229">
        <v>0</v>
      </c>
      <c r="AA587" s="229">
        <v>0</v>
      </c>
      <c r="AC587" s="12">
        <v>2</v>
      </c>
      <c r="AD587" s="14">
        <v>5</v>
      </c>
      <c r="AE587" s="14">
        <v>156</v>
      </c>
      <c r="AF587" s="26">
        <v>388</v>
      </c>
      <c r="AG587" s="12">
        <v>100</v>
      </c>
      <c r="AH587" s="14">
        <v>0</v>
      </c>
      <c r="AI587" s="209"/>
      <c r="AJ587" s="3"/>
      <c r="AK587" s="3"/>
      <c r="AL587" s="3"/>
      <c r="AM587" s="3"/>
      <c r="AN587" s="3"/>
      <c r="AO587" s="40"/>
      <c r="AP587" s="209"/>
      <c r="AQ587" s="3"/>
      <c r="AR587" s="40"/>
      <c r="AS587" s="238"/>
    </row>
    <row r="588" spans="1:45" s="229" customFormat="1">
      <c r="A588" s="42" t="s">
        <v>323</v>
      </c>
      <c r="B588" s="386">
        <v>12.705666666666668</v>
      </c>
      <c r="C588" s="229" t="s">
        <v>219</v>
      </c>
      <c r="D588" s="229" t="s">
        <v>678</v>
      </c>
      <c r="E588" s="229" t="s">
        <v>0</v>
      </c>
      <c r="F588" s="229">
        <v>207</v>
      </c>
      <c r="G588" s="40">
        <f>F588/183</f>
        <v>1.1311475409836065</v>
      </c>
      <c r="H588" s="14">
        <v>0</v>
      </c>
      <c r="I588" s="229">
        <v>0</v>
      </c>
      <c r="J588" s="229">
        <v>0</v>
      </c>
      <c r="K588" s="26">
        <v>1</v>
      </c>
      <c r="L588" s="14">
        <v>0</v>
      </c>
      <c r="M588" s="229">
        <v>0</v>
      </c>
      <c r="N588" s="229">
        <v>0</v>
      </c>
      <c r="O588" s="229">
        <v>0</v>
      </c>
      <c r="P588" s="26">
        <v>0</v>
      </c>
      <c r="Q588" s="14">
        <v>0</v>
      </c>
      <c r="R588" s="229">
        <v>0</v>
      </c>
      <c r="S588" s="229">
        <v>0</v>
      </c>
      <c r="T588" s="229">
        <v>0</v>
      </c>
      <c r="U588" s="229">
        <v>0</v>
      </c>
      <c r="V588" s="229">
        <v>0</v>
      </c>
      <c r="W588" s="229">
        <v>0</v>
      </c>
      <c r="X588" s="229">
        <v>0</v>
      </c>
      <c r="Y588" s="229">
        <v>0</v>
      </c>
      <c r="Z588" s="229">
        <v>0</v>
      </c>
      <c r="AA588" s="229">
        <v>0</v>
      </c>
      <c r="AC588" s="12">
        <v>1</v>
      </c>
      <c r="AD588" s="14">
        <v>1</v>
      </c>
      <c r="AE588" s="14">
        <v>0</v>
      </c>
      <c r="AF588" s="26">
        <v>0</v>
      </c>
      <c r="AG588" s="12">
        <v>117</v>
      </c>
      <c r="AH588" s="14">
        <v>0</v>
      </c>
      <c r="AI588" s="209"/>
      <c r="AJ588" s="3"/>
      <c r="AK588" s="3"/>
      <c r="AL588" s="3"/>
      <c r="AM588" s="3"/>
      <c r="AN588" s="3"/>
      <c r="AO588" s="40"/>
      <c r="AP588" s="209"/>
      <c r="AQ588" s="3"/>
      <c r="AR588" s="40"/>
      <c r="AS588" s="238"/>
    </row>
    <row r="589" spans="1:45" s="229" customFormat="1">
      <c r="A589" s="42" t="s">
        <v>323</v>
      </c>
      <c r="B589" s="386">
        <v>12.705666666666668</v>
      </c>
      <c r="C589" s="229" t="s">
        <v>219</v>
      </c>
      <c r="D589" s="229" t="s">
        <v>678</v>
      </c>
      <c r="E589" s="229" t="s">
        <v>1</v>
      </c>
      <c r="F589" s="229">
        <v>987</v>
      </c>
      <c r="G589" s="40">
        <f>F589/279</f>
        <v>3.5376344086021505</v>
      </c>
      <c r="H589" s="14">
        <v>1</v>
      </c>
      <c r="I589" s="229">
        <v>0</v>
      </c>
      <c r="J589" s="229">
        <v>0</v>
      </c>
      <c r="K589" s="26">
        <v>1</v>
      </c>
      <c r="L589" s="14">
        <v>0</v>
      </c>
      <c r="M589" s="229">
        <v>0</v>
      </c>
      <c r="N589" s="229">
        <v>0</v>
      </c>
      <c r="O589" s="229">
        <v>0</v>
      </c>
      <c r="P589" s="26">
        <v>0</v>
      </c>
      <c r="Q589" s="14">
        <v>2</v>
      </c>
      <c r="R589" s="229">
        <v>0</v>
      </c>
      <c r="S589" s="229">
        <v>0</v>
      </c>
      <c r="T589" s="229">
        <v>0</v>
      </c>
      <c r="U589" s="229">
        <v>0</v>
      </c>
      <c r="V589" s="229">
        <v>13</v>
      </c>
      <c r="W589" s="229">
        <v>49</v>
      </c>
      <c r="X589" s="229">
        <v>0</v>
      </c>
      <c r="Y589" s="229">
        <v>0</v>
      </c>
      <c r="Z589" s="229">
        <v>0</v>
      </c>
      <c r="AA589" s="229">
        <v>0</v>
      </c>
      <c r="AC589" s="12">
        <v>2</v>
      </c>
      <c r="AD589" s="14">
        <v>7</v>
      </c>
      <c r="AE589" s="14">
        <v>145</v>
      </c>
      <c r="AF589" s="26">
        <v>419</v>
      </c>
      <c r="AG589" s="12">
        <v>117</v>
      </c>
      <c r="AH589" s="14">
        <v>1</v>
      </c>
      <c r="AI589" s="209"/>
      <c r="AJ589" s="3"/>
      <c r="AK589" s="3"/>
      <c r="AL589" s="3"/>
      <c r="AM589" s="3"/>
      <c r="AN589" s="3"/>
      <c r="AO589" s="40"/>
      <c r="AP589" s="209"/>
      <c r="AQ589" s="3"/>
      <c r="AR589" s="40"/>
      <c r="AS589" s="238"/>
    </row>
    <row r="590" spans="1:45" s="229" customFormat="1">
      <c r="A590" s="42" t="s">
        <v>323</v>
      </c>
      <c r="B590" s="386">
        <v>12.705666666666668</v>
      </c>
      <c r="C590" s="229" t="s">
        <v>219</v>
      </c>
      <c r="D590" s="229" t="s">
        <v>680</v>
      </c>
      <c r="E590" s="229" t="s">
        <v>0</v>
      </c>
      <c r="F590" s="229">
        <v>378</v>
      </c>
      <c r="G590" s="40">
        <f>F590/273</f>
        <v>1.3846153846153846</v>
      </c>
      <c r="H590" s="14">
        <v>0</v>
      </c>
      <c r="I590" s="229">
        <v>0</v>
      </c>
      <c r="J590" s="229">
        <v>0</v>
      </c>
      <c r="K590" s="26">
        <v>1</v>
      </c>
      <c r="L590" s="14">
        <v>0</v>
      </c>
      <c r="M590" s="229">
        <v>0</v>
      </c>
      <c r="N590" s="229">
        <v>0</v>
      </c>
      <c r="O590" s="229">
        <v>1</v>
      </c>
      <c r="P590" s="26">
        <v>1</v>
      </c>
      <c r="Q590" s="14">
        <v>5</v>
      </c>
      <c r="R590" s="229">
        <v>18</v>
      </c>
      <c r="S590" s="229">
        <v>24</v>
      </c>
      <c r="T590" s="229">
        <v>0</v>
      </c>
      <c r="U590" s="229">
        <v>0</v>
      </c>
      <c r="V590" s="229">
        <v>0</v>
      </c>
      <c r="W590" s="229">
        <v>0</v>
      </c>
      <c r="X590" s="229">
        <v>0</v>
      </c>
      <c r="Y590" s="229">
        <v>0</v>
      </c>
      <c r="Z590" s="229">
        <v>0</v>
      </c>
      <c r="AA590" s="229">
        <v>0</v>
      </c>
      <c r="AC590" s="12">
        <v>2</v>
      </c>
      <c r="AD590" s="14">
        <v>4</v>
      </c>
      <c r="AE590" s="14">
        <v>116</v>
      </c>
      <c r="AF590" s="26">
        <v>259</v>
      </c>
      <c r="AG590" s="12">
        <v>126</v>
      </c>
      <c r="AH590" s="14">
        <v>0</v>
      </c>
      <c r="AI590" s="209"/>
      <c r="AJ590" s="3"/>
      <c r="AK590" s="3"/>
      <c r="AL590" s="3"/>
      <c r="AM590" s="3"/>
      <c r="AN590" s="3"/>
      <c r="AO590" s="40"/>
      <c r="AP590" s="209"/>
      <c r="AQ590" s="3"/>
      <c r="AR590" s="40"/>
      <c r="AS590" s="238"/>
    </row>
    <row r="591" spans="1:45" s="229" customFormat="1">
      <c r="A591" s="42" t="s">
        <v>323</v>
      </c>
      <c r="B591" s="386">
        <v>12.705666666666668</v>
      </c>
      <c r="C591" s="229" t="s">
        <v>219</v>
      </c>
      <c r="D591" s="229" t="s">
        <v>680</v>
      </c>
      <c r="E591" s="229" t="s">
        <v>1</v>
      </c>
      <c r="F591" s="229">
        <v>679</v>
      </c>
      <c r="G591" s="40">
        <f>F591/332</f>
        <v>2.0451807228915664</v>
      </c>
      <c r="H591" s="14">
        <v>0</v>
      </c>
      <c r="I591" s="229">
        <v>1</v>
      </c>
      <c r="J591" s="229">
        <v>0</v>
      </c>
      <c r="K591" s="26">
        <v>1</v>
      </c>
      <c r="L591" s="14">
        <v>0</v>
      </c>
      <c r="M591" s="229">
        <v>0</v>
      </c>
      <c r="N591" s="229">
        <v>0</v>
      </c>
      <c r="O591" s="229">
        <v>1</v>
      </c>
      <c r="P591" s="26">
        <v>1</v>
      </c>
      <c r="Q591" s="14">
        <v>0</v>
      </c>
      <c r="R591" s="229">
        <v>0</v>
      </c>
      <c r="S591" s="229">
        <v>0</v>
      </c>
      <c r="T591" s="229">
        <v>0</v>
      </c>
      <c r="U591" s="229">
        <v>0</v>
      </c>
      <c r="V591" s="229">
        <v>0</v>
      </c>
      <c r="W591" s="229">
        <v>0</v>
      </c>
      <c r="X591" s="229">
        <v>0</v>
      </c>
      <c r="Y591" s="229">
        <v>0</v>
      </c>
      <c r="Z591" s="229">
        <v>0</v>
      </c>
      <c r="AA591" s="229">
        <v>0</v>
      </c>
      <c r="AC591" s="12">
        <v>2</v>
      </c>
      <c r="AD591" s="14">
        <v>3</v>
      </c>
      <c r="AE591" s="14">
        <v>264</v>
      </c>
      <c r="AF591" s="26">
        <v>322</v>
      </c>
      <c r="AG591" s="12">
        <v>126</v>
      </c>
      <c r="AH591" s="14">
        <v>0</v>
      </c>
      <c r="AI591" s="209">
        <v>85.1</v>
      </c>
      <c r="AJ591" s="3">
        <v>85.3</v>
      </c>
      <c r="AK591" s="3"/>
      <c r="AL591" s="3"/>
      <c r="AM591" s="3"/>
      <c r="AN591" s="3"/>
      <c r="AO591" s="40"/>
      <c r="AP591" s="209">
        <v>86.6</v>
      </c>
      <c r="AQ591" s="3">
        <v>86.5</v>
      </c>
      <c r="AR591" s="40"/>
      <c r="AS591" s="238"/>
    </row>
    <row r="592" spans="1:45" s="229" customFormat="1">
      <c r="A592" s="42" t="s">
        <v>323</v>
      </c>
      <c r="B592" s="386">
        <v>12.705666666666668</v>
      </c>
      <c r="C592" s="229" t="s">
        <v>219</v>
      </c>
      <c r="D592" s="229" t="s">
        <v>680</v>
      </c>
      <c r="E592" s="229" t="s">
        <v>2</v>
      </c>
      <c r="F592" s="229">
        <v>240</v>
      </c>
      <c r="G592" s="40">
        <f>F592/97</f>
        <v>2.4742268041237114</v>
      </c>
      <c r="H592" s="14">
        <v>0</v>
      </c>
      <c r="I592" s="229">
        <v>0</v>
      </c>
      <c r="J592" s="229">
        <v>0</v>
      </c>
      <c r="K592" s="26">
        <v>1</v>
      </c>
      <c r="L592" s="14">
        <v>0</v>
      </c>
      <c r="M592" s="229">
        <v>0</v>
      </c>
      <c r="N592" s="229">
        <v>0</v>
      </c>
      <c r="O592" s="229">
        <v>1</v>
      </c>
      <c r="P592" s="26">
        <v>1</v>
      </c>
      <c r="Q592" s="14">
        <v>0</v>
      </c>
      <c r="R592" s="229">
        <v>0</v>
      </c>
      <c r="S592" s="229">
        <v>0</v>
      </c>
      <c r="T592" s="229">
        <v>0</v>
      </c>
      <c r="U592" s="229">
        <v>0</v>
      </c>
      <c r="V592" s="229">
        <v>0</v>
      </c>
      <c r="W592" s="229">
        <v>0</v>
      </c>
      <c r="X592" s="229">
        <v>0</v>
      </c>
      <c r="Y592" s="229">
        <v>0</v>
      </c>
      <c r="Z592" s="229">
        <v>0</v>
      </c>
      <c r="AA592" s="229">
        <v>0</v>
      </c>
      <c r="AC592" s="12">
        <v>1</v>
      </c>
      <c r="AD592" s="14">
        <v>1</v>
      </c>
      <c r="AE592" s="14">
        <v>0</v>
      </c>
      <c r="AF592" s="26">
        <v>0</v>
      </c>
      <c r="AG592" s="12">
        <v>126</v>
      </c>
      <c r="AH592" s="14">
        <v>0</v>
      </c>
      <c r="AI592" s="209"/>
      <c r="AJ592" s="3"/>
      <c r="AK592" s="3"/>
      <c r="AL592" s="3"/>
      <c r="AM592" s="3"/>
      <c r="AN592" s="3"/>
      <c r="AO592" s="40"/>
      <c r="AP592" s="209"/>
      <c r="AQ592" s="3"/>
      <c r="AR592" s="40"/>
      <c r="AS592" s="238"/>
    </row>
    <row r="593" spans="1:45" s="229" customFormat="1">
      <c r="A593" s="42" t="s">
        <v>323</v>
      </c>
      <c r="B593" s="386">
        <v>12.705666666666668</v>
      </c>
      <c r="C593" s="229" t="s">
        <v>219</v>
      </c>
      <c r="D593" s="229" t="s">
        <v>680</v>
      </c>
      <c r="E593" s="229" t="s">
        <v>3</v>
      </c>
      <c r="F593" s="229">
        <v>532</v>
      </c>
      <c r="G593" s="40">
        <f>F593/316</f>
        <v>1.6835443037974684</v>
      </c>
      <c r="H593" s="14">
        <v>0</v>
      </c>
      <c r="I593" s="229">
        <v>1</v>
      </c>
      <c r="J593" s="229">
        <v>0</v>
      </c>
      <c r="K593" s="26">
        <v>1</v>
      </c>
      <c r="L593" s="14">
        <v>0</v>
      </c>
      <c r="M593" s="229">
        <v>0</v>
      </c>
      <c r="N593" s="229">
        <v>0</v>
      </c>
      <c r="O593" s="229">
        <v>1</v>
      </c>
      <c r="P593" s="26">
        <v>1</v>
      </c>
      <c r="Q593" s="14">
        <v>2</v>
      </c>
      <c r="R593" s="229">
        <v>11</v>
      </c>
      <c r="S593" s="229">
        <v>18</v>
      </c>
      <c r="T593" s="229">
        <v>0</v>
      </c>
      <c r="U593" s="229">
        <v>0</v>
      </c>
      <c r="V593" s="229">
        <v>0</v>
      </c>
      <c r="W593" s="229">
        <v>0</v>
      </c>
      <c r="X593" s="229">
        <v>0</v>
      </c>
      <c r="Y593" s="229">
        <v>0</v>
      </c>
      <c r="Z593" s="229">
        <v>0</v>
      </c>
      <c r="AA593" s="229">
        <v>0</v>
      </c>
      <c r="AC593" s="12">
        <v>2</v>
      </c>
      <c r="AD593" s="14">
        <v>4</v>
      </c>
      <c r="AE593" s="14">
        <v>125</v>
      </c>
      <c r="AF593" s="26">
        <v>317</v>
      </c>
      <c r="AG593" s="12">
        <v>126</v>
      </c>
      <c r="AH593" s="14">
        <v>0</v>
      </c>
      <c r="AI593" s="209">
        <v>85.1</v>
      </c>
      <c r="AJ593" s="3"/>
      <c r="AK593" s="3"/>
      <c r="AL593" s="3"/>
      <c r="AM593" s="3"/>
      <c r="AN593" s="3"/>
      <c r="AO593" s="40"/>
      <c r="AP593" s="209">
        <v>86.5</v>
      </c>
      <c r="AQ593" s="3"/>
      <c r="AR593" s="40"/>
      <c r="AS593" s="238"/>
    </row>
    <row r="594" spans="1:45" s="229" customFormat="1">
      <c r="A594" s="42" t="s">
        <v>323</v>
      </c>
      <c r="B594" s="386">
        <v>12.705666666666668</v>
      </c>
      <c r="C594" s="229" t="s">
        <v>219</v>
      </c>
      <c r="D594" s="229" t="s">
        <v>681</v>
      </c>
      <c r="F594" s="229">
        <v>1056</v>
      </c>
      <c r="G594" s="40">
        <f>F594/827</f>
        <v>1.2769044740024185</v>
      </c>
      <c r="H594" s="14">
        <v>0</v>
      </c>
      <c r="I594" s="229">
        <v>0</v>
      </c>
      <c r="J594" s="229">
        <v>1</v>
      </c>
      <c r="K594" s="26">
        <v>0</v>
      </c>
      <c r="L594" s="14">
        <v>0</v>
      </c>
      <c r="M594" s="229">
        <v>0</v>
      </c>
      <c r="N594" s="229">
        <v>1</v>
      </c>
      <c r="O594" s="229">
        <v>0</v>
      </c>
      <c r="P594" s="26">
        <v>1</v>
      </c>
      <c r="Q594" s="14">
        <v>10</v>
      </c>
      <c r="R594" s="229">
        <v>29</v>
      </c>
      <c r="S594" s="229">
        <v>52</v>
      </c>
      <c r="T594" s="229">
        <v>0</v>
      </c>
      <c r="U594" s="229">
        <v>0</v>
      </c>
      <c r="V594" s="229">
        <v>139</v>
      </c>
      <c r="W594" s="229">
        <v>257</v>
      </c>
      <c r="X594" s="229">
        <v>0</v>
      </c>
      <c r="Y594" s="229">
        <v>186</v>
      </c>
      <c r="Z594" s="229">
        <v>0</v>
      </c>
      <c r="AA594" s="229">
        <v>0</v>
      </c>
      <c r="AC594" s="12">
        <v>1</v>
      </c>
      <c r="AD594" s="14">
        <v>1</v>
      </c>
      <c r="AE594" s="14">
        <v>0</v>
      </c>
      <c r="AF594" s="26">
        <v>0</v>
      </c>
      <c r="AG594" s="12">
        <v>165</v>
      </c>
      <c r="AH594" s="14">
        <v>1</v>
      </c>
      <c r="AI594" s="209"/>
      <c r="AJ594" s="3"/>
      <c r="AK594" s="3"/>
      <c r="AL594" s="3"/>
      <c r="AM594" s="3"/>
      <c r="AN594" s="3"/>
      <c r="AO594" s="40"/>
      <c r="AP594" s="209"/>
      <c r="AQ594" s="3"/>
      <c r="AR594" s="40"/>
      <c r="AS594" s="238"/>
    </row>
    <row r="595" spans="1:45" s="229" customFormat="1">
      <c r="A595" s="42" t="s">
        <v>323</v>
      </c>
      <c r="B595" s="386">
        <v>12.705666666666668</v>
      </c>
      <c r="C595" s="229" t="s">
        <v>219</v>
      </c>
      <c r="D595" s="229" t="s">
        <v>682</v>
      </c>
      <c r="F595" s="229">
        <v>1732</v>
      </c>
      <c r="G595" s="26">
        <f>F595/1113</f>
        <v>1.5561545372866128</v>
      </c>
      <c r="H595" s="14">
        <v>1</v>
      </c>
      <c r="I595" s="229">
        <v>0</v>
      </c>
      <c r="J595" s="229">
        <v>0</v>
      </c>
      <c r="K595" s="26">
        <v>0</v>
      </c>
      <c r="L595" s="14">
        <v>1</v>
      </c>
      <c r="M595" s="229">
        <v>0</v>
      </c>
      <c r="N595" s="229">
        <v>0</v>
      </c>
      <c r="O595" s="229">
        <v>0</v>
      </c>
      <c r="P595" s="26">
        <v>1</v>
      </c>
      <c r="Q595" s="14">
        <v>2</v>
      </c>
      <c r="R595" s="229">
        <v>27</v>
      </c>
      <c r="S595" s="229">
        <v>85</v>
      </c>
      <c r="T595" s="229">
        <v>0</v>
      </c>
      <c r="U595" s="229">
        <v>0</v>
      </c>
      <c r="V595" s="229">
        <v>0</v>
      </c>
      <c r="W595" s="229">
        <v>0</v>
      </c>
      <c r="X595" s="229">
        <v>0</v>
      </c>
      <c r="Y595" s="229">
        <v>0</v>
      </c>
      <c r="Z595" s="229">
        <v>0</v>
      </c>
      <c r="AA595" s="229">
        <v>0</v>
      </c>
      <c r="AC595" s="12">
        <v>1</v>
      </c>
      <c r="AD595" s="14">
        <v>1</v>
      </c>
      <c r="AE595" s="14">
        <v>0</v>
      </c>
      <c r="AF595" s="26">
        <v>0</v>
      </c>
      <c r="AG595" s="12">
        <v>146</v>
      </c>
      <c r="AH595" s="14">
        <v>0</v>
      </c>
      <c r="AI595" s="209">
        <v>86.8</v>
      </c>
      <c r="AJ595" s="3"/>
      <c r="AK595" s="3"/>
      <c r="AL595" s="3"/>
      <c r="AM595" s="3"/>
      <c r="AN595" s="3"/>
      <c r="AO595" s="40"/>
      <c r="AP595" s="209">
        <v>87</v>
      </c>
      <c r="AQ595" s="3"/>
      <c r="AR595" s="40"/>
      <c r="AS595" s="238"/>
    </row>
    <row r="596" spans="1:45" s="229" customFormat="1">
      <c r="A596" s="42" t="s">
        <v>323</v>
      </c>
      <c r="B596" s="386">
        <v>12.705666666666668</v>
      </c>
      <c r="C596" s="229" t="s">
        <v>219</v>
      </c>
      <c r="D596" s="229" t="s">
        <v>689</v>
      </c>
      <c r="F596" s="229">
        <v>440</v>
      </c>
      <c r="G596" s="40">
        <f>F596/371</f>
        <v>1.1859838274932615</v>
      </c>
      <c r="H596" s="14">
        <v>1</v>
      </c>
      <c r="I596" s="229">
        <v>0</v>
      </c>
      <c r="J596" s="229">
        <v>0</v>
      </c>
      <c r="K596" s="26">
        <v>0</v>
      </c>
      <c r="L596" s="14">
        <v>0</v>
      </c>
      <c r="M596" s="229">
        <v>0</v>
      </c>
      <c r="N596" s="229">
        <v>0</v>
      </c>
      <c r="O596" s="229">
        <v>0</v>
      </c>
      <c r="P596" s="26">
        <v>0</v>
      </c>
      <c r="Q596" s="14">
        <v>10</v>
      </c>
      <c r="R596" s="229">
        <v>24</v>
      </c>
      <c r="S596" s="229">
        <v>39</v>
      </c>
      <c r="T596" s="229">
        <v>0</v>
      </c>
      <c r="U596" s="229">
        <v>0</v>
      </c>
      <c r="V596" s="229">
        <v>21</v>
      </c>
      <c r="W596" s="229">
        <v>59</v>
      </c>
      <c r="X596" s="229">
        <v>0</v>
      </c>
      <c r="Y596" s="229">
        <v>0</v>
      </c>
      <c r="Z596" s="229">
        <v>0</v>
      </c>
      <c r="AA596" s="229">
        <v>0</v>
      </c>
      <c r="AC596" s="12">
        <v>2</v>
      </c>
      <c r="AD596" s="14">
        <v>2</v>
      </c>
      <c r="AE596" s="14">
        <v>196</v>
      </c>
      <c r="AF596" s="26">
        <v>371</v>
      </c>
      <c r="AG596" s="12">
        <v>97</v>
      </c>
      <c r="AH596" s="14">
        <v>1</v>
      </c>
      <c r="AI596" s="209"/>
      <c r="AJ596" s="3"/>
      <c r="AK596" s="3"/>
      <c r="AL596" s="3"/>
      <c r="AM596" s="3"/>
      <c r="AN596" s="3"/>
      <c r="AO596" s="40"/>
      <c r="AP596" s="209"/>
      <c r="AQ596" s="3"/>
      <c r="AR596" s="40"/>
      <c r="AS596" s="238"/>
    </row>
    <row r="597" spans="1:45" s="229" customFormat="1" ht="17" thickBot="1">
      <c r="A597" s="42" t="s">
        <v>323</v>
      </c>
      <c r="B597" s="385">
        <v>12.705666666666668</v>
      </c>
      <c r="C597" s="36" t="s">
        <v>219</v>
      </c>
      <c r="D597" s="36" t="s">
        <v>690</v>
      </c>
      <c r="E597" s="36"/>
      <c r="F597" s="36">
        <v>383</v>
      </c>
      <c r="G597" s="48">
        <f>F597/218</f>
        <v>1.7568807339449541</v>
      </c>
      <c r="H597" s="34">
        <v>0</v>
      </c>
      <c r="I597" s="36">
        <v>1</v>
      </c>
      <c r="J597" s="36">
        <v>0</v>
      </c>
      <c r="K597" s="35">
        <v>1</v>
      </c>
      <c r="L597" s="34">
        <v>0</v>
      </c>
      <c r="M597" s="36">
        <v>0</v>
      </c>
      <c r="N597" s="36">
        <v>0</v>
      </c>
      <c r="O597" s="36">
        <v>0</v>
      </c>
      <c r="P597" s="35">
        <v>0</v>
      </c>
      <c r="Q597" s="34">
        <v>5</v>
      </c>
      <c r="R597" s="36">
        <v>4</v>
      </c>
      <c r="S597" s="36">
        <v>18</v>
      </c>
      <c r="T597" s="36">
        <v>0</v>
      </c>
      <c r="U597" s="36">
        <v>0</v>
      </c>
      <c r="V597" s="36">
        <v>0</v>
      </c>
      <c r="W597" s="36">
        <v>0</v>
      </c>
      <c r="X597" s="36">
        <v>0</v>
      </c>
      <c r="Y597" s="36">
        <v>0</v>
      </c>
      <c r="Z597" s="36">
        <v>0</v>
      </c>
      <c r="AA597" s="36">
        <v>0</v>
      </c>
      <c r="AB597" s="36"/>
      <c r="AC597" s="33">
        <v>2</v>
      </c>
      <c r="AD597" s="34">
        <v>8</v>
      </c>
      <c r="AE597" s="34">
        <v>13</v>
      </c>
      <c r="AF597" s="35">
        <v>143</v>
      </c>
      <c r="AG597" s="33">
        <v>147</v>
      </c>
      <c r="AH597" s="34">
        <v>1</v>
      </c>
      <c r="AI597" s="210"/>
      <c r="AJ597" s="51"/>
      <c r="AK597" s="51"/>
      <c r="AL597" s="51"/>
      <c r="AM597" s="51"/>
      <c r="AN597" s="51"/>
      <c r="AO597" s="48"/>
      <c r="AP597" s="210"/>
      <c r="AQ597" s="51"/>
      <c r="AR597" s="48"/>
      <c r="AS597" s="239"/>
    </row>
    <row r="598" spans="1:45" s="229" customFormat="1">
      <c r="A598" s="87" t="s">
        <v>323</v>
      </c>
      <c r="B598" s="384">
        <v>12.705666666666668</v>
      </c>
      <c r="C598" s="229" t="s">
        <v>220</v>
      </c>
      <c r="D598" s="229" t="s">
        <v>423</v>
      </c>
      <c r="F598" s="229">
        <v>429</v>
      </c>
      <c r="G598" s="40">
        <f>F598/305</f>
        <v>1.4065573770491804</v>
      </c>
      <c r="H598" s="14">
        <v>0</v>
      </c>
      <c r="I598" s="229">
        <v>0</v>
      </c>
      <c r="J598" s="229">
        <v>1</v>
      </c>
      <c r="K598" s="26">
        <v>0</v>
      </c>
      <c r="L598" s="14">
        <v>1</v>
      </c>
      <c r="M598" s="229">
        <v>0</v>
      </c>
      <c r="N598" s="229">
        <v>0</v>
      </c>
      <c r="O598" s="229">
        <v>0</v>
      </c>
      <c r="P598" s="26">
        <v>1</v>
      </c>
      <c r="Q598" s="14">
        <v>5</v>
      </c>
      <c r="R598" s="229">
        <v>0</v>
      </c>
      <c r="S598" s="229">
        <v>0</v>
      </c>
      <c r="T598" s="229">
        <v>0</v>
      </c>
      <c r="U598" s="229">
        <v>0</v>
      </c>
      <c r="V598" s="229">
        <v>46</v>
      </c>
      <c r="W598" s="229">
        <v>59</v>
      </c>
      <c r="X598" s="229">
        <v>0</v>
      </c>
      <c r="Y598" s="229">
        <v>0</v>
      </c>
      <c r="Z598" s="229">
        <v>0</v>
      </c>
      <c r="AA598" s="229">
        <v>0</v>
      </c>
      <c r="AC598" s="12">
        <v>1</v>
      </c>
      <c r="AD598" s="14">
        <v>1</v>
      </c>
      <c r="AE598" s="14">
        <v>0</v>
      </c>
      <c r="AF598" s="26">
        <v>0</v>
      </c>
      <c r="AG598" s="12">
        <v>56</v>
      </c>
      <c r="AH598" s="14">
        <v>1</v>
      </c>
      <c r="AI598" s="209"/>
      <c r="AJ598" s="3"/>
      <c r="AK598" s="3"/>
      <c r="AL598" s="3"/>
      <c r="AM598" s="3"/>
      <c r="AN598" s="3"/>
      <c r="AO598" s="40"/>
      <c r="AP598" s="209"/>
      <c r="AQ598" s="3"/>
      <c r="AR598" s="40"/>
      <c r="AS598" s="238"/>
    </row>
    <row r="599" spans="1:45" s="229" customFormat="1">
      <c r="A599" s="42" t="s">
        <v>323</v>
      </c>
      <c r="B599" s="386">
        <v>12.705666666666668</v>
      </c>
      <c r="C599" s="229" t="s">
        <v>220</v>
      </c>
      <c r="D599" s="229" t="s">
        <v>622</v>
      </c>
      <c r="E599" s="229" t="s">
        <v>0</v>
      </c>
      <c r="F599" s="229">
        <v>1222</v>
      </c>
      <c r="G599" s="40">
        <f>F599/475</f>
        <v>2.5726315789473686</v>
      </c>
      <c r="H599" s="14">
        <v>0</v>
      </c>
      <c r="I599" s="229">
        <v>0</v>
      </c>
      <c r="J599" s="229">
        <v>0</v>
      </c>
      <c r="K599" s="26">
        <v>1</v>
      </c>
      <c r="L599" s="14">
        <v>0</v>
      </c>
      <c r="M599" s="229">
        <v>0</v>
      </c>
      <c r="N599" s="229">
        <v>1</v>
      </c>
      <c r="O599" s="229">
        <v>0</v>
      </c>
      <c r="P599" s="26">
        <v>1</v>
      </c>
      <c r="Q599" s="14">
        <v>1</v>
      </c>
      <c r="R599" s="229">
        <v>0</v>
      </c>
      <c r="S599" s="229">
        <v>0</v>
      </c>
      <c r="T599" s="229">
        <v>0</v>
      </c>
      <c r="U599" s="229">
        <v>0</v>
      </c>
      <c r="V599" s="229">
        <v>0</v>
      </c>
      <c r="W599" s="229">
        <v>0</v>
      </c>
      <c r="X599" s="229">
        <v>0</v>
      </c>
      <c r="Y599" s="229">
        <v>0</v>
      </c>
      <c r="Z599" s="229">
        <v>0</v>
      </c>
      <c r="AA599" s="229">
        <v>24</v>
      </c>
      <c r="AC599" s="12">
        <v>2</v>
      </c>
      <c r="AD599" s="14">
        <v>2</v>
      </c>
      <c r="AE599" s="14">
        <v>475</v>
      </c>
      <c r="AF599" s="26">
        <v>810</v>
      </c>
      <c r="AG599" s="12">
        <v>91</v>
      </c>
      <c r="AH599" s="14">
        <v>1</v>
      </c>
      <c r="AI599" s="209"/>
      <c r="AJ599" s="3"/>
      <c r="AK599" s="3"/>
      <c r="AL599" s="3"/>
      <c r="AM599" s="3"/>
      <c r="AN599" s="3"/>
      <c r="AO599" s="40"/>
      <c r="AP599" s="209"/>
      <c r="AQ599" s="3"/>
      <c r="AR599" s="40"/>
      <c r="AS599" s="238"/>
    </row>
    <row r="600" spans="1:45" s="229" customFormat="1">
      <c r="A600" s="42" t="s">
        <v>323</v>
      </c>
      <c r="B600" s="386">
        <v>12.705666666666668</v>
      </c>
      <c r="C600" s="229" t="s">
        <v>220</v>
      </c>
      <c r="D600" s="229" t="s">
        <v>622</v>
      </c>
      <c r="E600" s="229" t="s">
        <v>1</v>
      </c>
      <c r="F600" s="229">
        <v>363</v>
      </c>
      <c r="G600" s="40">
        <f>F600/313</f>
        <v>1.159744408945687</v>
      </c>
      <c r="H600" s="14"/>
      <c r="K600" s="26"/>
      <c r="L600" s="14">
        <v>0</v>
      </c>
      <c r="M600" s="229">
        <v>0</v>
      </c>
      <c r="N600" s="229">
        <v>1</v>
      </c>
      <c r="O600" s="229">
        <v>0</v>
      </c>
      <c r="P600" s="26">
        <v>1</v>
      </c>
      <c r="Q600" s="14">
        <v>0</v>
      </c>
      <c r="R600" s="229">
        <v>0</v>
      </c>
      <c r="S600" s="229">
        <v>0</v>
      </c>
      <c r="T600" s="229">
        <v>0</v>
      </c>
      <c r="U600" s="229">
        <v>0</v>
      </c>
      <c r="V600" s="229">
        <v>0</v>
      </c>
      <c r="W600" s="229">
        <v>0</v>
      </c>
      <c r="X600" s="229">
        <v>0</v>
      </c>
      <c r="Y600" s="229">
        <v>0</v>
      </c>
      <c r="Z600" s="229">
        <v>0</v>
      </c>
      <c r="AA600" s="229">
        <v>0</v>
      </c>
      <c r="AC600" s="12">
        <v>1</v>
      </c>
      <c r="AD600" s="14">
        <v>1</v>
      </c>
      <c r="AE600" s="14">
        <v>0</v>
      </c>
      <c r="AF600" s="26">
        <v>0</v>
      </c>
      <c r="AG600" s="12">
        <v>91</v>
      </c>
      <c r="AH600" s="14">
        <v>0</v>
      </c>
      <c r="AI600" s="209"/>
      <c r="AJ600" s="3"/>
      <c r="AK600" s="3"/>
      <c r="AL600" s="3"/>
      <c r="AM600" s="3"/>
      <c r="AN600" s="3"/>
      <c r="AO600" s="40"/>
      <c r="AP600" s="209"/>
      <c r="AQ600" s="3"/>
      <c r="AR600" s="40"/>
      <c r="AS600" s="238"/>
    </row>
    <row r="601" spans="1:45" s="229" customFormat="1">
      <c r="A601" s="42" t="s">
        <v>323</v>
      </c>
      <c r="B601" s="386">
        <v>12.705666666666668</v>
      </c>
      <c r="C601" s="229" t="s">
        <v>220</v>
      </c>
      <c r="D601" s="229" t="s">
        <v>691</v>
      </c>
      <c r="E601" s="229" t="s">
        <v>0</v>
      </c>
      <c r="F601" s="229">
        <v>593</v>
      </c>
      <c r="G601" s="40">
        <f>F601/271</f>
        <v>2.1881918819188191</v>
      </c>
      <c r="H601" s="14">
        <v>0</v>
      </c>
      <c r="I601" s="229">
        <v>0</v>
      </c>
      <c r="J601" s="229">
        <v>1</v>
      </c>
      <c r="K601" s="26">
        <v>0</v>
      </c>
      <c r="L601" s="14">
        <v>0</v>
      </c>
      <c r="M601" s="229">
        <v>0</v>
      </c>
      <c r="N601" s="229">
        <v>1</v>
      </c>
      <c r="O601" s="229">
        <v>0</v>
      </c>
      <c r="P601" s="26">
        <v>1</v>
      </c>
      <c r="Q601" s="14">
        <v>2</v>
      </c>
      <c r="R601" s="229">
        <v>0</v>
      </c>
      <c r="S601" s="229">
        <v>0</v>
      </c>
      <c r="T601" s="229">
        <v>0</v>
      </c>
      <c r="U601" s="229">
        <v>0</v>
      </c>
      <c r="V601" s="229">
        <v>0</v>
      </c>
      <c r="W601" s="229">
        <v>53</v>
      </c>
      <c r="X601" s="229">
        <v>0</v>
      </c>
      <c r="Y601" s="229">
        <v>0</v>
      </c>
      <c r="Z601" s="229">
        <v>0</v>
      </c>
      <c r="AA601" s="229">
        <v>0</v>
      </c>
      <c r="AC601" s="12">
        <v>1</v>
      </c>
      <c r="AD601" s="14">
        <v>1</v>
      </c>
      <c r="AE601" s="14">
        <v>0</v>
      </c>
      <c r="AF601" s="26">
        <v>0</v>
      </c>
      <c r="AG601" s="12">
        <v>148</v>
      </c>
      <c r="AH601" s="14">
        <v>0</v>
      </c>
      <c r="AI601" s="209"/>
      <c r="AJ601" s="3"/>
      <c r="AK601" s="3"/>
      <c r="AL601" s="3"/>
      <c r="AM601" s="3"/>
      <c r="AN601" s="3"/>
      <c r="AO601" s="40"/>
      <c r="AP601" s="209"/>
      <c r="AQ601" s="3"/>
      <c r="AR601" s="40"/>
      <c r="AS601" s="238"/>
    </row>
    <row r="602" spans="1:45" s="229" customFormat="1">
      <c r="A602" s="42" t="s">
        <v>323</v>
      </c>
      <c r="B602" s="386">
        <v>12.705666666666668</v>
      </c>
      <c r="C602" s="229" t="s">
        <v>220</v>
      </c>
      <c r="D602" s="229" t="s">
        <v>691</v>
      </c>
      <c r="E602" s="229" t="s">
        <v>1</v>
      </c>
      <c r="F602" s="229">
        <v>1235</v>
      </c>
      <c r="G602" s="40">
        <f>F602/487</f>
        <v>2.5359342915811087</v>
      </c>
      <c r="H602" s="14">
        <v>0</v>
      </c>
      <c r="I602" s="229">
        <v>0</v>
      </c>
      <c r="J602" s="229">
        <v>1</v>
      </c>
      <c r="K602" s="26">
        <v>1</v>
      </c>
      <c r="L602" s="14">
        <v>0</v>
      </c>
      <c r="M602" s="229">
        <v>0</v>
      </c>
      <c r="N602" s="229">
        <v>1</v>
      </c>
      <c r="O602" s="229">
        <v>0</v>
      </c>
      <c r="P602" s="26">
        <v>1</v>
      </c>
      <c r="Q602" s="14">
        <v>1</v>
      </c>
      <c r="R602" s="229">
        <v>5</v>
      </c>
      <c r="S602" s="229">
        <v>14</v>
      </c>
      <c r="T602" s="229">
        <v>0</v>
      </c>
      <c r="U602" s="229">
        <v>0</v>
      </c>
      <c r="V602" s="229">
        <v>0</v>
      </c>
      <c r="W602" s="229">
        <v>0</v>
      </c>
      <c r="X602" s="229">
        <v>0</v>
      </c>
      <c r="Y602" s="229">
        <v>0</v>
      </c>
      <c r="Z602" s="229">
        <v>0</v>
      </c>
      <c r="AA602" s="229">
        <v>0</v>
      </c>
      <c r="AC602" s="12">
        <v>2</v>
      </c>
      <c r="AD602" s="14">
        <v>4</v>
      </c>
      <c r="AE602" s="14">
        <v>311</v>
      </c>
      <c r="AF602" s="26">
        <v>659</v>
      </c>
      <c r="AG602" s="12">
        <v>148</v>
      </c>
      <c r="AH602" s="14">
        <v>0</v>
      </c>
      <c r="AI602" s="209">
        <v>87</v>
      </c>
      <c r="AJ602" s="3"/>
      <c r="AK602" s="3"/>
      <c r="AL602" s="3"/>
      <c r="AM602" s="3"/>
      <c r="AN602" s="3"/>
      <c r="AO602" s="40"/>
      <c r="AP602" s="209">
        <v>83</v>
      </c>
      <c r="AQ602" s="3"/>
      <c r="AR602" s="40"/>
      <c r="AS602" s="238"/>
    </row>
    <row r="603" spans="1:45" s="229" customFormat="1">
      <c r="A603" s="42" t="s">
        <v>323</v>
      </c>
      <c r="B603" s="386">
        <v>12.705666666666668</v>
      </c>
      <c r="C603" s="229" t="s">
        <v>220</v>
      </c>
      <c r="D603" s="229" t="s">
        <v>691</v>
      </c>
      <c r="E603" s="229" t="s">
        <v>2</v>
      </c>
      <c r="F603" s="229">
        <v>251</v>
      </c>
      <c r="G603" s="40">
        <f>F603/246</f>
        <v>1.0203252032520325</v>
      </c>
      <c r="H603" s="14">
        <v>0</v>
      </c>
      <c r="I603" s="229">
        <v>0</v>
      </c>
      <c r="J603" s="229">
        <v>0</v>
      </c>
      <c r="K603" s="26">
        <v>1</v>
      </c>
      <c r="L603" s="14">
        <v>0</v>
      </c>
      <c r="M603" s="229">
        <v>0</v>
      </c>
      <c r="N603" s="229">
        <v>1</v>
      </c>
      <c r="O603" s="229">
        <v>0</v>
      </c>
      <c r="P603" s="26">
        <v>1</v>
      </c>
      <c r="Q603" s="14">
        <v>0</v>
      </c>
      <c r="R603" s="229">
        <v>0</v>
      </c>
      <c r="S603" s="229">
        <v>0</v>
      </c>
      <c r="T603" s="229">
        <v>0</v>
      </c>
      <c r="U603" s="229">
        <v>0</v>
      </c>
      <c r="V603" s="229">
        <v>0</v>
      </c>
      <c r="W603" s="229">
        <v>0</v>
      </c>
      <c r="X603" s="229">
        <v>0</v>
      </c>
      <c r="Y603" s="229">
        <v>0</v>
      </c>
      <c r="Z603" s="229">
        <v>0</v>
      </c>
      <c r="AA603" s="229">
        <v>0</v>
      </c>
      <c r="AC603" s="12">
        <v>1</v>
      </c>
      <c r="AD603" s="14">
        <v>1</v>
      </c>
      <c r="AE603" s="14">
        <v>0</v>
      </c>
      <c r="AF603" s="26">
        <v>0</v>
      </c>
      <c r="AG603" s="12">
        <v>148</v>
      </c>
      <c r="AH603" s="14">
        <v>0</v>
      </c>
      <c r="AI603" s="209"/>
      <c r="AJ603" s="3"/>
      <c r="AK603" s="3"/>
      <c r="AL603" s="3"/>
      <c r="AM603" s="3"/>
      <c r="AN603" s="3"/>
      <c r="AO603" s="40"/>
      <c r="AP603" s="209"/>
      <c r="AQ603" s="3"/>
      <c r="AR603" s="40"/>
      <c r="AS603" s="238"/>
    </row>
    <row r="604" spans="1:45" s="229" customFormat="1">
      <c r="A604" s="42" t="s">
        <v>323</v>
      </c>
      <c r="B604" s="386">
        <v>12.705666666666668</v>
      </c>
      <c r="C604" s="229" t="s">
        <v>220</v>
      </c>
      <c r="D604" s="229" t="s">
        <v>691</v>
      </c>
      <c r="E604" s="229" t="s">
        <v>3</v>
      </c>
      <c r="F604" s="229">
        <v>438</v>
      </c>
      <c r="G604" s="40">
        <f>F604/267</f>
        <v>1.6404494382022472</v>
      </c>
      <c r="H604" s="14">
        <v>0</v>
      </c>
      <c r="I604" s="229">
        <v>0</v>
      </c>
      <c r="J604" s="229">
        <v>1</v>
      </c>
      <c r="K604" s="26">
        <v>0</v>
      </c>
      <c r="L604" s="14">
        <v>0</v>
      </c>
      <c r="M604" s="229">
        <v>0</v>
      </c>
      <c r="N604" s="229">
        <v>1</v>
      </c>
      <c r="O604" s="229">
        <v>0</v>
      </c>
      <c r="P604" s="26">
        <v>1</v>
      </c>
      <c r="Q604" s="14">
        <v>2</v>
      </c>
      <c r="R604" s="229">
        <v>0</v>
      </c>
      <c r="S604" s="229">
        <v>0</v>
      </c>
      <c r="T604" s="229">
        <v>0</v>
      </c>
      <c r="U604" s="229">
        <v>0</v>
      </c>
      <c r="V604" s="229">
        <v>36</v>
      </c>
      <c r="W604" s="229">
        <v>163</v>
      </c>
      <c r="X604" s="229">
        <v>0</v>
      </c>
      <c r="Y604" s="229">
        <v>0</v>
      </c>
      <c r="Z604" s="229">
        <v>0</v>
      </c>
      <c r="AA604" s="229">
        <v>0</v>
      </c>
      <c r="AC604" s="12">
        <v>1</v>
      </c>
      <c r="AD604" s="14">
        <v>1</v>
      </c>
      <c r="AE604" s="14">
        <v>0</v>
      </c>
      <c r="AF604" s="26">
        <v>0</v>
      </c>
      <c r="AG604" s="12">
        <v>148</v>
      </c>
      <c r="AH604" s="14">
        <v>0</v>
      </c>
      <c r="AI604" s="209"/>
      <c r="AJ604" s="3"/>
      <c r="AK604" s="3"/>
      <c r="AL604" s="3"/>
      <c r="AM604" s="3"/>
      <c r="AN604" s="3"/>
      <c r="AO604" s="40"/>
      <c r="AP604" s="209"/>
      <c r="AQ604" s="3"/>
      <c r="AR604" s="40"/>
      <c r="AS604" s="238"/>
    </row>
    <row r="605" spans="1:45" s="229" customFormat="1">
      <c r="A605" s="42" t="s">
        <v>323</v>
      </c>
      <c r="B605" s="386">
        <v>12.705666666666668</v>
      </c>
      <c r="C605" s="229" t="s">
        <v>220</v>
      </c>
      <c r="D605" s="229" t="s">
        <v>691</v>
      </c>
      <c r="E605" s="229" t="s">
        <v>4</v>
      </c>
      <c r="F605" s="229">
        <v>358</v>
      </c>
      <c r="G605" s="40">
        <f>F605/334</f>
        <v>1.0718562874251496</v>
      </c>
      <c r="H605" s="14">
        <v>0</v>
      </c>
      <c r="I605" s="229">
        <v>0</v>
      </c>
      <c r="J605" s="229">
        <v>1</v>
      </c>
      <c r="K605" s="26">
        <v>0</v>
      </c>
      <c r="L605" s="14">
        <v>0</v>
      </c>
      <c r="M605" s="229">
        <v>0</v>
      </c>
      <c r="N605" s="229">
        <v>1</v>
      </c>
      <c r="O605" s="229">
        <v>0</v>
      </c>
      <c r="P605" s="26">
        <v>1</v>
      </c>
      <c r="Q605" s="14">
        <v>7</v>
      </c>
      <c r="R605" s="229">
        <v>0</v>
      </c>
      <c r="S605" s="229">
        <v>0</v>
      </c>
      <c r="T605" s="229">
        <v>0</v>
      </c>
      <c r="U605" s="229">
        <v>0</v>
      </c>
      <c r="V605" s="229">
        <v>23</v>
      </c>
      <c r="W605" s="229">
        <v>50</v>
      </c>
      <c r="X605" s="229">
        <v>0</v>
      </c>
      <c r="Y605" s="229">
        <v>0</v>
      </c>
      <c r="Z605" s="229">
        <v>0</v>
      </c>
      <c r="AA605" s="229">
        <v>272</v>
      </c>
      <c r="AC605" s="12">
        <v>1</v>
      </c>
      <c r="AD605" s="14">
        <v>1</v>
      </c>
      <c r="AE605" s="14">
        <v>0</v>
      </c>
      <c r="AF605" s="26">
        <v>0</v>
      </c>
      <c r="AG605" s="12">
        <v>148</v>
      </c>
      <c r="AH605" s="14">
        <v>0</v>
      </c>
      <c r="AI605" s="209"/>
      <c r="AJ605" s="3"/>
      <c r="AK605" s="3"/>
      <c r="AL605" s="3"/>
      <c r="AM605" s="3"/>
      <c r="AN605" s="3"/>
      <c r="AO605" s="40"/>
      <c r="AP605" s="209"/>
      <c r="AQ605" s="3"/>
      <c r="AR605" s="40"/>
      <c r="AS605" s="238"/>
    </row>
    <row r="606" spans="1:45" s="229" customFormat="1">
      <c r="A606" s="42" t="s">
        <v>323</v>
      </c>
      <c r="B606" s="386">
        <v>12.705666666666668</v>
      </c>
      <c r="C606" s="229" t="s">
        <v>220</v>
      </c>
      <c r="D606" s="229" t="s">
        <v>691</v>
      </c>
      <c r="E606" s="229" t="s">
        <v>5</v>
      </c>
      <c r="F606" s="229">
        <v>748</v>
      </c>
      <c r="G606" s="40">
        <f>F606/694</f>
        <v>1.0778097982708934</v>
      </c>
      <c r="H606" s="14">
        <v>0</v>
      </c>
      <c r="I606" s="229">
        <v>0</v>
      </c>
      <c r="J606" s="229">
        <v>1</v>
      </c>
      <c r="K606" s="26">
        <v>0</v>
      </c>
      <c r="L606" s="14">
        <v>0</v>
      </c>
      <c r="M606" s="229">
        <v>0</v>
      </c>
      <c r="N606" s="229">
        <v>1</v>
      </c>
      <c r="O606" s="229">
        <v>0</v>
      </c>
      <c r="P606" s="26">
        <v>1</v>
      </c>
      <c r="Q606" s="14">
        <v>5</v>
      </c>
      <c r="R606" s="229">
        <v>0</v>
      </c>
      <c r="S606" s="229">
        <v>0</v>
      </c>
      <c r="T606" s="229">
        <v>0</v>
      </c>
      <c r="U606" s="229">
        <v>0</v>
      </c>
      <c r="V606" s="229">
        <v>0</v>
      </c>
      <c r="W606" s="229">
        <v>0</v>
      </c>
      <c r="X606" s="229">
        <v>0</v>
      </c>
      <c r="Y606" s="229">
        <v>0</v>
      </c>
      <c r="Z606" s="229">
        <v>0</v>
      </c>
      <c r="AA606" s="229">
        <v>262</v>
      </c>
      <c r="AC606" s="12">
        <v>1</v>
      </c>
      <c r="AD606" s="14">
        <v>1</v>
      </c>
      <c r="AE606" s="14">
        <v>0</v>
      </c>
      <c r="AF606" s="26">
        <v>0</v>
      </c>
      <c r="AG606" s="12">
        <v>148</v>
      </c>
      <c r="AH606" s="14">
        <v>1</v>
      </c>
      <c r="AI606" s="209">
        <v>87</v>
      </c>
      <c r="AJ606" s="3"/>
      <c r="AK606" s="3"/>
      <c r="AL606" s="3"/>
      <c r="AM606" s="3"/>
      <c r="AN606" s="3"/>
      <c r="AO606" s="40"/>
      <c r="AP606" s="209">
        <v>83</v>
      </c>
      <c r="AQ606" s="3"/>
      <c r="AR606" s="40"/>
      <c r="AS606" s="238"/>
    </row>
    <row r="607" spans="1:45" s="229" customFormat="1">
      <c r="A607" s="42" t="s">
        <v>323</v>
      </c>
      <c r="B607" s="386">
        <v>12.705666666666668</v>
      </c>
      <c r="C607" s="229" t="s">
        <v>220</v>
      </c>
      <c r="D607" s="229" t="s">
        <v>620</v>
      </c>
      <c r="F607" s="229">
        <v>177</v>
      </c>
      <c r="G607" s="40">
        <f>F607/159</f>
        <v>1.1132075471698113</v>
      </c>
      <c r="H607" s="14">
        <v>0</v>
      </c>
      <c r="I607" s="229">
        <v>0</v>
      </c>
      <c r="J607" s="229">
        <v>0</v>
      </c>
      <c r="K607" s="26">
        <v>1</v>
      </c>
      <c r="L607" s="14">
        <v>0</v>
      </c>
      <c r="M607" s="229">
        <v>0</v>
      </c>
      <c r="N607" s="229">
        <v>0</v>
      </c>
      <c r="O607" s="229">
        <v>1</v>
      </c>
      <c r="P607" s="26">
        <v>1</v>
      </c>
      <c r="Q607" s="14">
        <v>0</v>
      </c>
      <c r="R607" s="229">
        <v>0</v>
      </c>
      <c r="S607" s="229">
        <v>0</v>
      </c>
      <c r="T607" s="229">
        <v>0</v>
      </c>
      <c r="U607" s="229">
        <v>0</v>
      </c>
      <c r="V607" s="229">
        <v>0</v>
      </c>
      <c r="W607" s="229">
        <v>0</v>
      </c>
      <c r="X607" s="229">
        <v>0</v>
      </c>
      <c r="Y607" s="229">
        <v>0</v>
      </c>
      <c r="Z607" s="229">
        <v>0</v>
      </c>
      <c r="AA607" s="229">
        <v>0</v>
      </c>
      <c r="AC607" s="12">
        <v>1</v>
      </c>
      <c r="AD607" s="14">
        <v>1</v>
      </c>
      <c r="AE607" s="14">
        <v>0</v>
      </c>
      <c r="AF607" s="26">
        <v>0</v>
      </c>
      <c r="AG607" s="12">
        <v>46</v>
      </c>
      <c r="AH607" s="14">
        <v>0</v>
      </c>
      <c r="AI607" s="209"/>
      <c r="AJ607" s="3"/>
      <c r="AK607" s="3"/>
      <c r="AL607" s="3"/>
      <c r="AM607" s="3"/>
      <c r="AN607" s="3"/>
      <c r="AO607" s="40"/>
      <c r="AP607" s="209"/>
      <c r="AQ607" s="3"/>
      <c r="AR607" s="40"/>
      <c r="AS607" s="238"/>
    </row>
    <row r="608" spans="1:45" s="229" customFormat="1">
      <c r="A608" s="42" t="s">
        <v>323</v>
      </c>
      <c r="B608" s="386">
        <v>12.705666666666668</v>
      </c>
      <c r="C608" s="229" t="s">
        <v>220</v>
      </c>
      <c r="D608" s="229" t="s">
        <v>629</v>
      </c>
      <c r="F608" s="229">
        <v>378</v>
      </c>
      <c r="G608" s="40">
        <f>F608/273</f>
        <v>1.3846153846153846</v>
      </c>
      <c r="H608" s="14">
        <v>0</v>
      </c>
      <c r="I608" s="229">
        <v>0</v>
      </c>
      <c r="J608" s="229">
        <v>1</v>
      </c>
      <c r="K608" s="26">
        <v>0</v>
      </c>
      <c r="L608" s="14">
        <v>0</v>
      </c>
      <c r="M608" s="229">
        <v>0</v>
      </c>
      <c r="N608" s="229">
        <v>0</v>
      </c>
      <c r="O608" s="229">
        <v>1</v>
      </c>
      <c r="P608" s="26">
        <v>1</v>
      </c>
      <c r="Q608" s="14">
        <v>10</v>
      </c>
      <c r="R608" s="229">
        <v>0</v>
      </c>
      <c r="S608" s="229">
        <v>0</v>
      </c>
      <c r="T608" s="229">
        <v>0</v>
      </c>
      <c r="U608" s="229">
        <v>0</v>
      </c>
      <c r="V608" s="229">
        <v>63</v>
      </c>
      <c r="W608" s="229">
        <v>73</v>
      </c>
      <c r="X608" s="229">
        <v>0</v>
      </c>
      <c r="Y608" s="229">
        <v>0</v>
      </c>
      <c r="Z608" s="229">
        <v>0</v>
      </c>
      <c r="AA608" s="229">
        <v>0</v>
      </c>
      <c r="AC608" s="12">
        <v>1</v>
      </c>
      <c r="AD608" s="14">
        <v>1</v>
      </c>
      <c r="AE608" s="14">
        <v>0</v>
      </c>
      <c r="AF608" s="26">
        <v>0</v>
      </c>
      <c r="AG608" s="12">
        <v>61</v>
      </c>
      <c r="AH608" s="14">
        <v>0</v>
      </c>
      <c r="AI608" s="209">
        <v>80</v>
      </c>
      <c r="AJ608" s="3"/>
      <c r="AK608" s="3"/>
      <c r="AL608" s="3"/>
      <c r="AM608" s="3"/>
      <c r="AN608" s="3"/>
      <c r="AO608" s="40"/>
      <c r="AP608" s="209">
        <v>83</v>
      </c>
      <c r="AQ608" s="3"/>
      <c r="AR608" s="40"/>
      <c r="AS608" s="238"/>
    </row>
    <row r="609" spans="1:45" s="229" customFormat="1">
      <c r="A609" s="42" t="s">
        <v>323</v>
      </c>
      <c r="B609" s="386">
        <v>12.705666666666668</v>
      </c>
      <c r="C609" s="229" t="s">
        <v>220</v>
      </c>
      <c r="D609" s="229" t="s">
        <v>634</v>
      </c>
      <c r="F609" s="229">
        <v>606</v>
      </c>
      <c r="G609" s="40">
        <f>F609/474</f>
        <v>1.2784810126582278</v>
      </c>
      <c r="H609" s="14">
        <v>0</v>
      </c>
      <c r="I609" s="229">
        <v>0</v>
      </c>
      <c r="J609" s="229">
        <v>1</v>
      </c>
      <c r="K609" s="26">
        <v>0</v>
      </c>
      <c r="L609" s="14">
        <v>1</v>
      </c>
      <c r="M609" s="229">
        <v>0</v>
      </c>
      <c r="N609" s="229">
        <v>0</v>
      </c>
      <c r="O609" s="229">
        <v>0</v>
      </c>
      <c r="P609" s="26">
        <v>1</v>
      </c>
      <c r="Q609" s="14">
        <v>5</v>
      </c>
      <c r="R609" s="229">
        <v>5</v>
      </c>
      <c r="S609" s="229">
        <v>10</v>
      </c>
      <c r="T609" s="229">
        <v>0</v>
      </c>
      <c r="U609" s="229">
        <v>0</v>
      </c>
      <c r="V609" s="229">
        <v>4</v>
      </c>
      <c r="W609" s="229">
        <v>21</v>
      </c>
      <c r="X609" s="229">
        <v>0</v>
      </c>
      <c r="Y609" s="229">
        <v>0</v>
      </c>
      <c r="Z609" s="229">
        <v>16</v>
      </c>
      <c r="AA609" s="229">
        <v>50</v>
      </c>
      <c r="AC609" s="12">
        <v>1</v>
      </c>
      <c r="AD609" s="14">
        <v>1</v>
      </c>
      <c r="AE609" s="14">
        <v>0</v>
      </c>
      <c r="AF609" s="26">
        <v>0</v>
      </c>
      <c r="AG609" s="12">
        <v>84</v>
      </c>
      <c r="AH609" s="14">
        <v>0</v>
      </c>
      <c r="AI609" s="209">
        <v>83</v>
      </c>
      <c r="AJ609" s="3"/>
      <c r="AK609" s="3"/>
      <c r="AL609" s="3"/>
      <c r="AM609" s="3"/>
      <c r="AN609" s="3"/>
      <c r="AO609" s="40"/>
      <c r="AP609" s="209">
        <v>83</v>
      </c>
      <c r="AQ609" s="3"/>
      <c r="AR609" s="40"/>
      <c r="AS609" s="238"/>
    </row>
    <row r="610" spans="1:45" s="229" customFormat="1">
      <c r="A610" s="42" t="s">
        <v>323</v>
      </c>
      <c r="B610" s="386">
        <v>12.705666666666668</v>
      </c>
      <c r="C610" s="229" t="s">
        <v>220</v>
      </c>
      <c r="D610" s="229" t="s">
        <v>625</v>
      </c>
      <c r="F610" s="229">
        <v>362</v>
      </c>
      <c r="G610" s="40">
        <f>F610/256</f>
        <v>1.4140625</v>
      </c>
      <c r="H610" s="14">
        <v>0</v>
      </c>
      <c r="I610" s="229">
        <v>0</v>
      </c>
      <c r="J610" s="229">
        <v>1</v>
      </c>
      <c r="K610" s="26">
        <v>0</v>
      </c>
      <c r="L610" s="14">
        <v>0</v>
      </c>
      <c r="M610" s="229">
        <v>0</v>
      </c>
      <c r="N610" s="229">
        <v>0</v>
      </c>
      <c r="O610" s="229">
        <v>1</v>
      </c>
      <c r="P610" s="26">
        <v>1</v>
      </c>
      <c r="Q610" s="14">
        <v>0</v>
      </c>
      <c r="R610" s="229">
        <v>0</v>
      </c>
      <c r="S610" s="229">
        <v>0</v>
      </c>
      <c r="T610" s="229">
        <v>0</v>
      </c>
      <c r="U610" s="229">
        <v>0</v>
      </c>
      <c r="V610" s="229">
        <v>0</v>
      </c>
      <c r="W610" s="229">
        <v>0</v>
      </c>
      <c r="X610" s="229">
        <v>0</v>
      </c>
      <c r="Y610" s="229">
        <v>0</v>
      </c>
      <c r="Z610" s="229">
        <v>0</v>
      </c>
      <c r="AA610" s="229">
        <v>0</v>
      </c>
      <c r="AC610" s="12">
        <v>1</v>
      </c>
      <c r="AD610" s="14">
        <v>1</v>
      </c>
      <c r="AE610" s="14">
        <v>0</v>
      </c>
      <c r="AF610" s="26">
        <v>0</v>
      </c>
      <c r="AG610" s="12">
        <v>58</v>
      </c>
      <c r="AH610" s="14">
        <v>0</v>
      </c>
      <c r="AI610" s="209">
        <v>80</v>
      </c>
      <c r="AJ610" s="3"/>
      <c r="AK610" s="3"/>
      <c r="AL610" s="3"/>
      <c r="AM610" s="3"/>
      <c r="AN610" s="3"/>
      <c r="AO610" s="40"/>
      <c r="AP610" s="209">
        <v>83</v>
      </c>
      <c r="AQ610" s="3"/>
      <c r="AR610" s="40"/>
      <c r="AS610" s="238"/>
    </row>
    <row r="611" spans="1:45" s="229" customFormat="1">
      <c r="A611" s="42" t="s">
        <v>323</v>
      </c>
      <c r="B611" s="386">
        <v>12.705666666666668</v>
      </c>
      <c r="C611" s="229" t="s">
        <v>220</v>
      </c>
      <c r="D611" s="229" t="s">
        <v>630</v>
      </c>
      <c r="F611" s="229">
        <v>244</v>
      </c>
      <c r="G611" s="40">
        <f>F611/241</f>
        <v>1.0124481327800829</v>
      </c>
      <c r="H611" s="14">
        <v>0</v>
      </c>
      <c r="I611" s="229">
        <v>0</v>
      </c>
      <c r="J611" s="229">
        <v>0</v>
      </c>
      <c r="K611" s="26">
        <v>1</v>
      </c>
      <c r="L611" s="14">
        <v>1</v>
      </c>
      <c r="M611" s="229">
        <v>0</v>
      </c>
      <c r="N611" s="229">
        <v>0</v>
      </c>
      <c r="O611" s="229">
        <v>0</v>
      </c>
      <c r="P611" s="26">
        <v>1</v>
      </c>
      <c r="Q611" s="14">
        <v>5</v>
      </c>
      <c r="R611" s="229">
        <v>0</v>
      </c>
      <c r="S611" s="229">
        <v>0</v>
      </c>
      <c r="T611" s="229">
        <v>0</v>
      </c>
      <c r="U611" s="229">
        <v>0</v>
      </c>
      <c r="V611" s="229">
        <v>30</v>
      </c>
      <c r="W611" s="229">
        <v>46</v>
      </c>
      <c r="X611" s="229">
        <v>0</v>
      </c>
      <c r="Y611" s="229">
        <v>0</v>
      </c>
      <c r="Z611" s="229">
        <v>0</v>
      </c>
      <c r="AA611" s="229">
        <v>0</v>
      </c>
      <c r="AC611" s="12">
        <v>1</v>
      </c>
      <c r="AD611" s="14">
        <v>1</v>
      </c>
      <c r="AE611" s="14">
        <v>0</v>
      </c>
      <c r="AF611" s="26">
        <v>0</v>
      </c>
      <c r="AG611" s="12">
        <v>64</v>
      </c>
      <c r="AH611" s="14">
        <v>0</v>
      </c>
      <c r="AI611" s="209">
        <v>80</v>
      </c>
      <c r="AJ611" s="3"/>
      <c r="AK611" s="3"/>
      <c r="AL611" s="3"/>
      <c r="AM611" s="3"/>
      <c r="AN611" s="3"/>
      <c r="AO611" s="40"/>
      <c r="AP611" s="209">
        <v>83</v>
      </c>
      <c r="AQ611" s="3"/>
      <c r="AR611" s="40"/>
      <c r="AS611" s="238"/>
    </row>
    <row r="612" spans="1:45" s="229" customFormat="1">
      <c r="A612" s="42" t="s">
        <v>323</v>
      </c>
      <c r="B612" s="386">
        <v>12.705666666666668</v>
      </c>
      <c r="C612" s="229" t="s">
        <v>220</v>
      </c>
      <c r="D612" s="229" t="s">
        <v>637</v>
      </c>
      <c r="F612" s="229">
        <v>436</v>
      </c>
      <c r="G612" s="40">
        <f>F612/288</f>
        <v>1.5138888888888888</v>
      </c>
      <c r="H612" s="14">
        <v>0</v>
      </c>
      <c r="I612" s="229">
        <v>0</v>
      </c>
      <c r="J612" s="229">
        <v>1</v>
      </c>
      <c r="K612" s="26">
        <v>0</v>
      </c>
      <c r="L612" s="14">
        <v>1</v>
      </c>
      <c r="M612" s="229">
        <v>0</v>
      </c>
      <c r="N612" s="229">
        <v>0</v>
      </c>
      <c r="O612" s="229">
        <v>0</v>
      </c>
      <c r="P612" s="26">
        <v>1</v>
      </c>
      <c r="Q612" s="14">
        <v>10</v>
      </c>
      <c r="R612" s="229">
        <v>0</v>
      </c>
      <c r="S612" s="229">
        <v>0</v>
      </c>
      <c r="T612" s="229">
        <v>0</v>
      </c>
      <c r="U612" s="229">
        <v>0</v>
      </c>
      <c r="V612" s="229">
        <v>0</v>
      </c>
      <c r="W612" s="229">
        <v>0</v>
      </c>
      <c r="X612" s="229">
        <v>0</v>
      </c>
      <c r="Y612" s="229">
        <v>0</v>
      </c>
      <c r="Z612" s="229">
        <v>66</v>
      </c>
      <c r="AA612" s="229">
        <v>91</v>
      </c>
      <c r="AC612" s="12">
        <v>1</v>
      </c>
      <c r="AD612" s="14">
        <v>1</v>
      </c>
      <c r="AE612" s="14">
        <v>0</v>
      </c>
      <c r="AF612" s="26">
        <v>0</v>
      </c>
      <c r="AG612" s="12">
        <v>59</v>
      </c>
      <c r="AH612" s="14">
        <v>0</v>
      </c>
      <c r="AI612" s="209"/>
      <c r="AJ612" s="3"/>
      <c r="AK612" s="3"/>
      <c r="AL612" s="3"/>
      <c r="AM612" s="3"/>
      <c r="AN612" s="3"/>
      <c r="AO612" s="40"/>
      <c r="AP612" s="209"/>
      <c r="AQ612" s="3"/>
      <c r="AR612" s="40"/>
      <c r="AS612" s="238"/>
    </row>
    <row r="613" spans="1:45" s="229" customFormat="1">
      <c r="A613" s="42" t="s">
        <v>323</v>
      </c>
      <c r="B613" s="386">
        <v>12.705666666666668</v>
      </c>
      <c r="C613" s="229" t="s">
        <v>220</v>
      </c>
      <c r="D613" s="229" t="s">
        <v>638</v>
      </c>
      <c r="F613" s="229">
        <v>313</v>
      </c>
      <c r="G613" s="40">
        <f>F613/306</f>
        <v>1.022875816993464</v>
      </c>
      <c r="H613" s="14">
        <v>0</v>
      </c>
      <c r="I613" s="229">
        <v>0</v>
      </c>
      <c r="J613" s="229">
        <v>1</v>
      </c>
      <c r="K613" s="26">
        <v>0</v>
      </c>
      <c r="L613" s="14">
        <v>0</v>
      </c>
      <c r="M613" s="229">
        <v>1</v>
      </c>
      <c r="N613" s="229">
        <v>0</v>
      </c>
      <c r="O613" s="229">
        <v>0</v>
      </c>
      <c r="P613" s="26">
        <v>1</v>
      </c>
      <c r="Q613" s="14">
        <v>0</v>
      </c>
      <c r="R613" s="229">
        <v>0</v>
      </c>
      <c r="S613" s="229">
        <v>0</v>
      </c>
      <c r="T613" s="229">
        <v>0</v>
      </c>
      <c r="U613" s="229">
        <v>0</v>
      </c>
      <c r="V613" s="229">
        <v>0</v>
      </c>
      <c r="W613" s="229">
        <v>0</v>
      </c>
      <c r="X613" s="229">
        <v>0</v>
      </c>
      <c r="Y613" s="229">
        <v>0</v>
      </c>
      <c r="Z613" s="229">
        <v>0</v>
      </c>
      <c r="AA613" s="229">
        <v>0</v>
      </c>
      <c r="AC613" s="12">
        <v>1</v>
      </c>
      <c r="AD613" s="14">
        <v>1</v>
      </c>
      <c r="AE613" s="14">
        <v>0</v>
      </c>
      <c r="AF613" s="26">
        <v>0</v>
      </c>
      <c r="AG613" s="12">
        <v>79</v>
      </c>
      <c r="AH613" s="14">
        <v>0</v>
      </c>
      <c r="AI613" s="209"/>
      <c r="AJ613" s="3"/>
      <c r="AK613" s="3"/>
      <c r="AL613" s="3"/>
      <c r="AM613" s="3"/>
      <c r="AN613" s="3"/>
      <c r="AO613" s="40"/>
      <c r="AP613" s="209"/>
      <c r="AQ613" s="3"/>
      <c r="AR613" s="40"/>
      <c r="AS613" s="238"/>
    </row>
    <row r="614" spans="1:45" s="229" customFormat="1">
      <c r="A614" s="42" t="s">
        <v>323</v>
      </c>
      <c r="B614" s="386">
        <v>12.705666666666668</v>
      </c>
      <c r="C614" s="229" t="s">
        <v>220</v>
      </c>
      <c r="D614" s="229" t="s">
        <v>639</v>
      </c>
      <c r="F614" s="229">
        <v>539</v>
      </c>
      <c r="G614" s="40">
        <f>F614/244</f>
        <v>2.209016393442623</v>
      </c>
      <c r="H614" s="14">
        <v>0</v>
      </c>
      <c r="I614" s="229">
        <v>0</v>
      </c>
      <c r="J614" s="229">
        <v>1</v>
      </c>
      <c r="K614" s="26">
        <v>0</v>
      </c>
      <c r="L614" s="14">
        <v>0</v>
      </c>
      <c r="M614" s="229">
        <v>0</v>
      </c>
      <c r="N614" s="229">
        <v>1</v>
      </c>
      <c r="O614" s="229">
        <v>0</v>
      </c>
      <c r="P614" s="26">
        <v>1</v>
      </c>
      <c r="Q614" s="14">
        <v>10</v>
      </c>
      <c r="R614" s="229">
        <v>0</v>
      </c>
      <c r="S614" s="229">
        <v>0</v>
      </c>
      <c r="T614" s="229">
        <v>0</v>
      </c>
      <c r="U614" s="229">
        <v>0</v>
      </c>
      <c r="V614" s="229">
        <v>0</v>
      </c>
      <c r="W614" s="229">
        <v>9</v>
      </c>
      <c r="X614" s="229">
        <v>0</v>
      </c>
      <c r="Y614" s="229">
        <v>0</v>
      </c>
      <c r="Z614" s="229">
        <v>0</v>
      </c>
      <c r="AA614" s="229">
        <v>129</v>
      </c>
      <c r="AC614" s="12">
        <v>1</v>
      </c>
      <c r="AD614" s="14">
        <v>1</v>
      </c>
      <c r="AE614" s="14">
        <v>0</v>
      </c>
      <c r="AF614" s="26">
        <v>0</v>
      </c>
      <c r="AG614" s="12">
        <v>105</v>
      </c>
      <c r="AH614" s="14">
        <v>1</v>
      </c>
      <c r="AI614" s="209">
        <v>90</v>
      </c>
      <c r="AJ614" s="3"/>
      <c r="AK614" s="3"/>
      <c r="AL614" s="3"/>
      <c r="AM614" s="3"/>
      <c r="AN614" s="3"/>
      <c r="AO614" s="40"/>
      <c r="AP614" s="209">
        <v>83</v>
      </c>
      <c r="AQ614" s="3"/>
      <c r="AR614" s="40"/>
      <c r="AS614" s="238"/>
    </row>
    <row r="615" spans="1:45" s="229" customFormat="1">
      <c r="A615" s="42" t="s">
        <v>323</v>
      </c>
      <c r="B615" s="386">
        <v>12.705666666666668</v>
      </c>
      <c r="C615" s="229" t="s">
        <v>220</v>
      </c>
      <c r="D615" s="229" t="s">
        <v>640</v>
      </c>
      <c r="F615" s="229">
        <v>1064</v>
      </c>
      <c r="G615" s="40">
        <f>F615/448</f>
        <v>2.375</v>
      </c>
      <c r="H615" s="14">
        <v>0</v>
      </c>
      <c r="I615" s="229">
        <v>0</v>
      </c>
      <c r="J615" s="229">
        <v>1</v>
      </c>
      <c r="K615" s="26">
        <v>0</v>
      </c>
      <c r="L615" s="14">
        <v>1</v>
      </c>
      <c r="M615" s="229">
        <v>0</v>
      </c>
      <c r="N615" s="229">
        <v>0</v>
      </c>
      <c r="O615" s="229">
        <v>0</v>
      </c>
      <c r="P615" s="26">
        <v>1</v>
      </c>
      <c r="Q615" s="14">
        <v>10</v>
      </c>
      <c r="R615" s="229">
        <v>5</v>
      </c>
      <c r="S615" s="229">
        <v>6</v>
      </c>
      <c r="T615" s="229">
        <v>0</v>
      </c>
      <c r="U615" s="229">
        <v>0</v>
      </c>
      <c r="V615" s="229">
        <v>11</v>
      </c>
      <c r="W615" s="229">
        <v>27</v>
      </c>
      <c r="X615" s="229">
        <v>0</v>
      </c>
      <c r="Y615" s="229">
        <v>0</v>
      </c>
      <c r="Z615" s="229">
        <v>18</v>
      </c>
      <c r="AA615" s="229">
        <v>142</v>
      </c>
      <c r="AC615" s="12">
        <v>1</v>
      </c>
      <c r="AD615" s="14">
        <v>1</v>
      </c>
      <c r="AE615" s="14">
        <v>0</v>
      </c>
      <c r="AF615" s="26">
        <v>0</v>
      </c>
      <c r="AG615" s="12">
        <v>108</v>
      </c>
      <c r="AH615" s="14">
        <v>0</v>
      </c>
      <c r="AI615" s="209">
        <v>83</v>
      </c>
      <c r="AJ615" s="3"/>
      <c r="AK615" s="3"/>
      <c r="AL615" s="3"/>
      <c r="AM615" s="3"/>
      <c r="AN615" s="3"/>
      <c r="AO615" s="40"/>
      <c r="AP615" s="209">
        <v>83</v>
      </c>
      <c r="AQ615" s="3"/>
      <c r="AR615" s="40"/>
      <c r="AS615" s="238"/>
    </row>
    <row r="616" spans="1:45" s="229" customFormat="1">
      <c r="A616" s="42" t="s">
        <v>323</v>
      </c>
      <c r="B616" s="386">
        <v>12.705666666666668</v>
      </c>
      <c r="C616" s="229" t="s">
        <v>220</v>
      </c>
      <c r="D616" s="229" t="s">
        <v>641</v>
      </c>
      <c r="F616" s="229">
        <v>191</v>
      </c>
      <c r="G616" s="40">
        <f>F616/188</f>
        <v>1.0159574468085106</v>
      </c>
      <c r="H616" s="14">
        <v>0</v>
      </c>
      <c r="I616" s="229">
        <v>0</v>
      </c>
      <c r="J616" s="229">
        <v>1</v>
      </c>
      <c r="K616" s="26">
        <v>0</v>
      </c>
      <c r="L616" s="14">
        <v>0</v>
      </c>
      <c r="M616" s="229">
        <v>0</v>
      </c>
      <c r="N616" s="229">
        <v>0</v>
      </c>
      <c r="O616" s="229">
        <v>1</v>
      </c>
      <c r="P616" s="26">
        <v>1</v>
      </c>
      <c r="Q616" s="14">
        <v>15</v>
      </c>
      <c r="R616" s="229">
        <v>0</v>
      </c>
      <c r="S616" s="229">
        <v>0</v>
      </c>
      <c r="T616" s="229">
        <v>0</v>
      </c>
      <c r="U616" s="229">
        <v>0</v>
      </c>
      <c r="V616" s="229">
        <v>0</v>
      </c>
      <c r="W616" s="229">
        <v>0</v>
      </c>
      <c r="X616" s="229">
        <v>0</v>
      </c>
      <c r="Y616" s="229">
        <v>0</v>
      </c>
      <c r="Z616" s="229">
        <v>75</v>
      </c>
      <c r="AA616" s="229">
        <v>84</v>
      </c>
      <c r="AC616" s="12">
        <v>1</v>
      </c>
      <c r="AD616" s="14">
        <v>1</v>
      </c>
      <c r="AE616" s="14">
        <v>0</v>
      </c>
      <c r="AF616" s="26">
        <v>0</v>
      </c>
      <c r="AG616" s="12">
        <v>47</v>
      </c>
      <c r="AH616" s="14">
        <v>0</v>
      </c>
      <c r="AI616" s="209"/>
      <c r="AJ616" s="3"/>
      <c r="AK616" s="3"/>
      <c r="AL616" s="3"/>
      <c r="AM616" s="3"/>
      <c r="AN616" s="3"/>
      <c r="AO616" s="40"/>
      <c r="AP616" s="209"/>
      <c r="AQ616" s="3"/>
      <c r="AR616" s="40"/>
      <c r="AS616" s="238"/>
    </row>
    <row r="617" spans="1:45" s="229" customFormat="1" ht="17" thickBot="1">
      <c r="A617" s="55" t="s">
        <v>323</v>
      </c>
      <c r="B617" s="385">
        <v>12.705666666666668</v>
      </c>
      <c r="C617" s="229" t="s">
        <v>220</v>
      </c>
      <c r="D617" s="229" t="s">
        <v>647</v>
      </c>
      <c r="F617" s="229">
        <v>691</v>
      </c>
      <c r="G617" s="40">
        <f>F617/238</f>
        <v>2.903361344537815</v>
      </c>
      <c r="H617" s="14">
        <v>0</v>
      </c>
      <c r="I617" s="229">
        <v>0</v>
      </c>
      <c r="J617" s="229">
        <v>1</v>
      </c>
      <c r="K617" s="26">
        <v>0</v>
      </c>
      <c r="L617" s="14">
        <v>1</v>
      </c>
      <c r="M617" s="229">
        <v>0</v>
      </c>
      <c r="N617" s="229">
        <v>0</v>
      </c>
      <c r="O617" s="229">
        <v>0</v>
      </c>
      <c r="P617" s="26">
        <v>1</v>
      </c>
      <c r="Q617" s="14">
        <v>3</v>
      </c>
      <c r="R617" s="229">
        <v>0</v>
      </c>
      <c r="S617" s="229">
        <v>0</v>
      </c>
      <c r="T617" s="229">
        <v>0</v>
      </c>
      <c r="U617" s="229">
        <v>0</v>
      </c>
      <c r="V617" s="229">
        <v>4</v>
      </c>
      <c r="W617" s="229">
        <v>25</v>
      </c>
      <c r="X617" s="229">
        <v>0</v>
      </c>
      <c r="Y617" s="229">
        <v>0</v>
      </c>
      <c r="Z617" s="229">
        <v>12</v>
      </c>
      <c r="AA617" s="229">
        <v>58</v>
      </c>
      <c r="AC617" s="12">
        <v>1</v>
      </c>
      <c r="AD617" s="14">
        <v>1</v>
      </c>
      <c r="AE617" s="14">
        <v>0</v>
      </c>
      <c r="AF617" s="26">
        <v>0</v>
      </c>
      <c r="AG617" s="12">
        <v>95</v>
      </c>
      <c r="AH617" s="14">
        <v>0</v>
      </c>
      <c r="AI617" s="209"/>
      <c r="AJ617" s="3"/>
      <c r="AK617" s="3"/>
      <c r="AL617" s="3"/>
      <c r="AM617" s="3"/>
      <c r="AN617" s="3"/>
      <c r="AO617" s="40"/>
      <c r="AP617" s="209"/>
      <c r="AQ617" s="3"/>
      <c r="AR617" s="40"/>
      <c r="AS617" s="238"/>
    </row>
    <row r="618" spans="1:45" s="229" customFormat="1">
      <c r="A618" s="87" t="s">
        <v>323</v>
      </c>
      <c r="B618" s="384">
        <v>12.705666666666668</v>
      </c>
      <c r="C618" s="8" t="s">
        <v>692</v>
      </c>
      <c r="D618" s="8" t="s">
        <v>423</v>
      </c>
      <c r="E618" s="8"/>
      <c r="F618" s="8">
        <v>1325</v>
      </c>
      <c r="G618" s="10">
        <f>F618/804</f>
        <v>1.6480099502487562</v>
      </c>
      <c r="H618" s="11">
        <v>1</v>
      </c>
      <c r="I618" s="8">
        <v>0</v>
      </c>
      <c r="J618" s="8">
        <v>0</v>
      </c>
      <c r="K618" s="41">
        <v>1</v>
      </c>
      <c r="L618" s="11">
        <v>0</v>
      </c>
      <c r="M618" s="8">
        <v>0</v>
      </c>
      <c r="N618" s="8">
        <v>1</v>
      </c>
      <c r="O618" s="8">
        <v>0</v>
      </c>
      <c r="P618" s="41">
        <v>1</v>
      </c>
      <c r="Q618" s="11">
        <v>3</v>
      </c>
      <c r="R618" s="8">
        <v>17</v>
      </c>
      <c r="S618" s="8">
        <v>27</v>
      </c>
      <c r="T618" s="8">
        <v>0</v>
      </c>
      <c r="U618" s="8">
        <v>0</v>
      </c>
      <c r="V618" s="8">
        <v>71</v>
      </c>
      <c r="W618" s="8">
        <v>85</v>
      </c>
      <c r="X618" s="8">
        <v>0</v>
      </c>
      <c r="Y618" s="8">
        <v>0</v>
      </c>
      <c r="Z618" s="8">
        <v>0</v>
      </c>
      <c r="AA618" s="8">
        <v>0</v>
      </c>
      <c r="AB618" s="8"/>
      <c r="AC618" s="9">
        <v>2</v>
      </c>
      <c r="AD618" s="11">
        <v>7</v>
      </c>
      <c r="AE618" s="11">
        <v>82</v>
      </c>
      <c r="AF618" s="41">
        <v>660</v>
      </c>
      <c r="AG618" s="9">
        <v>109</v>
      </c>
      <c r="AH618" s="11">
        <v>0</v>
      </c>
      <c r="AI618" s="208"/>
      <c r="AJ618" s="54"/>
      <c r="AK618" s="54"/>
      <c r="AL618" s="54"/>
      <c r="AM618" s="54"/>
      <c r="AN618" s="54"/>
      <c r="AO618" s="10"/>
      <c r="AP618" s="208"/>
      <c r="AQ618" s="54"/>
      <c r="AR618" s="10"/>
      <c r="AS618" s="237"/>
    </row>
    <row r="619" spans="1:45" s="229" customFormat="1">
      <c r="A619" s="42" t="s">
        <v>323</v>
      </c>
      <c r="B619" s="386">
        <v>12.705666666666668</v>
      </c>
      <c r="C619" s="229" t="s">
        <v>692</v>
      </c>
      <c r="D619" s="229" t="s">
        <v>622</v>
      </c>
      <c r="F619" s="229">
        <v>596</v>
      </c>
      <c r="G619" s="40">
        <f>F619/350</f>
        <v>1.7028571428571428</v>
      </c>
      <c r="H619" s="14">
        <v>0</v>
      </c>
      <c r="I619" s="229">
        <v>0</v>
      </c>
      <c r="J619" s="229">
        <v>0</v>
      </c>
      <c r="K619" s="26">
        <v>1</v>
      </c>
      <c r="L619" s="14">
        <v>0</v>
      </c>
      <c r="M619" s="229">
        <v>0</v>
      </c>
      <c r="N619" s="229">
        <v>1</v>
      </c>
      <c r="O619" s="229">
        <v>0</v>
      </c>
      <c r="P619" s="26">
        <v>1</v>
      </c>
      <c r="Q619" s="14">
        <v>1</v>
      </c>
      <c r="R619" s="229">
        <v>0</v>
      </c>
      <c r="S619" s="229">
        <v>0</v>
      </c>
      <c r="T619" s="229">
        <v>0</v>
      </c>
      <c r="U619" s="229">
        <v>0</v>
      </c>
      <c r="V619" s="229">
        <v>0</v>
      </c>
      <c r="W619" s="229">
        <v>39</v>
      </c>
      <c r="X619" s="229">
        <v>0</v>
      </c>
      <c r="Y619" s="229">
        <v>0</v>
      </c>
      <c r="Z619" s="229">
        <v>0</v>
      </c>
      <c r="AA619" s="229">
        <v>0</v>
      </c>
      <c r="AC619" s="12">
        <v>2</v>
      </c>
      <c r="AD619" s="14">
        <v>8</v>
      </c>
      <c r="AE619" s="14">
        <v>37</v>
      </c>
      <c r="AF619" s="26">
        <v>442</v>
      </c>
      <c r="AG619" s="12">
        <v>60</v>
      </c>
      <c r="AH619" s="14">
        <v>1</v>
      </c>
      <c r="AI619" s="209"/>
      <c r="AJ619" s="3"/>
      <c r="AK619" s="3"/>
      <c r="AL619" s="3"/>
      <c r="AM619" s="3"/>
      <c r="AN619" s="3"/>
      <c r="AO619" s="40"/>
      <c r="AP619" s="209"/>
      <c r="AQ619" s="3"/>
      <c r="AR619" s="40"/>
      <c r="AS619" s="238"/>
    </row>
    <row r="620" spans="1:45" s="229" customFormat="1">
      <c r="A620" s="42" t="s">
        <v>323</v>
      </c>
      <c r="B620" s="386">
        <v>12.705666666666668</v>
      </c>
      <c r="C620" s="229" t="s">
        <v>692</v>
      </c>
      <c r="D620" s="229" t="s">
        <v>620</v>
      </c>
      <c r="E620" s="229" t="s">
        <v>0</v>
      </c>
      <c r="F620" s="229">
        <v>190</v>
      </c>
      <c r="G620" s="40">
        <f>F620/167</f>
        <v>1.1377245508982037</v>
      </c>
      <c r="H620" s="14">
        <v>0</v>
      </c>
      <c r="I620" s="229">
        <v>0</v>
      </c>
      <c r="J620" s="229">
        <v>1</v>
      </c>
      <c r="K620" s="26">
        <v>1</v>
      </c>
      <c r="L620" s="14">
        <v>0</v>
      </c>
      <c r="M620" s="229">
        <v>0</v>
      </c>
      <c r="N620" s="229">
        <v>0</v>
      </c>
      <c r="O620" s="229">
        <v>0</v>
      </c>
      <c r="P620" s="26">
        <v>0</v>
      </c>
      <c r="Q620" s="14">
        <v>5</v>
      </c>
      <c r="R620" s="229">
        <v>0</v>
      </c>
      <c r="S620" s="229">
        <v>36</v>
      </c>
      <c r="T620" s="229">
        <v>0</v>
      </c>
      <c r="U620" s="229">
        <v>0</v>
      </c>
      <c r="V620" s="229">
        <v>0</v>
      </c>
      <c r="W620" s="229">
        <v>0</v>
      </c>
      <c r="X620" s="229">
        <v>0</v>
      </c>
      <c r="Y620" s="229">
        <v>0</v>
      </c>
      <c r="Z620" s="229">
        <v>0</v>
      </c>
      <c r="AA620" s="229">
        <v>0</v>
      </c>
      <c r="AC620" s="12">
        <v>2</v>
      </c>
      <c r="AD620" s="14">
        <v>3</v>
      </c>
      <c r="AE620" s="14">
        <v>60</v>
      </c>
      <c r="AF620" s="26">
        <v>175</v>
      </c>
      <c r="AG620" s="12">
        <v>95</v>
      </c>
      <c r="AH620" s="14">
        <v>1</v>
      </c>
      <c r="AI620" s="209"/>
      <c r="AJ620" s="3"/>
      <c r="AK620" s="3"/>
      <c r="AL620" s="3"/>
      <c r="AM620" s="3"/>
      <c r="AN620" s="3"/>
      <c r="AO620" s="40"/>
      <c r="AP620" s="209"/>
      <c r="AQ620" s="3"/>
      <c r="AR620" s="40"/>
      <c r="AS620" s="238"/>
    </row>
    <row r="621" spans="1:45" s="229" customFormat="1">
      <c r="A621" s="42" t="s">
        <v>323</v>
      </c>
      <c r="B621" s="386">
        <v>12.705666666666668</v>
      </c>
      <c r="C621" s="229" t="s">
        <v>692</v>
      </c>
      <c r="D621" s="229" t="s">
        <v>620</v>
      </c>
      <c r="E621" s="229" t="s">
        <v>1</v>
      </c>
      <c r="F621" s="229">
        <v>501</v>
      </c>
      <c r="G621" s="40">
        <f>F621/396</f>
        <v>1.2651515151515151</v>
      </c>
      <c r="H621" s="14">
        <v>0</v>
      </c>
      <c r="I621" s="229">
        <v>0</v>
      </c>
      <c r="J621" s="229">
        <v>1</v>
      </c>
      <c r="K621" s="26">
        <v>1</v>
      </c>
      <c r="L621" s="14">
        <v>0</v>
      </c>
      <c r="M621" s="229">
        <v>0</v>
      </c>
      <c r="N621" s="229">
        <v>1</v>
      </c>
      <c r="O621" s="229">
        <v>0</v>
      </c>
      <c r="P621" s="26">
        <v>1</v>
      </c>
      <c r="Q621" s="14">
        <v>5</v>
      </c>
      <c r="R621" s="229">
        <v>23</v>
      </c>
      <c r="S621" s="229">
        <v>33</v>
      </c>
      <c r="T621" s="229">
        <v>0</v>
      </c>
      <c r="U621" s="229">
        <v>0</v>
      </c>
      <c r="V621" s="229">
        <v>0</v>
      </c>
      <c r="W621" s="229">
        <v>0</v>
      </c>
      <c r="X621" s="229">
        <v>0</v>
      </c>
      <c r="Y621" s="229">
        <v>0</v>
      </c>
      <c r="Z621" s="229">
        <v>0</v>
      </c>
      <c r="AA621" s="229">
        <v>0</v>
      </c>
      <c r="AC621" s="12">
        <v>2</v>
      </c>
      <c r="AD621" s="14">
        <v>3</v>
      </c>
      <c r="AE621" s="14">
        <v>72</v>
      </c>
      <c r="AF621" s="26">
        <v>472</v>
      </c>
      <c r="AG621" s="12">
        <v>95</v>
      </c>
      <c r="AH621" s="14">
        <v>0</v>
      </c>
      <c r="AI621" s="209"/>
      <c r="AJ621" s="3"/>
      <c r="AK621" s="3"/>
      <c r="AL621" s="3"/>
      <c r="AM621" s="3"/>
      <c r="AN621" s="3"/>
      <c r="AO621" s="40"/>
      <c r="AP621" s="209"/>
      <c r="AQ621" s="3"/>
      <c r="AR621" s="40"/>
      <c r="AS621" s="238"/>
    </row>
    <row r="622" spans="1:45" s="229" customFormat="1">
      <c r="A622" s="42" t="s">
        <v>323</v>
      </c>
      <c r="B622" s="386">
        <v>12.705666666666668</v>
      </c>
      <c r="C622" s="229" t="s">
        <v>692</v>
      </c>
      <c r="D622" s="229" t="s">
        <v>620</v>
      </c>
      <c r="E622" s="229" t="s">
        <v>2</v>
      </c>
      <c r="F622" s="229">
        <v>242</v>
      </c>
      <c r="G622" s="40">
        <f>F622/129</f>
        <v>1.875968992248062</v>
      </c>
      <c r="H622" s="14">
        <v>0</v>
      </c>
      <c r="I622" s="229">
        <v>0</v>
      </c>
      <c r="J622" s="229">
        <v>0</v>
      </c>
      <c r="K622" s="26">
        <v>1</v>
      </c>
      <c r="L622" s="14">
        <v>0</v>
      </c>
      <c r="M622" s="229">
        <v>0</v>
      </c>
      <c r="N622" s="229">
        <v>0</v>
      </c>
      <c r="O622" s="229">
        <v>0</v>
      </c>
      <c r="P622" s="26">
        <v>0</v>
      </c>
      <c r="Q622" s="14">
        <v>0</v>
      </c>
      <c r="R622" s="229">
        <v>0</v>
      </c>
      <c r="S622" s="229">
        <v>0</v>
      </c>
      <c r="T622" s="229">
        <v>0</v>
      </c>
      <c r="U622" s="229">
        <v>0</v>
      </c>
      <c r="V622" s="229">
        <v>0</v>
      </c>
      <c r="W622" s="229">
        <v>0</v>
      </c>
      <c r="X622" s="229">
        <v>0</v>
      </c>
      <c r="Y622" s="229">
        <v>0</v>
      </c>
      <c r="Z622" s="229">
        <v>0</v>
      </c>
      <c r="AA622" s="229">
        <v>0</v>
      </c>
      <c r="AC622" s="12">
        <v>2</v>
      </c>
      <c r="AD622" s="14">
        <v>4</v>
      </c>
      <c r="AE622" s="14">
        <v>32</v>
      </c>
      <c r="AF622" s="26">
        <v>110</v>
      </c>
      <c r="AG622" s="12">
        <v>95</v>
      </c>
      <c r="AH622" s="14">
        <v>0</v>
      </c>
      <c r="AI622" s="209"/>
      <c r="AJ622" s="3"/>
      <c r="AK622" s="3"/>
      <c r="AL622" s="3"/>
      <c r="AM622" s="3"/>
      <c r="AN622" s="3"/>
      <c r="AO622" s="40"/>
      <c r="AP622" s="209"/>
      <c r="AQ622" s="3"/>
      <c r="AR622" s="40"/>
      <c r="AS622" s="238"/>
    </row>
    <row r="623" spans="1:45" s="229" customFormat="1">
      <c r="A623" s="42" t="s">
        <v>323</v>
      </c>
      <c r="B623" s="386">
        <v>12.705666666666668</v>
      </c>
      <c r="C623" s="229" t="s">
        <v>692</v>
      </c>
      <c r="D623" s="229" t="s">
        <v>629</v>
      </c>
      <c r="E623" s="229" t="s">
        <v>0</v>
      </c>
      <c r="F623" s="229">
        <v>142</v>
      </c>
      <c r="G623" s="40">
        <f>F623/66</f>
        <v>2.1515151515151514</v>
      </c>
      <c r="H623" s="14">
        <v>0</v>
      </c>
      <c r="I623" s="229">
        <v>0</v>
      </c>
      <c r="J623" s="229">
        <v>1</v>
      </c>
      <c r="K623" s="26">
        <v>0</v>
      </c>
      <c r="L623" s="14">
        <v>0</v>
      </c>
      <c r="M623" s="229">
        <v>0</v>
      </c>
      <c r="N623" s="229">
        <v>0</v>
      </c>
      <c r="O623" s="229">
        <v>0</v>
      </c>
      <c r="P623" s="26">
        <v>0</v>
      </c>
      <c r="Q623" s="14">
        <v>1</v>
      </c>
      <c r="R623" s="229">
        <v>0</v>
      </c>
      <c r="S623" s="229">
        <v>0</v>
      </c>
      <c r="T623" s="229">
        <v>0</v>
      </c>
      <c r="U623" s="229">
        <v>0</v>
      </c>
      <c r="V623" s="229">
        <v>0</v>
      </c>
      <c r="W623" s="229">
        <v>0</v>
      </c>
      <c r="X623" s="229">
        <v>0</v>
      </c>
      <c r="Y623" s="229">
        <v>9</v>
      </c>
      <c r="Z623" s="229">
        <v>0</v>
      </c>
      <c r="AA623" s="229">
        <v>0</v>
      </c>
      <c r="AC623" s="12">
        <v>1</v>
      </c>
      <c r="AD623" s="14">
        <v>1</v>
      </c>
      <c r="AE623" s="14">
        <v>0</v>
      </c>
      <c r="AF623" s="26">
        <v>0</v>
      </c>
      <c r="AG623" s="12">
        <v>87</v>
      </c>
      <c r="AH623" s="14">
        <v>1</v>
      </c>
      <c r="AI623" s="209"/>
      <c r="AJ623" s="3"/>
      <c r="AK623" s="3"/>
      <c r="AL623" s="3"/>
      <c r="AM623" s="3"/>
      <c r="AN623" s="3"/>
      <c r="AO623" s="40"/>
      <c r="AP623" s="209"/>
      <c r="AQ623" s="3"/>
      <c r="AR623" s="40"/>
      <c r="AS623" s="238"/>
    </row>
    <row r="624" spans="1:45" s="229" customFormat="1">
      <c r="A624" s="42" t="s">
        <v>323</v>
      </c>
      <c r="B624" s="386">
        <v>12.705666666666668</v>
      </c>
      <c r="C624" s="229" t="s">
        <v>692</v>
      </c>
      <c r="D624" s="229" t="s">
        <v>629</v>
      </c>
      <c r="E624" s="229" t="s">
        <v>1</v>
      </c>
      <c r="F624" s="229">
        <v>173</v>
      </c>
      <c r="G624" s="40">
        <f>F624/104</f>
        <v>1.6634615384615385</v>
      </c>
      <c r="H624" s="14">
        <v>0</v>
      </c>
      <c r="I624" s="229">
        <v>0</v>
      </c>
      <c r="J624" s="229">
        <v>0</v>
      </c>
      <c r="K624" s="26">
        <v>1</v>
      </c>
      <c r="L624" s="14">
        <v>0</v>
      </c>
      <c r="M624" s="229">
        <v>0</v>
      </c>
      <c r="N624" s="229">
        <v>0</v>
      </c>
      <c r="O624" s="229">
        <v>0</v>
      </c>
      <c r="P624" s="26">
        <v>0</v>
      </c>
      <c r="Q624" s="14">
        <v>5</v>
      </c>
      <c r="R624" s="229">
        <v>0</v>
      </c>
      <c r="S624" s="229">
        <v>0</v>
      </c>
      <c r="T624" s="229">
        <v>0</v>
      </c>
      <c r="U624" s="229">
        <v>0</v>
      </c>
      <c r="V624" s="229">
        <v>0</v>
      </c>
      <c r="W624" s="229">
        <v>26</v>
      </c>
      <c r="X624" s="229">
        <v>0</v>
      </c>
      <c r="Y624" s="229">
        <v>0</v>
      </c>
      <c r="Z624" s="229">
        <v>0</v>
      </c>
      <c r="AA624" s="229">
        <v>0</v>
      </c>
      <c r="AC624" s="12">
        <v>2</v>
      </c>
      <c r="AD624" s="14">
        <v>2</v>
      </c>
      <c r="AE624" s="14">
        <v>109</v>
      </c>
      <c r="AF624" s="26">
        <v>110</v>
      </c>
      <c r="AG624" s="12">
        <v>87</v>
      </c>
      <c r="AH624" s="14">
        <v>0</v>
      </c>
      <c r="AI624" s="209"/>
      <c r="AJ624" s="3"/>
      <c r="AK624" s="3"/>
      <c r="AL624" s="3"/>
      <c r="AM624" s="3"/>
      <c r="AN624" s="3"/>
      <c r="AO624" s="40"/>
      <c r="AP624" s="209"/>
      <c r="AQ624" s="3"/>
      <c r="AR624" s="40"/>
      <c r="AS624" s="238"/>
    </row>
    <row r="625" spans="1:45" s="229" customFormat="1">
      <c r="A625" s="42" t="s">
        <v>323</v>
      </c>
      <c r="B625" s="386">
        <v>12.705666666666668</v>
      </c>
      <c r="C625" s="229" t="s">
        <v>692</v>
      </c>
      <c r="D625" s="229" t="s">
        <v>629</v>
      </c>
      <c r="E625" s="229" t="s">
        <v>2</v>
      </c>
      <c r="F625" s="229">
        <v>290</v>
      </c>
      <c r="G625" s="40">
        <f>F625/240</f>
        <v>1.2083333333333333</v>
      </c>
      <c r="H625" s="14">
        <v>1</v>
      </c>
      <c r="I625" s="229">
        <v>1</v>
      </c>
      <c r="J625" s="229">
        <v>0</v>
      </c>
      <c r="K625" s="26">
        <v>0</v>
      </c>
      <c r="L625" s="14">
        <v>0</v>
      </c>
      <c r="M625" s="229">
        <v>0</v>
      </c>
      <c r="N625" s="229">
        <v>1</v>
      </c>
      <c r="O625" s="229">
        <v>0</v>
      </c>
      <c r="P625" s="26">
        <v>1</v>
      </c>
      <c r="Q625" s="14">
        <v>2</v>
      </c>
      <c r="R625" s="229">
        <v>0</v>
      </c>
      <c r="S625" s="229">
        <v>2</v>
      </c>
      <c r="T625" s="229">
        <v>0</v>
      </c>
      <c r="U625" s="229">
        <v>0</v>
      </c>
      <c r="V625" s="229">
        <v>11</v>
      </c>
      <c r="W625" s="229">
        <v>48</v>
      </c>
      <c r="X625" s="229">
        <v>0</v>
      </c>
      <c r="Y625" s="229">
        <v>0</v>
      </c>
      <c r="Z625" s="229">
        <v>0</v>
      </c>
      <c r="AA625" s="229">
        <v>0</v>
      </c>
      <c r="AC625" s="12">
        <v>2</v>
      </c>
      <c r="AD625" s="14">
        <v>2</v>
      </c>
      <c r="AE625" s="14">
        <v>30</v>
      </c>
      <c r="AF625" s="26">
        <v>269</v>
      </c>
      <c r="AG625" s="12">
        <v>87</v>
      </c>
      <c r="AH625" s="14">
        <v>0</v>
      </c>
      <c r="AI625" s="209"/>
      <c r="AJ625" s="3"/>
      <c r="AK625" s="3"/>
      <c r="AL625" s="3"/>
      <c r="AM625" s="3"/>
      <c r="AN625" s="3"/>
      <c r="AO625" s="40"/>
      <c r="AP625" s="209"/>
      <c r="AQ625" s="3"/>
      <c r="AR625" s="40"/>
      <c r="AS625" s="238"/>
    </row>
    <row r="626" spans="1:45" s="229" customFormat="1">
      <c r="A626" s="42" t="s">
        <v>323</v>
      </c>
      <c r="B626" s="386">
        <v>12.705666666666668</v>
      </c>
      <c r="C626" s="229" t="s">
        <v>692</v>
      </c>
      <c r="D626" s="229" t="s">
        <v>634</v>
      </c>
      <c r="F626" s="229">
        <v>558</v>
      </c>
      <c r="G626" s="40">
        <f>F626/174</f>
        <v>3.2068965517241379</v>
      </c>
      <c r="H626" s="14">
        <v>0</v>
      </c>
      <c r="I626" s="229">
        <v>0</v>
      </c>
      <c r="J626" s="229">
        <v>0</v>
      </c>
      <c r="K626" s="26">
        <v>1</v>
      </c>
      <c r="L626" s="14">
        <v>0</v>
      </c>
      <c r="M626" s="229">
        <v>0</v>
      </c>
      <c r="N626" s="229">
        <v>0</v>
      </c>
      <c r="O626" s="229">
        <v>1</v>
      </c>
      <c r="P626" s="26">
        <v>1</v>
      </c>
      <c r="Q626" s="14">
        <v>1</v>
      </c>
      <c r="R626" s="229">
        <v>0</v>
      </c>
      <c r="S626" s="229">
        <v>9</v>
      </c>
      <c r="T626" s="229">
        <v>0</v>
      </c>
      <c r="U626" s="229">
        <v>0</v>
      </c>
      <c r="V626" s="229">
        <v>0</v>
      </c>
      <c r="W626" s="229">
        <v>0</v>
      </c>
      <c r="X626" s="229">
        <v>0</v>
      </c>
      <c r="Y626" s="229">
        <v>0</v>
      </c>
      <c r="Z626" s="229">
        <v>0</v>
      </c>
      <c r="AA626" s="229">
        <v>0</v>
      </c>
      <c r="AC626" s="12">
        <v>2</v>
      </c>
      <c r="AD626" s="14">
        <v>3</v>
      </c>
      <c r="AE626" s="14">
        <v>198</v>
      </c>
      <c r="AF626" s="26">
        <v>277</v>
      </c>
      <c r="AG626" s="12">
        <v>97</v>
      </c>
      <c r="AH626" s="14">
        <v>0</v>
      </c>
      <c r="AI626" s="209">
        <v>86.4</v>
      </c>
      <c r="AJ626" s="3">
        <v>86.5</v>
      </c>
      <c r="AK626" s="3"/>
      <c r="AL626" s="3"/>
      <c r="AM626" s="3"/>
      <c r="AN626" s="3"/>
      <c r="AO626" s="40"/>
      <c r="AP626" s="209">
        <v>86.7</v>
      </c>
      <c r="AQ626" s="3">
        <v>86.7</v>
      </c>
      <c r="AR626" s="40"/>
      <c r="AS626" s="238"/>
    </row>
    <row r="627" spans="1:45" s="229" customFormat="1">
      <c r="A627" s="42" t="s">
        <v>323</v>
      </c>
      <c r="B627" s="386">
        <v>12.705666666666668</v>
      </c>
      <c r="C627" s="229" t="s">
        <v>692</v>
      </c>
      <c r="D627" s="229" t="s">
        <v>625</v>
      </c>
      <c r="E627" s="229" t="s">
        <v>0</v>
      </c>
      <c r="F627" s="229">
        <v>434</v>
      </c>
      <c r="G627" s="40">
        <f>F627/271</f>
        <v>1.6014760147601477</v>
      </c>
      <c r="H627" s="14">
        <v>0</v>
      </c>
      <c r="I627" s="229">
        <v>0</v>
      </c>
      <c r="J627" s="229">
        <v>0</v>
      </c>
      <c r="K627" s="26">
        <v>1</v>
      </c>
      <c r="L627" s="14">
        <v>0</v>
      </c>
      <c r="M627" s="229">
        <v>0</v>
      </c>
      <c r="N627" s="229">
        <v>0</v>
      </c>
      <c r="O627" s="229">
        <v>0</v>
      </c>
      <c r="P627" s="26">
        <v>0</v>
      </c>
      <c r="Q627" s="14">
        <v>0</v>
      </c>
      <c r="R627" s="229">
        <v>0</v>
      </c>
      <c r="S627" s="229">
        <v>0</v>
      </c>
      <c r="T627" s="229">
        <v>0</v>
      </c>
      <c r="U627" s="229">
        <v>0</v>
      </c>
      <c r="V627" s="229">
        <v>0</v>
      </c>
      <c r="W627" s="229">
        <v>0</v>
      </c>
      <c r="X627" s="229">
        <v>0</v>
      </c>
      <c r="Y627" s="229">
        <v>0</v>
      </c>
      <c r="Z627" s="229">
        <v>0</v>
      </c>
      <c r="AA627" s="229">
        <v>0</v>
      </c>
      <c r="AC627" s="12">
        <v>2</v>
      </c>
      <c r="AD627" s="14">
        <v>2</v>
      </c>
      <c r="AE627" s="14">
        <v>220</v>
      </c>
      <c r="AF627" s="26">
        <v>271</v>
      </c>
      <c r="AG627" s="12">
        <v>101</v>
      </c>
      <c r="AH627" s="14">
        <v>1</v>
      </c>
      <c r="AI627" s="209"/>
      <c r="AJ627" s="3"/>
      <c r="AK627" s="3"/>
      <c r="AL627" s="3"/>
      <c r="AM627" s="3"/>
      <c r="AN627" s="3"/>
      <c r="AO627" s="40"/>
      <c r="AP627" s="209"/>
      <c r="AQ627" s="3"/>
      <c r="AR627" s="40"/>
      <c r="AS627" s="238"/>
    </row>
    <row r="628" spans="1:45" s="229" customFormat="1">
      <c r="A628" s="42" t="s">
        <v>323</v>
      </c>
      <c r="B628" s="386">
        <v>12.705666666666668</v>
      </c>
      <c r="C628" s="229" t="s">
        <v>692</v>
      </c>
      <c r="D628" s="229" t="s">
        <v>625</v>
      </c>
      <c r="E628" s="229" t="s">
        <v>1</v>
      </c>
      <c r="F628" s="229">
        <v>318</v>
      </c>
      <c r="G628" s="40">
        <f>F628/227</f>
        <v>1.4008810572687225</v>
      </c>
      <c r="H628" s="14">
        <v>0</v>
      </c>
      <c r="I628" s="229">
        <v>1</v>
      </c>
      <c r="J628" s="229">
        <v>0</v>
      </c>
      <c r="K628" s="26">
        <v>0</v>
      </c>
      <c r="L628" s="14">
        <v>0</v>
      </c>
      <c r="M628" s="229">
        <v>0</v>
      </c>
      <c r="N628" s="229">
        <v>0</v>
      </c>
      <c r="O628" s="229">
        <v>0</v>
      </c>
      <c r="P628" s="26">
        <v>0</v>
      </c>
      <c r="Q628" s="14">
        <v>5</v>
      </c>
      <c r="R628" s="229">
        <v>0</v>
      </c>
      <c r="S628" s="229">
        <v>0</v>
      </c>
      <c r="T628" s="229">
        <v>0</v>
      </c>
      <c r="U628" s="229">
        <v>0</v>
      </c>
      <c r="V628" s="229">
        <v>0</v>
      </c>
      <c r="W628" s="229">
        <v>86</v>
      </c>
      <c r="X628" s="229">
        <v>0</v>
      </c>
      <c r="Y628" s="229">
        <v>0</v>
      </c>
      <c r="Z628" s="229">
        <v>0</v>
      </c>
      <c r="AA628" s="229">
        <v>0</v>
      </c>
      <c r="AC628" s="12">
        <v>1</v>
      </c>
      <c r="AD628" s="14">
        <v>1</v>
      </c>
      <c r="AE628" s="14">
        <v>0</v>
      </c>
      <c r="AF628" s="26">
        <v>0</v>
      </c>
      <c r="AG628" s="12">
        <v>101</v>
      </c>
      <c r="AH628" s="14">
        <v>0</v>
      </c>
      <c r="AI628" s="209"/>
      <c r="AJ628" s="3"/>
      <c r="AK628" s="3"/>
      <c r="AL628" s="3"/>
      <c r="AM628" s="3"/>
      <c r="AN628" s="3"/>
      <c r="AO628" s="40"/>
      <c r="AP628" s="209"/>
      <c r="AQ628" s="3"/>
      <c r="AR628" s="40"/>
      <c r="AS628" s="238"/>
    </row>
    <row r="629" spans="1:45" s="229" customFormat="1">
      <c r="A629" s="42" t="s">
        <v>323</v>
      </c>
      <c r="B629" s="386">
        <v>12.705666666666668</v>
      </c>
      <c r="C629" s="229" t="s">
        <v>692</v>
      </c>
      <c r="D629" s="229" t="s">
        <v>630</v>
      </c>
      <c r="E629" s="229" t="s">
        <v>0</v>
      </c>
      <c r="F629" s="229">
        <v>571</v>
      </c>
      <c r="G629" s="40">
        <f>F629/323</f>
        <v>1.7678018575851393</v>
      </c>
      <c r="H629" s="14">
        <v>0</v>
      </c>
      <c r="I629" s="229">
        <v>1</v>
      </c>
      <c r="J629" s="229">
        <v>0</v>
      </c>
      <c r="K629" s="26">
        <v>0</v>
      </c>
      <c r="L629" s="14">
        <v>0</v>
      </c>
      <c r="M629" s="229">
        <v>0</v>
      </c>
      <c r="N629" s="229">
        <v>1</v>
      </c>
      <c r="O629" s="229">
        <v>0</v>
      </c>
      <c r="P629" s="26">
        <v>1</v>
      </c>
      <c r="Q629" s="14">
        <v>5</v>
      </c>
      <c r="R629" s="229">
        <v>0</v>
      </c>
      <c r="S629" s="229">
        <v>28</v>
      </c>
      <c r="T629" s="229">
        <v>0</v>
      </c>
      <c r="U629" s="229">
        <v>0</v>
      </c>
      <c r="V629" s="229">
        <v>13</v>
      </c>
      <c r="W629" s="229">
        <v>63</v>
      </c>
      <c r="X629" s="229">
        <v>0</v>
      </c>
      <c r="Y629" s="229">
        <v>0</v>
      </c>
      <c r="Z629" s="229">
        <v>0</v>
      </c>
      <c r="AA629" s="229">
        <v>0</v>
      </c>
      <c r="AC629" s="12">
        <v>2</v>
      </c>
      <c r="AD629" s="14">
        <v>2</v>
      </c>
      <c r="AE629" s="14">
        <v>229</v>
      </c>
      <c r="AF629" s="26">
        <v>505</v>
      </c>
      <c r="AG629" s="12">
        <v>97</v>
      </c>
      <c r="AH629" s="14">
        <v>0</v>
      </c>
      <c r="AI629" s="209"/>
      <c r="AJ629" s="3"/>
      <c r="AK629" s="3"/>
      <c r="AL629" s="3"/>
      <c r="AM629" s="3"/>
      <c r="AN629" s="3"/>
      <c r="AO629" s="40"/>
      <c r="AP629" s="209"/>
      <c r="AQ629" s="3"/>
      <c r="AR629" s="40"/>
      <c r="AS629" s="238"/>
    </row>
    <row r="630" spans="1:45" s="229" customFormat="1">
      <c r="A630" s="42" t="s">
        <v>323</v>
      </c>
      <c r="B630" s="386">
        <v>12.705666666666668</v>
      </c>
      <c r="C630" s="229" t="s">
        <v>692</v>
      </c>
      <c r="D630" s="229" t="s">
        <v>630</v>
      </c>
      <c r="E630" s="229" t="s">
        <v>1</v>
      </c>
      <c r="F630" s="229">
        <v>190</v>
      </c>
      <c r="G630" s="40">
        <f>F630/117</f>
        <v>1.6239316239316239</v>
      </c>
      <c r="H630" s="14">
        <v>0</v>
      </c>
      <c r="I630" s="229">
        <v>0</v>
      </c>
      <c r="J630" s="229">
        <v>0</v>
      </c>
      <c r="K630" s="26">
        <v>1</v>
      </c>
      <c r="L630" s="14">
        <v>0</v>
      </c>
      <c r="M630" s="229">
        <v>0</v>
      </c>
      <c r="N630" s="229">
        <v>0</v>
      </c>
      <c r="O630" s="229">
        <v>0</v>
      </c>
      <c r="P630" s="26">
        <v>0</v>
      </c>
      <c r="Q630" s="14">
        <v>0</v>
      </c>
      <c r="R630" s="229">
        <v>0</v>
      </c>
      <c r="S630" s="229">
        <v>0</v>
      </c>
      <c r="T630" s="229">
        <v>0</v>
      </c>
      <c r="U630" s="229">
        <v>0</v>
      </c>
      <c r="V630" s="229">
        <v>0</v>
      </c>
      <c r="W630" s="229">
        <v>0</v>
      </c>
      <c r="X630" s="229">
        <v>0</v>
      </c>
      <c r="Y630" s="229">
        <v>0</v>
      </c>
      <c r="Z630" s="229">
        <v>0</v>
      </c>
      <c r="AA630" s="229">
        <v>0</v>
      </c>
      <c r="AC630" s="12">
        <v>1</v>
      </c>
      <c r="AD630" s="14">
        <v>1</v>
      </c>
      <c r="AE630" s="14">
        <v>0</v>
      </c>
      <c r="AF630" s="26">
        <v>0</v>
      </c>
      <c r="AG630" s="12">
        <v>97</v>
      </c>
      <c r="AH630" s="14">
        <v>0</v>
      </c>
      <c r="AI630" s="209"/>
      <c r="AJ630" s="3"/>
      <c r="AK630" s="3"/>
      <c r="AL630" s="3"/>
      <c r="AM630" s="3"/>
      <c r="AN630" s="3"/>
      <c r="AO630" s="40"/>
      <c r="AP630" s="209"/>
      <c r="AQ630" s="3"/>
      <c r="AR630" s="40"/>
      <c r="AS630" s="238"/>
    </row>
    <row r="631" spans="1:45" s="229" customFormat="1">
      <c r="A631" s="42" t="s">
        <v>323</v>
      </c>
      <c r="B631" s="386">
        <v>12.705666666666668</v>
      </c>
      <c r="C631" s="229" t="s">
        <v>692</v>
      </c>
      <c r="D631" s="229" t="s">
        <v>630</v>
      </c>
      <c r="E631" s="229" t="s">
        <v>2</v>
      </c>
      <c r="F631" s="229">
        <v>185</v>
      </c>
      <c r="G631" s="40">
        <f>F631/115</f>
        <v>1.6086956521739131</v>
      </c>
      <c r="H631" s="14">
        <v>0</v>
      </c>
      <c r="I631" s="229">
        <v>0</v>
      </c>
      <c r="J631" s="229">
        <v>1</v>
      </c>
      <c r="K631" s="26">
        <v>0</v>
      </c>
      <c r="L631" s="14">
        <v>0</v>
      </c>
      <c r="M631" s="229">
        <v>0</v>
      </c>
      <c r="N631" s="229">
        <v>0</v>
      </c>
      <c r="O631" s="229">
        <v>0</v>
      </c>
      <c r="P631" s="26">
        <v>0</v>
      </c>
      <c r="Q631" s="14">
        <v>0</v>
      </c>
      <c r="R631" s="229">
        <v>0</v>
      </c>
      <c r="S631" s="229">
        <v>0</v>
      </c>
      <c r="T631" s="229">
        <v>0</v>
      </c>
      <c r="U631" s="229">
        <v>0</v>
      </c>
      <c r="V631" s="229">
        <v>0</v>
      </c>
      <c r="W631" s="229">
        <v>0</v>
      </c>
      <c r="X631" s="229">
        <v>0</v>
      </c>
      <c r="Y631" s="229">
        <v>0</v>
      </c>
      <c r="Z631" s="229">
        <v>0</v>
      </c>
      <c r="AA631" s="229">
        <v>0</v>
      </c>
      <c r="AC631" s="12">
        <v>1</v>
      </c>
      <c r="AD631" s="14">
        <v>1</v>
      </c>
      <c r="AE631" s="14">
        <v>0</v>
      </c>
      <c r="AF631" s="26">
        <v>0</v>
      </c>
      <c r="AG631" s="12">
        <v>97</v>
      </c>
      <c r="AH631" s="14">
        <v>0</v>
      </c>
      <c r="AI631" s="209"/>
      <c r="AJ631" s="3"/>
      <c r="AK631" s="3"/>
      <c r="AL631" s="3"/>
      <c r="AM631" s="3"/>
      <c r="AN631" s="3"/>
      <c r="AO631" s="40"/>
      <c r="AP631" s="209"/>
      <c r="AQ631" s="3"/>
      <c r="AR631" s="40"/>
      <c r="AS631" s="238"/>
    </row>
    <row r="632" spans="1:45" s="229" customFormat="1">
      <c r="A632" s="42" t="s">
        <v>323</v>
      </c>
      <c r="B632" s="386">
        <v>12.705666666666668</v>
      </c>
      <c r="C632" s="229" t="s">
        <v>692</v>
      </c>
      <c r="D632" s="229" t="s">
        <v>637</v>
      </c>
      <c r="F632" s="229">
        <v>622</v>
      </c>
      <c r="G632" s="40">
        <f>F632/486</f>
        <v>1.2798353909465021</v>
      </c>
      <c r="H632" s="14">
        <v>0</v>
      </c>
      <c r="I632" s="229">
        <v>1</v>
      </c>
      <c r="J632" s="229">
        <v>0</v>
      </c>
      <c r="K632" s="26">
        <v>0</v>
      </c>
      <c r="L632" s="14">
        <v>0</v>
      </c>
      <c r="M632" s="229">
        <v>0</v>
      </c>
      <c r="N632" s="229">
        <v>1</v>
      </c>
      <c r="O632" s="229">
        <v>0</v>
      </c>
      <c r="P632" s="26">
        <v>1</v>
      </c>
      <c r="Q632" s="14">
        <v>5</v>
      </c>
      <c r="R632" s="229">
        <v>33</v>
      </c>
      <c r="S632" s="229">
        <v>47</v>
      </c>
      <c r="T632" s="229">
        <v>0</v>
      </c>
      <c r="U632" s="229">
        <v>0</v>
      </c>
      <c r="V632" s="229">
        <v>29</v>
      </c>
      <c r="W632" s="229">
        <v>38</v>
      </c>
      <c r="X632" s="229">
        <v>0</v>
      </c>
      <c r="Y632" s="229">
        <v>0</v>
      </c>
      <c r="Z632" s="229">
        <v>0</v>
      </c>
      <c r="AA632" s="229">
        <v>0</v>
      </c>
      <c r="AC632" s="12">
        <v>1</v>
      </c>
      <c r="AD632" s="14">
        <v>1</v>
      </c>
      <c r="AE632" s="14">
        <v>0</v>
      </c>
      <c r="AF632" s="26">
        <v>0</v>
      </c>
      <c r="AG632" s="12">
        <v>111</v>
      </c>
      <c r="AH632" s="14">
        <v>1</v>
      </c>
      <c r="AI632" s="209">
        <v>86.8</v>
      </c>
      <c r="AJ632" s="3"/>
      <c r="AK632" s="3"/>
      <c r="AL632" s="3"/>
      <c r="AM632" s="3"/>
      <c r="AN632" s="3"/>
      <c r="AO632" s="40"/>
      <c r="AP632" s="209">
        <v>87</v>
      </c>
      <c r="AQ632" s="3"/>
      <c r="AR632" s="40"/>
      <c r="AS632" s="238"/>
    </row>
    <row r="633" spans="1:45" s="229" customFormat="1">
      <c r="A633" s="42" t="s">
        <v>323</v>
      </c>
      <c r="B633" s="386">
        <v>12.705666666666668</v>
      </c>
      <c r="C633" s="229" t="s">
        <v>692</v>
      </c>
      <c r="D633" s="229" t="s">
        <v>638</v>
      </c>
      <c r="F633" s="229">
        <v>315</v>
      </c>
      <c r="G633" s="40">
        <f>F633/176</f>
        <v>1.7897727272727273</v>
      </c>
      <c r="H633" s="14">
        <v>0</v>
      </c>
      <c r="I633" s="229">
        <v>0</v>
      </c>
      <c r="J633" s="229">
        <v>0</v>
      </c>
      <c r="K633" s="26">
        <v>1</v>
      </c>
      <c r="L633" s="14">
        <v>0</v>
      </c>
      <c r="M633" s="229">
        <v>0</v>
      </c>
      <c r="N633" s="229">
        <v>0</v>
      </c>
      <c r="O633" s="229">
        <v>0</v>
      </c>
      <c r="P633" s="26">
        <v>0</v>
      </c>
      <c r="Q633" s="14">
        <v>0</v>
      </c>
      <c r="R633" s="229">
        <v>0</v>
      </c>
      <c r="S633" s="229">
        <v>0</v>
      </c>
      <c r="T633" s="229">
        <v>0</v>
      </c>
      <c r="U633" s="229">
        <v>0</v>
      </c>
      <c r="V633" s="229">
        <v>0</v>
      </c>
      <c r="W633" s="229">
        <v>0</v>
      </c>
      <c r="X633" s="229">
        <v>0</v>
      </c>
      <c r="Y633" s="229">
        <v>0</v>
      </c>
      <c r="Z633" s="229">
        <v>0</v>
      </c>
      <c r="AA633" s="229">
        <v>0</v>
      </c>
      <c r="AC633" s="12">
        <v>1</v>
      </c>
      <c r="AD633" s="14">
        <v>1</v>
      </c>
      <c r="AE633" s="14">
        <v>0</v>
      </c>
      <c r="AF633" s="26">
        <v>0</v>
      </c>
      <c r="AG633" s="12">
        <v>45</v>
      </c>
      <c r="AH633" s="14">
        <v>1</v>
      </c>
      <c r="AI633" s="209"/>
      <c r="AJ633" s="3"/>
      <c r="AK633" s="3"/>
      <c r="AL633" s="3"/>
      <c r="AM633" s="3"/>
      <c r="AN633" s="3"/>
      <c r="AO633" s="40"/>
      <c r="AP633" s="209"/>
      <c r="AQ633" s="3"/>
      <c r="AR633" s="40"/>
      <c r="AS633" s="238"/>
    </row>
    <row r="634" spans="1:45" s="229" customFormat="1">
      <c r="A634" s="42" t="s">
        <v>323</v>
      </c>
      <c r="B634" s="386">
        <v>12.705666666666668</v>
      </c>
      <c r="C634" s="229" t="s">
        <v>692</v>
      </c>
      <c r="D634" s="229" t="s">
        <v>639</v>
      </c>
      <c r="E634" s="229" t="s">
        <v>0</v>
      </c>
      <c r="F634" s="229">
        <v>1088</v>
      </c>
      <c r="G634" s="40">
        <f>F634/478</f>
        <v>2.2761506276150629</v>
      </c>
      <c r="H634" s="14">
        <v>1</v>
      </c>
      <c r="I634" s="229">
        <v>1</v>
      </c>
      <c r="J634" s="229">
        <v>0</v>
      </c>
      <c r="K634" s="26">
        <v>1</v>
      </c>
      <c r="L634" s="14">
        <v>0</v>
      </c>
      <c r="M634" s="229">
        <v>0</v>
      </c>
      <c r="N634" s="229">
        <v>0</v>
      </c>
      <c r="O634" s="229">
        <v>0</v>
      </c>
      <c r="P634" s="26">
        <v>0</v>
      </c>
      <c r="Q634" s="14">
        <v>1</v>
      </c>
      <c r="R634" s="229">
        <v>0</v>
      </c>
      <c r="S634" s="229">
        <v>11</v>
      </c>
      <c r="T634" s="229">
        <v>0</v>
      </c>
      <c r="U634" s="229">
        <v>0</v>
      </c>
      <c r="V634" s="229">
        <v>0</v>
      </c>
      <c r="W634" s="229">
        <v>0</v>
      </c>
      <c r="X634" s="229">
        <v>0</v>
      </c>
      <c r="Y634" s="229">
        <v>0</v>
      </c>
      <c r="Z634" s="229">
        <v>0</v>
      </c>
      <c r="AA634" s="229">
        <v>0</v>
      </c>
      <c r="AC634" s="12">
        <v>2</v>
      </c>
      <c r="AD634" s="14">
        <v>8</v>
      </c>
      <c r="AE634" s="14">
        <v>124</v>
      </c>
      <c r="AF634" s="26">
        <v>389</v>
      </c>
      <c r="AG634" s="12">
        <v>119</v>
      </c>
      <c r="AH634" s="14">
        <v>0</v>
      </c>
      <c r="AI634" s="209"/>
      <c r="AJ634" s="3"/>
      <c r="AK634" s="3"/>
      <c r="AL634" s="3"/>
      <c r="AM634" s="3"/>
      <c r="AN634" s="3"/>
      <c r="AO634" s="40"/>
      <c r="AP634" s="209"/>
      <c r="AQ634" s="3"/>
      <c r="AR634" s="40"/>
      <c r="AS634" s="238"/>
    </row>
    <row r="635" spans="1:45" s="229" customFormat="1">
      <c r="A635" s="42" t="s">
        <v>323</v>
      </c>
      <c r="B635" s="386">
        <v>12.705666666666668</v>
      </c>
      <c r="C635" s="229" t="s">
        <v>692</v>
      </c>
      <c r="D635" s="229" t="s">
        <v>639</v>
      </c>
      <c r="E635" s="229" t="s">
        <v>1</v>
      </c>
      <c r="F635" s="229">
        <v>234</v>
      </c>
      <c r="G635" s="40">
        <f>F635/113</f>
        <v>2.0707964601769913</v>
      </c>
      <c r="H635" s="14">
        <v>1</v>
      </c>
      <c r="I635" s="229">
        <v>0</v>
      </c>
      <c r="J635" s="229">
        <v>0</v>
      </c>
      <c r="K635" s="26">
        <v>0</v>
      </c>
      <c r="L635" s="14">
        <v>0</v>
      </c>
      <c r="M635" s="229">
        <v>0</v>
      </c>
      <c r="N635" s="229">
        <v>0</v>
      </c>
      <c r="O635" s="229">
        <v>0</v>
      </c>
      <c r="P635" s="26">
        <v>0</v>
      </c>
      <c r="Q635" s="14">
        <v>0</v>
      </c>
      <c r="R635" s="229">
        <v>0</v>
      </c>
      <c r="S635" s="229">
        <v>0</v>
      </c>
      <c r="T635" s="229">
        <v>0</v>
      </c>
      <c r="U635" s="229">
        <v>0</v>
      </c>
      <c r="V635" s="229">
        <v>0</v>
      </c>
      <c r="W635" s="229">
        <v>0</v>
      </c>
      <c r="X635" s="229">
        <v>0</v>
      </c>
      <c r="Y635" s="229">
        <v>0</v>
      </c>
      <c r="Z635" s="229">
        <v>0</v>
      </c>
      <c r="AA635" s="229">
        <v>0</v>
      </c>
      <c r="AC635" s="12">
        <v>2</v>
      </c>
      <c r="AD635" s="14">
        <v>2</v>
      </c>
      <c r="AE635" s="14">
        <v>79</v>
      </c>
      <c r="AF635" s="26">
        <v>165</v>
      </c>
      <c r="AG635" s="12">
        <v>119</v>
      </c>
      <c r="AH635" s="14">
        <v>1</v>
      </c>
      <c r="AI635" s="209"/>
      <c r="AJ635" s="3"/>
      <c r="AK635" s="3"/>
      <c r="AL635" s="3"/>
      <c r="AM635" s="3"/>
      <c r="AN635" s="3"/>
      <c r="AO635" s="40"/>
      <c r="AP635" s="209"/>
      <c r="AQ635" s="3"/>
      <c r="AR635" s="40"/>
      <c r="AS635" s="238"/>
    </row>
    <row r="636" spans="1:45" s="229" customFormat="1">
      <c r="A636" s="42" t="s">
        <v>323</v>
      </c>
      <c r="B636" s="386">
        <v>12.705666666666668</v>
      </c>
      <c r="C636" s="229" t="s">
        <v>692</v>
      </c>
      <c r="D636" s="229" t="s">
        <v>639</v>
      </c>
      <c r="E636" s="229" t="s">
        <v>2</v>
      </c>
      <c r="F636" s="229">
        <v>83</v>
      </c>
      <c r="G636" s="40">
        <f>F636/65</f>
        <v>1.2769230769230768</v>
      </c>
      <c r="H636" s="14">
        <v>0</v>
      </c>
      <c r="I636" s="229">
        <v>0</v>
      </c>
      <c r="J636" s="229">
        <v>1</v>
      </c>
      <c r="K636" s="26">
        <v>0</v>
      </c>
      <c r="L636" s="14">
        <v>0</v>
      </c>
      <c r="M636" s="229">
        <v>0</v>
      </c>
      <c r="N636" s="229">
        <v>0</v>
      </c>
      <c r="O636" s="229">
        <v>0</v>
      </c>
      <c r="P636" s="26">
        <v>0</v>
      </c>
      <c r="Q636" s="14">
        <v>0</v>
      </c>
      <c r="R636" s="229">
        <v>0</v>
      </c>
      <c r="S636" s="229">
        <v>0</v>
      </c>
      <c r="T636" s="229">
        <v>0</v>
      </c>
      <c r="U636" s="229">
        <v>0</v>
      </c>
      <c r="V636" s="229">
        <v>0</v>
      </c>
      <c r="W636" s="229">
        <v>0</v>
      </c>
      <c r="X636" s="229">
        <v>0</v>
      </c>
      <c r="Y636" s="229">
        <v>0</v>
      </c>
      <c r="Z636" s="229">
        <v>0</v>
      </c>
      <c r="AA636" s="229">
        <v>0</v>
      </c>
      <c r="AC636" s="12">
        <v>1</v>
      </c>
      <c r="AD636" s="14">
        <v>1</v>
      </c>
      <c r="AE636" s="14">
        <v>0</v>
      </c>
      <c r="AF636" s="26">
        <v>0</v>
      </c>
      <c r="AG636" s="12">
        <v>119</v>
      </c>
      <c r="AH636" s="14">
        <v>0</v>
      </c>
      <c r="AI636" s="209"/>
      <c r="AJ636" s="3"/>
      <c r="AK636" s="3"/>
      <c r="AL636" s="3"/>
      <c r="AM636" s="3"/>
      <c r="AN636" s="3"/>
      <c r="AO636" s="40"/>
      <c r="AP636" s="209"/>
      <c r="AQ636" s="3"/>
      <c r="AR636" s="40"/>
      <c r="AS636" s="238"/>
    </row>
    <row r="637" spans="1:45" s="229" customFormat="1">
      <c r="A637" s="42" t="s">
        <v>323</v>
      </c>
      <c r="B637" s="386">
        <v>12.705666666666668</v>
      </c>
      <c r="C637" s="229" t="s">
        <v>692</v>
      </c>
      <c r="D637" s="229" t="s">
        <v>639</v>
      </c>
      <c r="E637" s="229" t="s">
        <v>3</v>
      </c>
      <c r="F637" s="229">
        <v>109</v>
      </c>
      <c r="G637" s="40">
        <f>F637/32</f>
        <v>3.40625</v>
      </c>
      <c r="H637" s="14">
        <v>0</v>
      </c>
      <c r="I637" s="229">
        <v>0</v>
      </c>
      <c r="J637" s="229">
        <v>1</v>
      </c>
      <c r="K637" s="26">
        <v>0</v>
      </c>
      <c r="L637" s="14">
        <v>0</v>
      </c>
      <c r="M637" s="229">
        <v>0</v>
      </c>
      <c r="N637" s="229">
        <v>0</v>
      </c>
      <c r="O637" s="229">
        <v>0</v>
      </c>
      <c r="P637" s="26">
        <v>0</v>
      </c>
      <c r="Q637" s="14">
        <v>0</v>
      </c>
      <c r="R637" s="229">
        <v>0</v>
      </c>
      <c r="S637" s="229">
        <v>0</v>
      </c>
      <c r="T637" s="229">
        <v>0</v>
      </c>
      <c r="U637" s="229">
        <v>0</v>
      </c>
      <c r="V637" s="229">
        <v>0</v>
      </c>
      <c r="W637" s="229">
        <v>0</v>
      </c>
      <c r="X637" s="229">
        <v>0</v>
      </c>
      <c r="Y637" s="229">
        <v>0</v>
      </c>
      <c r="Z637" s="229">
        <v>0</v>
      </c>
      <c r="AA637" s="229">
        <v>0</v>
      </c>
      <c r="AC637" s="12">
        <v>1</v>
      </c>
      <c r="AD637" s="14">
        <v>1</v>
      </c>
      <c r="AE637" s="14">
        <v>0</v>
      </c>
      <c r="AF637" s="26">
        <v>0</v>
      </c>
      <c r="AG637" s="12">
        <v>119</v>
      </c>
      <c r="AH637" s="14">
        <v>0</v>
      </c>
      <c r="AI637" s="209"/>
      <c r="AJ637" s="3"/>
      <c r="AK637" s="3"/>
      <c r="AL637" s="3"/>
      <c r="AM637" s="3"/>
      <c r="AN637" s="3"/>
      <c r="AO637" s="40"/>
      <c r="AP637" s="209"/>
      <c r="AQ637" s="3"/>
      <c r="AR637" s="40"/>
      <c r="AS637" s="238"/>
    </row>
    <row r="638" spans="1:45" s="229" customFormat="1">
      <c r="A638" s="42" t="s">
        <v>323</v>
      </c>
      <c r="B638" s="386">
        <v>12.705666666666668</v>
      </c>
      <c r="C638" s="229" t="s">
        <v>692</v>
      </c>
      <c r="D638" s="229" t="s">
        <v>639</v>
      </c>
      <c r="E638" s="229" t="s">
        <v>4</v>
      </c>
      <c r="F638" s="229">
        <v>135</v>
      </c>
      <c r="G638" s="40">
        <f>F638/91</f>
        <v>1.4835164835164836</v>
      </c>
      <c r="H638" s="14">
        <v>0</v>
      </c>
      <c r="I638" s="229">
        <v>0</v>
      </c>
      <c r="J638" s="229">
        <v>1</v>
      </c>
      <c r="K638" s="26">
        <v>0</v>
      </c>
      <c r="L638" s="14">
        <v>0</v>
      </c>
      <c r="M638" s="229">
        <v>0</v>
      </c>
      <c r="N638" s="229">
        <v>0</v>
      </c>
      <c r="O638" s="229">
        <v>0</v>
      </c>
      <c r="P638" s="26">
        <v>0</v>
      </c>
      <c r="Q638" s="14">
        <v>0</v>
      </c>
      <c r="R638" s="229">
        <v>0</v>
      </c>
      <c r="S638" s="229">
        <v>0</v>
      </c>
      <c r="T638" s="229">
        <v>0</v>
      </c>
      <c r="U638" s="229">
        <v>0</v>
      </c>
      <c r="V638" s="229">
        <v>0</v>
      </c>
      <c r="W638" s="229">
        <v>0</v>
      </c>
      <c r="X638" s="229">
        <v>0</v>
      </c>
      <c r="Y638" s="229">
        <v>0</v>
      </c>
      <c r="Z638" s="229">
        <v>0</v>
      </c>
      <c r="AA638" s="229">
        <v>0</v>
      </c>
      <c r="AC638" s="12">
        <v>1</v>
      </c>
      <c r="AD638" s="14">
        <v>1</v>
      </c>
      <c r="AE638" s="14">
        <v>0</v>
      </c>
      <c r="AF638" s="26">
        <v>0</v>
      </c>
      <c r="AG638" s="12">
        <v>119</v>
      </c>
      <c r="AH638" s="14">
        <v>0</v>
      </c>
      <c r="AI638" s="209"/>
      <c r="AJ638" s="3"/>
      <c r="AK638" s="3"/>
      <c r="AL638" s="3"/>
      <c r="AM638" s="3"/>
      <c r="AN638" s="3"/>
      <c r="AO638" s="40"/>
      <c r="AP638" s="209"/>
      <c r="AQ638" s="3"/>
      <c r="AR638" s="40"/>
      <c r="AS638" s="238"/>
    </row>
    <row r="639" spans="1:45" s="229" customFormat="1">
      <c r="A639" s="42" t="s">
        <v>323</v>
      </c>
      <c r="B639" s="386">
        <v>12.705666666666668</v>
      </c>
      <c r="C639" s="229" t="s">
        <v>692</v>
      </c>
      <c r="D639" s="229" t="s">
        <v>640</v>
      </c>
      <c r="F639" s="229">
        <v>590</v>
      </c>
      <c r="G639" s="40">
        <f>F639/271</f>
        <v>2.177121771217712</v>
      </c>
      <c r="H639" s="14">
        <v>0</v>
      </c>
      <c r="I639" s="229">
        <v>0</v>
      </c>
      <c r="J639" s="229">
        <v>1</v>
      </c>
      <c r="K639" s="26">
        <v>1</v>
      </c>
      <c r="L639" s="14">
        <v>0</v>
      </c>
      <c r="M639" s="229">
        <v>0</v>
      </c>
      <c r="N639" s="229">
        <v>0</v>
      </c>
      <c r="O639" s="229">
        <v>0</v>
      </c>
      <c r="P639" s="26">
        <v>0</v>
      </c>
      <c r="Q639" s="14">
        <v>10</v>
      </c>
      <c r="R639" s="229">
        <v>0</v>
      </c>
      <c r="S639" s="229">
        <v>0</v>
      </c>
      <c r="T639" s="229">
        <v>0</v>
      </c>
      <c r="U639" s="229">
        <v>0</v>
      </c>
      <c r="V639" s="229">
        <v>0</v>
      </c>
      <c r="W639" s="229">
        <v>0</v>
      </c>
      <c r="X639" s="229">
        <v>0</v>
      </c>
      <c r="Y639" s="229">
        <v>0</v>
      </c>
      <c r="Z639" s="229">
        <v>81</v>
      </c>
      <c r="AA639" s="229">
        <v>116</v>
      </c>
      <c r="AC639" s="12">
        <v>2</v>
      </c>
      <c r="AD639" s="14">
        <v>3</v>
      </c>
      <c r="AE639" s="14">
        <v>194</v>
      </c>
      <c r="AF639" s="26">
        <v>361</v>
      </c>
      <c r="AG639" s="12">
        <v>121</v>
      </c>
      <c r="AH639" s="14">
        <v>1</v>
      </c>
      <c r="AI639" s="209"/>
      <c r="AJ639" s="3"/>
      <c r="AK639" s="3"/>
      <c r="AL639" s="3"/>
      <c r="AM639" s="3"/>
      <c r="AN639" s="3"/>
      <c r="AO639" s="40"/>
      <c r="AP639" s="209"/>
      <c r="AQ639" s="3"/>
      <c r="AR639" s="40"/>
      <c r="AS639" s="238"/>
    </row>
    <row r="640" spans="1:45" s="229" customFormat="1">
      <c r="A640" s="42" t="s">
        <v>323</v>
      </c>
      <c r="B640" s="386">
        <v>12.705666666666668</v>
      </c>
      <c r="C640" s="229" t="s">
        <v>692</v>
      </c>
      <c r="D640" s="229" t="s">
        <v>641</v>
      </c>
      <c r="F640" s="229">
        <v>848</v>
      </c>
      <c r="G640" s="40">
        <f>F640/236</f>
        <v>3.593220338983051</v>
      </c>
      <c r="H640" s="14">
        <v>1</v>
      </c>
      <c r="I640" s="229">
        <v>1</v>
      </c>
      <c r="J640" s="229">
        <v>1</v>
      </c>
      <c r="K640" s="26">
        <v>1</v>
      </c>
      <c r="L640" s="14">
        <v>0</v>
      </c>
      <c r="M640" s="229">
        <v>0</v>
      </c>
      <c r="N640" s="229">
        <v>0</v>
      </c>
      <c r="O640" s="229">
        <v>0</v>
      </c>
      <c r="P640" s="26">
        <v>0</v>
      </c>
      <c r="Q640" s="14">
        <v>5</v>
      </c>
      <c r="R640" s="229">
        <v>0</v>
      </c>
      <c r="S640" s="229">
        <v>12</v>
      </c>
      <c r="T640" s="229">
        <v>0</v>
      </c>
      <c r="U640" s="229">
        <v>0</v>
      </c>
      <c r="V640" s="229">
        <v>24</v>
      </c>
      <c r="W640" s="229">
        <v>57</v>
      </c>
      <c r="X640" s="229">
        <v>0</v>
      </c>
      <c r="Y640" s="229">
        <v>0</v>
      </c>
      <c r="Z640" s="229">
        <v>46</v>
      </c>
      <c r="AA640" s="229">
        <v>66</v>
      </c>
      <c r="AC640" s="12">
        <v>2</v>
      </c>
      <c r="AD640" s="14">
        <v>7</v>
      </c>
      <c r="AE640" s="14">
        <v>67</v>
      </c>
      <c r="AF640" s="26">
        <v>383</v>
      </c>
      <c r="AG640" s="12">
        <v>125</v>
      </c>
      <c r="AH640" s="14">
        <v>1</v>
      </c>
      <c r="AI640" s="209"/>
      <c r="AJ640" s="3"/>
      <c r="AK640" s="3"/>
      <c r="AL640" s="3"/>
      <c r="AM640" s="3"/>
      <c r="AN640" s="3"/>
      <c r="AO640" s="40"/>
      <c r="AP640" s="209"/>
      <c r="AQ640" s="3"/>
      <c r="AR640" s="40"/>
      <c r="AS640" s="238"/>
    </row>
    <row r="641" spans="1:45" s="229" customFormat="1">
      <c r="A641" s="42" t="s">
        <v>323</v>
      </c>
      <c r="B641" s="386">
        <v>12.705666666666668</v>
      </c>
      <c r="C641" s="229" t="s">
        <v>692</v>
      </c>
      <c r="D641" s="229" t="s">
        <v>647</v>
      </c>
      <c r="F641" s="229">
        <v>379</v>
      </c>
      <c r="G641" s="40">
        <f>F641/344</f>
        <v>1.1017441860465116</v>
      </c>
      <c r="H641" s="14">
        <v>1</v>
      </c>
      <c r="I641" s="229">
        <v>1</v>
      </c>
      <c r="J641" s="229">
        <v>0</v>
      </c>
      <c r="K641" s="26">
        <v>0</v>
      </c>
      <c r="L641" s="14">
        <v>0</v>
      </c>
      <c r="M641" s="229">
        <v>0</v>
      </c>
      <c r="N641" s="229">
        <v>1</v>
      </c>
      <c r="O641" s="229">
        <v>0</v>
      </c>
      <c r="P641" s="26">
        <v>1</v>
      </c>
      <c r="Q641" s="14">
        <v>1</v>
      </c>
      <c r="R641" s="229">
        <v>0</v>
      </c>
      <c r="S641" s="229">
        <v>19</v>
      </c>
      <c r="T641" s="229">
        <v>0</v>
      </c>
      <c r="U641" s="229">
        <v>0</v>
      </c>
      <c r="V641" s="229">
        <v>0</v>
      </c>
      <c r="W641" s="229">
        <v>0</v>
      </c>
      <c r="X641" s="229">
        <v>0</v>
      </c>
      <c r="Y641" s="229">
        <v>0</v>
      </c>
      <c r="Z641" s="229">
        <v>0</v>
      </c>
      <c r="AA641" s="229">
        <v>0</v>
      </c>
      <c r="AC641" s="12">
        <v>2</v>
      </c>
      <c r="AD641" s="14">
        <v>2</v>
      </c>
      <c r="AE641" s="14">
        <v>297</v>
      </c>
      <c r="AF641" s="26">
        <v>379</v>
      </c>
      <c r="AG641" s="12">
        <v>86</v>
      </c>
      <c r="AH641" s="14">
        <v>0</v>
      </c>
      <c r="AI641" s="209"/>
      <c r="AJ641" s="3"/>
      <c r="AK641" s="3"/>
      <c r="AL641" s="3"/>
      <c r="AM641" s="3"/>
      <c r="AN641" s="3"/>
      <c r="AO641" s="40"/>
      <c r="AP641" s="209"/>
      <c r="AQ641" s="3"/>
      <c r="AR641" s="40"/>
      <c r="AS641" s="238"/>
    </row>
    <row r="642" spans="1:45" s="229" customFormat="1">
      <c r="A642" s="42" t="s">
        <v>323</v>
      </c>
      <c r="B642" s="386">
        <v>12.705666666666668</v>
      </c>
      <c r="C642" s="229" t="s">
        <v>692</v>
      </c>
      <c r="D642" s="229" t="s">
        <v>648</v>
      </c>
      <c r="F642" s="229">
        <v>593</v>
      </c>
      <c r="G642" s="40">
        <f>F642/499</f>
        <v>1.188376753507014</v>
      </c>
      <c r="H642" s="14">
        <v>1</v>
      </c>
      <c r="I642" s="229">
        <v>0</v>
      </c>
      <c r="J642" s="229">
        <v>0</v>
      </c>
      <c r="K642" s="26">
        <v>1</v>
      </c>
      <c r="L642" s="14">
        <v>0</v>
      </c>
      <c r="M642" s="229">
        <v>0</v>
      </c>
      <c r="N642" s="229">
        <v>1</v>
      </c>
      <c r="O642" s="229">
        <v>0</v>
      </c>
      <c r="P642" s="26">
        <v>1</v>
      </c>
      <c r="Q642" s="14">
        <v>5</v>
      </c>
      <c r="R642" s="229">
        <v>0</v>
      </c>
      <c r="S642" s="229">
        <v>8</v>
      </c>
      <c r="T642" s="229">
        <v>0</v>
      </c>
      <c r="U642" s="229">
        <v>0</v>
      </c>
      <c r="V642" s="229">
        <v>0</v>
      </c>
      <c r="W642" s="229">
        <v>62</v>
      </c>
      <c r="X642" s="229">
        <v>0</v>
      </c>
      <c r="Y642" s="229">
        <v>0</v>
      </c>
      <c r="Z642" s="229">
        <v>0</v>
      </c>
      <c r="AA642" s="229">
        <v>0</v>
      </c>
      <c r="AC642" s="12">
        <v>2</v>
      </c>
      <c r="AD642" s="14">
        <v>7</v>
      </c>
      <c r="AE642" s="14">
        <v>96</v>
      </c>
      <c r="AF642" s="26">
        <v>271</v>
      </c>
      <c r="AG642" s="12">
        <v>90</v>
      </c>
      <c r="AH642" s="14">
        <v>1</v>
      </c>
      <c r="AI642" s="209"/>
      <c r="AJ642" s="3"/>
      <c r="AK642" s="3"/>
      <c r="AL642" s="3"/>
      <c r="AM642" s="3"/>
      <c r="AN642" s="3"/>
      <c r="AO642" s="40"/>
      <c r="AP642" s="209"/>
      <c r="AQ642" s="3"/>
      <c r="AR642" s="40"/>
      <c r="AS642" s="238"/>
    </row>
    <row r="643" spans="1:45" s="229" customFormat="1">
      <c r="A643" s="42" t="s">
        <v>323</v>
      </c>
      <c r="B643" s="386">
        <v>12.705666666666668</v>
      </c>
      <c r="C643" s="229" t="s">
        <v>692</v>
      </c>
      <c r="D643" s="229" t="s">
        <v>649</v>
      </c>
      <c r="E643" s="229" t="s">
        <v>0</v>
      </c>
      <c r="F643" s="229">
        <v>445</v>
      </c>
      <c r="G643" s="40">
        <f>F643/431</f>
        <v>1.0324825986078887</v>
      </c>
      <c r="H643" s="14">
        <v>1</v>
      </c>
      <c r="I643" s="229">
        <v>0</v>
      </c>
      <c r="J643" s="229">
        <v>0</v>
      </c>
      <c r="K643" s="26">
        <v>1</v>
      </c>
      <c r="L643" s="14">
        <v>0</v>
      </c>
      <c r="M643" s="229">
        <v>0</v>
      </c>
      <c r="N643" s="229">
        <v>0</v>
      </c>
      <c r="O643" s="229">
        <v>0</v>
      </c>
      <c r="P643" s="26">
        <v>0</v>
      </c>
      <c r="Q643" s="14">
        <v>2</v>
      </c>
      <c r="R643" s="229">
        <v>0</v>
      </c>
      <c r="S643" s="229">
        <v>27</v>
      </c>
      <c r="T643" s="229">
        <v>0</v>
      </c>
      <c r="U643" s="229">
        <v>0</v>
      </c>
      <c r="V643" s="229">
        <v>0</v>
      </c>
      <c r="W643" s="229">
        <v>12</v>
      </c>
      <c r="X643" s="229">
        <v>0</v>
      </c>
      <c r="Y643" s="229">
        <v>0</v>
      </c>
      <c r="Z643" s="229">
        <v>0</v>
      </c>
      <c r="AA643" s="229">
        <v>0</v>
      </c>
      <c r="AC643" s="12">
        <v>2</v>
      </c>
      <c r="AD643" s="14">
        <v>3</v>
      </c>
      <c r="AE643" s="14">
        <v>166</v>
      </c>
      <c r="AF643" s="26">
        <v>330</v>
      </c>
      <c r="AG643" s="12">
        <v>120</v>
      </c>
      <c r="AH643" s="14">
        <v>1</v>
      </c>
      <c r="AI643" s="209"/>
      <c r="AJ643" s="3"/>
      <c r="AK643" s="3"/>
      <c r="AL643" s="3"/>
      <c r="AM643" s="3"/>
      <c r="AN643" s="3"/>
      <c r="AO643" s="40"/>
      <c r="AP643" s="209"/>
      <c r="AQ643" s="3"/>
      <c r="AR643" s="40"/>
      <c r="AS643" s="238"/>
    </row>
    <row r="644" spans="1:45" s="229" customFormat="1">
      <c r="A644" s="42" t="s">
        <v>323</v>
      </c>
      <c r="B644" s="386">
        <v>12.705666666666668</v>
      </c>
      <c r="C644" s="229" t="s">
        <v>692</v>
      </c>
      <c r="D644" s="229" t="s">
        <v>649</v>
      </c>
      <c r="E644" s="229" t="s">
        <v>1</v>
      </c>
      <c r="F644" s="229">
        <v>557</v>
      </c>
      <c r="G644" s="40">
        <f>F644/368</f>
        <v>1.513586956521739</v>
      </c>
      <c r="H644" s="14">
        <v>0</v>
      </c>
      <c r="I644" s="229">
        <v>1</v>
      </c>
      <c r="J644" s="229">
        <v>0</v>
      </c>
      <c r="K644" s="26">
        <v>1</v>
      </c>
      <c r="L644" s="14">
        <v>0</v>
      </c>
      <c r="M644" s="229">
        <v>1</v>
      </c>
      <c r="N644" s="229">
        <v>0</v>
      </c>
      <c r="O644" s="229">
        <v>0</v>
      </c>
      <c r="P644" s="26">
        <v>1</v>
      </c>
      <c r="Q644" s="14">
        <v>1</v>
      </c>
      <c r="R644" s="229">
        <v>0</v>
      </c>
      <c r="S644" s="229">
        <v>0</v>
      </c>
      <c r="T644" s="229">
        <v>0</v>
      </c>
      <c r="U644" s="229">
        <v>0</v>
      </c>
      <c r="V644" s="229">
        <v>0</v>
      </c>
      <c r="W644" s="229">
        <v>20</v>
      </c>
      <c r="X644" s="229">
        <v>0</v>
      </c>
      <c r="Y644" s="229">
        <v>0</v>
      </c>
      <c r="Z644" s="229">
        <v>0</v>
      </c>
      <c r="AA644" s="229">
        <v>0</v>
      </c>
      <c r="AC644" s="12">
        <v>2</v>
      </c>
      <c r="AD644" s="14">
        <v>3</v>
      </c>
      <c r="AE644" s="14">
        <v>170</v>
      </c>
      <c r="AF644" s="26">
        <v>557</v>
      </c>
      <c r="AG644" s="12">
        <v>120</v>
      </c>
      <c r="AH644" s="14">
        <v>1</v>
      </c>
      <c r="AI644" s="209"/>
      <c r="AJ644" s="3"/>
      <c r="AK644" s="3"/>
      <c r="AL644" s="3"/>
      <c r="AM644" s="3"/>
      <c r="AN644" s="3"/>
      <c r="AO644" s="40"/>
      <c r="AP644" s="209"/>
      <c r="AQ644" s="3"/>
      <c r="AR644" s="40"/>
      <c r="AS644" s="238"/>
    </row>
    <row r="645" spans="1:45" s="229" customFormat="1">
      <c r="A645" s="42" t="s">
        <v>323</v>
      </c>
      <c r="B645" s="386">
        <v>12.705666666666668</v>
      </c>
      <c r="C645" s="229" t="s">
        <v>692</v>
      </c>
      <c r="D645" s="229" t="s">
        <v>649</v>
      </c>
      <c r="E645" s="229" t="s">
        <v>2</v>
      </c>
      <c r="F645" s="229">
        <v>380</v>
      </c>
      <c r="G645" s="40">
        <f>F645/131</f>
        <v>2.9007633587786259</v>
      </c>
      <c r="H645" s="14">
        <v>0</v>
      </c>
      <c r="I645" s="229">
        <v>1</v>
      </c>
      <c r="J645" s="229">
        <v>0</v>
      </c>
      <c r="K645" s="26">
        <v>0</v>
      </c>
      <c r="L645" s="14">
        <v>0</v>
      </c>
      <c r="M645" s="229">
        <v>0</v>
      </c>
      <c r="N645" s="229">
        <v>0</v>
      </c>
      <c r="O645" s="229">
        <v>1</v>
      </c>
      <c r="P645" s="26">
        <v>1</v>
      </c>
      <c r="Q645" s="14">
        <v>0</v>
      </c>
      <c r="R645" s="229">
        <v>0</v>
      </c>
      <c r="S645" s="229">
        <v>0</v>
      </c>
      <c r="T645" s="229">
        <v>0</v>
      </c>
      <c r="U645" s="229">
        <v>0</v>
      </c>
      <c r="V645" s="229">
        <v>0</v>
      </c>
      <c r="W645" s="229">
        <v>0</v>
      </c>
      <c r="X645" s="229">
        <v>0</v>
      </c>
      <c r="Y645" s="229">
        <v>0</v>
      </c>
      <c r="Z645" s="229">
        <v>0</v>
      </c>
      <c r="AA645" s="229">
        <v>0</v>
      </c>
      <c r="AC645" s="12">
        <v>1</v>
      </c>
      <c r="AD645" s="14">
        <v>1</v>
      </c>
      <c r="AE645" s="14">
        <v>0</v>
      </c>
      <c r="AF645" s="26">
        <v>0</v>
      </c>
      <c r="AG645" s="12">
        <v>120</v>
      </c>
      <c r="AH645" s="14">
        <v>0</v>
      </c>
      <c r="AI645" s="209"/>
      <c r="AJ645" s="3"/>
      <c r="AK645" s="3"/>
      <c r="AL645" s="3"/>
      <c r="AM645" s="3"/>
      <c r="AN645" s="3"/>
      <c r="AO645" s="40"/>
      <c r="AP645" s="209"/>
      <c r="AQ645" s="3"/>
      <c r="AR645" s="40"/>
      <c r="AS645" s="238"/>
    </row>
    <row r="646" spans="1:45" s="229" customFormat="1">
      <c r="A646" s="42" t="s">
        <v>323</v>
      </c>
      <c r="B646" s="386">
        <v>12.705666666666668</v>
      </c>
      <c r="C646" s="229" t="s">
        <v>692</v>
      </c>
      <c r="D646" s="229" t="s">
        <v>669</v>
      </c>
      <c r="E646" s="229" t="s">
        <v>0</v>
      </c>
      <c r="F646" s="229">
        <v>327</v>
      </c>
      <c r="G646" s="40">
        <f>F646/325</f>
        <v>1.0061538461538462</v>
      </c>
      <c r="H646" s="14">
        <v>0</v>
      </c>
      <c r="I646" s="229">
        <v>0</v>
      </c>
      <c r="J646" s="229">
        <v>0</v>
      </c>
      <c r="K646" s="26">
        <v>1</v>
      </c>
      <c r="L646" s="14">
        <v>0</v>
      </c>
      <c r="M646" s="229">
        <v>0</v>
      </c>
      <c r="N646" s="229">
        <v>1</v>
      </c>
      <c r="O646" s="229">
        <v>0</v>
      </c>
      <c r="P646" s="26">
        <v>1</v>
      </c>
      <c r="Q646" s="14">
        <v>7</v>
      </c>
      <c r="R646" s="229">
        <v>0</v>
      </c>
      <c r="S646" s="229">
        <v>79</v>
      </c>
      <c r="T646" s="229">
        <v>0</v>
      </c>
      <c r="U646" s="229">
        <v>0</v>
      </c>
      <c r="V646" s="229">
        <v>0</v>
      </c>
      <c r="W646" s="229">
        <v>0</v>
      </c>
      <c r="X646" s="229">
        <v>0</v>
      </c>
      <c r="Y646" s="229">
        <v>0</v>
      </c>
      <c r="Z646" s="229">
        <v>0</v>
      </c>
      <c r="AA646" s="229">
        <v>0</v>
      </c>
      <c r="AC646" s="12">
        <v>2</v>
      </c>
      <c r="AD646" s="14">
        <v>8</v>
      </c>
      <c r="AE646" s="14">
        <v>34</v>
      </c>
      <c r="AF646" s="26">
        <v>333</v>
      </c>
      <c r="AG646" s="12">
        <v>78</v>
      </c>
      <c r="AH646" s="14">
        <v>0</v>
      </c>
      <c r="AI646" s="209"/>
      <c r="AJ646" s="3"/>
      <c r="AK646" s="3"/>
      <c r="AL646" s="3"/>
      <c r="AM646" s="3"/>
      <c r="AN646" s="3"/>
      <c r="AO646" s="40"/>
      <c r="AP646" s="209"/>
      <c r="AQ646" s="3"/>
      <c r="AR646" s="40"/>
      <c r="AS646" s="238"/>
    </row>
    <row r="647" spans="1:45" s="229" customFormat="1">
      <c r="A647" s="42" t="s">
        <v>323</v>
      </c>
      <c r="B647" s="386">
        <v>12.705666666666668</v>
      </c>
      <c r="C647" s="229" t="s">
        <v>692</v>
      </c>
      <c r="D647" s="229" t="s">
        <v>669</v>
      </c>
      <c r="E647" s="229" t="s">
        <v>1</v>
      </c>
      <c r="F647" s="229">
        <v>251</v>
      </c>
      <c r="G647" s="40">
        <f>F647/161</f>
        <v>1.5590062111801242</v>
      </c>
      <c r="H647" s="14">
        <v>0</v>
      </c>
      <c r="I647" s="229">
        <v>1</v>
      </c>
      <c r="J647" s="229">
        <v>0</v>
      </c>
      <c r="K647" s="26">
        <v>0</v>
      </c>
      <c r="L647" s="14">
        <v>0</v>
      </c>
      <c r="M647" s="229">
        <v>0</v>
      </c>
      <c r="N647" s="229">
        <v>1</v>
      </c>
      <c r="O647" s="229">
        <v>0</v>
      </c>
      <c r="P647" s="26">
        <v>1</v>
      </c>
      <c r="Q647" s="14">
        <v>0</v>
      </c>
      <c r="R647" s="229">
        <v>0</v>
      </c>
      <c r="S647" s="229">
        <v>0</v>
      </c>
      <c r="T647" s="229">
        <v>0</v>
      </c>
      <c r="U647" s="229">
        <v>0</v>
      </c>
      <c r="V647" s="229">
        <v>0</v>
      </c>
      <c r="W647" s="229">
        <v>0</v>
      </c>
      <c r="X647" s="229">
        <v>0</v>
      </c>
      <c r="Y647" s="229">
        <v>0</v>
      </c>
      <c r="Z647" s="229">
        <v>0</v>
      </c>
      <c r="AA647" s="229">
        <v>0</v>
      </c>
      <c r="AC647" s="12">
        <v>1</v>
      </c>
      <c r="AD647" s="14">
        <v>1</v>
      </c>
      <c r="AE647" s="14">
        <v>0</v>
      </c>
      <c r="AF647" s="26">
        <v>0</v>
      </c>
      <c r="AG647" s="12">
        <v>78</v>
      </c>
      <c r="AH647" s="14">
        <v>0</v>
      </c>
      <c r="AI647" s="209"/>
      <c r="AJ647" s="3"/>
      <c r="AK647" s="3"/>
      <c r="AL647" s="3"/>
      <c r="AM647" s="3"/>
      <c r="AN647" s="3"/>
      <c r="AO647" s="40"/>
      <c r="AP647" s="209"/>
      <c r="AQ647" s="3"/>
      <c r="AR647" s="40"/>
      <c r="AS647" s="238"/>
    </row>
    <row r="648" spans="1:45" s="229" customFormat="1">
      <c r="A648" s="42" t="s">
        <v>323</v>
      </c>
      <c r="B648" s="386">
        <v>12.705666666666668</v>
      </c>
      <c r="C648" s="229" t="s">
        <v>692</v>
      </c>
      <c r="D648" s="229" t="s">
        <v>669</v>
      </c>
      <c r="E648" s="229" t="s">
        <v>2</v>
      </c>
      <c r="F648" s="229">
        <v>390</v>
      </c>
      <c r="G648" s="40">
        <f>F648/155</f>
        <v>2.5161290322580645</v>
      </c>
      <c r="H648" s="14">
        <v>1</v>
      </c>
      <c r="I648" s="229">
        <v>0</v>
      </c>
      <c r="J648" s="229">
        <v>0</v>
      </c>
      <c r="K648" s="26">
        <v>1</v>
      </c>
      <c r="L648" s="14">
        <v>0</v>
      </c>
      <c r="M648" s="229">
        <v>0</v>
      </c>
      <c r="N648" s="229">
        <v>1</v>
      </c>
      <c r="O648" s="229">
        <v>0</v>
      </c>
      <c r="P648" s="26">
        <v>1</v>
      </c>
      <c r="Q648" s="14">
        <v>2</v>
      </c>
      <c r="R648" s="229">
        <v>0</v>
      </c>
      <c r="S648" s="229">
        <v>0</v>
      </c>
      <c r="T648" s="229">
        <v>0</v>
      </c>
      <c r="U648" s="229">
        <v>0</v>
      </c>
      <c r="V648" s="229">
        <v>0</v>
      </c>
      <c r="W648" s="229">
        <v>19</v>
      </c>
      <c r="X648" s="229">
        <v>0</v>
      </c>
      <c r="Y648" s="229">
        <v>0</v>
      </c>
      <c r="Z648" s="229">
        <v>0</v>
      </c>
      <c r="AA648" s="229">
        <v>0</v>
      </c>
      <c r="AC648" s="12">
        <v>2</v>
      </c>
      <c r="AD648" s="14">
        <v>3</v>
      </c>
      <c r="AE648" s="14">
        <v>120</v>
      </c>
      <c r="AF648" s="26">
        <v>264</v>
      </c>
      <c r="AG648" s="12">
        <v>78</v>
      </c>
      <c r="AH648" s="14">
        <v>0</v>
      </c>
      <c r="AI648" s="209"/>
      <c r="AJ648" s="3"/>
      <c r="AK648" s="3"/>
      <c r="AL648" s="3"/>
      <c r="AM648" s="3"/>
      <c r="AN648" s="3"/>
      <c r="AO648" s="40"/>
      <c r="AP648" s="209"/>
      <c r="AQ648" s="3"/>
      <c r="AR648" s="40"/>
      <c r="AS648" s="238"/>
    </row>
    <row r="649" spans="1:45" s="229" customFormat="1">
      <c r="A649" s="42" t="s">
        <v>323</v>
      </c>
      <c r="B649" s="386">
        <v>12.705666666666668</v>
      </c>
      <c r="C649" s="229" t="s">
        <v>692</v>
      </c>
      <c r="D649" s="229" t="s">
        <v>670</v>
      </c>
      <c r="E649" s="229" t="s">
        <v>0</v>
      </c>
      <c r="F649" s="229">
        <v>833</v>
      </c>
      <c r="G649" s="40">
        <f>F649/353</f>
        <v>2.3597733711048159</v>
      </c>
      <c r="H649" s="14">
        <v>1</v>
      </c>
      <c r="I649" s="229">
        <v>0</v>
      </c>
      <c r="J649" s="229">
        <v>0</v>
      </c>
      <c r="K649" s="26">
        <v>1</v>
      </c>
      <c r="L649" s="14">
        <v>0</v>
      </c>
      <c r="M649" s="229">
        <v>0</v>
      </c>
      <c r="N649" s="229">
        <v>1</v>
      </c>
      <c r="O649" s="229">
        <v>0</v>
      </c>
      <c r="P649" s="26">
        <v>1</v>
      </c>
      <c r="Q649" s="14">
        <v>2</v>
      </c>
      <c r="R649" s="229">
        <v>10</v>
      </c>
      <c r="S649" s="229">
        <v>27</v>
      </c>
      <c r="T649" s="229">
        <v>0</v>
      </c>
      <c r="U649" s="229">
        <v>0</v>
      </c>
      <c r="V649" s="229">
        <v>0</v>
      </c>
      <c r="W649" s="229">
        <v>0</v>
      </c>
      <c r="X649" s="229">
        <v>0</v>
      </c>
      <c r="Y649" s="229">
        <v>0</v>
      </c>
      <c r="Z649" s="229">
        <v>0</v>
      </c>
      <c r="AA649" s="229">
        <v>0</v>
      </c>
      <c r="AC649" s="12">
        <v>2</v>
      </c>
      <c r="AD649" s="14">
        <v>7</v>
      </c>
      <c r="AE649" s="14">
        <v>157</v>
      </c>
      <c r="AF649" s="26">
        <v>444</v>
      </c>
      <c r="AG649" s="12">
        <v>102</v>
      </c>
      <c r="AH649" s="14">
        <v>1</v>
      </c>
      <c r="AI649" s="209"/>
      <c r="AJ649" s="3"/>
      <c r="AK649" s="3"/>
      <c r="AL649" s="3"/>
      <c r="AM649" s="3"/>
      <c r="AN649" s="3"/>
      <c r="AO649" s="40"/>
      <c r="AP649" s="209"/>
      <c r="AQ649" s="3"/>
      <c r="AR649" s="40"/>
      <c r="AS649" s="238"/>
    </row>
    <row r="650" spans="1:45" s="229" customFormat="1">
      <c r="A650" s="42" t="s">
        <v>323</v>
      </c>
      <c r="B650" s="386">
        <v>12.705666666666668</v>
      </c>
      <c r="C650" s="229" t="s">
        <v>692</v>
      </c>
      <c r="D650" s="229" t="s">
        <v>670</v>
      </c>
      <c r="E650" s="229" t="s">
        <v>1</v>
      </c>
      <c r="F650" s="229">
        <v>202</v>
      </c>
      <c r="G650" s="40">
        <f>F650/96</f>
        <v>2.1041666666666665</v>
      </c>
      <c r="H650" s="14">
        <v>1</v>
      </c>
      <c r="I650" s="229">
        <v>0</v>
      </c>
      <c r="J650" s="229">
        <v>0</v>
      </c>
      <c r="K650" s="26">
        <v>0</v>
      </c>
      <c r="L650" s="14">
        <v>0</v>
      </c>
      <c r="M650" s="229">
        <v>0</v>
      </c>
      <c r="N650" s="229">
        <v>0</v>
      </c>
      <c r="O650" s="229">
        <v>0</v>
      </c>
      <c r="P650" s="26">
        <v>0</v>
      </c>
      <c r="Q650" s="14">
        <v>0</v>
      </c>
      <c r="R650" s="229">
        <v>0</v>
      </c>
      <c r="S650" s="229">
        <v>0</v>
      </c>
      <c r="T650" s="229">
        <v>0</v>
      </c>
      <c r="U650" s="229">
        <v>0</v>
      </c>
      <c r="V650" s="229">
        <v>0</v>
      </c>
      <c r="W650" s="229">
        <v>0</v>
      </c>
      <c r="X650" s="229">
        <v>0</v>
      </c>
      <c r="Y650" s="229">
        <v>0</v>
      </c>
      <c r="Z650" s="229">
        <v>0</v>
      </c>
      <c r="AA650" s="229">
        <v>0</v>
      </c>
      <c r="AC650" s="12">
        <v>1</v>
      </c>
      <c r="AD650" s="14">
        <v>1</v>
      </c>
      <c r="AE650" s="14">
        <v>0</v>
      </c>
      <c r="AF650" s="26">
        <v>0</v>
      </c>
      <c r="AG650" s="12">
        <v>102</v>
      </c>
      <c r="AH650" s="14">
        <v>0</v>
      </c>
      <c r="AI650" s="209"/>
      <c r="AJ650" s="3"/>
      <c r="AK650" s="3"/>
      <c r="AL650" s="3"/>
      <c r="AM650" s="3"/>
      <c r="AN650" s="3"/>
      <c r="AO650" s="40"/>
      <c r="AP650" s="209"/>
      <c r="AQ650" s="3"/>
      <c r="AR650" s="40"/>
      <c r="AS650" s="238"/>
    </row>
    <row r="651" spans="1:45" s="229" customFormat="1">
      <c r="A651" s="42" t="s">
        <v>323</v>
      </c>
      <c r="B651" s="386">
        <v>12.705666666666668</v>
      </c>
      <c r="C651" s="229" t="s">
        <v>692</v>
      </c>
      <c r="D651" s="229" t="s">
        <v>671</v>
      </c>
      <c r="E651" s="229" t="s">
        <v>0</v>
      </c>
      <c r="F651" s="229">
        <v>604</v>
      </c>
      <c r="G651" s="40">
        <f>F651/416</f>
        <v>1.4519230769230769</v>
      </c>
      <c r="H651" s="14">
        <v>0</v>
      </c>
      <c r="I651" s="229">
        <v>1</v>
      </c>
      <c r="J651" s="229">
        <v>0</v>
      </c>
      <c r="K651" s="26">
        <v>0</v>
      </c>
      <c r="L651" s="14">
        <v>0</v>
      </c>
      <c r="M651" s="229">
        <v>1</v>
      </c>
      <c r="N651" s="229">
        <v>0</v>
      </c>
      <c r="O651" s="229">
        <v>0</v>
      </c>
      <c r="P651" s="26">
        <v>1</v>
      </c>
      <c r="Q651" s="14">
        <v>3</v>
      </c>
      <c r="R651" s="229">
        <v>0</v>
      </c>
      <c r="S651" s="229">
        <v>0</v>
      </c>
      <c r="T651" s="229">
        <v>0</v>
      </c>
      <c r="U651" s="229">
        <v>0</v>
      </c>
      <c r="V651" s="229">
        <v>0</v>
      </c>
      <c r="W651" s="229">
        <v>55</v>
      </c>
      <c r="X651" s="229">
        <v>0</v>
      </c>
      <c r="Y651" s="229">
        <v>0</v>
      </c>
      <c r="Z651" s="229">
        <v>0</v>
      </c>
      <c r="AA651" s="229">
        <v>0</v>
      </c>
      <c r="AC651" s="12">
        <v>2</v>
      </c>
      <c r="AD651" s="14">
        <v>2</v>
      </c>
      <c r="AE651" s="14">
        <v>277</v>
      </c>
      <c r="AF651" s="26">
        <v>604</v>
      </c>
      <c r="AG651" s="12">
        <v>122</v>
      </c>
      <c r="AH651" s="14">
        <v>0</v>
      </c>
      <c r="AI651" s="209"/>
      <c r="AJ651" s="3"/>
      <c r="AK651" s="3"/>
      <c r="AL651" s="3"/>
      <c r="AM651" s="3"/>
      <c r="AN651" s="3"/>
      <c r="AO651" s="40"/>
      <c r="AP651" s="209"/>
      <c r="AQ651" s="3"/>
      <c r="AR651" s="40"/>
      <c r="AS651" s="238"/>
    </row>
    <row r="652" spans="1:45" s="229" customFormat="1">
      <c r="A652" s="42" t="s">
        <v>323</v>
      </c>
      <c r="B652" s="386">
        <v>12.705666666666668</v>
      </c>
      <c r="C652" s="229" t="s">
        <v>692</v>
      </c>
      <c r="D652" s="229" t="s">
        <v>671</v>
      </c>
      <c r="E652" s="229" t="s">
        <v>1</v>
      </c>
      <c r="F652" s="229">
        <v>284</v>
      </c>
      <c r="G652" s="40">
        <f>F652/272</f>
        <v>1.0441176470588236</v>
      </c>
      <c r="H652" s="14">
        <v>1</v>
      </c>
      <c r="I652" s="229">
        <v>0</v>
      </c>
      <c r="J652" s="229">
        <v>0</v>
      </c>
      <c r="K652" s="26">
        <v>1</v>
      </c>
      <c r="L652" s="14">
        <v>0</v>
      </c>
      <c r="M652" s="229">
        <v>0</v>
      </c>
      <c r="N652" s="229">
        <v>0</v>
      </c>
      <c r="O652" s="229">
        <v>0</v>
      </c>
      <c r="P652" s="26">
        <v>0</v>
      </c>
      <c r="Q652" s="14">
        <v>0</v>
      </c>
      <c r="R652" s="229">
        <v>0</v>
      </c>
      <c r="S652" s="229">
        <v>0</v>
      </c>
      <c r="T652" s="229">
        <v>0</v>
      </c>
      <c r="U652" s="229">
        <v>0</v>
      </c>
      <c r="V652" s="229">
        <v>0</v>
      </c>
      <c r="W652" s="229">
        <v>0</v>
      </c>
      <c r="X652" s="229">
        <v>0</v>
      </c>
      <c r="Y652" s="229">
        <v>0</v>
      </c>
      <c r="Z652" s="229">
        <v>0</v>
      </c>
      <c r="AA652" s="229">
        <v>0</v>
      </c>
      <c r="AC652" s="12">
        <v>2</v>
      </c>
      <c r="AD652" s="14">
        <v>7</v>
      </c>
      <c r="AE652" s="14">
        <v>50</v>
      </c>
      <c r="AF652" s="26">
        <v>125</v>
      </c>
      <c r="AG652" s="12">
        <v>122</v>
      </c>
      <c r="AH652" s="14">
        <v>0</v>
      </c>
      <c r="AI652" s="209"/>
      <c r="AJ652" s="3"/>
      <c r="AK652" s="3"/>
      <c r="AL652" s="3"/>
      <c r="AM652" s="3"/>
      <c r="AN652" s="3"/>
      <c r="AO652" s="40"/>
      <c r="AP652" s="209"/>
      <c r="AQ652" s="3"/>
      <c r="AR652" s="40"/>
      <c r="AS652" s="238"/>
    </row>
    <row r="653" spans="1:45" s="229" customFormat="1">
      <c r="A653" s="42" t="s">
        <v>323</v>
      </c>
      <c r="B653" s="386">
        <v>12.705666666666668</v>
      </c>
      <c r="C653" s="229" t="s">
        <v>692</v>
      </c>
      <c r="D653" s="229" t="s">
        <v>671</v>
      </c>
      <c r="E653" s="229" t="s">
        <v>2</v>
      </c>
      <c r="F653" s="229">
        <v>318</v>
      </c>
      <c r="G653" s="40">
        <f>F653/237</f>
        <v>1.3417721518987342</v>
      </c>
      <c r="H653" s="14">
        <v>1</v>
      </c>
      <c r="I653" s="229">
        <v>0</v>
      </c>
      <c r="J653" s="229">
        <v>0</v>
      </c>
      <c r="K653" s="26">
        <v>0</v>
      </c>
      <c r="L653" s="14">
        <v>0</v>
      </c>
      <c r="M653" s="229">
        <v>0</v>
      </c>
      <c r="N653" s="229">
        <v>0</v>
      </c>
      <c r="O653" s="229">
        <v>0</v>
      </c>
      <c r="P653" s="26">
        <v>0</v>
      </c>
      <c r="Q653" s="14">
        <v>3</v>
      </c>
      <c r="R653" s="229">
        <v>0</v>
      </c>
      <c r="S653" s="229">
        <v>30</v>
      </c>
      <c r="T653" s="229">
        <v>0</v>
      </c>
      <c r="U653" s="229">
        <v>0</v>
      </c>
      <c r="V653" s="229">
        <v>0</v>
      </c>
      <c r="W653" s="229">
        <v>0</v>
      </c>
      <c r="X653" s="229">
        <v>0</v>
      </c>
      <c r="Y653" s="229">
        <v>0</v>
      </c>
      <c r="Z653" s="229">
        <v>0</v>
      </c>
      <c r="AA653" s="229">
        <v>0</v>
      </c>
      <c r="AC653" s="12">
        <v>2</v>
      </c>
      <c r="AD653" s="14">
        <v>3</v>
      </c>
      <c r="AE653" s="14">
        <v>152</v>
      </c>
      <c r="AF653" s="26">
        <v>240</v>
      </c>
      <c r="AG653" s="12">
        <v>122</v>
      </c>
      <c r="AH653" s="14">
        <v>1</v>
      </c>
      <c r="AI653" s="209"/>
      <c r="AJ653" s="3"/>
      <c r="AK653" s="3"/>
      <c r="AL653" s="3"/>
      <c r="AM653" s="3"/>
      <c r="AN653" s="3"/>
      <c r="AO653" s="40"/>
      <c r="AP653" s="209"/>
      <c r="AQ653" s="3"/>
      <c r="AR653" s="40"/>
      <c r="AS653" s="238"/>
    </row>
    <row r="654" spans="1:45" s="229" customFormat="1">
      <c r="A654" s="42" t="s">
        <v>323</v>
      </c>
      <c r="B654" s="386">
        <v>12.705666666666668</v>
      </c>
      <c r="C654" s="229" t="s">
        <v>692</v>
      </c>
      <c r="D654" s="229" t="s">
        <v>672</v>
      </c>
      <c r="F654" s="229">
        <v>877</v>
      </c>
      <c r="G654" s="40">
        <f>F654/616</f>
        <v>1.4237012987012987</v>
      </c>
      <c r="H654" s="14">
        <v>0</v>
      </c>
      <c r="I654" s="229">
        <v>1</v>
      </c>
      <c r="J654" s="229">
        <v>0</v>
      </c>
      <c r="K654" s="26">
        <v>1</v>
      </c>
      <c r="L654" s="14">
        <v>0</v>
      </c>
      <c r="M654" s="229">
        <v>1</v>
      </c>
      <c r="N654" s="229">
        <v>0</v>
      </c>
      <c r="O654" s="229">
        <v>0</v>
      </c>
      <c r="P654" s="26">
        <v>1</v>
      </c>
      <c r="Q654" s="14">
        <v>1</v>
      </c>
      <c r="R654" s="229">
        <v>0</v>
      </c>
      <c r="S654" s="229">
        <v>0</v>
      </c>
      <c r="T654" s="229">
        <v>0</v>
      </c>
      <c r="U654" s="229">
        <v>0</v>
      </c>
      <c r="V654" s="229">
        <v>0</v>
      </c>
      <c r="W654" s="229">
        <v>30</v>
      </c>
      <c r="X654" s="229">
        <v>0</v>
      </c>
      <c r="Y654" s="229">
        <v>0</v>
      </c>
      <c r="Z654" s="229">
        <v>0</v>
      </c>
      <c r="AA654" s="229">
        <v>0</v>
      </c>
      <c r="AC654" s="12">
        <v>2</v>
      </c>
      <c r="AD654" s="14">
        <v>2</v>
      </c>
      <c r="AE654" s="14">
        <v>180</v>
      </c>
      <c r="AF654" s="26">
        <v>877</v>
      </c>
      <c r="AG654" s="12">
        <v>106</v>
      </c>
      <c r="AH654" s="14">
        <v>1</v>
      </c>
      <c r="AI654" s="209"/>
      <c r="AJ654" s="3"/>
      <c r="AK654" s="3"/>
      <c r="AL654" s="3"/>
      <c r="AM654" s="3"/>
      <c r="AN654" s="3"/>
      <c r="AO654" s="40"/>
      <c r="AP654" s="209"/>
      <c r="AQ654" s="3"/>
      <c r="AR654" s="40"/>
      <c r="AS654" s="238"/>
    </row>
    <row r="655" spans="1:45" s="229" customFormat="1">
      <c r="A655" s="42" t="s">
        <v>323</v>
      </c>
      <c r="B655" s="386">
        <v>12.705666666666668</v>
      </c>
      <c r="C655" s="229" t="s">
        <v>692</v>
      </c>
      <c r="D655" s="229" t="s">
        <v>673</v>
      </c>
      <c r="E655" s="229" t="s">
        <v>0</v>
      </c>
      <c r="F655" s="229">
        <v>217</v>
      </c>
      <c r="G655" s="40">
        <f>F655/159</f>
        <v>1.3647798742138364</v>
      </c>
      <c r="H655" s="14">
        <v>1</v>
      </c>
      <c r="I655" s="229">
        <v>0</v>
      </c>
      <c r="J655" s="229">
        <v>0</v>
      </c>
      <c r="K655" s="26">
        <v>0</v>
      </c>
      <c r="L655" s="14">
        <v>0</v>
      </c>
      <c r="M655" s="229">
        <v>0</v>
      </c>
      <c r="N655" s="229">
        <v>0</v>
      </c>
      <c r="O655" s="229">
        <v>0</v>
      </c>
      <c r="P655" s="26">
        <v>0</v>
      </c>
      <c r="Q655" s="14">
        <v>10</v>
      </c>
      <c r="R655" s="229">
        <v>22</v>
      </c>
      <c r="S655" s="229">
        <v>23</v>
      </c>
      <c r="T655" s="229">
        <v>0</v>
      </c>
      <c r="U655" s="229">
        <v>0</v>
      </c>
      <c r="V655" s="229">
        <v>0</v>
      </c>
      <c r="W655" s="229">
        <v>0</v>
      </c>
      <c r="X655" s="229">
        <v>0</v>
      </c>
      <c r="Y655" s="229">
        <v>0</v>
      </c>
      <c r="Z655" s="229">
        <v>0</v>
      </c>
      <c r="AA655" s="229">
        <v>0</v>
      </c>
      <c r="AC655" s="12">
        <v>1</v>
      </c>
      <c r="AD655" s="14">
        <v>1</v>
      </c>
      <c r="AE655" s="14">
        <v>0</v>
      </c>
      <c r="AF655" s="26">
        <v>0</v>
      </c>
      <c r="AG655" s="12">
        <v>98</v>
      </c>
      <c r="AH655" s="14">
        <v>0</v>
      </c>
      <c r="AI655" s="209"/>
      <c r="AJ655" s="3"/>
      <c r="AK655" s="3"/>
      <c r="AL655" s="3"/>
      <c r="AM655" s="3"/>
      <c r="AN655" s="3"/>
      <c r="AO655" s="40"/>
      <c r="AP655" s="209"/>
      <c r="AQ655" s="3"/>
      <c r="AR655" s="40"/>
      <c r="AS655" s="238"/>
    </row>
    <row r="656" spans="1:45" s="229" customFormat="1">
      <c r="A656" s="42" t="s">
        <v>323</v>
      </c>
      <c r="B656" s="386">
        <v>12.705666666666668</v>
      </c>
      <c r="C656" s="229" t="s">
        <v>692</v>
      </c>
      <c r="D656" s="229" t="s">
        <v>673</v>
      </c>
      <c r="E656" s="229" t="s">
        <v>1</v>
      </c>
      <c r="F656" s="229">
        <v>420</v>
      </c>
      <c r="G656" s="40">
        <f>F656/410</f>
        <v>1.024390243902439</v>
      </c>
      <c r="H656" s="14">
        <v>0</v>
      </c>
      <c r="I656" s="229">
        <v>0</v>
      </c>
      <c r="J656" s="229">
        <v>1</v>
      </c>
      <c r="K656" s="26">
        <v>0</v>
      </c>
      <c r="L656" s="14">
        <v>0</v>
      </c>
      <c r="M656" s="229">
        <v>0</v>
      </c>
      <c r="N656" s="229">
        <v>1</v>
      </c>
      <c r="O656" s="229">
        <v>0</v>
      </c>
      <c r="P656" s="26">
        <v>1</v>
      </c>
      <c r="Q656" s="14">
        <v>0</v>
      </c>
      <c r="R656" s="229">
        <v>0</v>
      </c>
      <c r="S656" s="229">
        <v>0</v>
      </c>
      <c r="T656" s="229">
        <v>0</v>
      </c>
      <c r="U656" s="229">
        <v>0</v>
      </c>
      <c r="V656" s="229">
        <v>0</v>
      </c>
      <c r="W656" s="229">
        <v>0</v>
      </c>
      <c r="X656" s="229">
        <v>0</v>
      </c>
      <c r="Y656" s="229">
        <v>0</v>
      </c>
      <c r="Z656" s="229">
        <v>0</v>
      </c>
      <c r="AA656" s="229">
        <v>0</v>
      </c>
      <c r="AC656" s="12">
        <v>1</v>
      </c>
      <c r="AD656" s="14">
        <v>1</v>
      </c>
      <c r="AE656" s="14">
        <v>0</v>
      </c>
      <c r="AF656" s="26">
        <v>0</v>
      </c>
      <c r="AG656" s="12">
        <v>98</v>
      </c>
      <c r="AH656" s="14">
        <v>0</v>
      </c>
      <c r="AI656" s="209"/>
      <c r="AJ656" s="3"/>
      <c r="AK656" s="3"/>
      <c r="AL656" s="3"/>
      <c r="AM656" s="3"/>
      <c r="AN656" s="3"/>
      <c r="AO656" s="40"/>
      <c r="AP656" s="209"/>
      <c r="AQ656" s="3"/>
      <c r="AR656" s="40"/>
      <c r="AS656" s="238"/>
    </row>
    <row r="657" spans="1:45" s="229" customFormat="1">
      <c r="A657" s="42" t="s">
        <v>323</v>
      </c>
      <c r="B657" s="386">
        <v>12.705666666666668</v>
      </c>
      <c r="C657" s="229" t="s">
        <v>692</v>
      </c>
      <c r="D657" s="229" t="s">
        <v>674</v>
      </c>
      <c r="E657" s="229" t="s">
        <v>0</v>
      </c>
      <c r="F657" s="229">
        <v>339</v>
      </c>
      <c r="G657" s="40">
        <f>F657/223</f>
        <v>1.5201793721973094</v>
      </c>
      <c r="H657" s="14">
        <v>1</v>
      </c>
      <c r="I657" s="229">
        <v>0</v>
      </c>
      <c r="J657" s="229">
        <v>0</v>
      </c>
      <c r="K657" s="26">
        <v>0</v>
      </c>
      <c r="L657" s="14">
        <v>0</v>
      </c>
      <c r="M657" s="229">
        <v>0</v>
      </c>
      <c r="N657" s="229">
        <v>0</v>
      </c>
      <c r="O657" s="229">
        <v>1</v>
      </c>
      <c r="P657" s="26">
        <v>1</v>
      </c>
      <c r="Q657" s="14">
        <v>3</v>
      </c>
      <c r="R657" s="229">
        <v>0</v>
      </c>
      <c r="S657" s="229">
        <v>29</v>
      </c>
      <c r="T657" s="229">
        <v>0</v>
      </c>
      <c r="U657" s="229">
        <v>0</v>
      </c>
      <c r="V657" s="229">
        <v>0</v>
      </c>
      <c r="W657" s="229">
        <v>0</v>
      </c>
      <c r="X657" s="229">
        <v>0</v>
      </c>
      <c r="Y657" s="229">
        <v>0</v>
      </c>
      <c r="Z657" s="229">
        <v>0</v>
      </c>
      <c r="AA657" s="229">
        <v>0</v>
      </c>
      <c r="AC657" s="12">
        <v>1</v>
      </c>
      <c r="AD657" s="14">
        <v>1</v>
      </c>
      <c r="AE657" s="14">
        <v>0</v>
      </c>
      <c r="AF657" s="26">
        <v>0</v>
      </c>
      <c r="AG657" s="12">
        <v>77</v>
      </c>
      <c r="AH657" s="14">
        <v>1</v>
      </c>
      <c r="AI657" s="209"/>
      <c r="AJ657" s="3"/>
      <c r="AK657" s="3"/>
      <c r="AL657" s="3"/>
      <c r="AM657" s="3"/>
      <c r="AN657" s="3"/>
      <c r="AO657" s="40"/>
      <c r="AP657" s="209"/>
      <c r="AQ657" s="3"/>
      <c r="AR657" s="40"/>
      <c r="AS657" s="238"/>
    </row>
    <row r="658" spans="1:45" s="229" customFormat="1">
      <c r="A658" s="42" t="s">
        <v>323</v>
      </c>
      <c r="B658" s="386">
        <v>12.705666666666668</v>
      </c>
      <c r="C658" s="229" t="s">
        <v>692</v>
      </c>
      <c r="D658" s="229" t="s">
        <v>674</v>
      </c>
      <c r="E658" s="229" t="s">
        <v>1</v>
      </c>
      <c r="F658" s="229">
        <v>233</v>
      </c>
      <c r="G658" s="40">
        <f>F658/152</f>
        <v>1.5328947368421053</v>
      </c>
      <c r="H658" s="14">
        <v>0</v>
      </c>
      <c r="I658" s="229">
        <v>0</v>
      </c>
      <c r="J658" s="229">
        <v>0</v>
      </c>
      <c r="K658" s="26">
        <v>1</v>
      </c>
      <c r="L658" s="14">
        <v>0</v>
      </c>
      <c r="M658" s="229">
        <v>0</v>
      </c>
      <c r="N658" s="229">
        <v>0</v>
      </c>
      <c r="O658" s="229">
        <v>0</v>
      </c>
      <c r="P658" s="26">
        <v>0</v>
      </c>
      <c r="Q658" s="14">
        <v>0</v>
      </c>
      <c r="R658" s="229">
        <v>0</v>
      </c>
      <c r="S658" s="229">
        <v>0</v>
      </c>
      <c r="T658" s="229">
        <v>0</v>
      </c>
      <c r="U658" s="229">
        <v>0</v>
      </c>
      <c r="V658" s="229">
        <v>0</v>
      </c>
      <c r="W658" s="229">
        <v>0</v>
      </c>
      <c r="X658" s="229">
        <v>0</v>
      </c>
      <c r="Y658" s="229">
        <v>0</v>
      </c>
      <c r="Z658" s="229">
        <v>0</v>
      </c>
      <c r="AA658" s="229">
        <v>0</v>
      </c>
      <c r="AC658" s="12">
        <v>1</v>
      </c>
      <c r="AD658" s="14">
        <v>1</v>
      </c>
      <c r="AE658" s="14">
        <v>0</v>
      </c>
      <c r="AF658" s="26">
        <v>0</v>
      </c>
      <c r="AG658" s="12">
        <v>77</v>
      </c>
      <c r="AH658" s="14">
        <v>0</v>
      </c>
      <c r="AI658" s="209"/>
      <c r="AJ658" s="3"/>
      <c r="AK658" s="3"/>
      <c r="AL658" s="3"/>
      <c r="AM658" s="3"/>
      <c r="AN658" s="3"/>
      <c r="AO658" s="40"/>
      <c r="AP658" s="209"/>
      <c r="AQ658" s="3"/>
      <c r="AR658" s="40"/>
      <c r="AS658" s="238"/>
    </row>
    <row r="659" spans="1:45" s="229" customFormat="1">
      <c r="A659" s="42" t="s">
        <v>323</v>
      </c>
      <c r="B659" s="386">
        <v>12.705666666666668</v>
      </c>
      <c r="C659" s="229" t="s">
        <v>692</v>
      </c>
      <c r="D659" s="229" t="s">
        <v>674</v>
      </c>
      <c r="E659" s="229" t="s">
        <v>2</v>
      </c>
      <c r="F659" s="229">
        <v>100</v>
      </c>
      <c r="G659" s="40">
        <f>F659/59</f>
        <v>1.6949152542372881</v>
      </c>
      <c r="H659" s="14">
        <v>1</v>
      </c>
      <c r="I659" s="229">
        <v>0</v>
      </c>
      <c r="J659" s="229">
        <v>0</v>
      </c>
      <c r="K659" s="26">
        <v>0</v>
      </c>
      <c r="L659" s="14">
        <v>0</v>
      </c>
      <c r="M659" s="229">
        <v>0</v>
      </c>
      <c r="N659" s="229">
        <v>1</v>
      </c>
      <c r="O659" s="229">
        <v>0</v>
      </c>
      <c r="P659" s="26">
        <v>1</v>
      </c>
      <c r="Q659" s="14">
        <v>0</v>
      </c>
      <c r="R659" s="229">
        <v>0</v>
      </c>
      <c r="S659" s="229">
        <v>0</v>
      </c>
      <c r="T659" s="229">
        <v>0</v>
      </c>
      <c r="U659" s="229">
        <v>0</v>
      </c>
      <c r="V659" s="229">
        <v>0</v>
      </c>
      <c r="W659" s="229">
        <v>0</v>
      </c>
      <c r="X659" s="229">
        <v>0</v>
      </c>
      <c r="Y659" s="229">
        <v>0</v>
      </c>
      <c r="Z659" s="229">
        <v>0</v>
      </c>
      <c r="AA659" s="229">
        <v>0</v>
      </c>
      <c r="AC659" s="12">
        <v>1</v>
      </c>
      <c r="AD659" s="14">
        <v>1</v>
      </c>
      <c r="AE659" s="14">
        <v>0</v>
      </c>
      <c r="AF659" s="26">
        <v>0</v>
      </c>
      <c r="AG659" s="12">
        <v>77</v>
      </c>
      <c r="AH659" s="14">
        <v>1</v>
      </c>
      <c r="AI659" s="209"/>
      <c r="AJ659" s="3"/>
      <c r="AK659" s="3"/>
      <c r="AL659" s="3"/>
      <c r="AM659" s="3"/>
      <c r="AN659" s="3"/>
      <c r="AO659" s="40"/>
      <c r="AP659" s="209"/>
      <c r="AQ659" s="3"/>
      <c r="AR659" s="40"/>
      <c r="AS659" s="238"/>
    </row>
    <row r="660" spans="1:45" s="229" customFormat="1">
      <c r="A660" s="42" t="s">
        <v>323</v>
      </c>
      <c r="B660" s="386">
        <v>12.705666666666668</v>
      </c>
      <c r="C660" s="229" t="s">
        <v>692</v>
      </c>
      <c r="D660" s="229" t="s">
        <v>674</v>
      </c>
      <c r="E660" s="229" t="s">
        <v>3</v>
      </c>
      <c r="F660" s="229">
        <v>268</v>
      </c>
      <c r="G660" s="40">
        <f>F660/147</f>
        <v>1.8231292517006803</v>
      </c>
      <c r="H660" s="14">
        <v>1</v>
      </c>
      <c r="I660" s="229">
        <v>0</v>
      </c>
      <c r="J660" s="229">
        <v>1</v>
      </c>
      <c r="K660" s="26">
        <v>0</v>
      </c>
      <c r="L660" s="14">
        <v>0</v>
      </c>
      <c r="M660" s="229">
        <v>0</v>
      </c>
      <c r="N660" s="229">
        <v>1</v>
      </c>
      <c r="O660" s="229">
        <v>0</v>
      </c>
      <c r="P660" s="26">
        <v>1</v>
      </c>
      <c r="Q660" s="14">
        <v>0</v>
      </c>
      <c r="R660" s="229">
        <v>0</v>
      </c>
      <c r="S660" s="229">
        <v>0</v>
      </c>
      <c r="T660" s="229">
        <v>0</v>
      </c>
      <c r="U660" s="229">
        <v>0</v>
      </c>
      <c r="V660" s="229">
        <v>0</v>
      </c>
      <c r="W660" s="229">
        <v>0</v>
      </c>
      <c r="X660" s="229">
        <v>0</v>
      </c>
      <c r="Y660" s="229">
        <v>0</v>
      </c>
      <c r="Z660" s="229">
        <v>0</v>
      </c>
      <c r="AA660" s="229">
        <v>0</v>
      </c>
      <c r="AC660" s="12">
        <v>2</v>
      </c>
      <c r="AD660" s="14">
        <v>2</v>
      </c>
      <c r="AE660" s="14">
        <v>77</v>
      </c>
      <c r="AF660" s="26">
        <v>212</v>
      </c>
      <c r="AG660" s="12">
        <v>77</v>
      </c>
      <c r="AH660" s="14">
        <v>0</v>
      </c>
      <c r="AI660" s="209"/>
      <c r="AJ660" s="3"/>
      <c r="AK660" s="3"/>
      <c r="AL660" s="3"/>
      <c r="AM660" s="3"/>
      <c r="AN660" s="3"/>
      <c r="AO660" s="40"/>
      <c r="AP660" s="209"/>
      <c r="AQ660" s="3"/>
      <c r="AR660" s="40"/>
      <c r="AS660" s="238"/>
    </row>
    <row r="661" spans="1:45" s="229" customFormat="1">
      <c r="A661" s="42" t="s">
        <v>323</v>
      </c>
      <c r="B661" s="386">
        <v>12.705666666666668</v>
      </c>
      <c r="C661" s="229" t="s">
        <v>692</v>
      </c>
      <c r="D661" s="229" t="s">
        <v>674</v>
      </c>
      <c r="E661" s="229" t="s">
        <v>4</v>
      </c>
      <c r="F661" s="229">
        <v>275</v>
      </c>
      <c r="G661" s="40">
        <f>F661/134</f>
        <v>2.0522388059701493</v>
      </c>
      <c r="H661" s="14">
        <v>1</v>
      </c>
      <c r="I661" s="229">
        <v>0</v>
      </c>
      <c r="J661" s="229">
        <v>0</v>
      </c>
      <c r="K661" s="26">
        <v>0</v>
      </c>
      <c r="L661" s="14">
        <v>0</v>
      </c>
      <c r="M661" s="229">
        <v>0</v>
      </c>
      <c r="N661" s="229">
        <v>1</v>
      </c>
      <c r="O661" s="229">
        <v>0</v>
      </c>
      <c r="P661" s="26">
        <v>1</v>
      </c>
      <c r="Q661" s="14">
        <v>1</v>
      </c>
      <c r="R661" s="229">
        <v>0</v>
      </c>
      <c r="S661" s="229">
        <v>0</v>
      </c>
      <c r="T661" s="229">
        <v>0</v>
      </c>
      <c r="U661" s="229">
        <v>0</v>
      </c>
      <c r="V661" s="229">
        <v>0</v>
      </c>
      <c r="W661" s="229">
        <v>7</v>
      </c>
      <c r="X661" s="229">
        <v>0</v>
      </c>
      <c r="Y661" s="229">
        <v>0</v>
      </c>
      <c r="Z661" s="229">
        <v>0</v>
      </c>
      <c r="AA661" s="229">
        <v>0</v>
      </c>
      <c r="AC661" s="12">
        <v>2</v>
      </c>
      <c r="AD661" s="14">
        <v>3</v>
      </c>
      <c r="AE661" s="14">
        <v>95</v>
      </c>
      <c r="AF661" s="26">
        <v>163</v>
      </c>
      <c r="AG661" s="12">
        <v>77</v>
      </c>
      <c r="AH661" s="14">
        <v>0</v>
      </c>
      <c r="AI661" s="209"/>
      <c r="AJ661" s="3"/>
      <c r="AK661" s="3"/>
      <c r="AL661" s="3"/>
      <c r="AM661" s="3"/>
      <c r="AN661" s="3"/>
      <c r="AO661" s="40"/>
      <c r="AP661" s="209"/>
      <c r="AQ661" s="3"/>
      <c r="AR661" s="40"/>
      <c r="AS661" s="238"/>
    </row>
    <row r="662" spans="1:45" s="229" customFormat="1">
      <c r="A662" s="42" t="s">
        <v>323</v>
      </c>
      <c r="B662" s="386">
        <v>12.705666666666668</v>
      </c>
      <c r="C662" s="229" t="s">
        <v>692</v>
      </c>
      <c r="D662" s="229" t="s">
        <v>674</v>
      </c>
      <c r="E662" s="229" t="s">
        <v>5</v>
      </c>
      <c r="F662" s="229">
        <v>378</v>
      </c>
      <c r="G662" s="40">
        <f>F662/193</f>
        <v>1.9585492227979275</v>
      </c>
      <c r="H662" s="14">
        <v>1</v>
      </c>
      <c r="I662" s="229">
        <v>0</v>
      </c>
      <c r="J662" s="229">
        <v>0</v>
      </c>
      <c r="K662" s="26">
        <v>1</v>
      </c>
      <c r="L662" s="14">
        <v>0</v>
      </c>
      <c r="M662" s="229">
        <v>0</v>
      </c>
      <c r="N662" s="229">
        <v>1</v>
      </c>
      <c r="O662" s="229">
        <v>0</v>
      </c>
      <c r="P662" s="26">
        <v>1</v>
      </c>
      <c r="Q662" s="14">
        <v>0</v>
      </c>
      <c r="R662" s="229">
        <v>0</v>
      </c>
      <c r="S662" s="229">
        <v>0</v>
      </c>
      <c r="T662" s="229">
        <v>0</v>
      </c>
      <c r="U662" s="229">
        <v>0</v>
      </c>
      <c r="V662" s="229">
        <v>0</v>
      </c>
      <c r="W662" s="229">
        <v>0</v>
      </c>
      <c r="X662" s="229">
        <v>0</v>
      </c>
      <c r="Y662" s="229">
        <v>0</v>
      </c>
      <c r="Z662" s="229">
        <v>0</v>
      </c>
      <c r="AA662" s="229">
        <v>0</v>
      </c>
      <c r="AC662" s="12">
        <v>2</v>
      </c>
      <c r="AD662" s="14">
        <v>8</v>
      </c>
      <c r="AE662" s="14">
        <v>32</v>
      </c>
      <c r="AF662" s="26">
        <v>164</v>
      </c>
      <c r="AG662" s="12">
        <v>77</v>
      </c>
      <c r="AH662" s="14">
        <v>0</v>
      </c>
      <c r="AI662" s="209"/>
      <c r="AJ662" s="3"/>
      <c r="AK662" s="3"/>
      <c r="AL662" s="3"/>
      <c r="AM662" s="3"/>
      <c r="AN662" s="3"/>
      <c r="AO662" s="40"/>
      <c r="AP662" s="209"/>
      <c r="AQ662" s="3"/>
      <c r="AR662" s="40"/>
      <c r="AS662" s="238"/>
    </row>
    <row r="663" spans="1:45" s="229" customFormat="1">
      <c r="A663" s="42" t="s">
        <v>323</v>
      </c>
      <c r="B663" s="386">
        <v>12.705666666666668</v>
      </c>
      <c r="C663" s="229" t="s">
        <v>692</v>
      </c>
      <c r="D663" s="229" t="s">
        <v>675</v>
      </c>
      <c r="E663" s="229" t="s">
        <v>0</v>
      </c>
      <c r="F663" s="229">
        <v>836</v>
      </c>
      <c r="G663" s="40">
        <f>F663/708</f>
        <v>1.1807909604519775</v>
      </c>
      <c r="H663" s="14">
        <v>0</v>
      </c>
      <c r="I663" s="229">
        <v>1</v>
      </c>
      <c r="J663" s="229">
        <v>0</v>
      </c>
      <c r="K663" s="26">
        <v>0</v>
      </c>
      <c r="L663" s="14">
        <v>0</v>
      </c>
      <c r="M663" s="229">
        <v>0</v>
      </c>
      <c r="N663" s="229">
        <v>1</v>
      </c>
      <c r="O663" s="229">
        <v>0</v>
      </c>
      <c r="P663" s="26">
        <v>1</v>
      </c>
      <c r="Q663" s="14">
        <v>3</v>
      </c>
      <c r="R663" s="229">
        <v>0</v>
      </c>
      <c r="S663" s="229">
        <v>0</v>
      </c>
      <c r="T663" s="229">
        <v>0</v>
      </c>
      <c r="U663" s="229">
        <v>0</v>
      </c>
      <c r="V663" s="229">
        <v>24</v>
      </c>
      <c r="W663" s="229">
        <v>45</v>
      </c>
      <c r="X663" s="229">
        <v>0</v>
      </c>
      <c r="Y663" s="229">
        <v>0</v>
      </c>
      <c r="Z663" s="229">
        <v>0</v>
      </c>
      <c r="AA663" s="229">
        <v>0</v>
      </c>
      <c r="AC663" s="12">
        <v>1</v>
      </c>
      <c r="AD663" s="14">
        <v>1</v>
      </c>
      <c r="AE663" s="14">
        <v>0</v>
      </c>
      <c r="AF663" s="26">
        <v>0</v>
      </c>
      <c r="AG663" s="12">
        <v>118</v>
      </c>
      <c r="AH663" s="14">
        <v>0</v>
      </c>
      <c r="AI663" s="209"/>
      <c r="AJ663" s="3"/>
      <c r="AK663" s="3"/>
      <c r="AL663" s="3"/>
      <c r="AM663" s="3"/>
      <c r="AN663" s="3"/>
      <c r="AO663" s="40"/>
      <c r="AP663" s="209"/>
      <c r="AQ663" s="3"/>
      <c r="AR663" s="40"/>
      <c r="AS663" s="238"/>
    </row>
    <row r="664" spans="1:45" s="229" customFormat="1">
      <c r="A664" s="42" t="s">
        <v>323</v>
      </c>
      <c r="B664" s="386">
        <v>12.705666666666668</v>
      </c>
      <c r="C664" s="229" t="s">
        <v>692</v>
      </c>
      <c r="D664" s="229" t="s">
        <v>675</v>
      </c>
      <c r="E664" s="229" t="s">
        <v>1</v>
      </c>
      <c r="F664" s="229">
        <v>609</v>
      </c>
      <c r="G664" s="40">
        <f>F664/309</f>
        <v>1.970873786407767</v>
      </c>
      <c r="H664" s="14">
        <v>0</v>
      </c>
      <c r="I664" s="229">
        <v>1</v>
      </c>
      <c r="J664" s="229">
        <v>0</v>
      </c>
      <c r="K664" s="26">
        <v>0</v>
      </c>
      <c r="L664" s="14">
        <v>0</v>
      </c>
      <c r="M664" s="229">
        <v>0</v>
      </c>
      <c r="N664" s="229">
        <v>1</v>
      </c>
      <c r="O664" s="229">
        <v>0</v>
      </c>
      <c r="P664" s="26">
        <v>1</v>
      </c>
      <c r="Q664" s="14">
        <v>5</v>
      </c>
      <c r="R664" s="229">
        <v>0</v>
      </c>
      <c r="S664" s="229">
        <v>11</v>
      </c>
      <c r="T664" s="229">
        <v>0</v>
      </c>
      <c r="U664" s="229">
        <v>0</v>
      </c>
      <c r="V664" s="229">
        <v>0</v>
      </c>
      <c r="W664" s="229">
        <v>0</v>
      </c>
      <c r="X664" s="229">
        <v>0</v>
      </c>
      <c r="Y664" s="229">
        <v>0</v>
      </c>
      <c r="Z664" s="229">
        <v>0</v>
      </c>
      <c r="AA664" s="229">
        <v>86</v>
      </c>
      <c r="AC664" s="12">
        <v>1</v>
      </c>
      <c r="AD664" s="14">
        <v>1</v>
      </c>
      <c r="AE664" s="14">
        <v>0</v>
      </c>
      <c r="AF664" s="26">
        <v>0</v>
      </c>
      <c r="AG664" s="12">
        <v>118</v>
      </c>
      <c r="AH664" s="14">
        <v>1</v>
      </c>
      <c r="AI664" s="209"/>
      <c r="AJ664" s="3"/>
      <c r="AK664" s="3"/>
      <c r="AL664" s="3"/>
      <c r="AM664" s="3"/>
      <c r="AN664" s="3"/>
      <c r="AO664" s="40"/>
      <c r="AP664" s="209"/>
      <c r="AQ664" s="3"/>
      <c r="AR664" s="40"/>
      <c r="AS664" s="238"/>
    </row>
    <row r="665" spans="1:45" s="229" customFormat="1">
      <c r="A665" s="42" t="s">
        <v>323</v>
      </c>
      <c r="B665" s="386">
        <v>12.705666666666668</v>
      </c>
      <c r="C665" s="229" t="s">
        <v>692</v>
      </c>
      <c r="D665" s="229" t="s">
        <v>675</v>
      </c>
      <c r="E665" s="229" t="s">
        <v>2</v>
      </c>
      <c r="F665" s="229">
        <v>273</v>
      </c>
      <c r="G665" s="40">
        <f>F665/192</f>
        <v>1.421875</v>
      </c>
      <c r="H665" s="14">
        <v>0</v>
      </c>
      <c r="I665" s="229">
        <v>1</v>
      </c>
      <c r="J665" s="229">
        <v>0</v>
      </c>
      <c r="K665" s="26">
        <v>0</v>
      </c>
      <c r="L665" s="14">
        <v>0</v>
      </c>
      <c r="M665" s="229">
        <v>0</v>
      </c>
      <c r="N665" s="229">
        <v>1</v>
      </c>
      <c r="O665" s="229">
        <v>0</v>
      </c>
      <c r="P665" s="26">
        <v>1</v>
      </c>
      <c r="Q665" s="14">
        <v>0</v>
      </c>
      <c r="R665" s="229">
        <v>0</v>
      </c>
      <c r="S665" s="229">
        <v>0</v>
      </c>
      <c r="T665" s="229">
        <v>0</v>
      </c>
      <c r="U665" s="229">
        <v>0</v>
      </c>
      <c r="V665" s="229">
        <v>0</v>
      </c>
      <c r="W665" s="229">
        <v>0</v>
      </c>
      <c r="X665" s="229">
        <v>0</v>
      </c>
      <c r="Y665" s="229">
        <v>0</v>
      </c>
      <c r="Z665" s="229">
        <v>0</v>
      </c>
      <c r="AA665" s="229">
        <v>0</v>
      </c>
      <c r="AC665" s="12">
        <v>1</v>
      </c>
      <c r="AD665" s="14">
        <v>1</v>
      </c>
      <c r="AE665" s="14">
        <v>0</v>
      </c>
      <c r="AF665" s="26">
        <v>0</v>
      </c>
      <c r="AG665" s="12">
        <v>118</v>
      </c>
      <c r="AH665" s="14">
        <v>0</v>
      </c>
      <c r="AI665" s="209"/>
      <c r="AJ665" s="3"/>
      <c r="AK665" s="3"/>
      <c r="AL665" s="3"/>
      <c r="AM665" s="3"/>
      <c r="AN665" s="3"/>
      <c r="AO665" s="40"/>
      <c r="AP665" s="209"/>
      <c r="AQ665" s="3"/>
      <c r="AR665" s="40"/>
      <c r="AS665" s="238"/>
    </row>
    <row r="666" spans="1:45" s="229" customFormat="1">
      <c r="A666" s="42" t="s">
        <v>323</v>
      </c>
      <c r="B666" s="386">
        <v>12.705666666666668</v>
      </c>
      <c r="C666" s="229" t="s">
        <v>692</v>
      </c>
      <c r="D666" s="229" t="s">
        <v>677</v>
      </c>
      <c r="E666" s="229" t="s">
        <v>0</v>
      </c>
      <c r="F666" s="229">
        <v>405</v>
      </c>
      <c r="G666" s="40">
        <f>F666/254</f>
        <v>1.594488188976378</v>
      </c>
      <c r="H666" s="14">
        <v>0</v>
      </c>
      <c r="I666" s="229">
        <v>0</v>
      </c>
      <c r="J666" s="229">
        <v>0</v>
      </c>
      <c r="K666" s="26">
        <v>1</v>
      </c>
      <c r="L666" s="14">
        <v>0</v>
      </c>
      <c r="M666" s="229">
        <v>1</v>
      </c>
      <c r="N666" s="229">
        <v>0</v>
      </c>
      <c r="O666" s="229">
        <v>0</v>
      </c>
      <c r="P666" s="26">
        <v>1</v>
      </c>
      <c r="Q666" s="14">
        <v>1</v>
      </c>
      <c r="R666" s="229">
        <v>0</v>
      </c>
      <c r="S666" s="229">
        <v>0</v>
      </c>
      <c r="T666" s="229">
        <v>0</v>
      </c>
      <c r="U666" s="229">
        <v>0</v>
      </c>
      <c r="V666" s="229">
        <v>0</v>
      </c>
      <c r="W666" s="229">
        <v>8</v>
      </c>
      <c r="X666" s="229">
        <v>0</v>
      </c>
      <c r="Y666" s="229">
        <v>0</v>
      </c>
      <c r="Z666" s="229">
        <v>0</v>
      </c>
      <c r="AA666" s="229">
        <v>0</v>
      </c>
      <c r="AC666" s="12">
        <v>2</v>
      </c>
      <c r="AD666" s="14">
        <v>9</v>
      </c>
      <c r="AE666" s="14">
        <v>28</v>
      </c>
      <c r="AF666" s="26">
        <v>176</v>
      </c>
      <c r="AG666" s="12">
        <v>71</v>
      </c>
      <c r="AH666" s="14">
        <v>0</v>
      </c>
      <c r="AI666" s="209"/>
      <c r="AJ666" s="3"/>
      <c r="AK666" s="3"/>
      <c r="AL666" s="3"/>
      <c r="AM666" s="3"/>
      <c r="AN666" s="3"/>
      <c r="AO666" s="40"/>
      <c r="AP666" s="209"/>
      <c r="AQ666" s="3"/>
      <c r="AR666" s="40"/>
      <c r="AS666" s="238"/>
    </row>
    <row r="667" spans="1:45" s="229" customFormat="1">
      <c r="A667" s="42" t="s">
        <v>323</v>
      </c>
      <c r="B667" s="386">
        <v>12.705666666666668</v>
      </c>
      <c r="C667" s="229" t="s">
        <v>692</v>
      </c>
      <c r="D667" s="229" t="s">
        <v>677</v>
      </c>
      <c r="E667" s="229" t="s">
        <v>1</v>
      </c>
      <c r="F667" s="229">
        <v>468</v>
      </c>
      <c r="G667" s="40">
        <f>F667/328</f>
        <v>1.4268292682926829</v>
      </c>
      <c r="H667" s="14">
        <v>0</v>
      </c>
      <c r="I667" s="229">
        <v>0</v>
      </c>
      <c r="J667" s="229">
        <v>1</v>
      </c>
      <c r="K667" s="26">
        <v>1</v>
      </c>
      <c r="L667" s="14">
        <v>0</v>
      </c>
      <c r="M667" s="229">
        <v>0</v>
      </c>
      <c r="N667" s="229">
        <v>0</v>
      </c>
      <c r="O667" s="229">
        <v>0</v>
      </c>
      <c r="P667" s="26">
        <v>0</v>
      </c>
      <c r="Q667" s="14">
        <v>2</v>
      </c>
      <c r="R667" s="229">
        <v>0</v>
      </c>
      <c r="S667" s="229">
        <v>0</v>
      </c>
      <c r="T667" s="229">
        <v>0</v>
      </c>
      <c r="U667" s="229">
        <v>0</v>
      </c>
      <c r="V667" s="229">
        <v>0</v>
      </c>
      <c r="W667" s="229">
        <v>32</v>
      </c>
      <c r="X667" s="229">
        <v>0</v>
      </c>
      <c r="Y667" s="229">
        <v>0</v>
      </c>
      <c r="Z667" s="229">
        <v>0</v>
      </c>
      <c r="AA667" s="229">
        <v>0</v>
      </c>
      <c r="AC667" s="12">
        <v>2</v>
      </c>
      <c r="AD667" s="14">
        <v>6</v>
      </c>
      <c r="AE667" s="14">
        <v>44</v>
      </c>
      <c r="AF667" s="26">
        <v>288</v>
      </c>
      <c r="AG667" s="12">
        <v>71</v>
      </c>
      <c r="AH667" s="14">
        <v>0</v>
      </c>
      <c r="AI667" s="209"/>
      <c r="AJ667" s="3"/>
      <c r="AK667" s="3"/>
      <c r="AL667" s="3"/>
      <c r="AM667" s="3"/>
      <c r="AN667" s="3"/>
      <c r="AO667" s="40"/>
      <c r="AP667" s="209"/>
      <c r="AQ667" s="3"/>
      <c r="AR667" s="40"/>
      <c r="AS667" s="238"/>
    </row>
    <row r="668" spans="1:45" s="229" customFormat="1">
      <c r="A668" s="42" t="s">
        <v>323</v>
      </c>
      <c r="B668" s="386">
        <v>12.705666666666668</v>
      </c>
      <c r="C668" s="229" t="s">
        <v>692</v>
      </c>
      <c r="D668" s="229" t="s">
        <v>678</v>
      </c>
      <c r="E668" s="229" t="s">
        <v>0</v>
      </c>
      <c r="F668" s="229">
        <v>533</v>
      </c>
      <c r="G668" s="40">
        <f>F668/412</f>
        <v>1.2936893203883495</v>
      </c>
      <c r="H668" s="14">
        <v>0</v>
      </c>
      <c r="I668" s="229">
        <v>1</v>
      </c>
      <c r="J668" s="229">
        <v>0</v>
      </c>
      <c r="K668" s="26">
        <v>0</v>
      </c>
      <c r="L668" s="14">
        <v>0</v>
      </c>
      <c r="M668" s="229">
        <v>0</v>
      </c>
      <c r="N668" s="229">
        <v>0</v>
      </c>
      <c r="O668" s="229">
        <v>0</v>
      </c>
      <c r="P668" s="26">
        <v>0</v>
      </c>
      <c r="Q668" s="14">
        <v>0</v>
      </c>
      <c r="R668" s="229">
        <v>0</v>
      </c>
      <c r="S668" s="229">
        <v>0</v>
      </c>
      <c r="T668" s="229">
        <v>0</v>
      </c>
      <c r="U668" s="229">
        <v>0</v>
      </c>
      <c r="V668" s="229">
        <v>0</v>
      </c>
      <c r="W668" s="229">
        <v>0</v>
      </c>
      <c r="X668" s="229">
        <v>0</v>
      </c>
      <c r="Y668" s="229">
        <v>0</v>
      </c>
      <c r="Z668" s="229">
        <v>0</v>
      </c>
      <c r="AA668" s="229">
        <v>0</v>
      </c>
      <c r="AC668" s="12">
        <v>2</v>
      </c>
      <c r="AD668" s="14">
        <v>2</v>
      </c>
      <c r="AE668" s="14">
        <v>248</v>
      </c>
      <c r="AF668" s="26">
        <v>533</v>
      </c>
      <c r="AG668" s="12">
        <v>107</v>
      </c>
      <c r="AH668" s="14">
        <v>0</v>
      </c>
      <c r="AI668" s="209"/>
      <c r="AJ668" s="3"/>
      <c r="AK668" s="3"/>
      <c r="AL668" s="3"/>
      <c r="AM668" s="3"/>
      <c r="AN668" s="3"/>
      <c r="AO668" s="40"/>
      <c r="AP668" s="209"/>
      <c r="AQ668" s="3"/>
      <c r="AR668" s="40"/>
      <c r="AS668" s="238"/>
    </row>
    <row r="669" spans="1:45" s="229" customFormat="1">
      <c r="A669" s="42" t="s">
        <v>323</v>
      </c>
      <c r="B669" s="386">
        <v>12.705666666666668</v>
      </c>
      <c r="C669" s="229" t="s">
        <v>692</v>
      </c>
      <c r="D669" s="229" t="s">
        <v>678</v>
      </c>
      <c r="E669" s="229" t="s">
        <v>1</v>
      </c>
      <c r="F669" s="229">
        <v>860</v>
      </c>
      <c r="G669" s="40">
        <f>F669/661</f>
        <v>1.3010590015128594</v>
      </c>
      <c r="H669" s="14">
        <v>0</v>
      </c>
      <c r="I669" s="229">
        <v>1</v>
      </c>
      <c r="J669" s="229">
        <v>0</v>
      </c>
      <c r="K669" s="26">
        <v>1</v>
      </c>
      <c r="L669" s="14">
        <v>0</v>
      </c>
      <c r="M669" s="229">
        <v>0</v>
      </c>
      <c r="N669" s="229">
        <v>0</v>
      </c>
      <c r="O669" s="229">
        <v>0</v>
      </c>
      <c r="P669" s="26">
        <v>0</v>
      </c>
      <c r="Q669" s="14">
        <v>0</v>
      </c>
      <c r="R669" s="229">
        <v>0</v>
      </c>
      <c r="S669" s="229">
        <v>0</v>
      </c>
      <c r="T669" s="229">
        <v>0</v>
      </c>
      <c r="U669" s="229">
        <v>0</v>
      </c>
      <c r="V669" s="229">
        <v>0</v>
      </c>
      <c r="W669" s="229">
        <v>0</v>
      </c>
      <c r="X669" s="229">
        <v>0</v>
      </c>
      <c r="Y669" s="229">
        <v>0</v>
      </c>
      <c r="Z669" s="229">
        <v>0</v>
      </c>
      <c r="AA669" s="229">
        <v>0</v>
      </c>
      <c r="AC669" s="12">
        <v>2</v>
      </c>
      <c r="AD669" s="14">
        <v>10</v>
      </c>
      <c r="AE669" s="14">
        <v>60</v>
      </c>
      <c r="AF669" s="26">
        <v>446</v>
      </c>
      <c r="AG669" s="12">
        <v>107</v>
      </c>
      <c r="AH669" s="14">
        <v>1</v>
      </c>
      <c r="AI669" s="209"/>
      <c r="AJ669" s="3"/>
      <c r="AK669" s="3"/>
      <c r="AL669" s="3"/>
      <c r="AM669" s="3"/>
      <c r="AN669" s="3"/>
      <c r="AO669" s="40"/>
      <c r="AP669" s="209"/>
      <c r="AQ669" s="3"/>
      <c r="AR669" s="40"/>
      <c r="AS669" s="238"/>
    </row>
    <row r="670" spans="1:45" s="229" customFormat="1">
      <c r="A670" s="42" t="s">
        <v>323</v>
      </c>
      <c r="B670" s="386">
        <v>12.705666666666668</v>
      </c>
      <c r="C670" s="229" t="s">
        <v>692</v>
      </c>
      <c r="D670" s="229" t="s">
        <v>680</v>
      </c>
      <c r="E670" s="229" t="s">
        <v>0</v>
      </c>
      <c r="F670" s="229">
        <v>258</v>
      </c>
      <c r="G670" s="40">
        <f>F670/210</f>
        <v>1.2285714285714286</v>
      </c>
      <c r="H670" s="14">
        <v>0</v>
      </c>
      <c r="I670" s="229">
        <v>1</v>
      </c>
      <c r="J670" s="229">
        <v>0</v>
      </c>
      <c r="K670" s="26">
        <v>1</v>
      </c>
      <c r="L670" s="14">
        <v>0</v>
      </c>
      <c r="M670" s="229">
        <v>0</v>
      </c>
      <c r="N670" s="229">
        <v>0</v>
      </c>
      <c r="O670" s="229">
        <v>0</v>
      </c>
      <c r="P670" s="26">
        <v>0</v>
      </c>
      <c r="Q670" s="14">
        <v>0</v>
      </c>
      <c r="R670" s="229">
        <v>0</v>
      </c>
      <c r="S670" s="229">
        <v>0</v>
      </c>
      <c r="T670" s="229">
        <v>0</v>
      </c>
      <c r="U670" s="229">
        <v>0</v>
      </c>
      <c r="V670" s="229">
        <v>0</v>
      </c>
      <c r="W670" s="229">
        <v>0</v>
      </c>
      <c r="X670" s="229">
        <v>0</v>
      </c>
      <c r="Y670" s="229">
        <v>0</v>
      </c>
      <c r="Z670" s="229">
        <v>0</v>
      </c>
      <c r="AA670" s="229">
        <v>0</v>
      </c>
      <c r="AC670" s="12">
        <v>2</v>
      </c>
      <c r="AD670" s="14">
        <v>2</v>
      </c>
      <c r="AE670" s="14">
        <v>138</v>
      </c>
      <c r="AF670" s="26">
        <v>258</v>
      </c>
      <c r="AG670" s="12">
        <v>107</v>
      </c>
      <c r="AH670" s="14">
        <v>0</v>
      </c>
      <c r="AI670" s="209"/>
      <c r="AJ670" s="3"/>
      <c r="AK670" s="3"/>
      <c r="AL670" s="3"/>
      <c r="AM670" s="3"/>
      <c r="AN670" s="3"/>
      <c r="AO670" s="40"/>
      <c r="AP670" s="209"/>
      <c r="AQ670" s="3"/>
      <c r="AR670" s="40"/>
      <c r="AS670" s="238"/>
    </row>
    <row r="671" spans="1:45" s="229" customFormat="1">
      <c r="A671" s="42" t="s">
        <v>323</v>
      </c>
      <c r="B671" s="386">
        <v>12.705666666666668</v>
      </c>
      <c r="C671" s="229" t="s">
        <v>692</v>
      </c>
      <c r="D671" s="229" t="s">
        <v>680</v>
      </c>
      <c r="E671" s="229" t="s">
        <v>1</v>
      </c>
      <c r="F671" s="229">
        <v>303</v>
      </c>
      <c r="G671" s="40">
        <f>F671/222</f>
        <v>1.3648648648648649</v>
      </c>
      <c r="H671" s="14">
        <v>1</v>
      </c>
      <c r="I671" s="229">
        <v>0</v>
      </c>
      <c r="J671" s="229">
        <v>0</v>
      </c>
      <c r="K671" s="26">
        <v>0</v>
      </c>
      <c r="L671" s="14">
        <v>0</v>
      </c>
      <c r="M671" s="229">
        <v>0</v>
      </c>
      <c r="N671" s="229">
        <v>0</v>
      </c>
      <c r="O671" s="229">
        <v>0</v>
      </c>
      <c r="P671" s="26">
        <v>0</v>
      </c>
      <c r="Q671" s="14">
        <v>0</v>
      </c>
      <c r="R671" s="229">
        <v>0</v>
      </c>
      <c r="S671" s="229">
        <v>0</v>
      </c>
      <c r="T671" s="229">
        <v>0</v>
      </c>
      <c r="U671" s="229">
        <v>0</v>
      </c>
      <c r="V671" s="229">
        <v>0</v>
      </c>
      <c r="W671" s="229">
        <v>0</v>
      </c>
      <c r="X671" s="229">
        <v>0</v>
      </c>
      <c r="Y671" s="229">
        <v>0</v>
      </c>
      <c r="Z671" s="229">
        <v>0</v>
      </c>
      <c r="AA671" s="229">
        <v>0</v>
      </c>
      <c r="AC671" s="12">
        <v>2</v>
      </c>
      <c r="AD671" s="14">
        <v>2</v>
      </c>
      <c r="AE671" s="14">
        <v>222</v>
      </c>
      <c r="AF671" s="26">
        <v>236</v>
      </c>
      <c r="AG671" s="12">
        <v>107</v>
      </c>
      <c r="AH671" s="14">
        <v>1</v>
      </c>
      <c r="AI671" s="209"/>
      <c r="AJ671" s="3"/>
      <c r="AK671" s="3"/>
      <c r="AL671" s="3"/>
      <c r="AM671" s="3"/>
      <c r="AN671" s="3"/>
      <c r="AO671" s="40"/>
      <c r="AP671" s="209"/>
      <c r="AQ671" s="3"/>
      <c r="AR671" s="40"/>
      <c r="AS671" s="238"/>
    </row>
    <row r="672" spans="1:45" s="229" customFormat="1">
      <c r="A672" s="42" t="s">
        <v>323</v>
      </c>
      <c r="B672" s="386">
        <v>12.705666666666668</v>
      </c>
      <c r="C672" s="229" t="s">
        <v>692</v>
      </c>
      <c r="D672" s="229" t="s">
        <v>680</v>
      </c>
      <c r="E672" s="229" t="s">
        <v>2</v>
      </c>
      <c r="F672" s="229">
        <v>255</v>
      </c>
      <c r="G672" s="40">
        <f>F672/125</f>
        <v>2.04</v>
      </c>
      <c r="H672" s="14">
        <v>1</v>
      </c>
      <c r="I672" s="229">
        <v>0</v>
      </c>
      <c r="J672" s="229">
        <v>0</v>
      </c>
      <c r="K672" s="26">
        <v>0</v>
      </c>
      <c r="L672" s="14">
        <v>0</v>
      </c>
      <c r="M672" s="229">
        <v>0</v>
      </c>
      <c r="N672" s="229">
        <v>0</v>
      </c>
      <c r="O672" s="229">
        <v>0</v>
      </c>
      <c r="P672" s="26">
        <v>0</v>
      </c>
      <c r="Q672" s="14">
        <v>0</v>
      </c>
      <c r="R672" s="229">
        <v>0</v>
      </c>
      <c r="S672" s="229">
        <v>0</v>
      </c>
      <c r="T672" s="229">
        <v>0</v>
      </c>
      <c r="U672" s="229">
        <v>0</v>
      </c>
      <c r="V672" s="229">
        <v>0</v>
      </c>
      <c r="W672" s="229">
        <v>0</v>
      </c>
      <c r="X672" s="229">
        <v>0</v>
      </c>
      <c r="Y672" s="229">
        <v>0</v>
      </c>
      <c r="Z672" s="229">
        <v>0</v>
      </c>
      <c r="AA672" s="229">
        <v>0</v>
      </c>
      <c r="AC672" s="12">
        <v>1</v>
      </c>
      <c r="AD672" s="14">
        <v>1</v>
      </c>
      <c r="AE672" s="14">
        <v>0</v>
      </c>
      <c r="AF672" s="26">
        <v>0</v>
      </c>
      <c r="AG672" s="12">
        <v>107</v>
      </c>
      <c r="AH672" s="14">
        <v>0</v>
      </c>
      <c r="AI672" s="209"/>
      <c r="AJ672" s="3"/>
      <c r="AK672" s="3"/>
      <c r="AL672" s="3"/>
      <c r="AM672" s="3"/>
      <c r="AN672" s="3"/>
      <c r="AO672" s="40"/>
      <c r="AP672" s="209"/>
      <c r="AQ672" s="3"/>
      <c r="AR672" s="40"/>
      <c r="AS672" s="238"/>
    </row>
    <row r="673" spans="1:45" s="229" customFormat="1">
      <c r="A673" s="42" t="s">
        <v>323</v>
      </c>
      <c r="B673" s="386">
        <v>12.705666666666668</v>
      </c>
      <c r="C673" s="229" t="s">
        <v>692</v>
      </c>
      <c r="D673" s="229" t="s">
        <v>681</v>
      </c>
      <c r="F673" s="229">
        <v>671</v>
      </c>
      <c r="G673" s="40">
        <f>F673/498</f>
        <v>1.3473895582329318</v>
      </c>
      <c r="H673" s="14">
        <v>0</v>
      </c>
      <c r="I673" s="229">
        <v>0</v>
      </c>
      <c r="J673" s="229">
        <v>0</v>
      </c>
      <c r="K673" s="26">
        <v>1</v>
      </c>
      <c r="L673" s="14">
        <v>0</v>
      </c>
      <c r="M673" s="229">
        <v>0</v>
      </c>
      <c r="N673" s="229">
        <v>1</v>
      </c>
      <c r="O673" s="229">
        <v>0</v>
      </c>
      <c r="P673" s="26">
        <v>1</v>
      </c>
      <c r="Q673" s="14">
        <v>3</v>
      </c>
      <c r="R673" s="229">
        <v>0</v>
      </c>
      <c r="S673" s="229">
        <v>0</v>
      </c>
      <c r="T673" s="229">
        <v>0</v>
      </c>
      <c r="U673" s="229">
        <v>0</v>
      </c>
      <c r="V673" s="229">
        <v>54</v>
      </c>
      <c r="W673" s="229">
        <v>80</v>
      </c>
      <c r="X673" s="229">
        <v>0</v>
      </c>
      <c r="Y673" s="229">
        <v>0</v>
      </c>
      <c r="Z673" s="229">
        <v>0</v>
      </c>
      <c r="AA673" s="229">
        <v>0</v>
      </c>
      <c r="AC673" s="12">
        <v>1</v>
      </c>
      <c r="AD673" s="14">
        <v>1</v>
      </c>
      <c r="AE673" s="14">
        <v>0</v>
      </c>
      <c r="AF673" s="26">
        <v>0</v>
      </c>
      <c r="AG673" s="12">
        <v>109</v>
      </c>
      <c r="AH673" s="14">
        <v>1</v>
      </c>
      <c r="AI673" s="209">
        <v>87.4</v>
      </c>
      <c r="AJ673" s="3"/>
      <c r="AK673" s="3"/>
      <c r="AL673" s="3"/>
      <c r="AM673" s="3"/>
      <c r="AN673" s="3"/>
      <c r="AO673" s="40"/>
      <c r="AP673" s="209">
        <v>86.9</v>
      </c>
      <c r="AQ673" s="3" t="s">
        <v>693</v>
      </c>
      <c r="AR673" s="40"/>
      <c r="AS673" s="238"/>
    </row>
    <row r="674" spans="1:45" s="229" customFormat="1">
      <c r="A674" s="42" t="s">
        <v>323</v>
      </c>
      <c r="B674" s="386">
        <v>12.705666666666668</v>
      </c>
      <c r="C674" s="229" t="s">
        <v>692</v>
      </c>
      <c r="D674" s="229" t="s">
        <v>682</v>
      </c>
      <c r="F674" s="229">
        <v>500</v>
      </c>
      <c r="G674" s="40">
        <f>F674/403</f>
        <v>1.2406947890818858</v>
      </c>
      <c r="H674" s="14">
        <v>0</v>
      </c>
      <c r="I674" s="229">
        <v>0</v>
      </c>
      <c r="J674" s="229">
        <v>0</v>
      </c>
      <c r="K674" s="26">
        <v>1</v>
      </c>
      <c r="L674" s="14">
        <v>0</v>
      </c>
      <c r="M674" s="229">
        <v>0</v>
      </c>
      <c r="N674" s="229">
        <v>0</v>
      </c>
      <c r="O674" s="229">
        <v>0</v>
      </c>
      <c r="P674" s="26">
        <v>0</v>
      </c>
      <c r="Q674" s="14">
        <v>0</v>
      </c>
      <c r="R674" s="229">
        <v>0</v>
      </c>
      <c r="S674" s="229">
        <v>0</v>
      </c>
      <c r="T674" s="229">
        <v>0</v>
      </c>
      <c r="U674" s="229">
        <v>0</v>
      </c>
      <c r="V674" s="229">
        <v>0</v>
      </c>
      <c r="W674" s="229">
        <v>0</v>
      </c>
      <c r="X674" s="229">
        <v>0</v>
      </c>
      <c r="Y674" s="229">
        <v>0</v>
      </c>
      <c r="Z674" s="229">
        <v>0</v>
      </c>
      <c r="AA674" s="229">
        <v>0</v>
      </c>
      <c r="AC674" s="12">
        <v>2</v>
      </c>
      <c r="AD674" s="14">
        <v>2</v>
      </c>
      <c r="AE674" s="14">
        <v>218</v>
      </c>
      <c r="AF674" s="26">
        <v>500</v>
      </c>
      <c r="AG674" s="12">
        <v>117</v>
      </c>
      <c r="AH674" s="14">
        <v>1</v>
      </c>
      <c r="AI674" s="209"/>
      <c r="AJ674" s="3"/>
      <c r="AK674" s="3"/>
      <c r="AL674" s="3"/>
      <c r="AM674" s="3"/>
      <c r="AN674" s="3"/>
      <c r="AO674" s="40"/>
      <c r="AP674" s="209"/>
      <c r="AQ674" s="3"/>
      <c r="AR674" s="40"/>
      <c r="AS674" s="238"/>
    </row>
    <row r="675" spans="1:45" s="229" customFormat="1">
      <c r="A675" s="42" t="s">
        <v>323</v>
      </c>
      <c r="B675" s="386">
        <v>12.705666666666668</v>
      </c>
      <c r="C675" s="229" t="s">
        <v>692</v>
      </c>
      <c r="D675" s="229" t="s">
        <v>694</v>
      </c>
      <c r="E675" s="229" t="s">
        <v>0</v>
      </c>
      <c r="F675" s="229">
        <v>586</v>
      </c>
      <c r="G675" s="40">
        <f>F675/570</f>
        <v>1.0280701754385966</v>
      </c>
      <c r="H675" s="14">
        <v>0</v>
      </c>
      <c r="I675" s="229">
        <v>0</v>
      </c>
      <c r="J675" s="229">
        <v>1</v>
      </c>
      <c r="K675" s="26">
        <v>1</v>
      </c>
      <c r="L675" s="14">
        <v>0</v>
      </c>
      <c r="M675" s="229">
        <v>0</v>
      </c>
      <c r="N675" s="229">
        <v>0</v>
      </c>
      <c r="O675" s="229">
        <v>0</v>
      </c>
      <c r="P675" s="26">
        <v>0</v>
      </c>
      <c r="Q675" s="14">
        <v>2</v>
      </c>
      <c r="R675" s="229">
        <v>4</v>
      </c>
      <c r="S675" s="229">
        <v>11</v>
      </c>
      <c r="T675" s="229">
        <v>0</v>
      </c>
      <c r="U675" s="229">
        <v>0</v>
      </c>
      <c r="V675" s="229">
        <v>0</v>
      </c>
      <c r="W675" s="229">
        <v>33</v>
      </c>
      <c r="X675" s="229">
        <v>0</v>
      </c>
      <c r="Y675" s="229">
        <v>0</v>
      </c>
      <c r="Z675" s="229">
        <v>0</v>
      </c>
      <c r="AA675" s="229">
        <v>0</v>
      </c>
      <c r="AC675" s="12">
        <v>2</v>
      </c>
      <c r="AD675" s="14">
        <v>11</v>
      </c>
      <c r="AE675" s="14">
        <v>23</v>
      </c>
      <c r="AF675" s="26">
        <v>331</v>
      </c>
      <c r="AG675" s="12">
        <v>116</v>
      </c>
      <c r="AH675" s="14">
        <v>1</v>
      </c>
      <c r="AI675" s="209"/>
      <c r="AJ675" s="3"/>
      <c r="AK675" s="3"/>
      <c r="AL675" s="3"/>
      <c r="AM675" s="3"/>
      <c r="AN675" s="3"/>
      <c r="AO675" s="40"/>
      <c r="AP675" s="209"/>
      <c r="AQ675" s="3"/>
      <c r="AR675" s="40"/>
      <c r="AS675" s="238"/>
    </row>
    <row r="676" spans="1:45" s="229" customFormat="1">
      <c r="A676" s="42" t="s">
        <v>323</v>
      </c>
      <c r="B676" s="386">
        <v>12.705666666666668</v>
      </c>
      <c r="C676" s="229" t="s">
        <v>692</v>
      </c>
      <c r="D676" s="229" t="s">
        <v>683</v>
      </c>
      <c r="E676" s="229" t="s">
        <v>0</v>
      </c>
      <c r="F676" s="229">
        <v>369</v>
      </c>
      <c r="G676" s="40">
        <f>F676/174</f>
        <v>2.1206896551724137</v>
      </c>
      <c r="H676" s="14">
        <v>1</v>
      </c>
      <c r="I676" s="229">
        <v>0</v>
      </c>
      <c r="J676" s="229">
        <v>0</v>
      </c>
      <c r="K676" s="26">
        <v>0</v>
      </c>
      <c r="L676" s="14">
        <v>0</v>
      </c>
      <c r="M676" s="229">
        <v>0</v>
      </c>
      <c r="N676" s="229">
        <v>0</v>
      </c>
      <c r="O676" s="229">
        <v>0</v>
      </c>
      <c r="P676" s="26">
        <v>0</v>
      </c>
      <c r="Q676" s="14">
        <v>0</v>
      </c>
      <c r="R676" s="229">
        <v>0</v>
      </c>
      <c r="S676" s="229">
        <v>0</v>
      </c>
      <c r="T676" s="229">
        <v>0</v>
      </c>
      <c r="U676" s="229">
        <v>0</v>
      </c>
      <c r="V676" s="229">
        <v>0</v>
      </c>
      <c r="W676" s="229">
        <v>0</v>
      </c>
      <c r="X676" s="229">
        <v>0</v>
      </c>
      <c r="Y676" s="229">
        <v>0</v>
      </c>
      <c r="Z676" s="229">
        <v>0</v>
      </c>
      <c r="AA676" s="229">
        <v>0</v>
      </c>
      <c r="AC676" s="12">
        <v>1</v>
      </c>
      <c r="AD676" s="14">
        <v>1</v>
      </c>
      <c r="AE676" s="14">
        <v>0</v>
      </c>
      <c r="AF676" s="26">
        <v>0</v>
      </c>
      <c r="AG676" s="12"/>
      <c r="AH676" s="14">
        <v>0</v>
      </c>
      <c r="AI676" s="209"/>
      <c r="AJ676" s="3"/>
      <c r="AK676" s="3"/>
      <c r="AL676" s="3"/>
      <c r="AM676" s="3"/>
      <c r="AN676" s="3"/>
      <c r="AO676" s="40"/>
      <c r="AP676" s="209"/>
      <c r="AQ676" s="3"/>
      <c r="AR676" s="40"/>
      <c r="AS676" s="238"/>
    </row>
    <row r="677" spans="1:45" s="229" customFormat="1">
      <c r="A677" s="42" t="s">
        <v>323</v>
      </c>
      <c r="B677" s="386">
        <v>12.705666666666668</v>
      </c>
      <c r="C677" s="229" t="s">
        <v>692</v>
      </c>
      <c r="D677" s="229" t="s">
        <v>683</v>
      </c>
      <c r="E677" s="229" t="s">
        <v>1</v>
      </c>
      <c r="F677" s="229">
        <v>308</v>
      </c>
      <c r="G677" s="40">
        <f>F677/217</f>
        <v>1.4193548387096775</v>
      </c>
      <c r="H677" s="14">
        <v>0</v>
      </c>
      <c r="I677" s="229">
        <v>0</v>
      </c>
      <c r="J677" s="229">
        <v>1</v>
      </c>
      <c r="K677" s="26">
        <v>1</v>
      </c>
      <c r="L677" s="14">
        <v>0</v>
      </c>
      <c r="M677" s="229">
        <v>0</v>
      </c>
      <c r="N677" s="229">
        <v>0</v>
      </c>
      <c r="O677" s="229">
        <v>0</v>
      </c>
      <c r="P677" s="26">
        <v>0</v>
      </c>
      <c r="Q677" s="14">
        <v>3</v>
      </c>
      <c r="R677" s="229">
        <v>0</v>
      </c>
      <c r="S677" s="229">
        <v>7</v>
      </c>
      <c r="T677" s="229">
        <v>0</v>
      </c>
      <c r="U677" s="229">
        <v>0</v>
      </c>
      <c r="V677" s="229">
        <v>9</v>
      </c>
      <c r="W677" s="229">
        <v>52</v>
      </c>
      <c r="X677" s="229">
        <v>0</v>
      </c>
      <c r="Y677" s="229">
        <v>0</v>
      </c>
      <c r="Z677" s="229">
        <v>0</v>
      </c>
      <c r="AA677" s="229">
        <v>0</v>
      </c>
      <c r="AC677" s="12">
        <v>2</v>
      </c>
      <c r="AD677" s="14">
        <v>2</v>
      </c>
      <c r="AE677" s="14">
        <v>167</v>
      </c>
      <c r="AF677" s="26">
        <v>219</v>
      </c>
      <c r="AG677" s="12"/>
      <c r="AH677" s="14">
        <v>0</v>
      </c>
      <c r="AI677" s="209"/>
      <c r="AJ677" s="3"/>
      <c r="AK677" s="3"/>
      <c r="AL677" s="3"/>
      <c r="AM677" s="3"/>
      <c r="AN677" s="3"/>
      <c r="AO677" s="40"/>
      <c r="AP677" s="209"/>
      <c r="AQ677" s="3"/>
      <c r="AR677" s="40"/>
      <c r="AS677" s="238"/>
    </row>
    <row r="678" spans="1:45" s="229" customFormat="1">
      <c r="A678" s="42" t="s">
        <v>323</v>
      </c>
      <c r="B678" s="386">
        <v>12.705666666666668</v>
      </c>
      <c r="C678" s="229" t="s">
        <v>692</v>
      </c>
      <c r="D678" s="229" t="s">
        <v>684</v>
      </c>
      <c r="E678" s="229" t="s">
        <v>0</v>
      </c>
      <c r="F678" s="229">
        <v>542</v>
      </c>
      <c r="G678" s="40">
        <f>F678/112</f>
        <v>4.8392857142857144</v>
      </c>
      <c r="H678" s="14">
        <v>0</v>
      </c>
      <c r="I678" s="229">
        <v>0</v>
      </c>
      <c r="J678" s="229">
        <v>0</v>
      </c>
      <c r="K678" s="26">
        <v>1</v>
      </c>
      <c r="L678" s="14">
        <v>0</v>
      </c>
      <c r="M678" s="229">
        <v>0</v>
      </c>
      <c r="N678" s="229">
        <v>0</v>
      </c>
      <c r="O678" s="229">
        <v>0</v>
      </c>
      <c r="P678" s="26">
        <v>0</v>
      </c>
      <c r="Q678" s="14">
        <v>2</v>
      </c>
      <c r="R678" s="229">
        <v>0</v>
      </c>
      <c r="S678" s="229">
        <v>0</v>
      </c>
      <c r="T678" s="229">
        <v>0</v>
      </c>
      <c r="U678" s="229">
        <v>0</v>
      </c>
      <c r="V678" s="229">
        <v>0</v>
      </c>
      <c r="W678" s="229">
        <v>33</v>
      </c>
      <c r="X678" s="229">
        <v>0</v>
      </c>
      <c r="Y678" s="229">
        <v>0</v>
      </c>
      <c r="Z678" s="229">
        <v>0</v>
      </c>
      <c r="AA678" s="229">
        <v>0</v>
      </c>
      <c r="AC678" s="12">
        <v>1</v>
      </c>
      <c r="AD678" s="14">
        <v>1</v>
      </c>
      <c r="AE678" s="14">
        <v>0</v>
      </c>
      <c r="AF678" s="26">
        <v>0</v>
      </c>
      <c r="AG678" s="12">
        <v>82</v>
      </c>
      <c r="AH678" s="14">
        <v>0</v>
      </c>
      <c r="AI678" s="209"/>
      <c r="AJ678" s="3"/>
      <c r="AK678" s="3"/>
      <c r="AL678" s="3"/>
      <c r="AM678" s="3"/>
      <c r="AN678" s="3"/>
      <c r="AO678" s="40"/>
      <c r="AP678" s="209"/>
      <c r="AQ678" s="3"/>
      <c r="AR678" s="40"/>
      <c r="AS678" s="238"/>
    </row>
    <row r="679" spans="1:45" s="229" customFormat="1">
      <c r="A679" s="42" t="s">
        <v>323</v>
      </c>
      <c r="B679" s="386">
        <v>12.705666666666668</v>
      </c>
      <c r="C679" s="229" t="s">
        <v>692</v>
      </c>
      <c r="D679" s="229" t="s">
        <v>684</v>
      </c>
      <c r="E679" s="229" t="s">
        <v>1</v>
      </c>
      <c r="F679" s="229">
        <v>125</v>
      </c>
      <c r="G679" s="40">
        <f>F679/73</f>
        <v>1.7123287671232876</v>
      </c>
      <c r="H679" s="14">
        <v>0</v>
      </c>
      <c r="I679" s="229">
        <v>0</v>
      </c>
      <c r="J679" s="229">
        <v>0</v>
      </c>
      <c r="K679" s="26">
        <v>1</v>
      </c>
      <c r="L679" s="14">
        <v>0</v>
      </c>
      <c r="M679" s="229">
        <v>0</v>
      </c>
      <c r="N679" s="229">
        <v>0</v>
      </c>
      <c r="O679" s="229">
        <v>0</v>
      </c>
      <c r="P679" s="26">
        <v>0</v>
      </c>
      <c r="Q679" s="14">
        <v>0</v>
      </c>
      <c r="R679" s="229">
        <v>0</v>
      </c>
      <c r="S679" s="229">
        <v>0</v>
      </c>
      <c r="T679" s="229">
        <v>0</v>
      </c>
      <c r="U679" s="229">
        <v>0</v>
      </c>
      <c r="V679" s="229">
        <v>0</v>
      </c>
      <c r="W679" s="229">
        <v>0</v>
      </c>
      <c r="X679" s="229">
        <v>0</v>
      </c>
      <c r="Y679" s="229">
        <v>0</v>
      </c>
      <c r="Z679" s="229">
        <v>0</v>
      </c>
      <c r="AA679" s="229">
        <v>0</v>
      </c>
      <c r="AC679" s="12">
        <v>1</v>
      </c>
      <c r="AD679" s="14">
        <v>1</v>
      </c>
      <c r="AE679" s="14">
        <v>0</v>
      </c>
      <c r="AF679" s="26">
        <v>0</v>
      </c>
      <c r="AG679" s="12">
        <v>82</v>
      </c>
      <c r="AH679" s="14">
        <v>0</v>
      </c>
      <c r="AI679" s="209"/>
      <c r="AJ679" s="3"/>
      <c r="AK679" s="3"/>
      <c r="AL679" s="3"/>
      <c r="AM679" s="3"/>
      <c r="AN679" s="3"/>
      <c r="AO679" s="40"/>
      <c r="AP679" s="209"/>
      <c r="AQ679" s="3"/>
      <c r="AR679" s="40"/>
      <c r="AS679" s="238"/>
    </row>
    <row r="680" spans="1:45" s="229" customFormat="1">
      <c r="A680" s="42" t="s">
        <v>323</v>
      </c>
      <c r="B680" s="386">
        <v>12.705666666666668</v>
      </c>
      <c r="C680" s="229" t="s">
        <v>692</v>
      </c>
      <c r="D680" s="229" t="s">
        <v>685</v>
      </c>
      <c r="F680" s="229">
        <v>983</v>
      </c>
      <c r="G680" s="40">
        <f>F680/792</f>
        <v>1.2411616161616161</v>
      </c>
      <c r="H680" s="14">
        <v>0</v>
      </c>
      <c r="I680" s="229">
        <v>1</v>
      </c>
      <c r="J680" s="229">
        <v>0</v>
      </c>
      <c r="K680" s="26">
        <v>1</v>
      </c>
      <c r="L680" s="14">
        <v>0</v>
      </c>
      <c r="M680" s="229">
        <v>1</v>
      </c>
      <c r="N680" s="229">
        <v>0</v>
      </c>
      <c r="O680" s="229">
        <v>0</v>
      </c>
      <c r="P680" s="26">
        <v>1</v>
      </c>
      <c r="Q680" s="14">
        <v>4</v>
      </c>
      <c r="R680" s="229">
        <v>14</v>
      </c>
      <c r="S680" s="229">
        <v>15</v>
      </c>
      <c r="T680" s="229">
        <v>0</v>
      </c>
      <c r="U680" s="229">
        <v>0</v>
      </c>
      <c r="V680" s="229">
        <v>0</v>
      </c>
      <c r="W680" s="229">
        <v>174</v>
      </c>
      <c r="X680" s="229">
        <v>0</v>
      </c>
      <c r="Y680" s="229">
        <v>0</v>
      </c>
      <c r="Z680" s="229">
        <v>0</v>
      </c>
      <c r="AA680" s="229">
        <v>0</v>
      </c>
      <c r="AC680" s="12">
        <v>2</v>
      </c>
      <c r="AD680" s="14">
        <v>3</v>
      </c>
      <c r="AE680" s="14">
        <v>387</v>
      </c>
      <c r="AF680" s="26">
        <v>664</v>
      </c>
      <c r="AG680" s="12">
        <v>129</v>
      </c>
      <c r="AH680" s="14">
        <v>1</v>
      </c>
      <c r="AI680" s="209"/>
      <c r="AJ680" s="3"/>
      <c r="AK680" s="3"/>
      <c r="AL680" s="3"/>
      <c r="AM680" s="3"/>
      <c r="AN680" s="3"/>
      <c r="AO680" s="40"/>
      <c r="AP680" s="209"/>
      <c r="AQ680" s="3"/>
      <c r="AR680" s="40"/>
      <c r="AS680" s="238"/>
    </row>
    <row r="681" spans="1:45" s="229" customFormat="1">
      <c r="A681" s="42" t="s">
        <v>323</v>
      </c>
      <c r="B681" s="386">
        <v>12.705666666666668</v>
      </c>
      <c r="C681" s="229" t="s">
        <v>692</v>
      </c>
      <c r="D681" s="229" t="s">
        <v>686</v>
      </c>
      <c r="F681" s="229">
        <v>340</v>
      </c>
      <c r="G681" s="40">
        <f>F681/284</f>
        <v>1.1971830985915493</v>
      </c>
      <c r="H681" s="14">
        <v>1</v>
      </c>
      <c r="I681" s="229">
        <v>0</v>
      </c>
      <c r="J681" s="229">
        <v>0</v>
      </c>
      <c r="K681" s="26">
        <v>1</v>
      </c>
      <c r="L681" s="14">
        <v>0</v>
      </c>
      <c r="M681" s="229">
        <v>0</v>
      </c>
      <c r="N681" s="229">
        <v>1</v>
      </c>
      <c r="O681" s="229">
        <v>0</v>
      </c>
      <c r="P681" s="26">
        <v>1</v>
      </c>
      <c r="Q681" s="14">
        <v>1</v>
      </c>
      <c r="R681" s="229">
        <v>0</v>
      </c>
      <c r="S681" s="229">
        <v>10</v>
      </c>
      <c r="T681" s="229">
        <v>0</v>
      </c>
      <c r="U681" s="229">
        <v>0</v>
      </c>
      <c r="V681" s="229">
        <v>0</v>
      </c>
      <c r="W681" s="229">
        <v>0</v>
      </c>
      <c r="X681" s="229">
        <v>0</v>
      </c>
      <c r="Y681" s="229">
        <v>0</v>
      </c>
      <c r="Z681" s="229">
        <v>0</v>
      </c>
      <c r="AA681" s="229">
        <v>0</v>
      </c>
      <c r="AC681" s="12">
        <v>2</v>
      </c>
      <c r="AD681" s="14">
        <v>15</v>
      </c>
      <c r="AE681" s="14">
        <v>20</v>
      </c>
      <c r="AF681" s="26">
        <v>129</v>
      </c>
      <c r="AG681" s="12">
        <v>61</v>
      </c>
      <c r="AH681" s="14">
        <v>1</v>
      </c>
      <c r="AI681" s="209"/>
      <c r="AJ681" s="3"/>
      <c r="AK681" s="3"/>
      <c r="AL681" s="3"/>
      <c r="AM681" s="3"/>
      <c r="AN681" s="3"/>
      <c r="AO681" s="40"/>
      <c r="AP681" s="209"/>
      <c r="AQ681" s="3"/>
      <c r="AR681" s="40"/>
      <c r="AS681" s="238"/>
    </row>
    <row r="682" spans="1:45" s="229" customFormat="1">
      <c r="A682" s="42" t="s">
        <v>323</v>
      </c>
      <c r="B682" s="386">
        <v>12.705666666666668</v>
      </c>
      <c r="C682" s="229" t="s">
        <v>692</v>
      </c>
      <c r="D682" s="229" t="s">
        <v>689</v>
      </c>
      <c r="E682" s="229" t="s">
        <v>0</v>
      </c>
      <c r="F682" s="229">
        <v>345</v>
      </c>
      <c r="G682" s="40">
        <f>F682/307</f>
        <v>1.1237785016286646</v>
      </c>
      <c r="H682" s="14">
        <v>1</v>
      </c>
      <c r="I682" s="229">
        <v>0</v>
      </c>
      <c r="J682" s="229">
        <v>0</v>
      </c>
      <c r="K682" s="26">
        <v>1</v>
      </c>
      <c r="L682" s="14">
        <v>0</v>
      </c>
      <c r="M682" s="229">
        <v>0</v>
      </c>
      <c r="N682" s="229">
        <v>1</v>
      </c>
      <c r="O682" s="229">
        <v>0</v>
      </c>
      <c r="P682" s="26">
        <v>1</v>
      </c>
      <c r="Q682" s="14">
        <v>0</v>
      </c>
      <c r="R682" s="229">
        <v>0</v>
      </c>
      <c r="S682" s="229">
        <v>0</v>
      </c>
      <c r="T682" s="229">
        <v>0</v>
      </c>
      <c r="U682" s="229">
        <v>0</v>
      </c>
      <c r="V682" s="229">
        <v>0</v>
      </c>
      <c r="W682" s="229">
        <v>0</v>
      </c>
      <c r="X682" s="229">
        <v>0</v>
      </c>
      <c r="Y682" s="229">
        <v>0</v>
      </c>
      <c r="Z682" s="229">
        <v>0</v>
      </c>
      <c r="AA682" s="229">
        <v>0</v>
      </c>
      <c r="AC682" s="12">
        <v>2</v>
      </c>
      <c r="AD682" s="14">
        <v>4</v>
      </c>
      <c r="AE682" s="14">
        <v>50</v>
      </c>
      <c r="AF682" s="26">
        <v>307</v>
      </c>
      <c r="AG682" s="12">
        <v>103</v>
      </c>
      <c r="AH682" s="14">
        <v>1</v>
      </c>
      <c r="AI682" s="209"/>
      <c r="AJ682" s="3"/>
      <c r="AK682" s="3"/>
      <c r="AL682" s="3"/>
      <c r="AM682" s="3"/>
      <c r="AN682" s="3"/>
      <c r="AO682" s="40"/>
      <c r="AP682" s="209"/>
      <c r="AQ682" s="3"/>
      <c r="AR682" s="40"/>
      <c r="AS682" s="238"/>
    </row>
    <row r="683" spans="1:45" s="229" customFormat="1">
      <c r="A683" s="42" t="s">
        <v>323</v>
      </c>
      <c r="B683" s="386">
        <v>12.705666666666668</v>
      </c>
      <c r="C683" s="229" t="s">
        <v>692</v>
      </c>
      <c r="D683" s="229" t="s">
        <v>689</v>
      </c>
      <c r="E683" s="229" t="s">
        <v>1</v>
      </c>
      <c r="F683" s="229">
        <v>420</v>
      </c>
      <c r="G683" s="40">
        <f>F683/218</f>
        <v>1.926605504587156</v>
      </c>
      <c r="H683" s="14">
        <v>0</v>
      </c>
      <c r="I683" s="229">
        <v>1</v>
      </c>
      <c r="J683" s="229">
        <v>0</v>
      </c>
      <c r="K683" s="26">
        <v>0</v>
      </c>
      <c r="L683" s="14">
        <v>0</v>
      </c>
      <c r="M683" s="229">
        <v>0</v>
      </c>
      <c r="N683" s="229">
        <v>0</v>
      </c>
      <c r="O683" s="229">
        <v>0</v>
      </c>
      <c r="P683" s="26">
        <v>0</v>
      </c>
      <c r="Q683" s="14">
        <v>3</v>
      </c>
      <c r="R683" s="229">
        <v>7</v>
      </c>
      <c r="S683" s="229">
        <v>10</v>
      </c>
      <c r="T683" s="229">
        <v>0</v>
      </c>
      <c r="U683" s="229">
        <v>0</v>
      </c>
      <c r="V683" s="229">
        <v>0</v>
      </c>
      <c r="W683" s="229">
        <v>25</v>
      </c>
      <c r="X683" s="229">
        <v>0</v>
      </c>
      <c r="Y683" s="229">
        <v>0</v>
      </c>
      <c r="Z683" s="229">
        <v>0</v>
      </c>
      <c r="AA683" s="229">
        <v>0</v>
      </c>
      <c r="AC683" s="12">
        <v>1</v>
      </c>
      <c r="AD683" s="14">
        <v>1</v>
      </c>
      <c r="AE683" s="14">
        <v>0</v>
      </c>
      <c r="AF683" s="26">
        <v>0</v>
      </c>
      <c r="AG683" s="12">
        <v>103</v>
      </c>
      <c r="AH683" s="14">
        <v>1</v>
      </c>
      <c r="AI683" s="209"/>
      <c r="AJ683" s="3"/>
      <c r="AK683" s="3"/>
      <c r="AL683" s="3"/>
      <c r="AM683" s="3"/>
      <c r="AN683" s="3"/>
      <c r="AO683" s="40"/>
      <c r="AP683" s="209"/>
      <c r="AQ683" s="3"/>
      <c r="AR683" s="40"/>
      <c r="AS683" s="238"/>
    </row>
    <row r="684" spans="1:45" s="229" customFormat="1">
      <c r="A684" s="42" t="s">
        <v>323</v>
      </c>
      <c r="B684" s="386">
        <v>12.705666666666668</v>
      </c>
      <c r="C684" s="229" t="s">
        <v>692</v>
      </c>
      <c r="D684" s="229" t="s">
        <v>690</v>
      </c>
      <c r="E684" s="229" t="s">
        <v>0</v>
      </c>
      <c r="F684" s="229">
        <v>203</v>
      </c>
      <c r="G684" s="40">
        <f>F684/176</f>
        <v>1.1534090909090908</v>
      </c>
      <c r="H684" s="14">
        <v>1</v>
      </c>
      <c r="I684" s="229">
        <v>0</v>
      </c>
      <c r="J684" s="229">
        <v>0</v>
      </c>
      <c r="K684" s="26">
        <v>0</v>
      </c>
      <c r="L684" s="14">
        <v>0</v>
      </c>
      <c r="M684" s="229">
        <v>1</v>
      </c>
      <c r="N684" s="229">
        <v>0</v>
      </c>
      <c r="O684" s="229">
        <v>0</v>
      </c>
      <c r="P684" s="26">
        <v>1</v>
      </c>
      <c r="Q684" s="14">
        <v>0</v>
      </c>
      <c r="R684" s="229">
        <v>0</v>
      </c>
      <c r="S684" s="229">
        <v>0</v>
      </c>
      <c r="T684" s="229">
        <v>0</v>
      </c>
      <c r="U684" s="229">
        <v>0</v>
      </c>
      <c r="V684" s="229">
        <v>0</v>
      </c>
      <c r="W684" s="229">
        <v>0</v>
      </c>
      <c r="X684" s="229">
        <v>0</v>
      </c>
      <c r="Y684" s="229">
        <v>0</v>
      </c>
      <c r="Z684" s="229">
        <v>0</v>
      </c>
      <c r="AA684" s="229">
        <v>0</v>
      </c>
      <c r="AC684" s="12">
        <v>2</v>
      </c>
      <c r="AD684" s="14">
        <v>2</v>
      </c>
      <c r="AE684" s="14">
        <v>95</v>
      </c>
      <c r="AF684" s="26">
        <v>203</v>
      </c>
      <c r="AG684" s="12">
        <v>123</v>
      </c>
      <c r="AH684" s="14">
        <v>0</v>
      </c>
      <c r="AI684" s="209"/>
      <c r="AJ684" s="3"/>
      <c r="AK684" s="3"/>
      <c r="AL684" s="3"/>
      <c r="AM684" s="3"/>
      <c r="AN684" s="3"/>
      <c r="AO684" s="40"/>
      <c r="AP684" s="209"/>
      <c r="AQ684" s="3"/>
      <c r="AR684" s="40"/>
      <c r="AS684" s="238"/>
    </row>
    <row r="685" spans="1:45" s="229" customFormat="1">
      <c r="A685" s="42" t="s">
        <v>323</v>
      </c>
      <c r="B685" s="386">
        <v>12.705666666666668</v>
      </c>
      <c r="C685" s="229" t="s">
        <v>692</v>
      </c>
      <c r="D685" s="229" t="s">
        <v>690</v>
      </c>
      <c r="E685" s="229" t="s">
        <v>1</v>
      </c>
      <c r="F685" s="229">
        <v>99</v>
      </c>
      <c r="G685" s="40">
        <f>F685/96</f>
        <v>1.03125</v>
      </c>
      <c r="H685" s="14">
        <v>1</v>
      </c>
      <c r="I685" s="229">
        <v>0</v>
      </c>
      <c r="J685" s="229">
        <v>0</v>
      </c>
      <c r="K685" s="26">
        <v>0</v>
      </c>
      <c r="L685" s="14">
        <v>0</v>
      </c>
      <c r="M685" s="229">
        <v>1</v>
      </c>
      <c r="N685" s="229">
        <v>0</v>
      </c>
      <c r="O685" s="229">
        <v>0</v>
      </c>
      <c r="P685" s="26">
        <v>1</v>
      </c>
      <c r="Q685" s="14">
        <v>0</v>
      </c>
      <c r="R685" s="229">
        <v>0</v>
      </c>
      <c r="S685" s="229">
        <v>0</v>
      </c>
      <c r="T685" s="229">
        <v>0</v>
      </c>
      <c r="U685" s="229">
        <v>0</v>
      </c>
      <c r="V685" s="229">
        <v>0</v>
      </c>
      <c r="W685" s="229">
        <v>0</v>
      </c>
      <c r="X685" s="229">
        <v>0</v>
      </c>
      <c r="Y685" s="229">
        <v>0</v>
      </c>
      <c r="Z685" s="229">
        <v>0</v>
      </c>
      <c r="AA685" s="229">
        <v>0</v>
      </c>
      <c r="AC685" s="12">
        <v>1</v>
      </c>
      <c r="AD685" s="14">
        <v>1</v>
      </c>
      <c r="AE685" s="14">
        <v>0</v>
      </c>
      <c r="AF685" s="26">
        <v>0</v>
      </c>
      <c r="AG685" s="12">
        <v>123</v>
      </c>
      <c r="AH685" s="14">
        <v>0</v>
      </c>
      <c r="AI685" s="209"/>
      <c r="AJ685" s="3"/>
      <c r="AK685" s="3"/>
      <c r="AL685" s="3"/>
      <c r="AM685" s="3"/>
      <c r="AN685" s="3"/>
      <c r="AO685" s="40"/>
      <c r="AP685" s="209"/>
      <c r="AQ685" s="3"/>
      <c r="AR685" s="40"/>
      <c r="AS685" s="238"/>
    </row>
    <row r="686" spans="1:45" s="229" customFormat="1">
      <c r="A686" s="42" t="s">
        <v>323</v>
      </c>
      <c r="B686" s="386">
        <v>12.705666666666668</v>
      </c>
      <c r="C686" s="229" t="s">
        <v>692</v>
      </c>
      <c r="D686" s="229" t="s">
        <v>690</v>
      </c>
      <c r="E686" s="229" t="s">
        <v>2</v>
      </c>
      <c r="F686" s="229">
        <v>104</v>
      </c>
      <c r="G686" s="40">
        <f>F686/101</f>
        <v>1.0297029702970297</v>
      </c>
      <c r="H686" s="14">
        <v>0</v>
      </c>
      <c r="I686" s="229">
        <v>0</v>
      </c>
      <c r="J686" s="229">
        <v>1</v>
      </c>
      <c r="K686" s="26">
        <v>0</v>
      </c>
      <c r="L686" s="14">
        <v>0</v>
      </c>
      <c r="M686" s="229">
        <v>0</v>
      </c>
      <c r="N686" s="229">
        <v>0</v>
      </c>
      <c r="O686" s="229">
        <v>0</v>
      </c>
      <c r="P686" s="26">
        <v>0</v>
      </c>
      <c r="Q686" s="14">
        <v>0</v>
      </c>
      <c r="R686" s="229">
        <v>0</v>
      </c>
      <c r="S686" s="229">
        <v>0</v>
      </c>
      <c r="T686" s="229">
        <v>0</v>
      </c>
      <c r="U686" s="229">
        <v>0</v>
      </c>
      <c r="V686" s="229">
        <v>0</v>
      </c>
      <c r="W686" s="229">
        <v>0</v>
      </c>
      <c r="X686" s="229">
        <v>0</v>
      </c>
      <c r="Y686" s="229">
        <v>0</v>
      </c>
      <c r="Z686" s="229">
        <v>0</v>
      </c>
      <c r="AA686" s="229">
        <v>0</v>
      </c>
      <c r="AC686" s="12">
        <v>1</v>
      </c>
      <c r="AD686" s="14">
        <v>1</v>
      </c>
      <c r="AE686" s="14">
        <v>0</v>
      </c>
      <c r="AF686" s="26">
        <v>0</v>
      </c>
      <c r="AG686" s="12">
        <v>123</v>
      </c>
      <c r="AH686" s="14">
        <v>0</v>
      </c>
      <c r="AI686" s="209"/>
      <c r="AJ686" s="3"/>
      <c r="AK686" s="3"/>
      <c r="AL686" s="3"/>
      <c r="AM686" s="3"/>
      <c r="AN686" s="3"/>
      <c r="AO686" s="40"/>
      <c r="AP686" s="209"/>
      <c r="AQ686" s="3"/>
      <c r="AR686" s="40"/>
      <c r="AS686" s="238"/>
    </row>
    <row r="687" spans="1:45" s="229" customFormat="1">
      <c r="A687" s="42" t="s">
        <v>323</v>
      </c>
      <c r="B687" s="386">
        <v>12.705666666666668</v>
      </c>
      <c r="C687" s="229" t="s">
        <v>692</v>
      </c>
      <c r="D687" s="229" t="s">
        <v>690</v>
      </c>
      <c r="E687" s="229" t="s">
        <v>3</v>
      </c>
      <c r="F687" s="229">
        <v>575</v>
      </c>
      <c r="G687" s="40">
        <f>F687/381</f>
        <v>1.5091863517060367</v>
      </c>
      <c r="H687" s="14">
        <v>0</v>
      </c>
      <c r="I687" s="229">
        <v>0</v>
      </c>
      <c r="J687" s="229">
        <v>1</v>
      </c>
      <c r="K687" s="26">
        <v>0</v>
      </c>
      <c r="L687" s="14">
        <v>0</v>
      </c>
      <c r="M687" s="229">
        <v>0</v>
      </c>
      <c r="N687" s="229">
        <v>0</v>
      </c>
      <c r="O687" s="229">
        <v>1</v>
      </c>
      <c r="P687" s="26">
        <v>1</v>
      </c>
      <c r="Q687" s="14">
        <v>10</v>
      </c>
      <c r="R687" s="229">
        <v>0</v>
      </c>
      <c r="S687" s="229">
        <v>0</v>
      </c>
      <c r="T687" s="229">
        <v>0</v>
      </c>
      <c r="U687" s="229">
        <v>0</v>
      </c>
      <c r="V687" s="229">
        <v>45</v>
      </c>
      <c r="W687" s="229">
        <v>144</v>
      </c>
      <c r="X687" s="229">
        <v>0</v>
      </c>
      <c r="Y687" s="229">
        <v>0</v>
      </c>
      <c r="Z687" s="229">
        <v>0</v>
      </c>
      <c r="AA687" s="229">
        <v>0</v>
      </c>
      <c r="AC687" s="12">
        <v>1</v>
      </c>
      <c r="AD687" s="14">
        <v>1</v>
      </c>
      <c r="AE687" s="14">
        <v>0</v>
      </c>
      <c r="AF687" s="26">
        <v>0</v>
      </c>
      <c r="AG687" s="12">
        <v>123</v>
      </c>
      <c r="AH687" s="14">
        <v>0</v>
      </c>
      <c r="AI687" s="209"/>
      <c r="AJ687" s="3"/>
      <c r="AK687" s="3"/>
      <c r="AL687" s="3"/>
      <c r="AM687" s="3"/>
      <c r="AN687" s="3"/>
      <c r="AO687" s="40"/>
      <c r="AP687" s="209"/>
      <c r="AQ687" s="3"/>
      <c r="AR687" s="40"/>
      <c r="AS687" s="238"/>
    </row>
    <row r="688" spans="1:45" s="229" customFormat="1">
      <c r="A688" s="42" t="s">
        <v>323</v>
      </c>
      <c r="B688" s="386">
        <v>12.705666666666668</v>
      </c>
      <c r="C688" s="229" t="s">
        <v>692</v>
      </c>
      <c r="D688" s="229" t="s">
        <v>695</v>
      </c>
      <c r="F688" s="229">
        <v>461</v>
      </c>
      <c r="G688" s="40">
        <f>F688/336</f>
        <v>1.3720238095238095</v>
      </c>
      <c r="H688" s="14">
        <v>0</v>
      </c>
      <c r="I688" s="229">
        <v>0</v>
      </c>
      <c r="J688" s="229">
        <v>1</v>
      </c>
      <c r="K688" s="26">
        <v>1</v>
      </c>
      <c r="L688" s="14">
        <v>0</v>
      </c>
      <c r="M688" s="229">
        <v>0</v>
      </c>
      <c r="N688" s="229">
        <v>1</v>
      </c>
      <c r="O688" s="229">
        <v>0</v>
      </c>
      <c r="P688" s="26">
        <v>1</v>
      </c>
      <c r="Q688" s="14">
        <v>0</v>
      </c>
      <c r="R688" s="229">
        <v>0</v>
      </c>
      <c r="S688" s="229">
        <v>0</v>
      </c>
      <c r="T688" s="229">
        <v>0</v>
      </c>
      <c r="U688" s="229">
        <v>0</v>
      </c>
      <c r="V688" s="229">
        <v>0</v>
      </c>
      <c r="W688" s="229">
        <v>0</v>
      </c>
      <c r="X688" s="229">
        <v>0</v>
      </c>
      <c r="Y688" s="229">
        <v>0</v>
      </c>
      <c r="Z688" s="229">
        <v>0</v>
      </c>
      <c r="AA688" s="229">
        <v>0</v>
      </c>
      <c r="AC688" s="12">
        <v>2</v>
      </c>
      <c r="AD688" s="14">
        <v>3</v>
      </c>
      <c r="AE688" s="14">
        <v>148</v>
      </c>
      <c r="AF688" s="26">
        <v>277</v>
      </c>
      <c r="AG688" s="12">
        <v>97</v>
      </c>
      <c r="AH688" s="14">
        <v>0</v>
      </c>
      <c r="AI688" s="209"/>
      <c r="AJ688" s="3"/>
      <c r="AK688" s="3"/>
      <c r="AL688" s="3"/>
      <c r="AM688" s="3"/>
      <c r="AN688" s="3"/>
      <c r="AO688" s="40"/>
      <c r="AP688" s="209"/>
      <c r="AQ688" s="3"/>
      <c r="AR688" s="40"/>
      <c r="AS688" s="238"/>
    </row>
    <row r="689" spans="1:45" s="229" customFormat="1">
      <c r="A689" s="42" t="s">
        <v>323</v>
      </c>
      <c r="B689" s="386">
        <v>12.705666666666668</v>
      </c>
      <c r="C689" s="229" t="s">
        <v>692</v>
      </c>
      <c r="D689" s="229" t="s">
        <v>696</v>
      </c>
      <c r="E689" s="229" t="s">
        <v>0</v>
      </c>
      <c r="F689" s="229">
        <v>548</v>
      </c>
      <c r="G689" s="40">
        <f>F689/424</f>
        <v>1.2924528301886793</v>
      </c>
      <c r="H689" s="14">
        <v>0</v>
      </c>
      <c r="I689" s="229">
        <v>0</v>
      </c>
      <c r="J689" s="229">
        <v>0</v>
      </c>
      <c r="K689" s="26">
        <v>1</v>
      </c>
      <c r="L689" s="14">
        <v>0</v>
      </c>
      <c r="M689" s="229">
        <v>0</v>
      </c>
      <c r="N689" s="229">
        <v>1</v>
      </c>
      <c r="O689" s="229">
        <v>0</v>
      </c>
      <c r="P689" s="26">
        <v>1</v>
      </c>
      <c r="Q689" s="14">
        <v>2</v>
      </c>
      <c r="R689" s="229">
        <v>21</v>
      </c>
      <c r="S689" s="229">
        <v>30</v>
      </c>
      <c r="T689" s="229">
        <v>0</v>
      </c>
      <c r="U689" s="229">
        <v>0</v>
      </c>
      <c r="V689" s="229">
        <v>0</v>
      </c>
      <c r="W689" s="229">
        <v>0</v>
      </c>
      <c r="X689" s="229">
        <v>0</v>
      </c>
      <c r="Y689" s="229">
        <v>0</v>
      </c>
      <c r="Z689" s="229">
        <v>0</v>
      </c>
      <c r="AA689" s="229">
        <v>0</v>
      </c>
      <c r="AC689" s="12">
        <v>2</v>
      </c>
      <c r="AD689" s="14">
        <v>2</v>
      </c>
      <c r="AE689" s="14">
        <v>243</v>
      </c>
      <c r="AF689" s="26">
        <v>455</v>
      </c>
      <c r="AG689" s="12">
        <v>98</v>
      </c>
      <c r="AH689" s="14">
        <v>1</v>
      </c>
      <c r="AI689" s="209"/>
      <c r="AJ689" s="3"/>
      <c r="AK689" s="3"/>
      <c r="AL689" s="3"/>
      <c r="AM689" s="3"/>
      <c r="AN689" s="3"/>
      <c r="AO689" s="40"/>
      <c r="AP689" s="209"/>
      <c r="AQ689" s="3"/>
      <c r="AR689" s="40"/>
      <c r="AS689" s="238"/>
    </row>
    <row r="690" spans="1:45" s="229" customFormat="1">
      <c r="A690" s="42" t="s">
        <v>323</v>
      </c>
      <c r="B690" s="386">
        <v>12.705666666666668</v>
      </c>
      <c r="C690" s="229" t="s">
        <v>692</v>
      </c>
      <c r="D690" s="229" t="s">
        <v>696</v>
      </c>
      <c r="E690" s="229" t="s">
        <v>1</v>
      </c>
      <c r="F690" s="229">
        <v>433</v>
      </c>
      <c r="G690" s="40">
        <f>F690/372</f>
        <v>1.163978494623656</v>
      </c>
      <c r="H690" s="14">
        <v>0</v>
      </c>
      <c r="I690" s="229">
        <v>0</v>
      </c>
      <c r="J690" s="229">
        <v>0</v>
      </c>
      <c r="K690" s="26">
        <v>1</v>
      </c>
      <c r="L690" s="14">
        <v>0</v>
      </c>
      <c r="M690" s="229">
        <v>0</v>
      </c>
      <c r="N690" s="229">
        <v>1</v>
      </c>
      <c r="O690" s="229">
        <v>0</v>
      </c>
      <c r="P690" s="26">
        <v>1</v>
      </c>
      <c r="Q690" s="14">
        <v>1</v>
      </c>
      <c r="R690" s="229">
        <v>0</v>
      </c>
      <c r="S690" s="229">
        <v>0</v>
      </c>
      <c r="T690" s="229">
        <v>0</v>
      </c>
      <c r="U690" s="229">
        <v>0</v>
      </c>
      <c r="V690" s="229">
        <v>11</v>
      </c>
      <c r="W690" s="229">
        <v>22</v>
      </c>
      <c r="X690" s="229">
        <v>0</v>
      </c>
      <c r="Y690" s="229">
        <v>0</v>
      </c>
      <c r="Z690" s="229">
        <v>0</v>
      </c>
      <c r="AA690" s="229">
        <v>0</v>
      </c>
      <c r="AC690" s="12">
        <v>2</v>
      </c>
      <c r="AD690" s="14">
        <v>2</v>
      </c>
      <c r="AE690" s="14">
        <v>105</v>
      </c>
      <c r="AF690" s="26">
        <v>432</v>
      </c>
      <c r="AG690" s="12">
        <v>98</v>
      </c>
      <c r="AH690" s="14">
        <v>1</v>
      </c>
      <c r="AI690" s="209"/>
      <c r="AJ690" s="3"/>
      <c r="AK690" s="3"/>
      <c r="AL690" s="3"/>
      <c r="AM690" s="3"/>
      <c r="AN690" s="3"/>
      <c r="AO690" s="40"/>
      <c r="AP690" s="209"/>
      <c r="AQ690" s="3"/>
      <c r="AR690" s="40"/>
      <c r="AS690" s="238"/>
    </row>
    <row r="691" spans="1:45" s="229" customFormat="1">
      <c r="A691" s="42" t="s">
        <v>323</v>
      </c>
      <c r="B691" s="386">
        <v>12.705666666666668</v>
      </c>
      <c r="C691" s="229" t="s">
        <v>692</v>
      </c>
      <c r="D691" s="229" t="s">
        <v>697</v>
      </c>
      <c r="E691" s="229" t="s">
        <v>0</v>
      </c>
      <c r="F691" s="229">
        <v>430</v>
      </c>
      <c r="G691" s="40">
        <f>F691/190</f>
        <v>2.263157894736842</v>
      </c>
      <c r="H691" s="14">
        <v>0</v>
      </c>
      <c r="I691" s="229">
        <v>1</v>
      </c>
      <c r="J691" s="229">
        <v>0</v>
      </c>
      <c r="K691" s="26">
        <v>0</v>
      </c>
      <c r="L691" s="14">
        <v>0</v>
      </c>
      <c r="M691" s="229">
        <v>0</v>
      </c>
      <c r="N691" s="229">
        <v>1</v>
      </c>
      <c r="O691" s="229">
        <v>0</v>
      </c>
      <c r="P691" s="26">
        <v>1</v>
      </c>
      <c r="Q691" s="14">
        <v>5</v>
      </c>
      <c r="R691" s="229">
        <v>0</v>
      </c>
      <c r="S691" s="229">
        <v>57</v>
      </c>
      <c r="T691" s="229">
        <v>0</v>
      </c>
      <c r="U691" s="229">
        <v>0</v>
      </c>
      <c r="V691" s="229">
        <v>0</v>
      </c>
      <c r="W691" s="229">
        <v>0</v>
      </c>
      <c r="X691" s="229">
        <v>0</v>
      </c>
      <c r="Y691" s="229">
        <v>0</v>
      </c>
      <c r="Z691" s="229">
        <v>0</v>
      </c>
      <c r="AA691" s="229">
        <v>0</v>
      </c>
      <c r="AC691" s="12">
        <v>1</v>
      </c>
      <c r="AD691" s="14">
        <v>1</v>
      </c>
      <c r="AE691" s="14">
        <v>0</v>
      </c>
      <c r="AF691" s="26">
        <v>0</v>
      </c>
      <c r="AG691" s="12">
        <v>58</v>
      </c>
      <c r="AH691" s="14">
        <v>0</v>
      </c>
      <c r="AI691" s="209"/>
      <c r="AJ691" s="3"/>
      <c r="AK691" s="3"/>
      <c r="AL691" s="3"/>
      <c r="AM691" s="3"/>
      <c r="AN691" s="3"/>
      <c r="AO691" s="40"/>
      <c r="AP691" s="209"/>
      <c r="AQ691" s="3"/>
      <c r="AR691" s="40"/>
      <c r="AS691" s="238"/>
    </row>
    <row r="692" spans="1:45" s="229" customFormat="1">
      <c r="A692" s="42" t="s">
        <v>323</v>
      </c>
      <c r="B692" s="386">
        <v>12.705666666666668</v>
      </c>
      <c r="C692" s="229" t="s">
        <v>692</v>
      </c>
      <c r="D692" s="229" t="s">
        <v>697</v>
      </c>
      <c r="E692" s="229" t="s">
        <v>1</v>
      </c>
      <c r="F692" s="229">
        <v>180</v>
      </c>
      <c r="G692" s="40">
        <f>F692/177</f>
        <v>1.0169491525423728</v>
      </c>
      <c r="H692" s="14">
        <v>0</v>
      </c>
      <c r="I692" s="229">
        <v>0</v>
      </c>
      <c r="J692" s="229">
        <v>0</v>
      </c>
      <c r="K692" s="26">
        <v>1</v>
      </c>
      <c r="L692" s="14">
        <v>0</v>
      </c>
      <c r="M692" s="229">
        <v>0</v>
      </c>
      <c r="N692" s="229">
        <v>1</v>
      </c>
      <c r="O692" s="229">
        <v>0</v>
      </c>
      <c r="P692" s="26">
        <v>1</v>
      </c>
      <c r="Q692" s="14">
        <v>0</v>
      </c>
      <c r="R692" s="229">
        <v>0</v>
      </c>
      <c r="S692" s="229">
        <v>0</v>
      </c>
      <c r="T692" s="229">
        <v>0</v>
      </c>
      <c r="U692" s="229">
        <v>0</v>
      </c>
      <c r="V692" s="229">
        <v>0</v>
      </c>
      <c r="W692" s="229">
        <v>0</v>
      </c>
      <c r="X692" s="229">
        <v>0</v>
      </c>
      <c r="Y692" s="229">
        <v>0</v>
      </c>
      <c r="Z692" s="229">
        <v>0</v>
      </c>
      <c r="AA692" s="229">
        <v>0</v>
      </c>
      <c r="AC692" s="12">
        <v>1</v>
      </c>
      <c r="AD692" s="14">
        <v>1</v>
      </c>
      <c r="AE692" s="14">
        <v>0</v>
      </c>
      <c r="AF692" s="26">
        <v>0</v>
      </c>
      <c r="AG692" s="12">
        <v>58</v>
      </c>
      <c r="AH692" s="14">
        <v>0</v>
      </c>
      <c r="AI692" s="209"/>
      <c r="AJ692" s="3"/>
      <c r="AK692" s="3"/>
      <c r="AL692" s="3"/>
      <c r="AM692" s="3"/>
      <c r="AN692" s="3"/>
      <c r="AO692" s="40"/>
      <c r="AP692" s="209"/>
      <c r="AQ692" s="3"/>
      <c r="AR692" s="40"/>
      <c r="AS692" s="238"/>
    </row>
    <row r="693" spans="1:45" s="229" customFormat="1">
      <c r="A693" s="42" t="s">
        <v>323</v>
      </c>
      <c r="B693" s="386">
        <v>12.705666666666668</v>
      </c>
      <c r="C693" s="229" t="s">
        <v>692</v>
      </c>
      <c r="D693" s="229" t="s">
        <v>697</v>
      </c>
      <c r="E693" s="229" t="s">
        <v>2</v>
      </c>
      <c r="F693" s="229">
        <v>259</v>
      </c>
      <c r="G693" s="40">
        <f>F693/226</f>
        <v>1.1460176991150441</v>
      </c>
      <c r="H693" s="14">
        <v>1</v>
      </c>
      <c r="I693" s="229">
        <v>0</v>
      </c>
      <c r="J693" s="229">
        <v>0</v>
      </c>
      <c r="K693" s="26">
        <v>1</v>
      </c>
      <c r="L693" s="14">
        <v>0</v>
      </c>
      <c r="M693" s="229">
        <v>0</v>
      </c>
      <c r="N693" s="229">
        <v>1</v>
      </c>
      <c r="O693" s="229">
        <v>0</v>
      </c>
      <c r="P693" s="26">
        <v>1</v>
      </c>
      <c r="Q693" s="14">
        <v>0</v>
      </c>
      <c r="R693" s="229">
        <v>0</v>
      </c>
      <c r="S693" s="229">
        <v>0</v>
      </c>
      <c r="T693" s="229">
        <v>0</v>
      </c>
      <c r="U693" s="229">
        <v>0</v>
      </c>
      <c r="V693" s="229">
        <v>0</v>
      </c>
      <c r="W693" s="229">
        <v>0</v>
      </c>
      <c r="X693" s="229">
        <v>0</v>
      </c>
      <c r="Y693" s="229">
        <v>0</v>
      </c>
      <c r="Z693" s="229">
        <v>0</v>
      </c>
      <c r="AA693" s="229">
        <v>0</v>
      </c>
      <c r="AC693" s="12">
        <v>2</v>
      </c>
      <c r="AD693" s="14">
        <v>2</v>
      </c>
      <c r="AE693" s="14">
        <v>119</v>
      </c>
      <c r="AF693" s="26">
        <v>226</v>
      </c>
      <c r="AG693" s="12">
        <v>58</v>
      </c>
      <c r="AH693" s="14">
        <v>0</v>
      </c>
      <c r="AI693" s="209"/>
      <c r="AJ693" s="3"/>
      <c r="AK693" s="3"/>
      <c r="AL693" s="3"/>
      <c r="AM693" s="3"/>
      <c r="AN693" s="3"/>
      <c r="AO693" s="40"/>
      <c r="AP693" s="209"/>
      <c r="AQ693" s="3"/>
      <c r="AR693" s="40"/>
      <c r="AS693" s="238"/>
    </row>
    <row r="694" spans="1:45" s="229" customFormat="1">
      <c r="A694" s="42" t="s">
        <v>323</v>
      </c>
      <c r="B694" s="386">
        <v>12.705666666666668</v>
      </c>
      <c r="C694" s="229" t="s">
        <v>692</v>
      </c>
      <c r="D694" s="229" t="s">
        <v>697</v>
      </c>
      <c r="E694" s="229" t="s">
        <v>3</v>
      </c>
      <c r="F694" s="229">
        <v>193</v>
      </c>
      <c r="G694" s="40">
        <f>F694/97</f>
        <v>1.9896907216494846</v>
      </c>
      <c r="H694" s="14">
        <v>1</v>
      </c>
      <c r="I694" s="229">
        <v>0</v>
      </c>
      <c r="J694" s="229">
        <v>0</v>
      </c>
      <c r="K694" s="26">
        <v>0</v>
      </c>
      <c r="L694" s="14">
        <v>0</v>
      </c>
      <c r="M694" s="229">
        <v>0</v>
      </c>
      <c r="N694" s="229">
        <v>0</v>
      </c>
      <c r="O694" s="229">
        <v>0</v>
      </c>
      <c r="P694" s="26">
        <v>0</v>
      </c>
      <c r="Q694" s="14">
        <v>0</v>
      </c>
      <c r="R694" s="229">
        <v>0</v>
      </c>
      <c r="S694" s="229">
        <v>0</v>
      </c>
      <c r="T694" s="229">
        <v>0</v>
      </c>
      <c r="U694" s="229">
        <v>0</v>
      </c>
      <c r="V694" s="229">
        <v>0</v>
      </c>
      <c r="W694" s="229">
        <v>0</v>
      </c>
      <c r="X694" s="229">
        <v>0</v>
      </c>
      <c r="Y694" s="229">
        <v>0</v>
      </c>
      <c r="Z694" s="229">
        <v>0</v>
      </c>
      <c r="AA694" s="229">
        <v>0</v>
      </c>
      <c r="AC694" s="12">
        <v>1</v>
      </c>
      <c r="AD694" s="14">
        <v>1</v>
      </c>
      <c r="AE694" s="14">
        <v>0</v>
      </c>
      <c r="AF694" s="26">
        <v>0</v>
      </c>
      <c r="AG694" s="12">
        <v>58</v>
      </c>
      <c r="AH694" s="14">
        <v>0</v>
      </c>
      <c r="AI694" s="209"/>
      <c r="AJ694" s="3"/>
      <c r="AK694" s="3"/>
      <c r="AL694" s="3"/>
      <c r="AM694" s="3"/>
      <c r="AN694" s="3"/>
      <c r="AO694" s="40"/>
      <c r="AP694" s="209"/>
      <c r="AQ694" s="3"/>
      <c r="AR694" s="40"/>
      <c r="AS694" s="238"/>
    </row>
    <row r="695" spans="1:45" s="229" customFormat="1">
      <c r="A695" s="42" t="s">
        <v>323</v>
      </c>
      <c r="B695" s="386">
        <v>12.705666666666668</v>
      </c>
      <c r="C695" s="229" t="s">
        <v>692</v>
      </c>
      <c r="D695" s="229" t="s">
        <v>698</v>
      </c>
      <c r="E695" s="229" t="s">
        <v>0</v>
      </c>
      <c r="F695" s="229">
        <v>182</v>
      </c>
      <c r="G695" s="40">
        <f>F695/110</f>
        <v>1.6545454545454545</v>
      </c>
      <c r="H695" s="14">
        <v>1</v>
      </c>
      <c r="I695" s="229">
        <v>0</v>
      </c>
      <c r="J695" s="229">
        <v>0</v>
      </c>
      <c r="K695" s="26">
        <v>0</v>
      </c>
      <c r="L695" s="14">
        <v>0</v>
      </c>
      <c r="M695" s="229">
        <v>1</v>
      </c>
      <c r="N695" s="229">
        <v>0</v>
      </c>
      <c r="O695" s="229">
        <v>0</v>
      </c>
      <c r="P695" s="26">
        <v>1</v>
      </c>
      <c r="Q695" s="14">
        <v>0</v>
      </c>
      <c r="R695" s="229">
        <v>0</v>
      </c>
      <c r="S695" s="229">
        <v>0</v>
      </c>
      <c r="T695" s="229">
        <v>0</v>
      </c>
      <c r="U695" s="229">
        <v>0</v>
      </c>
      <c r="V695" s="229">
        <v>0</v>
      </c>
      <c r="W695" s="229">
        <v>0</v>
      </c>
      <c r="X695" s="229">
        <v>0</v>
      </c>
      <c r="Y695" s="229">
        <v>0</v>
      </c>
      <c r="Z695" s="229">
        <v>0</v>
      </c>
      <c r="AA695" s="229">
        <v>0</v>
      </c>
      <c r="AC695" s="12">
        <v>1</v>
      </c>
      <c r="AD695" s="14">
        <v>1</v>
      </c>
      <c r="AE695" s="14">
        <v>0</v>
      </c>
      <c r="AF695" s="26">
        <v>0</v>
      </c>
      <c r="AG695" s="12">
        <v>118</v>
      </c>
      <c r="AH695" s="14">
        <v>0</v>
      </c>
      <c r="AI695" s="209"/>
      <c r="AJ695" s="3"/>
      <c r="AK695" s="3"/>
      <c r="AL695" s="3"/>
      <c r="AM695" s="3"/>
      <c r="AN695" s="3"/>
      <c r="AO695" s="40"/>
      <c r="AP695" s="209"/>
      <c r="AQ695" s="3"/>
      <c r="AR695" s="40"/>
      <c r="AS695" s="238"/>
    </row>
    <row r="696" spans="1:45" s="229" customFormat="1">
      <c r="A696" s="42" t="s">
        <v>323</v>
      </c>
      <c r="B696" s="386">
        <v>12.705666666666668</v>
      </c>
      <c r="C696" s="229" t="s">
        <v>692</v>
      </c>
      <c r="D696" s="229" t="s">
        <v>698</v>
      </c>
      <c r="E696" s="229" t="s">
        <v>1</v>
      </c>
      <c r="F696" s="229">
        <v>325</v>
      </c>
      <c r="G696" s="40">
        <f>F696/239</f>
        <v>1.3598326359832635</v>
      </c>
      <c r="H696" s="14">
        <v>1</v>
      </c>
      <c r="I696" s="229">
        <v>0</v>
      </c>
      <c r="J696" s="229">
        <v>0</v>
      </c>
      <c r="K696" s="26">
        <v>0</v>
      </c>
      <c r="L696" s="14">
        <v>0</v>
      </c>
      <c r="M696" s="229">
        <v>0</v>
      </c>
      <c r="N696" s="229">
        <v>1</v>
      </c>
      <c r="O696" s="229">
        <v>0</v>
      </c>
      <c r="P696" s="26">
        <v>1</v>
      </c>
      <c r="Q696" s="14">
        <v>0</v>
      </c>
      <c r="R696" s="229">
        <v>0</v>
      </c>
      <c r="S696" s="229">
        <v>0</v>
      </c>
      <c r="T696" s="229">
        <v>0</v>
      </c>
      <c r="U696" s="229">
        <v>0</v>
      </c>
      <c r="V696" s="229">
        <v>0</v>
      </c>
      <c r="W696" s="229">
        <v>0</v>
      </c>
      <c r="X696" s="229">
        <v>0</v>
      </c>
      <c r="Y696" s="229">
        <v>0</v>
      </c>
      <c r="Z696" s="229">
        <v>0</v>
      </c>
      <c r="AA696" s="229">
        <v>0</v>
      </c>
      <c r="AC696" s="12">
        <v>1</v>
      </c>
      <c r="AD696" s="14">
        <v>1</v>
      </c>
      <c r="AE696" s="14">
        <v>0</v>
      </c>
      <c r="AF696" s="26">
        <v>0</v>
      </c>
      <c r="AG696" s="12">
        <v>118</v>
      </c>
      <c r="AH696" s="14">
        <v>0</v>
      </c>
      <c r="AI696" s="209"/>
      <c r="AJ696" s="3"/>
      <c r="AK696" s="3"/>
      <c r="AL696" s="3"/>
      <c r="AM696" s="3"/>
      <c r="AN696" s="3"/>
      <c r="AO696" s="40"/>
      <c r="AP696" s="209"/>
      <c r="AQ696" s="3"/>
      <c r="AR696" s="40"/>
      <c r="AS696" s="238"/>
    </row>
    <row r="697" spans="1:45" s="229" customFormat="1">
      <c r="A697" s="42" t="s">
        <v>323</v>
      </c>
      <c r="B697" s="386">
        <v>12.705666666666668</v>
      </c>
      <c r="C697" s="229" t="s">
        <v>692</v>
      </c>
      <c r="D697" s="229" t="s">
        <v>698</v>
      </c>
      <c r="E697" s="229" t="s">
        <v>2</v>
      </c>
      <c r="F697" s="229">
        <v>420</v>
      </c>
      <c r="G697" s="40">
        <f>F697/308</f>
        <v>1.3636363636363635</v>
      </c>
      <c r="H697" s="14">
        <v>1</v>
      </c>
      <c r="I697" s="229">
        <v>0</v>
      </c>
      <c r="J697" s="229">
        <v>0</v>
      </c>
      <c r="K697" s="26">
        <v>1</v>
      </c>
      <c r="L697" s="14">
        <v>0</v>
      </c>
      <c r="M697" s="229">
        <v>0</v>
      </c>
      <c r="N697" s="229">
        <v>1</v>
      </c>
      <c r="O697" s="229">
        <v>0</v>
      </c>
      <c r="P697" s="26">
        <v>1</v>
      </c>
      <c r="Q697" s="14">
        <v>2</v>
      </c>
      <c r="R697" s="229">
        <v>0</v>
      </c>
      <c r="S697" s="229">
        <v>0</v>
      </c>
      <c r="T697" s="229">
        <v>0</v>
      </c>
      <c r="U697" s="229">
        <v>0</v>
      </c>
      <c r="V697" s="229">
        <v>0</v>
      </c>
      <c r="W697" s="229">
        <v>38</v>
      </c>
      <c r="X697" s="229">
        <v>0</v>
      </c>
      <c r="Y697" s="229">
        <v>0</v>
      </c>
      <c r="Z697" s="229">
        <v>0</v>
      </c>
      <c r="AA697" s="229">
        <v>0</v>
      </c>
      <c r="AC697" s="12">
        <v>2</v>
      </c>
      <c r="AD697" s="14">
        <v>4</v>
      </c>
      <c r="AE697" s="14">
        <v>44</v>
      </c>
      <c r="AF697" s="26">
        <v>299</v>
      </c>
      <c r="AG697" s="12">
        <v>118</v>
      </c>
      <c r="AH697" s="14">
        <v>0</v>
      </c>
      <c r="AI697" s="209"/>
      <c r="AJ697" s="3"/>
      <c r="AK697" s="3"/>
      <c r="AL697" s="3"/>
      <c r="AM697" s="3"/>
      <c r="AN697" s="3"/>
      <c r="AO697" s="40"/>
      <c r="AP697" s="209"/>
      <c r="AQ697" s="3"/>
      <c r="AR697" s="40"/>
      <c r="AS697" s="238"/>
    </row>
    <row r="698" spans="1:45" s="229" customFormat="1">
      <c r="A698" s="42" t="s">
        <v>323</v>
      </c>
      <c r="B698" s="386">
        <v>12.705666666666668</v>
      </c>
      <c r="C698" s="229" t="s">
        <v>692</v>
      </c>
      <c r="D698" s="229" t="s">
        <v>699</v>
      </c>
      <c r="E698" s="229" t="s">
        <v>0</v>
      </c>
      <c r="F698" s="229">
        <v>297</v>
      </c>
      <c r="G698" s="40">
        <f>F698/201</f>
        <v>1.4776119402985075</v>
      </c>
      <c r="H698" s="14">
        <v>0</v>
      </c>
      <c r="I698" s="229">
        <v>0</v>
      </c>
      <c r="J698" s="229">
        <v>0</v>
      </c>
      <c r="K698" s="26">
        <v>1</v>
      </c>
      <c r="L698" s="14">
        <v>0</v>
      </c>
      <c r="M698" s="229">
        <v>0</v>
      </c>
      <c r="N698" s="229">
        <v>1</v>
      </c>
      <c r="O698" s="229">
        <v>0</v>
      </c>
      <c r="P698" s="26">
        <v>1</v>
      </c>
      <c r="Q698" s="14">
        <v>2</v>
      </c>
      <c r="R698" s="229">
        <v>0</v>
      </c>
      <c r="S698" s="229">
        <v>12</v>
      </c>
      <c r="T698" s="229">
        <v>0</v>
      </c>
      <c r="U698" s="229">
        <v>0</v>
      </c>
      <c r="V698" s="229">
        <v>0</v>
      </c>
      <c r="W698" s="229">
        <v>0</v>
      </c>
      <c r="X698" s="229">
        <v>0</v>
      </c>
      <c r="Y698" s="229">
        <v>0</v>
      </c>
      <c r="Z698" s="229">
        <v>0</v>
      </c>
      <c r="AA698" s="229">
        <v>0</v>
      </c>
      <c r="AC698" s="12">
        <v>2</v>
      </c>
      <c r="AD698" s="14">
        <v>2</v>
      </c>
      <c r="AE698" s="14">
        <v>165</v>
      </c>
      <c r="AF698" s="26">
        <v>255</v>
      </c>
      <c r="AG698" s="12">
        <v>115</v>
      </c>
      <c r="AH698" s="14">
        <v>1</v>
      </c>
      <c r="AI698" s="209"/>
      <c r="AJ698" s="3"/>
      <c r="AK698" s="3"/>
      <c r="AL698" s="3"/>
      <c r="AM698" s="3"/>
      <c r="AN698" s="3"/>
      <c r="AO698" s="40"/>
      <c r="AP698" s="209"/>
      <c r="AQ698" s="3"/>
      <c r="AR698" s="40"/>
      <c r="AS698" s="238"/>
    </row>
    <row r="699" spans="1:45" s="229" customFormat="1">
      <c r="A699" s="42" t="s">
        <v>323</v>
      </c>
      <c r="B699" s="386">
        <v>12.705666666666668</v>
      </c>
      <c r="C699" s="229" t="s">
        <v>692</v>
      </c>
      <c r="D699" s="229" t="s">
        <v>699</v>
      </c>
      <c r="E699" s="229" t="s">
        <v>1</v>
      </c>
      <c r="F699" s="229">
        <v>833</v>
      </c>
      <c r="G699" s="40">
        <f>F699/341</f>
        <v>2.4428152492668622</v>
      </c>
      <c r="H699" s="14">
        <v>0</v>
      </c>
      <c r="I699" s="229">
        <v>0</v>
      </c>
      <c r="J699" s="229">
        <v>0</v>
      </c>
      <c r="K699" s="26">
        <v>1</v>
      </c>
      <c r="L699" s="14">
        <v>0</v>
      </c>
      <c r="M699" s="229">
        <v>0</v>
      </c>
      <c r="N699" s="229">
        <v>1</v>
      </c>
      <c r="O699" s="229">
        <v>0</v>
      </c>
      <c r="P699" s="26">
        <v>1</v>
      </c>
      <c r="Q699" s="14">
        <v>0</v>
      </c>
      <c r="R699" s="229">
        <v>0</v>
      </c>
      <c r="S699" s="229">
        <v>0</v>
      </c>
      <c r="T699" s="229">
        <v>0</v>
      </c>
      <c r="U699" s="229">
        <v>0</v>
      </c>
      <c r="V699" s="229">
        <v>0</v>
      </c>
      <c r="W699" s="229">
        <v>0</v>
      </c>
      <c r="X699" s="229">
        <v>0</v>
      </c>
      <c r="Y699" s="229">
        <v>0</v>
      </c>
      <c r="Z699" s="229">
        <v>0</v>
      </c>
      <c r="AA699" s="229">
        <v>0</v>
      </c>
      <c r="AC699" s="12">
        <v>2</v>
      </c>
      <c r="AD699" s="14">
        <v>6</v>
      </c>
      <c r="AE699" s="14">
        <v>105</v>
      </c>
      <c r="AF699" s="26">
        <v>540</v>
      </c>
      <c r="AG699" s="12">
        <v>115</v>
      </c>
      <c r="AH699" s="14">
        <v>0</v>
      </c>
      <c r="AI699" s="209"/>
      <c r="AJ699" s="3"/>
      <c r="AK699" s="3"/>
      <c r="AL699" s="3"/>
      <c r="AM699" s="3"/>
      <c r="AN699" s="3"/>
      <c r="AO699" s="40"/>
      <c r="AP699" s="209"/>
      <c r="AQ699" s="3"/>
      <c r="AR699" s="40"/>
      <c r="AS699" s="238"/>
    </row>
    <row r="700" spans="1:45" s="229" customFormat="1">
      <c r="A700" s="42" t="s">
        <v>323</v>
      </c>
      <c r="B700" s="386">
        <v>12.705666666666668</v>
      </c>
      <c r="C700" s="229" t="s">
        <v>692</v>
      </c>
      <c r="D700" s="229" t="s">
        <v>700</v>
      </c>
      <c r="F700" s="229">
        <v>1622</v>
      </c>
      <c r="G700" s="40">
        <f>F700/863</f>
        <v>1.8794901506373116</v>
      </c>
      <c r="H700" s="14">
        <v>0</v>
      </c>
      <c r="I700" s="229">
        <v>1</v>
      </c>
      <c r="J700" s="229">
        <v>1</v>
      </c>
      <c r="K700" s="26">
        <v>1</v>
      </c>
      <c r="L700" s="14">
        <v>0</v>
      </c>
      <c r="M700" s="229">
        <v>0</v>
      </c>
      <c r="N700" s="229">
        <v>1</v>
      </c>
      <c r="O700" s="229">
        <v>0</v>
      </c>
      <c r="P700" s="26">
        <v>1</v>
      </c>
      <c r="Q700" s="14">
        <v>15</v>
      </c>
      <c r="R700" s="229">
        <v>36</v>
      </c>
      <c r="S700" s="229">
        <v>39</v>
      </c>
      <c r="T700" s="229">
        <v>0</v>
      </c>
      <c r="U700" s="229">
        <v>0</v>
      </c>
      <c r="V700" s="229">
        <v>87</v>
      </c>
      <c r="W700" s="229">
        <v>172</v>
      </c>
      <c r="X700" s="229">
        <v>0</v>
      </c>
      <c r="Y700" s="229">
        <v>0</v>
      </c>
      <c r="Z700" s="229">
        <v>0</v>
      </c>
      <c r="AA700" s="229">
        <v>231</v>
      </c>
      <c r="AC700" s="12">
        <v>2</v>
      </c>
      <c r="AD700" s="14">
        <v>4</v>
      </c>
      <c r="AE700" s="14">
        <v>353</v>
      </c>
      <c r="AF700" s="26">
        <v>859</v>
      </c>
      <c r="AG700" s="12">
        <v>132</v>
      </c>
      <c r="AH700" s="14">
        <v>1</v>
      </c>
      <c r="AI700" s="209"/>
      <c r="AJ700" s="3"/>
      <c r="AK700" s="3"/>
      <c r="AL700" s="3"/>
      <c r="AM700" s="3"/>
      <c r="AN700" s="3"/>
      <c r="AO700" s="40"/>
      <c r="AP700" s="209"/>
      <c r="AQ700" s="3"/>
      <c r="AR700" s="40"/>
      <c r="AS700" s="238"/>
    </row>
    <row r="701" spans="1:45" s="229" customFormat="1">
      <c r="A701" s="42" t="s">
        <v>323</v>
      </c>
      <c r="B701" s="386">
        <v>12.705666666666668</v>
      </c>
      <c r="C701" s="229" t="s">
        <v>692</v>
      </c>
      <c r="D701" s="229" t="s">
        <v>701</v>
      </c>
      <c r="F701" s="229">
        <v>422</v>
      </c>
      <c r="G701" s="40">
        <f>F701/255</f>
        <v>1.6549019607843136</v>
      </c>
      <c r="H701" s="14">
        <v>0</v>
      </c>
      <c r="I701" s="229">
        <v>0</v>
      </c>
      <c r="J701" s="229">
        <v>0</v>
      </c>
      <c r="K701" s="26">
        <v>1</v>
      </c>
      <c r="L701" s="14">
        <v>0</v>
      </c>
      <c r="M701" s="229">
        <v>0</v>
      </c>
      <c r="N701" s="229">
        <v>1</v>
      </c>
      <c r="O701" s="229">
        <v>0</v>
      </c>
      <c r="P701" s="26">
        <v>1</v>
      </c>
      <c r="Q701" s="14">
        <v>2</v>
      </c>
      <c r="R701" s="229">
        <v>0</v>
      </c>
      <c r="S701" s="229">
        <v>0</v>
      </c>
      <c r="T701" s="229">
        <v>0</v>
      </c>
      <c r="U701" s="229">
        <v>0</v>
      </c>
      <c r="V701" s="229">
        <v>0</v>
      </c>
      <c r="W701" s="229">
        <v>0</v>
      </c>
      <c r="X701" s="229">
        <v>0</v>
      </c>
      <c r="Y701" s="229">
        <v>0</v>
      </c>
      <c r="Z701" s="229">
        <v>0</v>
      </c>
      <c r="AA701" s="229">
        <v>566</v>
      </c>
      <c r="AC701" s="12">
        <v>1</v>
      </c>
      <c r="AD701" s="14">
        <v>1</v>
      </c>
      <c r="AE701" s="14">
        <v>0</v>
      </c>
      <c r="AF701" s="26">
        <v>0</v>
      </c>
      <c r="AG701" s="12">
        <v>66</v>
      </c>
      <c r="AH701" s="14">
        <v>1</v>
      </c>
      <c r="AI701" s="209"/>
      <c r="AJ701" s="3"/>
      <c r="AK701" s="3"/>
      <c r="AL701" s="3"/>
      <c r="AM701" s="3"/>
      <c r="AN701" s="3"/>
      <c r="AO701" s="40"/>
      <c r="AP701" s="209"/>
      <c r="AQ701" s="3"/>
      <c r="AR701" s="40"/>
      <c r="AS701" s="238"/>
    </row>
    <row r="702" spans="1:45" s="229" customFormat="1">
      <c r="A702" s="42" t="s">
        <v>323</v>
      </c>
      <c r="B702" s="386">
        <v>12.705666666666668</v>
      </c>
      <c r="C702" s="229" t="s">
        <v>692</v>
      </c>
      <c r="D702" s="229" t="s">
        <v>702</v>
      </c>
      <c r="E702" s="229" t="s">
        <v>0</v>
      </c>
      <c r="F702" s="229">
        <v>650</v>
      </c>
      <c r="G702" s="40">
        <f>F702/377</f>
        <v>1.7241379310344827</v>
      </c>
      <c r="H702" s="14">
        <v>1</v>
      </c>
      <c r="I702" s="229">
        <v>0</v>
      </c>
      <c r="J702" s="229">
        <v>0</v>
      </c>
      <c r="K702" s="26">
        <v>1</v>
      </c>
      <c r="L702" s="14">
        <v>0</v>
      </c>
      <c r="M702" s="229">
        <v>0</v>
      </c>
      <c r="N702" s="229">
        <v>1</v>
      </c>
      <c r="O702" s="229">
        <v>0</v>
      </c>
      <c r="P702" s="26">
        <v>1</v>
      </c>
      <c r="Q702" s="14">
        <v>2</v>
      </c>
      <c r="R702" s="229">
        <v>0</v>
      </c>
      <c r="S702" s="229">
        <v>29</v>
      </c>
      <c r="T702" s="229">
        <v>0</v>
      </c>
      <c r="U702" s="229">
        <v>0</v>
      </c>
      <c r="V702" s="229">
        <v>0</v>
      </c>
      <c r="W702" s="229">
        <v>0</v>
      </c>
      <c r="X702" s="229">
        <v>0</v>
      </c>
      <c r="Y702" s="229">
        <v>0</v>
      </c>
      <c r="Z702" s="229">
        <v>0</v>
      </c>
      <c r="AA702" s="229">
        <v>0</v>
      </c>
      <c r="AC702" s="12">
        <v>2</v>
      </c>
      <c r="AD702" s="14">
        <v>4</v>
      </c>
      <c r="AE702" s="14">
        <v>107</v>
      </c>
      <c r="AF702" s="26">
        <v>442</v>
      </c>
      <c r="AG702" s="12">
        <v>108</v>
      </c>
      <c r="AH702" s="14">
        <v>0</v>
      </c>
      <c r="AI702" s="209"/>
      <c r="AJ702" s="3"/>
      <c r="AK702" s="3"/>
      <c r="AL702" s="3"/>
      <c r="AM702" s="3"/>
      <c r="AN702" s="3"/>
      <c r="AO702" s="40"/>
      <c r="AP702" s="209"/>
      <c r="AQ702" s="3"/>
      <c r="AR702" s="40"/>
      <c r="AS702" s="238"/>
    </row>
    <row r="703" spans="1:45" s="229" customFormat="1" ht="17" thickBot="1">
      <c r="A703" s="55" t="s">
        <v>323</v>
      </c>
      <c r="B703" s="385">
        <v>12.705666666666668</v>
      </c>
      <c r="C703" s="36" t="s">
        <v>692</v>
      </c>
      <c r="D703" s="36" t="s">
        <v>702</v>
      </c>
      <c r="E703" s="36" t="s">
        <v>1</v>
      </c>
      <c r="F703" s="36">
        <v>400</v>
      </c>
      <c r="G703" s="48">
        <f>F703/203</f>
        <v>1.9704433497536946</v>
      </c>
      <c r="H703" s="34">
        <v>1</v>
      </c>
      <c r="I703" s="36">
        <v>0</v>
      </c>
      <c r="J703" s="36">
        <v>0</v>
      </c>
      <c r="K703" s="35">
        <v>0</v>
      </c>
      <c r="L703" s="34">
        <v>0</v>
      </c>
      <c r="M703" s="36">
        <v>0</v>
      </c>
      <c r="N703" s="36">
        <v>0</v>
      </c>
      <c r="O703" s="36">
        <v>0</v>
      </c>
      <c r="P703" s="35">
        <v>0</v>
      </c>
      <c r="Q703" s="34">
        <v>2</v>
      </c>
      <c r="R703" s="36">
        <v>0</v>
      </c>
      <c r="S703" s="36">
        <v>0</v>
      </c>
      <c r="T703" s="36">
        <v>0</v>
      </c>
      <c r="U703" s="36">
        <v>0</v>
      </c>
      <c r="V703" s="36">
        <v>0</v>
      </c>
      <c r="W703" s="36">
        <v>23</v>
      </c>
      <c r="X703" s="36">
        <v>0</v>
      </c>
      <c r="Y703" s="36">
        <v>0</v>
      </c>
      <c r="Z703" s="36">
        <v>0</v>
      </c>
      <c r="AA703" s="36">
        <v>0</v>
      </c>
      <c r="AB703" s="36"/>
      <c r="AC703" s="33">
        <v>2</v>
      </c>
      <c r="AD703" s="34">
        <v>2</v>
      </c>
      <c r="AE703" s="34">
        <v>152</v>
      </c>
      <c r="AF703" s="35">
        <v>244</v>
      </c>
      <c r="AG703" s="33">
        <v>108</v>
      </c>
      <c r="AH703" s="34">
        <v>0</v>
      </c>
      <c r="AI703" s="210"/>
      <c r="AJ703" s="51"/>
      <c r="AK703" s="51"/>
      <c r="AL703" s="51"/>
      <c r="AM703" s="51"/>
      <c r="AN703" s="51"/>
      <c r="AO703" s="48"/>
      <c r="AP703" s="210"/>
      <c r="AQ703" s="51"/>
      <c r="AR703" s="48"/>
      <c r="AS703" s="239"/>
    </row>
    <row r="704" spans="1:45" s="229" customFormat="1">
      <c r="A704" s="42" t="s">
        <v>323</v>
      </c>
      <c r="B704" s="384">
        <v>12.705666666666668</v>
      </c>
      <c r="C704" s="229" t="s">
        <v>221</v>
      </c>
      <c r="D704" s="229" t="s">
        <v>629</v>
      </c>
      <c r="F704" s="229">
        <v>467</v>
      </c>
      <c r="G704" s="40">
        <f>F704/277</f>
        <v>1.6859205776173285</v>
      </c>
      <c r="H704" s="14">
        <v>0</v>
      </c>
      <c r="I704" s="229">
        <v>0</v>
      </c>
      <c r="J704" s="229">
        <v>1</v>
      </c>
      <c r="K704" s="26">
        <v>0</v>
      </c>
      <c r="L704" s="14">
        <v>1</v>
      </c>
      <c r="M704" s="229">
        <v>0</v>
      </c>
      <c r="N704" s="229">
        <v>0</v>
      </c>
      <c r="O704" s="229">
        <v>0</v>
      </c>
      <c r="P704" s="26">
        <v>1</v>
      </c>
      <c r="Q704" s="14">
        <v>0</v>
      </c>
      <c r="R704" s="229">
        <v>0</v>
      </c>
      <c r="S704" s="229">
        <v>0</v>
      </c>
      <c r="T704" s="229">
        <v>0</v>
      </c>
      <c r="U704" s="229">
        <v>0</v>
      </c>
      <c r="V704" s="229">
        <v>0</v>
      </c>
      <c r="W704" s="229">
        <v>0</v>
      </c>
      <c r="X704" s="229">
        <v>0</v>
      </c>
      <c r="Y704" s="229">
        <v>0</v>
      </c>
      <c r="Z704" s="229">
        <v>0</v>
      </c>
      <c r="AA704" s="229">
        <v>0</v>
      </c>
      <c r="AC704" s="12">
        <v>1</v>
      </c>
      <c r="AD704" s="14">
        <v>1</v>
      </c>
      <c r="AE704" s="14">
        <v>0</v>
      </c>
      <c r="AF704" s="26">
        <v>0</v>
      </c>
      <c r="AG704" s="12">
        <v>118</v>
      </c>
      <c r="AH704" s="14">
        <v>0</v>
      </c>
      <c r="AI704" s="209"/>
      <c r="AJ704" s="3"/>
      <c r="AK704" s="3"/>
      <c r="AL704" s="3"/>
      <c r="AM704" s="3"/>
      <c r="AN704" s="3"/>
      <c r="AO704" s="40"/>
      <c r="AP704" s="209"/>
      <c r="AQ704" s="3"/>
      <c r="AR704" s="40"/>
      <c r="AS704" s="238"/>
    </row>
    <row r="705" spans="1:45" s="229" customFormat="1">
      <c r="A705" s="42" t="s">
        <v>323</v>
      </c>
      <c r="B705" s="386">
        <v>12.705666666666668</v>
      </c>
      <c r="C705" s="229" t="s">
        <v>221</v>
      </c>
      <c r="D705" s="229" t="s">
        <v>630</v>
      </c>
      <c r="E705" s="229" t="s">
        <v>0</v>
      </c>
      <c r="F705" s="229">
        <v>128</v>
      </c>
      <c r="G705" s="40">
        <f>F705/118</f>
        <v>1.0847457627118644</v>
      </c>
      <c r="H705" s="14">
        <v>0</v>
      </c>
      <c r="I705" s="229">
        <v>0</v>
      </c>
      <c r="J705" s="229">
        <v>1</v>
      </c>
      <c r="K705" s="26">
        <v>0</v>
      </c>
      <c r="L705" s="14">
        <v>1</v>
      </c>
      <c r="M705" s="229">
        <v>0</v>
      </c>
      <c r="N705" s="229">
        <v>0</v>
      </c>
      <c r="O705" s="229">
        <v>0</v>
      </c>
      <c r="P705" s="26">
        <v>1</v>
      </c>
      <c r="Q705" s="14">
        <v>1</v>
      </c>
      <c r="R705" s="229">
        <v>0</v>
      </c>
      <c r="S705" s="229">
        <v>0</v>
      </c>
      <c r="T705" s="229">
        <v>0</v>
      </c>
      <c r="U705" s="229">
        <v>0</v>
      </c>
      <c r="V705" s="229">
        <v>0</v>
      </c>
      <c r="W705" s="229">
        <v>5</v>
      </c>
      <c r="X705" s="229">
        <v>0</v>
      </c>
      <c r="Y705" s="229">
        <v>0</v>
      </c>
      <c r="Z705" s="229">
        <v>0</v>
      </c>
      <c r="AA705" s="229">
        <v>0</v>
      </c>
      <c r="AC705" s="12">
        <v>1</v>
      </c>
      <c r="AD705" s="14">
        <v>1</v>
      </c>
      <c r="AE705" s="14">
        <v>0</v>
      </c>
      <c r="AF705" s="26">
        <v>0</v>
      </c>
      <c r="AG705" s="12">
        <v>112</v>
      </c>
      <c r="AH705" s="14">
        <v>0</v>
      </c>
      <c r="AI705" s="209"/>
      <c r="AJ705" s="3"/>
      <c r="AK705" s="3"/>
      <c r="AL705" s="3"/>
      <c r="AM705" s="3"/>
      <c r="AN705" s="3"/>
      <c r="AO705" s="40"/>
      <c r="AP705" s="209"/>
      <c r="AQ705" s="3"/>
      <c r="AR705" s="40"/>
      <c r="AS705" s="238"/>
    </row>
    <row r="706" spans="1:45" s="229" customFormat="1">
      <c r="A706" s="42" t="s">
        <v>323</v>
      </c>
      <c r="B706" s="386">
        <v>12.705666666666668</v>
      </c>
      <c r="C706" s="229" t="s">
        <v>221</v>
      </c>
      <c r="D706" s="229" t="s">
        <v>630</v>
      </c>
      <c r="E706" s="229" t="s">
        <v>1</v>
      </c>
      <c r="F706" s="229">
        <v>560</v>
      </c>
      <c r="G706" s="40">
        <f>F706/456</f>
        <v>1.2280701754385965</v>
      </c>
      <c r="H706" s="14">
        <v>0</v>
      </c>
      <c r="I706" s="229">
        <v>0</v>
      </c>
      <c r="J706" s="229">
        <v>1</v>
      </c>
      <c r="K706" s="26">
        <v>0</v>
      </c>
      <c r="L706" s="14">
        <v>0</v>
      </c>
      <c r="M706" s="229">
        <v>0</v>
      </c>
      <c r="N706" s="229">
        <v>1</v>
      </c>
      <c r="O706" s="229">
        <v>0</v>
      </c>
      <c r="P706" s="26">
        <v>1</v>
      </c>
      <c r="Q706" s="14">
        <v>1</v>
      </c>
      <c r="R706" s="229">
        <v>0</v>
      </c>
      <c r="S706" s="229">
        <v>8</v>
      </c>
      <c r="T706" s="229">
        <v>0</v>
      </c>
      <c r="U706" s="229">
        <v>0</v>
      </c>
      <c r="V706" s="229">
        <v>0</v>
      </c>
      <c r="W706" s="229">
        <v>0</v>
      </c>
      <c r="X706" s="229">
        <v>0</v>
      </c>
      <c r="Y706" s="229">
        <v>0</v>
      </c>
      <c r="Z706" s="229">
        <v>0</v>
      </c>
      <c r="AA706" s="229">
        <v>0</v>
      </c>
      <c r="AC706" s="12">
        <v>2</v>
      </c>
      <c r="AD706" s="14">
        <v>2</v>
      </c>
      <c r="AE706" s="14">
        <v>376</v>
      </c>
      <c r="AF706" s="26">
        <v>560</v>
      </c>
      <c r="AG706" s="12">
        <v>112</v>
      </c>
      <c r="AH706" s="14">
        <v>0</v>
      </c>
      <c r="AI706" s="209">
        <v>86.9</v>
      </c>
      <c r="AJ706" s="3">
        <v>86.9</v>
      </c>
      <c r="AK706" s="3"/>
      <c r="AL706" s="3"/>
      <c r="AM706" s="3"/>
      <c r="AN706" s="3"/>
      <c r="AO706" s="40"/>
      <c r="AP706" s="209">
        <v>86</v>
      </c>
      <c r="AQ706" s="3">
        <v>85.9</v>
      </c>
      <c r="AR706" s="40"/>
      <c r="AS706" s="238"/>
    </row>
    <row r="707" spans="1:45" s="229" customFormat="1">
      <c r="A707" s="42" t="s">
        <v>323</v>
      </c>
      <c r="B707" s="386">
        <v>12.705666666666668</v>
      </c>
      <c r="C707" s="229" t="s">
        <v>221</v>
      </c>
      <c r="D707" s="229" t="s">
        <v>637</v>
      </c>
      <c r="E707" s="229" t="s">
        <v>0</v>
      </c>
      <c r="F707" s="229">
        <v>688</v>
      </c>
      <c r="G707" s="40">
        <f>F707/367</f>
        <v>1.8746594005449591</v>
      </c>
      <c r="H707" s="14">
        <v>0</v>
      </c>
      <c r="I707" s="229">
        <v>1</v>
      </c>
      <c r="J707" s="229">
        <v>0</v>
      </c>
      <c r="K707" s="26">
        <v>0</v>
      </c>
      <c r="L707" s="14">
        <v>1</v>
      </c>
      <c r="M707" s="229">
        <v>0</v>
      </c>
      <c r="N707" s="229">
        <v>0</v>
      </c>
      <c r="O707" s="229">
        <v>0</v>
      </c>
      <c r="P707" s="26">
        <v>1</v>
      </c>
      <c r="Q707" s="14">
        <v>3</v>
      </c>
      <c r="R707" s="229">
        <v>0</v>
      </c>
      <c r="S707" s="229">
        <v>0</v>
      </c>
      <c r="T707" s="229">
        <v>0</v>
      </c>
      <c r="U707" s="229">
        <v>0</v>
      </c>
      <c r="V707" s="229">
        <v>23</v>
      </c>
      <c r="W707" s="229">
        <v>64</v>
      </c>
      <c r="X707" s="229">
        <v>0</v>
      </c>
      <c r="Y707" s="229">
        <v>0</v>
      </c>
      <c r="Z707" s="229">
        <v>0</v>
      </c>
      <c r="AA707" s="229">
        <v>0</v>
      </c>
      <c r="AC707" s="12">
        <v>1</v>
      </c>
      <c r="AD707" s="14">
        <v>1</v>
      </c>
      <c r="AE707" s="14">
        <v>0</v>
      </c>
      <c r="AF707" s="26">
        <v>0</v>
      </c>
      <c r="AG707" s="12">
        <v>117</v>
      </c>
      <c r="AH707" s="14">
        <v>0</v>
      </c>
      <c r="AI707" s="209"/>
      <c r="AJ707" s="3"/>
      <c r="AK707" s="3"/>
      <c r="AL707" s="3"/>
      <c r="AM707" s="3"/>
      <c r="AN707" s="3"/>
      <c r="AO707" s="40"/>
      <c r="AP707" s="209"/>
      <c r="AQ707" s="3"/>
      <c r="AR707" s="40"/>
      <c r="AS707" s="238"/>
    </row>
    <row r="708" spans="1:45" s="229" customFormat="1">
      <c r="A708" s="42" t="s">
        <v>323</v>
      </c>
      <c r="B708" s="386">
        <v>12.705666666666668</v>
      </c>
      <c r="C708" s="229" t="s">
        <v>221</v>
      </c>
      <c r="D708" s="229" t="s">
        <v>637</v>
      </c>
      <c r="E708" s="229" t="s">
        <v>1</v>
      </c>
      <c r="F708" s="229">
        <v>646</v>
      </c>
      <c r="G708" s="40">
        <f>F708/291</f>
        <v>2.2199312714776633</v>
      </c>
      <c r="H708" s="14">
        <v>0</v>
      </c>
      <c r="I708" s="229">
        <v>0</v>
      </c>
      <c r="J708" s="229">
        <v>0</v>
      </c>
      <c r="K708" s="26">
        <v>1</v>
      </c>
      <c r="L708" s="14">
        <v>1</v>
      </c>
      <c r="M708" s="229">
        <v>0</v>
      </c>
      <c r="N708" s="229">
        <v>0</v>
      </c>
      <c r="O708" s="229">
        <v>0</v>
      </c>
      <c r="P708" s="26">
        <v>1</v>
      </c>
      <c r="Q708" s="14">
        <v>2</v>
      </c>
      <c r="R708" s="229">
        <v>0</v>
      </c>
      <c r="S708" s="229">
        <v>0</v>
      </c>
      <c r="T708" s="229">
        <v>0</v>
      </c>
      <c r="U708" s="229">
        <v>0</v>
      </c>
      <c r="V708" s="229">
        <v>0</v>
      </c>
      <c r="W708" s="229">
        <v>31</v>
      </c>
      <c r="X708" s="229">
        <v>0</v>
      </c>
      <c r="Y708" s="229">
        <v>0</v>
      </c>
      <c r="Z708" s="229">
        <v>0</v>
      </c>
      <c r="AA708" s="229">
        <v>0</v>
      </c>
      <c r="AC708" s="12">
        <v>2</v>
      </c>
      <c r="AD708" s="14">
        <v>4</v>
      </c>
      <c r="AE708" s="14">
        <v>85</v>
      </c>
      <c r="AF708" s="26">
        <v>332</v>
      </c>
      <c r="AG708" s="12">
        <v>117</v>
      </c>
      <c r="AH708" s="14">
        <v>1</v>
      </c>
      <c r="AI708" s="209"/>
      <c r="AJ708" s="3"/>
      <c r="AK708" s="3"/>
      <c r="AL708" s="3"/>
      <c r="AM708" s="3"/>
      <c r="AN708" s="3"/>
      <c r="AO708" s="40"/>
      <c r="AP708" s="209"/>
      <c r="AQ708" s="3"/>
      <c r="AR708" s="40"/>
      <c r="AS708" s="238"/>
    </row>
    <row r="709" spans="1:45" s="229" customFormat="1">
      <c r="A709" s="42" t="s">
        <v>323</v>
      </c>
      <c r="B709" s="386">
        <v>12.705666666666668</v>
      </c>
      <c r="C709" s="229" t="s">
        <v>221</v>
      </c>
      <c r="D709" s="229" t="s">
        <v>639</v>
      </c>
      <c r="F709" s="229">
        <v>1203</v>
      </c>
      <c r="G709" s="40">
        <f>F709/691</f>
        <v>1.7409551374819103</v>
      </c>
      <c r="H709" s="14">
        <v>0</v>
      </c>
      <c r="I709" s="229">
        <v>0</v>
      </c>
      <c r="J709" s="229">
        <v>0</v>
      </c>
      <c r="K709" s="26">
        <v>1</v>
      </c>
      <c r="L709" s="14">
        <v>0</v>
      </c>
      <c r="M709" s="229">
        <v>0</v>
      </c>
      <c r="N709" s="229">
        <v>1</v>
      </c>
      <c r="O709" s="229">
        <v>0</v>
      </c>
      <c r="P709" s="26">
        <v>1</v>
      </c>
      <c r="Q709" s="14">
        <v>0</v>
      </c>
      <c r="R709" s="229">
        <v>0</v>
      </c>
      <c r="S709" s="229">
        <v>0</v>
      </c>
      <c r="T709" s="229">
        <v>0</v>
      </c>
      <c r="U709" s="229">
        <v>0</v>
      </c>
      <c r="V709" s="229">
        <v>0</v>
      </c>
      <c r="W709" s="229">
        <v>0</v>
      </c>
      <c r="X709" s="229">
        <v>0</v>
      </c>
      <c r="Y709" s="229">
        <v>0</v>
      </c>
      <c r="Z709" s="229">
        <v>0</v>
      </c>
      <c r="AA709" s="229">
        <v>0</v>
      </c>
      <c r="AC709" s="12">
        <v>1</v>
      </c>
      <c r="AD709" s="14">
        <v>1</v>
      </c>
      <c r="AE709" s="14">
        <v>0</v>
      </c>
      <c r="AF709" s="26">
        <v>0</v>
      </c>
      <c r="AG709" s="12">
        <v>136</v>
      </c>
      <c r="AH709" s="14">
        <v>0</v>
      </c>
      <c r="AI709" s="209">
        <v>86.8</v>
      </c>
      <c r="AJ709" s="3"/>
      <c r="AK709" s="3"/>
      <c r="AL709" s="3"/>
      <c r="AM709" s="3"/>
      <c r="AN709" s="3"/>
      <c r="AO709" s="40"/>
      <c r="AP709" s="209">
        <v>85.3</v>
      </c>
      <c r="AQ709" s="3"/>
      <c r="AR709" s="40"/>
      <c r="AS709" s="238"/>
    </row>
    <row r="710" spans="1:45" s="229" customFormat="1">
      <c r="A710" s="42" t="s">
        <v>323</v>
      </c>
      <c r="B710" s="386">
        <v>12.705666666666668</v>
      </c>
      <c r="C710" s="229" t="s">
        <v>221</v>
      </c>
      <c r="D710" s="229" t="s">
        <v>640</v>
      </c>
      <c r="F710" s="229">
        <v>563</v>
      </c>
      <c r="G710" s="40">
        <f>F710/508</f>
        <v>1.1082677165354331</v>
      </c>
      <c r="H710" s="14">
        <v>1</v>
      </c>
      <c r="I710" s="229">
        <v>1</v>
      </c>
      <c r="J710" s="229">
        <v>0</v>
      </c>
      <c r="K710" s="26">
        <v>1</v>
      </c>
      <c r="L710" s="14">
        <v>0</v>
      </c>
      <c r="M710" s="229">
        <v>0</v>
      </c>
      <c r="N710" s="229">
        <v>1</v>
      </c>
      <c r="O710" s="229">
        <v>0</v>
      </c>
      <c r="P710" s="26">
        <v>1</v>
      </c>
      <c r="Q710" s="14">
        <v>1</v>
      </c>
      <c r="R710" s="229">
        <v>0</v>
      </c>
      <c r="S710" s="229">
        <v>17</v>
      </c>
      <c r="T710" s="229">
        <v>0</v>
      </c>
      <c r="U710" s="229">
        <v>0</v>
      </c>
      <c r="V710" s="229">
        <v>0</v>
      </c>
      <c r="W710" s="229">
        <v>0</v>
      </c>
      <c r="X710" s="229">
        <v>0</v>
      </c>
      <c r="Y710" s="229">
        <v>0</v>
      </c>
      <c r="Z710" s="229">
        <v>0</v>
      </c>
      <c r="AA710" s="229">
        <v>0</v>
      </c>
      <c r="AC710" s="12">
        <v>2</v>
      </c>
      <c r="AD710" s="14">
        <v>4</v>
      </c>
      <c r="AE710" s="14">
        <v>88</v>
      </c>
      <c r="AF710" s="26">
        <v>391</v>
      </c>
      <c r="AG710" s="12"/>
      <c r="AH710" s="14">
        <v>0</v>
      </c>
      <c r="AI710" s="209"/>
      <c r="AJ710" s="3"/>
      <c r="AK710" s="3"/>
      <c r="AL710" s="3"/>
      <c r="AM710" s="3"/>
      <c r="AN710" s="3"/>
      <c r="AO710" s="40"/>
      <c r="AP710" s="209"/>
      <c r="AQ710" s="3"/>
      <c r="AR710" s="40"/>
      <c r="AS710" s="238"/>
    </row>
    <row r="711" spans="1:45" s="229" customFormat="1">
      <c r="A711" s="42" t="s">
        <v>323</v>
      </c>
      <c r="B711" s="386">
        <v>12.705666666666668</v>
      </c>
      <c r="C711" s="229" t="s">
        <v>221</v>
      </c>
      <c r="D711" s="229" t="s">
        <v>641</v>
      </c>
      <c r="E711" s="229" t="s">
        <v>0</v>
      </c>
      <c r="F711" s="229">
        <v>542</v>
      </c>
      <c r="G711" s="40">
        <f>F711/437</f>
        <v>1.2402745995423341</v>
      </c>
      <c r="H711" s="14">
        <v>1</v>
      </c>
      <c r="I711" s="229">
        <v>0</v>
      </c>
      <c r="J711" s="229">
        <v>1</v>
      </c>
      <c r="K711" s="26">
        <v>1</v>
      </c>
      <c r="L711" s="14">
        <v>0</v>
      </c>
      <c r="M711" s="229">
        <v>0</v>
      </c>
      <c r="N711" s="229">
        <v>1</v>
      </c>
      <c r="O711" s="229">
        <v>0</v>
      </c>
      <c r="P711" s="26">
        <v>1</v>
      </c>
      <c r="Q711" s="14">
        <v>15</v>
      </c>
      <c r="R711" s="229">
        <v>0</v>
      </c>
      <c r="S711" s="229">
        <v>0</v>
      </c>
      <c r="T711" s="229">
        <v>0</v>
      </c>
      <c r="U711" s="229">
        <v>0</v>
      </c>
      <c r="V711" s="229">
        <v>0</v>
      </c>
      <c r="W711" s="229">
        <v>0</v>
      </c>
      <c r="X711" s="229">
        <v>0</v>
      </c>
      <c r="Y711" s="229">
        <v>0</v>
      </c>
      <c r="Z711" s="229">
        <v>0</v>
      </c>
      <c r="AA711" s="229">
        <v>266</v>
      </c>
      <c r="AC711" s="12">
        <v>2</v>
      </c>
      <c r="AD711" s="14">
        <v>3</v>
      </c>
      <c r="AE711" s="14">
        <v>149</v>
      </c>
      <c r="AF711" s="26">
        <v>476</v>
      </c>
      <c r="AG711" s="12">
        <v>99</v>
      </c>
      <c r="AH711" s="14">
        <v>1</v>
      </c>
      <c r="AI711" s="209"/>
      <c r="AJ711" s="3"/>
      <c r="AK711" s="3"/>
      <c r="AL711" s="3"/>
      <c r="AM711" s="3"/>
      <c r="AN711" s="3"/>
      <c r="AO711" s="40"/>
      <c r="AP711" s="209"/>
      <c r="AQ711" s="3"/>
      <c r="AR711" s="40"/>
      <c r="AS711" s="238"/>
    </row>
    <row r="712" spans="1:45" s="229" customFormat="1">
      <c r="A712" s="42" t="s">
        <v>323</v>
      </c>
      <c r="B712" s="386">
        <v>12.705666666666668</v>
      </c>
      <c r="C712" s="229" t="s">
        <v>221</v>
      </c>
      <c r="D712" s="229" t="s">
        <v>641</v>
      </c>
      <c r="E712" s="229" t="s">
        <v>1</v>
      </c>
      <c r="F712" s="229">
        <v>218</v>
      </c>
      <c r="G712" s="40">
        <f>F712/179</f>
        <v>1.217877094972067</v>
      </c>
      <c r="H712" s="14">
        <v>0</v>
      </c>
      <c r="I712" s="229">
        <v>0</v>
      </c>
      <c r="J712" s="229">
        <v>0</v>
      </c>
      <c r="K712" s="26">
        <v>1</v>
      </c>
      <c r="L712" s="14">
        <v>0</v>
      </c>
      <c r="M712" s="229">
        <v>0</v>
      </c>
      <c r="N712" s="229">
        <v>1</v>
      </c>
      <c r="O712" s="229">
        <v>0</v>
      </c>
      <c r="P712" s="26">
        <v>1</v>
      </c>
      <c r="Q712" s="14">
        <v>2</v>
      </c>
      <c r="R712" s="229">
        <v>0</v>
      </c>
      <c r="S712" s="229">
        <v>25</v>
      </c>
      <c r="T712" s="229">
        <v>0</v>
      </c>
      <c r="U712" s="229">
        <v>0</v>
      </c>
      <c r="V712" s="229">
        <v>0</v>
      </c>
      <c r="W712" s="229">
        <v>0</v>
      </c>
      <c r="X712" s="229">
        <v>0</v>
      </c>
      <c r="Y712" s="229">
        <v>0</v>
      </c>
      <c r="Z712" s="229">
        <v>0</v>
      </c>
      <c r="AA712" s="229">
        <v>0</v>
      </c>
      <c r="AC712" s="12">
        <v>1</v>
      </c>
      <c r="AD712" s="14">
        <v>1</v>
      </c>
      <c r="AE712" s="14">
        <v>0</v>
      </c>
      <c r="AF712" s="26">
        <v>0</v>
      </c>
      <c r="AG712" s="12">
        <v>99</v>
      </c>
      <c r="AH712" s="14">
        <v>0</v>
      </c>
      <c r="AI712" s="209"/>
      <c r="AJ712" s="3"/>
      <c r="AK712" s="3"/>
      <c r="AL712" s="3"/>
      <c r="AM712" s="3"/>
      <c r="AN712" s="3"/>
      <c r="AO712" s="40"/>
      <c r="AP712" s="209"/>
      <c r="AQ712" s="3"/>
      <c r="AR712" s="40"/>
      <c r="AS712" s="238"/>
    </row>
    <row r="713" spans="1:45" s="229" customFormat="1">
      <c r="A713" s="42" t="s">
        <v>323</v>
      </c>
      <c r="B713" s="386">
        <v>12.705666666666668</v>
      </c>
      <c r="C713" s="229" t="s">
        <v>221</v>
      </c>
      <c r="D713" s="229" t="s">
        <v>647</v>
      </c>
      <c r="F713" s="229">
        <v>357</v>
      </c>
      <c r="G713" s="40">
        <f>F713/222</f>
        <v>1.6081081081081081</v>
      </c>
      <c r="H713" s="14">
        <v>1</v>
      </c>
      <c r="I713" s="229">
        <v>0</v>
      </c>
      <c r="J713" s="229">
        <v>0</v>
      </c>
      <c r="K713" s="26">
        <v>0</v>
      </c>
      <c r="L713" s="14"/>
      <c r="P713" s="26">
        <v>0</v>
      </c>
      <c r="Q713" s="14">
        <v>2</v>
      </c>
      <c r="R713" s="229">
        <v>0</v>
      </c>
      <c r="S713" s="229">
        <v>16</v>
      </c>
      <c r="T713" s="229">
        <v>0</v>
      </c>
      <c r="U713" s="229">
        <v>0</v>
      </c>
      <c r="V713" s="229">
        <v>0</v>
      </c>
      <c r="W713" s="229">
        <v>0</v>
      </c>
      <c r="X713" s="229">
        <v>0</v>
      </c>
      <c r="Y713" s="229">
        <v>0</v>
      </c>
      <c r="Z713" s="229">
        <v>0</v>
      </c>
      <c r="AA713" s="229">
        <v>0</v>
      </c>
      <c r="AC713" s="12">
        <v>1</v>
      </c>
      <c r="AD713" s="14">
        <v>1</v>
      </c>
      <c r="AE713" s="14">
        <v>0</v>
      </c>
      <c r="AF713" s="26">
        <v>0</v>
      </c>
      <c r="AG713" s="12">
        <v>93</v>
      </c>
      <c r="AH713" s="14">
        <v>0</v>
      </c>
      <c r="AI713" s="209"/>
      <c r="AJ713" s="3"/>
      <c r="AK713" s="3"/>
      <c r="AL713" s="3"/>
      <c r="AM713" s="3"/>
      <c r="AN713" s="3"/>
      <c r="AO713" s="40"/>
      <c r="AP713" s="209"/>
      <c r="AQ713" s="3"/>
      <c r="AR713" s="40"/>
      <c r="AS713" s="238"/>
    </row>
    <row r="714" spans="1:45" s="229" customFormat="1" ht="17" thickBot="1">
      <c r="A714" s="42" t="s">
        <v>323</v>
      </c>
      <c r="B714" s="385">
        <v>12.705666666666668</v>
      </c>
      <c r="C714" s="229" t="s">
        <v>221</v>
      </c>
      <c r="D714" s="229" t="s">
        <v>649</v>
      </c>
      <c r="F714" s="229">
        <v>1501</v>
      </c>
      <c r="G714" s="40">
        <f>F714/698</f>
        <v>2.1504297994269339</v>
      </c>
      <c r="H714" s="14">
        <v>1</v>
      </c>
      <c r="I714" s="229">
        <v>0</v>
      </c>
      <c r="J714" s="229">
        <v>0</v>
      </c>
      <c r="K714" s="26">
        <v>1</v>
      </c>
      <c r="L714" s="14">
        <v>0</v>
      </c>
      <c r="M714" s="229">
        <v>0</v>
      </c>
      <c r="N714" s="229">
        <v>0</v>
      </c>
      <c r="O714" s="229">
        <v>0</v>
      </c>
      <c r="P714" s="26">
        <v>0</v>
      </c>
      <c r="Q714" s="14">
        <v>20</v>
      </c>
      <c r="R714" s="229">
        <v>0</v>
      </c>
      <c r="S714" s="229">
        <v>0</v>
      </c>
      <c r="T714" s="229">
        <v>0</v>
      </c>
      <c r="U714" s="229">
        <v>0</v>
      </c>
      <c r="V714" s="229">
        <v>0</v>
      </c>
      <c r="W714" s="229">
        <v>16</v>
      </c>
      <c r="X714" s="229">
        <v>0</v>
      </c>
      <c r="Y714" s="229">
        <v>0</v>
      </c>
      <c r="Z714" s="229">
        <v>0</v>
      </c>
      <c r="AA714" s="229">
        <v>420</v>
      </c>
      <c r="AC714" s="12">
        <v>2</v>
      </c>
      <c r="AD714" s="14">
        <v>4</v>
      </c>
      <c r="AE714" s="14">
        <v>191</v>
      </c>
      <c r="AF714" s="26">
        <v>1115</v>
      </c>
      <c r="AG714" s="12">
        <v>127</v>
      </c>
      <c r="AH714" s="14">
        <v>1</v>
      </c>
      <c r="AI714" s="209"/>
      <c r="AJ714" s="3"/>
      <c r="AK714" s="3"/>
      <c r="AL714" s="3"/>
      <c r="AM714" s="3"/>
      <c r="AN714" s="3"/>
      <c r="AO714" s="40"/>
      <c r="AP714" s="209"/>
      <c r="AQ714" s="3"/>
      <c r="AR714" s="40"/>
      <c r="AS714" s="238"/>
    </row>
    <row r="715" spans="1:45" s="229" customFormat="1">
      <c r="A715" s="87" t="s">
        <v>322</v>
      </c>
      <c r="B715" s="389">
        <v>8.7550000000000008</v>
      </c>
      <c r="C715" s="8" t="s">
        <v>188</v>
      </c>
      <c r="D715" s="8" t="s">
        <v>423</v>
      </c>
      <c r="E715" s="8"/>
      <c r="F715" s="8">
        <v>938</v>
      </c>
      <c r="G715" s="10">
        <f>F715/497</f>
        <v>1.8873239436619718</v>
      </c>
      <c r="H715" s="11">
        <v>0</v>
      </c>
      <c r="I715" s="8">
        <v>0</v>
      </c>
      <c r="J715" s="8">
        <v>1</v>
      </c>
      <c r="K715" s="41">
        <v>0</v>
      </c>
      <c r="L715" s="11">
        <v>0</v>
      </c>
      <c r="M715" s="8">
        <v>0</v>
      </c>
      <c r="N715" s="8">
        <v>0</v>
      </c>
      <c r="O715" s="8">
        <v>0</v>
      </c>
      <c r="P715" s="41">
        <v>0</v>
      </c>
      <c r="Q715" s="11">
        <v>15</v>
      </c>
      <c r="R715" s="8">
        <v>34</v>
      </c>
      <c r="S715" s="8">
        <v>56</v>
      </c>
      <c r="T715" s="8">
        <v>0</v>
      </c>
      <c r="U715" s="8">
        <v>0</v>
      </c>
      <c r="V715" s="8">
        <v>0</v>
      </c>
      <c r="W715" s="8">
        <v>0</v>
      </c>
      <c r="X715" s="8">
        <v>0</v>
      </c>
      <c r="Y715" s="8">
        <v>0</v>
      </c>
      <c r="Z715" s="8">
        <v>0</v>
      </c>
      <c r="AA715" s="8">
        <v>171</v>
      </c>
      <c r="AB715" s="8"/>
      <c r="AC715" s="9">
        <v>1</v>
      </c>
      <c r="AD715" s="11">
        <v>1</v>
      </c>
      <c r="AE715" s="11">
        <v>0</v>
      </c>
      <c r="AF715" s="41">
        <v>0</v>
      </c>
      <c r="AG715" s="9">
        <v>136</v>
      </c>
      <c r="AH715" s="11">
        <v>0</v>
      </c>
      <c r="AI715" s="208"/>
      <c r="AJ715" s="54"/>
      <c r="AK715" s="54"/>
      <c r="AL715" s="54"/>
      <c r="AM715" s="54"/>
      <c r="AN715" s="54"/>
      <c r="AO715" s="10"/>
      <c r="AP715" s="208"/>
      <c r="AQ715" s="54"/>
      <c r="AR715" s="10"/>
      <c r="AS715" s="237"/>
    </row>
    <row r="716" spans="1:45" s="229" customFormat="1">
      <c r="A716" s="42" t="s">
        <v>322</v>
      </c>
      <c r="B716" s="390">
        <v>8.7550000000000008</v>
      </c>
      <c r="C716" s="229" t="s">
        <v>188</v>
      </c>
      <c r="D716" s="229" t="s">
        <v>622</v>
      </c>
      <c r="F716" s="229">
        <v>415</v>
      </c>
      <c r="G716" s="40">
        <f>F716/399</f>
        <v>1.0401002506265664</v>
      </c>
      <c r="H716" s="14">
        <v>0</v>
      </c>
      <c r="I716" s="229">
        <v>0</v>
      </c>
      <c r="J716" s="229">
        <v>1</v>
      </c>
      <c r="K716" s="26">
        <v>0</v>
      </c>
      <c r="L716" s="14">
        <v>0</v>
      </c>
      <c r="M716" s="229">
        <v>0</v>
      </c>
      <c r="N716" s="229">
        <v>0</v>
      </c>
      <c r="O716" s="229">
        <v>0</v>
      </c>
      <c r="P716" s="26">
        <v>0</v>
      </c>
      <c r="Q716" s="14">
        <v>0</v>
      </c>
      <c r="R716" s="229">
        <v>0</v>
      </c>
      <c r="S716" s="229">
        <v>0</v>
      </c>
      <c r="T716" s="229">
        <v>0</v>
      </c>
      <c r="U716" s="229">
        <v>0</v>
      </c>
      <c r="V716" s="229">
        <v>0</v>
      </c>
      <c r="W716" s="229">
        <v>0</v>
      </c>
      <c r="X716" s="229">
        <v>0</v>
      </c>
      <c r="Y716" s="229">
        <v>0</v>
      </c>
      <c r="Z716" s="229">
        <v>0</v>
      </c>
      <c r="AA716" s="229">
        <v>0</v>
      </c>
      <c r="AC716" s="12">
        <v>1</v>
      </c>
      <c r="AD716" s="14">
        <v>1</v>
      </c>
      <c r="AE716" s="14">
        <v>0</v>
      </c>
      <c r="AF716" s="26">
        <v>0</v>
      </c>
      <c r="AG716" s="12">
        <v>94</v>
      </c>
      <c r="AH716" s="14">
        <v>1</v>
      </c>
      <c r="AI716" s="209"/>
      <c r="AJ716" s="3"/>
      <c r="AK716" s="3"/>
      <c r="AL716" s="3"/>
      <c r="AM716" s="3"/>
      <c r="AN716" s="3"/>
      <c r="AO716" s="40"/>
      <c r="AP716" s="209"/>
      <c r="AQ716" s="3"/>
      <c r="AR716" s="40"/>
      <c r="AS716" s="238"/>
    </row>
    <row r="717" spans="1:45" s="229" customFormat="1">
      <c r="A717" s="42" t="s">
        <v>322</v>
      </c>
      <c r="B717" s="390">
        <v>8.7550000000000008</v>
      </c>
      <c r="C717" s="229" t="s">
        <v>188</v>
      </c>
      <c r="D717" s="229" t="s">
        <v>620</v>
      </c>
      <c r="E717" s="229" t="s">
        <v>0</v>
      </c>
      <c r="F717" s="229">
        <v>159</v>
      </c>
      <c r="G717" s="40">
        <f>F717/108</f>
        <v>1.4722222222222223</v>
      </c>
      <c r="H717" s="14">
        <v>0</v>
      </c>
      <c r="I717" s="229">
        <v>1</v>
      </c>
      <c r="J717" s="229">
        <v>0</v>
      </c>
      <c r="K717" s="26">
        <v>0</v>
      </c>
      <c r="L717" s="14">
        <v>0</v>
      </c>
      <c r="M717" s="229">
        <v>0</v>
      </c>
      <c r="N717" s="229">
        <v>0</v>
      </c>
      <c r="O717" s="229">
        <v>0</v>
      </c>
      <c r="P717" s="26">
        <v>0</v>
      </c>
      <c r="Q717" s="14">
        <v>0</v>
      </c>
      <c r="R717" s="229">
        <v>0</v>
      </c>
      <c r="S717" s="229">
        <v>0</v>
      </c>
      <c r="T717" s="229">
        <v>0</v>
      </c>
      <c r="U717" s="229">
        <v>0</v>
      </c>
      <c r="V717" s="229">
        <v>0</v>
      </c>
      <c r="W717" s="229">
        <v>0</v>
      </c>
      <c r="X717" s="229">
        <v>0</v>
      </c>
      <c r="Y717" s="229">
        <v>0</v>
      </c>
      <c r="Z717" s="229">
        <v>0</v>
      </c>
      <c r="AA717" s="229">
        <v>0</v>
      </c>
      <c r="AC717" s="12">
        <v>1</v>
      </c>
      <c r="AD717" s="14">
        <v>1</v>
      </c>
      <c r="AE717" s="14">
        <v>0</v>
      </c>
      <c r="AF717" s="26">
        <v>0</v>
      </c>
      <c r="AG717" s="12">
        <v>110</v>
      </c>
      <c r="AH717" s="14">
        <v>0</v>
      </c>
      <c r="AI717" s="209"/>
      <c r="AJ717" s="3"/>
      <c r="AK717" s="3"/>
      <c r="AL717" s="3"/>
      <c r="AM717" s="3"/>
      <c r="AN717" s="3"/>
      <c r="AO717" s="40"/>
      <c r="AP717" s="209"/>
      <c r="AQ717" s="3"/>
      <c r="AR717" s="40"/>
      <c r="AS717" s="238"/>
    </row>
    <row r="718" spans="1:45" s="229" customFormat="1">
      <c r="A718" s="42" t="s">
        <v>322</v>
      </c>
      <c r="B718" s="390">
        <v>8.7550000000000008</v>
      </c>
      <c r="C718" s="229" t="s">
        <v>188</v>
      </c>
      <c r="D718" s="229" t="s">
        <v>620</v>
      </c>
      <c r="E718" s="229" t="s">
        <v>1</v>
      </c>
      <c r="F718" s="229">
        <v>252</v>
      </c>
      <c r="G718" s="40">
        <f>F718/181</f>
        <v>1.3922651933701657</v>
      </c>
      <c r="H718" s="14">
        <v>0</v>
      </c>
      <c r="I718" s="229">
        <v>0</v>
      </c>
      <c r="J718" s="229">
        <v>0</v>
      </c>
      <c r="K718" s="26">
        <v>1</v>
      </c>
      <c r="L718" s="14">
        <v>0</v>
      </c>
      <c r="M718" s="229">
        <v>0</v>
      </c>
      <c r="N718" s="229">
        <v>0</v>
      </c>
      <c r="O718" s="229">
        <v>0</v>
      </c>
      <c r="P718" s="26">
        <v>0</v>
      </c>
      <c r="Q718" s="14">
        <v>0</v>
      </c>
      <c r="R718" s="229">
        <v>0</v>
      </c>
      <c r="S718" s="229">
        <v>0</v>
      </c>
      <c r="T718" s="229">
        <v>0</v>
      </c>
      <c r="U718" s="229">
        <v>0</v>
      </c>
      <c r="V718" s="229">
        <v>0</v>
      </c>
      <c r="W718" s="229">
        <v>0</v>
      </c>
      <c r="X718" s="229">
        <v>0</v>
      </c>
      <c r="Y718" s="229">
        <v>0</v>
      </c>
      <c r="Z718" s="229">
        <v>0</v>
      </c>
      <c r="AA718" s="229">
        <v>0</v>
      </c>
      <c r="AC718" s="12">
        <v>1</v>
      </c>
      <c r="AD718" s="14">
        <v>1</v>
      </c>
      <c r="AE718" s="14">
        <v>0</v>
      </c>
      <c r="AF718" s="26">
        <v>0</v>
      </c>
      <c r="AG718" s="12">
        <v>110</v>
      </c>
      <c r="AH718" s="14">
        <v>0</v>
      </c>
      <c r="AI718" s="209"/>
      <c r="AJ718" s="3"/>
      <c r="AK718" s="3"/>
      <c r="AL718" s="3"/>
      <c r="AM718" s="3"/>
      <c r="AN718" s="3"/>
      <c r="AO718" s="40"/>
      <c r="AP718" s="209"/>
      <c r="AQ718" s="3"/>
      <c r="AR718" s="40"/>
      <c r="AS718" s="238"/>
    </row>
    <row r="719" spans="1:45" s="229" customFormat="1">
      <c r="A719" s="42" t="s">
        <v>322</v>
      </c>
      <c r="B719" s="390">
        <v>8.7550000000000008</v>
      </c>
      <c r="C719" s="229" t="s">
        <v>188</v>
      </c>
      <c r="D719" s="229" t="s">
        <v>620</v>
      </c>
      <c r="E719" s="229" t="s">
        <v>2</v>
      </c>
      <c r="F719" s="229">
        <v>197</v>
      </c>
      <c r="G719" s="40">
        <f>F719/178</f>
        <v>1.1067415730337078</v>
      </c>
      <c r="H719" s="14">
        <v>0</v>
      </c>
      <c r="I719" s="229">
        <v>1</v>
      </c>
      <c r="J719" s="229">
        <v>0</v>
      </c>
      <c r="K719" s="26">
        <v>0</v>
      </c>
      <c r="L719" s="14">
        <v>0</v>
      </c>
      <c r="M719" s="229">
        <v>0</v>
      </c>
      <c r="N719" s="229">
        <v>0</v>
      </c>
      <c r="O719" s="229">
        <v>0</v>
      </c>
      <c r="P719" s="26">
        <v>0</v>
      </c>
      <c r="Q719" s="14">
        <v>0</v>
      </c>
      <c r="R719" s="229">
        <v>0</v>
      </c>
      <c r="S719" s="229">
        <v>0</v>
      </c>
      <c r="T719" s="229">
        <v>0</v>
      </c>
      <c r="U719" s="229">
        <v>0</v>
      </c>
      <c r="V719" s="229">
        <v>0</v>
      </c>
      <c r="W719" s="229">
        <v>0</v>
      </c>
      <c r="X719" s="229">
        <v>0</v>
      </c>
      <c r="Y719" s="229">
        <v>0</v>
      </c>
      <c r="Z719" s="229">
        <v>0</v>
      </c>
      <c r="AA719" s="229">
        <v>0</v>
      </c>
      <c r="AC719" s="12">
        <v>1</v>
      </c>
      <c r="AD719" s="14">
        <v>1</v>
      </c>
      <c r="AE719" s="14">
        <v>0</v>
      </c>
      <c r="AF719" s="26">
        <v>0</v>
      </c>
      <c r="AG719" s="12">
        <v>110</v>
      </c>
      <c r="AH719" s="14">
        <v>0</v>
      </c>
      <c r="AI719" s="209"/>
      <c r="AJ719" s="3"/>
      <c r="AK719" s="3"/>
      <c r="AL719" s="3"/>
      <c r="AM719" s="3"/>
      <c r="AN719" s="3"/>
      <c r="AO719" s="40"/>
      <c r="AP719" s="209"/>
      <c r="AQ719" s="3"/>
      <c r="AR719" s="40"/>
      <c r="AS719" s="238"/>
    </row>
    <row r="720" spans="1:45" s="229" customFormat="1">
      <c r="A720" s="42" t="s">
        <v>322</v>
      </c>
      <c r="B720" s="390">
        <v>8.7550000000000008</v>
      </c>
      <c r="C720" s="229" t="s">
        <v>188</v>
      </c>
      <c r="D720" s="229" t="s">
        <v>703</v>
      </c>
      <c r="F720" s="229">
        <v>2349</v>
      </c>
      <c r="G720" s="40">
        <f>F720/1326</f>
        <v>1.7714932126696832</v>
      </c>
      <c r="H720" s="14">
        <v>0</v>
      </c>
      <c r="I720" s="229">
        <v>0</v>
      </c>
      <c r="J720" s="229">
        <v>1</v>
      </c>
      <c r="K720" s="26">
        <v>1</v>
      </c>
      <c r="L720" s="14">
        <v>0</v>
      </c>
      <c r="M720" s="229">
        <v>0</v>
      </c>
      <c r="N720" s="229">
        <v>0</v>
      </c>
      <c r="O720" s="229">
        <v>0</v>
      </c>
      <c r="P720" s="26">
        <v>0</v>
      </c>
      <c r="Q720" s="14">
        <v>1</v>
      </c>
      <c r="R720" s="229">
        <v>0</v>
      </c>
      <c r="S720" s="229">
        <v>6</v>
      </c>
      <c r="T720" s="229">
        <v>0</v>
      </c>
      <c r="U720" s="229">
        <v>0</v>
      </c>
      <c r="V720" s="229">
        <v>36</v>
      </c>
      <c r="W720" s="229">
        <v>51</v>
      </c>
      <c r="X720" s="229">
        <v>0</v>
      </c>
      <c r="Y720" s="229">
        <v>0</v>
      </c>
      <c r="Z720" s="229">
        <v>75</v>
      </c>
      <c r="AA720" s="229">
        <v>213</v>
      </c>
      <c r="AB720" s="229">
        <v>0</v>
      </c>
      <c r="AC720" s="12">
        <v>2</v>
      </c>
      <c r="AD720" s="14">
        <v>2</v>
      </c>
      <c r="AE720" s="14">
        <v>421</v>
      </c>
      <c r="AF720" s="26">
        <v>2349</v>
      </c>
      <c r="AG720" s="12">
        <v>138</v>
      </c>
      <c r="AH720" s="14">
        <v>0</v>
      </c>
      <c r="AI720" s="209"/>
      <c r="AJ720" s="3"/>
      <c r="AK720" s="3"/>
      <c r="AL720" s="3"/>
      <c r="AM720" s="3"/>
      <c r="AN720" s="3"/>
      <c r="AO720" s="40"/>
      <c r="AP720" s="209"/>
      <c r="AQ720" s="3"/>
      <c r="AR720" s="40"/>
      <c r="AS720" s="238"/>
    </row>
    <row r="721" spans="1:45" s="229" customFormat="1">
      <c r="A721" s="42" t="s">
        <v>322</v>
      </c>
      <c r="B721" s="390">
        <v>8.7550000000000008</v>
      </c>
      <c r="C721" s="229" t="s">
        <v>188</v>
      </c>
      <c r="D721" s="229" t="s">
        <v>704</v>
      </c>
      <c r="F721" s="229">
        <v>1773</v>
      </c>
      <c r="G721" s="40">
        <f>F721/803</f>
        <v>2.2079701120797011</v>
      </c>
      <c r="H721" s="14">
        <v>0</v>
      </c>
      <c r="I721" s="229">
        <v>0</v>
      </c>
      <c r="J721" s="229">
        <v>1</v>
      </c>
      <c r="K721" s="26">
        <v>1</v>
      </c>
      <c r="L721" s="14">
        <v>0</v>
      </c>
      <c r="M721" s="229">
        <v>0</v>
      </c>
      <c r="N721" s="229">
        <v>0</v>
      </c>
      <c r="O721" s="229">
        <v>1</v>
      </c>
      <c r="P721" s="26">
        <v>1</v>
      </c>
      <c r="Q721" s="14">
        <v>1</v>
      </c>
      <c r="R721" s="229">
        <v>0</v>
      </c>
      <c r="S721" s="229">
        <v>10</v>
      </c>
      <c r="T721" s="229">
        <v>0</v>
      </c>
      <c r="U721" s="229">
        <v>0</v>
      </c>
      <c r="V721" s="229">
        <v>17</v>
      </c>
      <c r="W721" s="229">
        <v>111</v>
      </c>
      <c r="X721" s="229">
        <v>0</v>
      </c>
      <c r="Y721" s="229">
        <v>0</v>
      </c>
      <c r="Z721" s="229">
        <v>0</v>
      </c>
      <c r="AA721" s="229">
        <v>0</v>
      </c>
      <c r="AB721" s="229">
        <v>0</v>
      </c>
      <c r="AC721" s="12">
        <v>2</v>
      </c>
      <c r="AD721" s="14">
        <v>3</v>
      </c>
      <c r="AE721" s="14">
        <v>280</v>
      </c>
      <c r="AF721" s="26">
        <v>1098</v>
      </c>
      <c r="AG721" s="12">
        <v>135</v>
      </c>
      <c r="AH721" s="14">
        <v>0</v>
      </c>
      <c r="AI721" s="209"/>
      <c r="AJ721" s="3"/>
      <c r="AK721" s="3"/>
      <c r="AL721" s="3"/>
      <c r="AM721" s="3"/>
      <c r="AN721" s="3"/>
      <c r="AO721" s="40"/>
      <c r="AP721" s="209"/>
      <c r="AQ721" s="3"/>
      <c r="AR721" s="40"/>
      <c r="AS721" s="238"/>
    </row>
    <row r="722" spans="1:45" s="229" customFormat="1">
      <c r="A722" s="42" t="s">
        <v>322</v>
      </c>
      <c r="B722" s="390">
        <v>8.7550000000000008</v>
      </c>
      <c r="C722" s="229" t="s">
        <v>188</v>
      </c>
      <c r="D722" s="229" t="s">
        <v>705</v>
      </c>
      <c r="F722" s="229">
        <v>1274</v>
      </c>
      <c r="G722" s="40">
        <f>F722/806</f>
        <v>1.5806451612903225</v>
      </c>
      <c r="H722" s="14">
        <v>0</v>
      </c>
      <c r="I722" s="229">
        <v>0</v>
      </c>
      <c r="J722" s="229">
        <v>1</v>
      </c>
      <c r="K722" s="26">
        <v>0</v>
      </c>
      <c r="L722" s="14">
        <v>0</v>
      </c>
      <c r="M722" s="229">
        <v>0</v>
      </c>
      <c r="N722" s="229">
        <v>0</v>
      </c>
      <c r="O722" s="229">
        <v>0</v>
      </c>
      <c r="P722" s="26">
        <v>0</v>
      </c>
      <c r="Q722" s="14">
        <v>2</v>
      </c>
      <c r="R722" s="229">
        <v>0</v>
      </c>
      <c r="S722" s="229">
        <v>0</v>
      </c>
      <c r="T722" s="229">
        <v>0</v>
      </c>
      <c r="U722" s="229">
        <v>0</v>
      </c>
      <c r="V722" s="229">
        <v>0</v>
      </c>
      <c r="W722" s="229">
        <v>20</v>
      </c>
      <c r="X722" s="229">
        <v>0</v>
      </c>
      <c r="Y722" s="229">
        <v>0</v>
      </c>
      <c r="Z722" s="229">
        <v>0</v>
      </c>
      <c r="AA722" s="229">
        <v>277</v>
      </c>
      <c r="AB722" s="229">
        <v>0</v>
      </c>
      <c r="AC722" s="12">
        <v>1</v>
      </c>
      <c r="AD722" s="14">
        <v>1</v>
      </c>
      <c r="AE722" s="14">
        <v>0</v>
      </c>
      <c r="AF722" s="26">
        <v>0</v>
      </c>
      <c r="AG722" s="12">
        <v>143</v>
      </c>
      <c r="AH722" s="14"/>
      <c r="AI722" s="209"/>
      <c r="AJ722" s="3"/>
      <c r="AK722" s="3"/>
      <c r="AL722" s="3"/>
      <c r="AM722" s="3"/>
      <c r="AN722" s="3"/>
      <c r="AO722" s="40"/>
      <c r="AP722" s="209"/>
      <c r="AQ722" s="3"/>
      <c r="AR722" s="40"/>
      <c r="AS722" s="238"/>
    </row>
    <row r="723" spans="1:45" s="229" customFormat="1" ht="17" thickBot="1">
      <c r="A723" s="55" t="s">
        <v>322</v>
      </c>
      <c r="B723" s="388">
        <v>8.7550000000000008</v>
      </c>
      <c r="C723" s="36" t="s">
        <v>188</v>
      </c>
      <c r="D723" s="36" t="s">
        <v>629</v>
      </c>
      <c r="E723" s="36"/>
      <c r="F723" s="36">
        <v>1328</v>
      </c>
      <c r="G723" s="48">
        <f>F723/755</f>
        <v>1.7589403973509934</v>
      </c>
      <c r="H723" s="34">
        <v>0</v>
      </c>
      <c r="I723" s="36">
        <v>0</v>
      </c>
      <c r="J723" s="36">
        <v>1</v>
      </c>
      <c r="K723" s="35">
        <v>1</v>
      </c>
      <c r="L723" s="34">
        <v>0</v>
      </c>
      <c r="M723" s="36">
        <v>0</v>
      </c>
      <c r="N723" s="36">
        <v>0</v>
      </c>
      <c r="O723" s="36">
        <v>0</v>
      </c>
      <c r="P723" s="35">
        <v>0</v>
      </c>
      <c r="Q723" s="34">
        <v>10</v>
      </c>
      <c r="R723" s="36">
        <v>20</v>
      </c>
      <c r="S723" s="36">
        <v>30</v>
      </c>
      <c r="T723" s="36">
        <v>0</v>
      </c>
      <c r="U723" s="36">
        <v>0</v>
      </c>
      <c r="V723" s="36">
        <v>56</v>
      </c>
      <c r="W723" s="36">
        <v>239</v>
      </c>
      <c r="X723" s="36">
        <v>0</v>
      </c>
      <c r="Y723" s="36">
        <v>0</v>
      </c>
      <c r="Z723" s="36">
        <v>0</v>
      </c>
      <c r="AA723" s="36">
        <v>0</v>
      </c>
      <c r="AB723" s="36"/>
      <c r="AC723" s="33">
        <v>2</v>
      </c>
      <c r="AD723" s="34">
        <v>3</v>
      </c>
      <c r="AE723" s="34">
        <v>267</v>
      </c>
      <c r="AF723" s="35">
        <v>916</v>
      </c>
      <c r="AG723" s="33">
        <v>120</v>
      </c>
      <c r="AH723" s="34">
        <v>0</v>
      </c>
      <c r="AI723" s="210"/>
      <c r="AJ723" s="51"/>
      <c r="AK723" s="51"/>
      <c r="AL723" s="51"/>
      <c r="AM723" s="51"/>
      <c r="AN723" s="51"/>
      <c r="AO723" s="48"/>
      <c r="AP723" s="210"/>
      <c r="AQ723" s="51"/>
      <c r="AR723" s="48"/>
      <c r="AS723" s="239"/>
    </row>
    <row r="724" spans="1:45" s="229" customFormat="1">
      <c r="A724" s="87" t="s">
        <v>322</v>
      </c>
      <c r="B724" s="390">
        <v>8.7550000000000008</v>
      </c>
      <c r="C724" s="229" t="s">
        <v>205</v>
      </c>
      <c r="D724" s="229" t="s">
        <v>423</v>
      </c>
      <c r="E724" s="229" t="s">
        <v>0</v>
      </c>
      <c r="F724" s="229">
        <v>1276</v>
      </c>
      <c r="G724" s="40">
        <f>F724/865</f>
        <v>1.4751445086705202</v>
      </c>
      <c r="H724" s="14">
        <v>0</v>
      </c>
      <c r="I724" s="229">
        <v>0</v>
      </c>
      <c r="J724" s="229">
        <v>1</v>
      </c>
      <c r="K724" s="26">
        <v>1</v>
      </c>
      <c r="L724" s="14">
        <v>0</v>
      </c>
      <c r="M724" s="229">
        <v>0</v>
      </c>
      <c r="N724" s="229">
        <v>0</v>
      </c>
      <c r="O724" s="229">
        <v>0</v>
      </c>
      <c r="P724" s="26">
        <v>0</v>
      </c>
      <c r="Q724" s="14">
        <v>15</v>
      </c>
      <c r="R724" s="229">
        <v>0</v>
      </c>
      <c r="S724" s="229">
        <v>0</v>
      </c>
      <c r="T724" s="229">
        <v>0</v>
      </c>
      <c r="U724" s="229">
        <v>0</v>
      </c>
      <c r="V724" s="229">
        <v>15</v>
      </c>
      <c r="W724" s="229">
        <v>86</v>
      </c>
      <c r="X724" s="229">
        <v>0</v>
      </c>
      <c r="Y724" s="229">
        <v>0</v>
      </c>
      <c r="Z724" s="229">
        <v>111</v>
      </c>
      <c r="AA724" s="229">
        <v>371</v>
      </c>
      <c r="AC724" s="12">
        <v>2</v>
      </c>
      <c r="AD724" s="14">
        <v>2</v>
      </c>
      <c r="AE724" s="14">
        <v>415</v>
      </c>
      <c r="AF724" s="26">
        <v>1276</v>
      </c>
      <c r="AG724" s="12">
        <v>171</v>
      </c>
      <c r="AH724" s="14">
        <v>0</v>
      </c>
      <c r="AI724" s="209"/>
      <c r="AJ724" s="3"/>
      <c r="AK724" s="3"/>
      <c r="AL724" s="3"/>
      <c r="AM724" s="3"/>
      <c r="AN724" s="3"/>
      <c r="AO724" s="40"/>
      <c r="AP724" s="209"/>
      <c r="AQ724" s="3"/>
      <c r="AR724" s="40"/>
      <c r="AS724" s="238"/>
    </row>
    <row r="725" spans="1:45" s="229" customFormat="1">
      <c r="A725" s="42" t="s">
        <v>322</v>
      </c>
      <c r="B725" s="390">
        <v>8.7550000000000008</v>
      </c>
      <c r="C725" s="229" t="s">
        <v>205</v>
      </c>
      <c r="D725" s="229" t="s">
        <v>423</v>
      </c>
      <c r="E725" s="229" t="s">
        <v>1</v>
      </c>
      <c r="F725" s="229">
        <v>541</v>
      </c>
      <c r="G725" s="40">
        <f>F725/253</f>
        <v>2.1383399209486167</v>
      </c>
      <c r="H725" s="14">
        <v>0</v>
      </c>
      <c r="I725" s="229">
        <v>1</v>
      </c>
      <c r="J725" s="229">
        <v>0</v>
      </c>
      <c r="K725" s="26">
        <v>0</v>
      </c>
      <c r="L725" s="14">
        <v>0</v>
      </c>
      <c r="M725" s="229">
        <v>0</v>
      </c>
      <c r="N725" s="229">
        <v>0</v>
      </c>
      <c r="O725" s="229">
        <v>0</v>
      </c>
      <c r="P725" s="26">
        <v>0</v>
      </c>
      <c r="Q725" s="14">
        <v>0</v>
      </c>
      <c r="R725" s="229">
        <v>0</v>
      </c>
      <c r="S725" s="229">
        <v>0</v>
      </c>
      <c r="T725" s="229">
        <v>0</v>
      </c>
      <c r="U725" s="229">
        <v>0</v>
      </c>
      <c r="V725" s="229">
        <v>0</v>
      </c>
      <c r="W725" s="229">
        <v>0</v>
      </c>
      <c r="X725" s="229">
        <v>0</v>
      </c>
      <c r="Y725" s="229">
        <v>0</v>
      </c>
      <c r="Z725" s="229">
        <v>0</v>
      </c>
      <c r="AA725" s="229">
        <v>0</v>
      </c>
      <c r="AC725" s="12">
        <v>1</v>
      </c>
      <c r="AD725" s="14">
        <v>1</v>
      </c>
      <c r="AE725" s="14">
        <v>0</v>
      </c>
      <c r="AF725" s="26">
        <v>0</v>
      </c>
      <c r="AG725" s="12">
        <v>171</v>
      </c>
      <c r="AH725" s="14">
        <v>0</v>
      </c>
      <c r="AI725" s="209"/>
      <c r="AJ725" s="3"/>
      <c r="AK725" s="3"/>
      <c r="AL725" s="3"/>
      <c r="AM725" s="3"/>
      <c r="AN725" s="3"/>
      <c r="AO725" s="40"/>
      <c r="AP725" s="209"/>
      <c r="AQ725" s="3"/>
      <c r="AR725" s="40"/>
      <c r="AS725" s="238"/>
    </row>
    <row r="726" spans="1:45" s="229" customFormat="1">
      <c r="A726" s="42" t="s">
        <v>322</v>
      </c>
      <c r="B726" s="390">
        <v>8.7550000000000008</v>
      </c>
      <c r="C726" s="229" t="s">
        <v>205</v>
      </c>
      <c r="D726" s="229" t="s">
        <v>622</v>
      </c>
      <c r="F726" s="229">
        <v>740</v>
      </c>
      <c r="G726" s="40">
        <f>F726/465</f>
        <v>1.5913978494623655</v>
      </c>
      <c r="H726" s="14">
        <v>0</v>
      </c>
      <c r="I726" s="229">
        <v>0</v>
      </c>
      <c r="J726" s="229">
        <v>0</v>
      </c>
      <c r="K726" s="26">
        <v>1</v>
      </c>
      <c r="L726" s="14">
        <v>0</v>
      </c>
      <c r="M726" s="229">
        <v>0</v>
      </c>
      <c r="N726" s="229">
        <v>0</v>
      </c>
      <c r="O726" s="229">
        <v>0</v>
      </c>
      <c r="P726" s="26">
        <v>0</v>
      </c>
      <c r="Q726" s="14">
        <v>5</v>
      </c>
      <c r="R726" s="229">
        <v>0</v>
      </c>
      <c r="S726" s="229">
        <v>0</v>
      </c>
      <c r="T726" s="229">
        <v>0</v>
      </c>
      <c r="U726" s="229">
        <v>0</v>
      </c>
      <c r="V726" s="229">
        <v>0</v>
      </c>
      <c r="W726" s="229">
        <v>64</v>
      </c>
      <c r="X726" s="229">
        <v>0</v>
      </c>
      <c r="Y726" s="229">
        <v>0</v>
      </c>
      <c r="Z726" s="229">
        <v>0</v>
      </c>
      <c r="AA726" s="229">
        <v>0</v>
      </c>
      <c r="AC726" s="12">
        <v>1</v>
      </c>
      <c r="AD726" s="14">
        <v>1</v>
      </c>
      <c r="AE726" s="14">
        <v>0</v>
      </c>
      <c r="AF726" s="26">
        <v>0</v>
      </c>
      <c r="AG726" s="12">
        <v>171</v>
      </c>
      <c r="AH726" s="14">
        <v>0</v>
      </c>
      <c r="AI726" s="209"/>
      <c r="AJ726" s="3"/>
      <c r="AK726" s="3"/>
      <c r="AL726" s="3"/>
      <c r="AM726" s="3"/>
      <c r="AN726" s="3"/>
      <c r="AO726" s="40"/>
      <c r="AP726" s="209"/>
      <c r="AQ726" s="3"/>
      <c r="AR726" s="40"/>
      <c r="AS726" s="238"/>
    </row>
    <row r="727" spans="1:45" s="229" customFormat="1">
      <c r="A727" s="42" t="s">
        <v>322</v>
      </c>
      <c r="B727" s="390">
        <v>8.7550000000000008</v>
      </c>
      <c r="C727" s="229" t="s">
        <v>205</v>
      </c>
      <c r="D727" s="229" t="s">
        <v>620</v>
      </c>
      <c r="F727" s="229">
        <v>1067</v>
      </c>
      <c r="G727" s="40">
        <f>F727/679</f>
        <v>1.5714285714285714</v>
      </c>
      <c r="H727" s="14">
        <v>0</v>
      </c>
      <c r="I727" s="229">
        <v>0</v>
      </c>
      <c r="J727" s="229">
        <v>1</v>
      </c>
      <c r="K727" s="26">
        <v>0</v>
      </c>
      <c r="L727" s="14">
        <v>1</v>
      </c>
      <c r="M727" s="229">
        <v>0</v>
      </c>
      <c r="N727" s="229">
        <v>0</v>
      </c>
      <c r="O727" s="229">
        <v>0</v>
      </c>
      <c r="P727" s="26">
        <v>1</v>
      </c>
      <c r="Q727" s="14">
        <v>2</v>
      </c>
      <c r="R727" s="229">
        <v>0</v>
      </c>
      <c r="S727" s="229">
        <v>28</v>
      </c>
      <c r="T727" s="229">
        <v>0</v>
      </c>
      <c r="U727" s="229">
        <v>0</v>
      </c>
      <c r="V727" s="229">
        <v>39</v>
      </c>
      <c r="W727" s="229">
        <v>111</v>
      </c>
      <c r="X727" s="229">
        <v>0</v>
      </c>
      <c r="Y727" s="229">
        <v>0</v>
      </c>
      <c r="Z727" s="229">
        <v>0</v>
      </c>
      <c r="AA727" s="229">
        <v>0</v>
      </c>
      <c r="AC727" s="12">
        <v>1</v>
      </c>
      <c r="AD727" s="14">
        <v>1</v>
      </c>
      <c r="AE727" s="14">
        <v>0</v>
      </c>
      <c r="AF727" s="26">
        <v>0</v>
      </c>
      <c r="AG727" s="12">
        <v>181</v>
      </c>
      <c r="AH727" s="14">
        <v>0</v>
      </c>
      <c r="AI727" s="209">
        <v>79.026329541576445</v>
      </c>
      <c r="AJ727" s="3"/>
      <c r="AK727" s="3"/>
      <c r="AL727" s="3"/>
      <c r="AM727" s="3"/>
      <c r="AN727" s="3"/>
      <c r="AO727" s="40"/>
      <c r="AP727" s="209">
        <v>79.373534701171394</v>
      </c>
      <c r="AQ727" s="3"/>
      <c r="AR727" s="40"/>
      <c r="AS727" s="238"/>
    </row>
    <row r="728" spans="1:45" s="229" customFormat="1">
      <c r="A728" s="42" t="s">
        <v>322</v>
      </c>
      <c r="B728" s="390">
        <v>8.7550000000000008</v>
      </c>
      <c r="C728" s="229" t="s">
        <v>205</v>
      </c>
      <c r="D728" s="229" t="s">
        <v>629</v>
      </c>
      <c r="F728" s="229">
        <v>928</v>
      </c>
      <c r="G728" s="40">
        <f>F728/562</f>
        <v>1.6512455516014235</v>
      </c>
      <c r="H728" s="14">
        <v>0</v>
      </c>
      <c r="I728" s="229">
        <v>0</v>
      </c>
      <c r="J728" s="229">
        <v>1</v>
      </c>
      <c r="K728" s="26">
        <v>0</v>
      </c>
      <c r="L728" s="14">
        <v>0</v>
      </c>
      <c r="M728" s="229">
        <v>0</v>
      </c>
      <c r="N728" s="229">
        <v>0</v>
      </c>
      <c r="O728" s="229">
        <v>1</v>
      </c>
      <c r="P728" s="26">
        <v>1</v>
      </c>
      <c r="Q728" s="14">
        <v>0</v>
      </c>
      <c r="R728" s="229">
        <v>0</v>
      </c>
      <c r="S728" s="229">
        <v>0</v>
      </c>
      <c r="T728" s="229">
        <v>0</v>
      </c>
      <c r="U728" s="229">
        <v>0</v>
      </c>
      <c r="V728" s="229">
        <v>0</v>
      </c>
      <c r="W728" s="229">
        <v>0</v>
      </c>
      <c r="X728" s="229">
        <v>0</v>
      </c>
      <c r="Y728" s="229">
        <v>0</v>
      </c>
      <c r="Z728" s="229">
        <v>0</v>
      </c>
      <c r="AA728" s="229">
        <v>0</v>
      </c>
      <c r="AC728" s="12">
        <v>1</v>
      </c>
      <c r="AD728" s="14">
        <v>1</v>
      </c>
      <c r="AE728" s="14">
        <v>0</v>
      </c>
      <c r="AF728" s="26">
        <v>0</v>
      </c>
      <c r="AG728" s="12">
        <v>118</v>
      </c>
      <c r="AH728" s="14">
        <v>0</v>
      </c>
      <c r="AI728" s="209"/>
      <c r="AJ728" s="3"/>
      <c r="AK728" s="3"/>
      <c r="AL728" s="3"/>
      <c r="AM728" s="3"/>
      <c r="AN728" s="3"/>
      <c r="AO728" s="40"/>
      <c r="AP728" s="209"/>
      <c r="AQ728" s="3"/>
      <c r="AR728" s="40"/>
      <c r="AS728" s="238"/>
    </row>
    <row r="729" spans="1:45" s="229" customFormat="1">
      <c r="A729" s="42" t="s">
        <v>322</v>
      </c>
      <c r="B729" s="390">
        <v>8.7550000000000008</v>
      </c>
      <c r="C729" s="229" t="s">
        <v>205</v>
      </c>
      <c r="D729" s="229" t="s">
        <v>261</v>
      </c>
      <c r="F729" s="229">
        <v>774</v>
      </c>
      <c r="G729" s="40">
        <f>F729/369</f>
        <v>2.0975609756097562</v>
      </c>
      <c r="H729" s="14">
        <v>0</v>
      </c>
      <c r="I729" s="229">
        <v>0</v>
      </c>
      <c r="J729" s="240">
        <v>1</v>
      </c>
      <c r="K729" s="243">
        <v>0</v>
      </c>
      <c r="L729" s="242">
        <v>0</v>
      </c>
      <c r="M729" s="240">
        <v>0</v>
      </c>
      <c r="N729" s="240">
        <v>0</v>
      </c>
      <c r="O729" s="240">
        <v>0</v>
      </c>
      <c r="P729" s="26">
        <v>0</v>
      </c>
      <c r="Q729" s="14">
        <v>0</v>
      </c>
      <c r="R729" s="229">
        <v>0</v>
      </c>
      <c r="S729" s="229">
        <v>0</v>
      </c>
      <c r="T729" s="229">
        <v>0</v>
      </c>
      <c r="U729" s="229">
        <v>0</v>
      </c>
      <c r="V729" s="229">
        <v>0</v>
      </c>
      <c r="W729" s="229">
        <v>0</v>
      </c>
      <c r="X729" s="229">
        <v>0</v>
      </c>
      <c r="Y729" s="229">
        <v>0</v>
      </c>
      <c r="Z729" s="229">
        <v>0</v>
      </c>
      <c r="AA729" s="229">
        <v>0</v>
      </c>
      <c r="AB729" s="229">
        <v>0</v>
      </c>
      <c r="AC729" s="12">
        <v>1</v>
      </c>
      <c r="AD729" s="14">
        <v>1</v>
      </c>
      <c r="AE729" s="14">
        <v>0</v>
      </c>
      <c r="AF729" s="26">
        <v>0</v>
      </c>
      <c r="AG729" s="12">
        <v>120</v>
      </c>
      <c r="AH729" s="14">
        <v>0</v>
      </c>
      <c r="AI729" s="209"/>
      <c r="AJ729" s="3"/>
      <c r="AK729" s="3"/>
      <c r="AL729" s="3"/>
      <c r="AM729" s="3"/>
      <c r="AN729" s="3"/>
      <c r="AO729" s="40"/>
      <c r="AP729" s="209"/>
      <c r="AQ729" s="3"/>
      <c r="AR729" s="40"/>
      <c r="AS729" s="238"/>
    </row>
    <row r="730" spans="1:45" s="229" customFormat="1" ht="17" thickBot="1">
      <c r="A730" s="55" t="s">
        <v>322</v>
      </c>
      <c r="B730" s="388">
        <v>8.7550000000000008</v>
      </c>
      <c r="C730" s="229" t="s">
        <v>205</v>
      </c>
      <c r="D730" s="229" t="s">
        <v>395</v>
      </c>
      <c r="F730" s="229">
        <v>2871</v>
      </c>
      <c r="G730" s="40">
        <f>F730/870</f>
        <v>3.3</v>
      </c>
      <c r="H730" s="14">
        <v>0</v>
      </c>
      <c r="I730" s="229">
        <v>0</v>
      </c>
      <c r="J730" s="240">
        <v>1</v>
      </c>
      <c r="K730" s="243">
        <v>0</v>
      </c>
      <c r="L730" s="242">
        <v>0</v>
      </c>
      <c r="M730" s="240">
        <v>0</v>
      </c>
      <c r="N730" s="240">
        <v>0</v>
      </c>
      <c r="O730" s="240">
        <v>0</v>
      </c>
      <c r="P730" s="26">
        <v>0</v>
      </c>
      <c r="Q730" s="14">
        <v>10</v>
      </c>
      <c r="R730" s="229">
        <v>0</v>
      </c>
      <c r="S730" s="229">
        <v>0</v>
      </c>
      <c r="T730" s="229">
        <v>0</v>
      </c>
      <c r="U730" s="229">
        <v>0</v>
      </c>
      <c r="V730" s="229">
        <v>24</v>
      </c>
      <c r="W730" s="229">
        <v>256</v>
      </c>
      <c r="X730" s="229">
        <v>0</v>
      </c>
      <c r="Y730" s="229">
        <v>0</v>
      </c>
      <c r="Z730" s="229">
        <v>137</v>
      </c>
      <c r="AA730" s="229">
        <v>529</v>
      </c>
      <c r="AB730" s="229">
        <v>1</v>
      </c>
      <c r="AC730" s="12">
        <v>1</v>
      </c>
      <c r="AD730" s="14">
        <v>0</v>
      </c>
      <c r="AE730" s="14">
        <v>0</v>
      </c>
      <c r="AF730" s="26">
        <v>0</v>
      </c>
      <c r="AG730" s="12">
        <v>136</v>
      </c>
      <c r="AH730" s="14"/>
      <c r="AI730" s="209">
        <v>79.822223885969706</v>
      </c>
      <c r="AJ730" s="3"/>
      <c r="AK730" s="3"/>
      <c r="AL730" s="3"/>
      <c r="AM730" s="3"/>
      <c r="AN730" s="3"/>
      <c r="AO730" s="40"/>
      <c r="AP730" s="209"/>
      <c r="AQ730" s="3"/>
      <c r="AR730" s="40"/>
      <c r="AS730" s="238"/>
    </row>
    <row r="731" spans="1:45" s="229" customFormat="1">
      <c r="A731" s="87" t="s">
        <v>322</v>
      </c>
      <c r="B731" s="389">
        <v>8.7550000000000008</v>
      </c>
      <c r="C731" s="8" t="s">
        <v>193</v>
      </c>
      <c r="D731" s="8" t="s">
        <v>423</v>
      </c>
      <c r="E731" s="8" t="s">
        <v>0</v>
      </c>
      <c r="F731" s="8">
        <v>518</v>
      </c>
      <c r="G731" s="10">
        <f>F731/451</f>
        <v>1.1485587583148558</v>
      </c>
      <c r="H731" s="11">
        <v>0</v>
      </c>
      <c r="I731" s="8">
        <v>0</v>
      </c>
      <c r="J731" s="8">
        <v>1</v>
      </c>
      <c r="K731" s="41">
        <v>0</v>
      </c>
      <c r="L731" s="11">
        <v>1</v>
      </c>
      <c r="M731" s="8">
        <v>0</v>
      </c>
      <c r="N731" s="8">
        <v>0</v>
      </c>
      <c r="O731" s="8">
        <v>0</v>
      </c>
      <c r="P731" s="41">
        <v>1</v>
      </c>
      <c r="Q731" s="11">
        <v>5</v>
      </c>
      <c r="R731" s="8">
        <v>0</v>
      </c>
      <c r="S731" s="8">
        <v>0</v>
      </c>
      <c r="T731" s="8">
        <v>0</v>
      </c>
      <c r="U731" s="8">
        <v>0</v>
      </c>
      <c r="V731" s="8">
        <v>0</v>
      </c>
      <c r="W731" s="8">
        <v>0</v>
      </c>
      <c r="X731" s="8">
        <v>0</v>
      </c>
      <c r="Y731" s="8">
        <v>0</v>
      </c>
      <c r="Z731" s="8">
        <v>0</v>
      </c>
      <c r="AA731" s="8">
        <v>152</v>
      </c>
      <c r="AB731" s="8"/>
      <c r="AC731" s="9">
        <v>1</v>
      </c>
      <c r="AD731" s="11">
        <v>1</v>
      </c>
      <c r="AE731" s="11">
        <v>0</v>
      </c>
      <c r="AF731" s="41">
        <v>0</v>
      </c>
      <c r="AG731" s="9">
        <v>106</v>
      </c>
      <c r="AH731" s="11">
        <v>1</v>
      </c>
      <c r="AI731" s="208"/>
      <c r="AJ731" s="54"/>
      <c r="AK731" s="54"/>
      <c r="AL731" s="54"/>
      <c r="AM731" s="54"/>
      <c r="AN731" s="54"/>
      <c r="AO731" s="10"/>
      <c r="AP731" s="208"/>
      <c r="AQ731" s="54"/>
      <c r="AR731" s="10"/>
      <c r="AS731" s="237"/>
    </row>
    <row r="732" spans="1:45" s="229" customFormat="1">
      <c r="A732" s="42" t="s">
        <v>322</v>
      </c>
      <c r="B732" s="390">
        <v>8.7550000000000008</v>
      </c>
      <c r="C732" s="229" t="s">
        <v>193</v>
      </c>
      <c r="D732" s="229" t="s">
        <v>423</v>
      </c>
      <c r="E732" s="229" t="s">
        <v>1</v>
      </c>
      <c r="F732" s="229">
        <v>164</v>
      </c>
      <c r="G732" s="40">
        <f>F732/128</f>
        <v>1.28125</v>
      </c>
      <c r="H732" s="14">
        <v>0</v>
      </c>
      <c r="I732" s="229">
        <v>1</v>
      </c>
      <c r="J732" s="229">
        <v>0</v>
      </c>
      <c r="K732" s="26">
        <v>0</v>
      </c>
      <c r="L732" s="14">
        <v>0</v>
      </c>
      <c r="M732" s="229">
        <v>0</v>
      </c>
      <c r="N732" s="229">
        <v>1</v>
      </c>
      <c r="O732" s="229">
        <v>0</v>
      </c>
      <c r="P732" s="26">
        <v>1</v>
      </c>
      <c r="Q732" s="14">
        <v>0</v>
      </c>
      <c r="R732" s="229">
        <v>0</v>
      </c>
      <c r="S732" s="229">
        <v>0</v>
      </c>
      <c r="T732" s="229">
        <v>0</v>
      </c>
      <c r="U732" s="229">
        <v>0</v>
      </c>
      <c r="V732" s="229">
        <v>0</v>
      </c>
      <c r="W732" s="229">
        <v>0</v>
      </c>
      <c r="X732" s="229">
        <v>0</v>
      </c>
      <c r="Y732" s="229">
        <v>0</v>
      </c>
      <c r="Z732" s="229">
        <v>0</v>
      </c>
      <c r="AA732" s="229">
        <v>0</v>
      </c>
      <c r="AC732" s="12">
        <v>1</v>
      </c>
      <c r="AD732" s="14">
        <v>1</v>
      </c>
      <c r="AE732" s="14">
        <v>0</v>
      </c>
      <c r="AF732" s="26">
        <v>0</v>
      </c>
      <c r="AG732" s="12">
        <v>106</v>
      </c>
      <c r="AH732" s="14">
        <v>0</v>
      </c>
      <c r="AI732" s="209"/>
      <c r="AJ732" s="3"/>
      <c r="AK732" s="3"/>
      <c r="AL732" s="3"/>
      <c r="AM732" s="3"/>
      <c r="AN732" s="3"/>
      <c r="AO732" s="40"/>
      <c r="AP732" s="209"/>
      <c r="AQ732" s="3"/>
      <c r="AR732" s="40"/>
      <c r="AS732" s="238"/>
    </row>
    <row r="733" spans="1:45" s="229" customFormat="1">
      <c r="A733" s="42" t="s">
        <v>322</v>
      </c>
      <c r="B733" s="390">
        <v>8.7550000000000008</v>
      </c>
      <c r="C733" s="229" t="s">
        <v>193</v>
      </c>
      <c r="D733" s="229" t="s">
        <v>423</v>
      </c>
      <c r="E733" s="229" t="s">
        <v>2</v>
      </c>
      <c r="F733" s="229">
        <v>195</v>
      </c>
      <c r="G733" s="40">
        <f>F733/161</f>
        <v>1.2111801242236024</v>
      </c>
      <c r="H733" s="14">
        <v>0</v>
      </c>
      <c r="I733" s="229">
        <v>0</v>
      </c>
      <c r="J733" s="229">
        <v>0</v>
      </c>
      <c r="K733" s="26">
        <v>1</v>
      </c>
      <c r="L733" s="14">
        <v>0</v>
      </c>
      <c r="M733" s="229">
        <v>0</v>
      </c>
      <c r="N733" s="229">
        <v>1</v>
      </c>
      <c r="O733" s="229">
        <v>0</v>
      </c>
      <c r="P733" s="26">
        <v>1</v>
      </c>
      <c r="Q733" s="14">
        <v>0</v>
      </c>
      <c r="R733" s="229">
        <v>0</v>
      </c>
      <c r="S733" s="229">
        <v>0</v>
      </c>
      <c r="T733" s="229">
        <v>0</v>
      </c>
      <c r="U733" s="229">
        <v>0</v>
      </c>
      <c r="V733" s="229">
        <v>0</v>
      </c>
      <c r="W733" s="229">
        <v>0</v>
      </c>
      <c r="X733" s="229">
        <v>0</v>
      </c>
      <c r="Y733" s="229">
        <v>0</v>
      </c>
      <c r="Z733" s="229">
        <v>0</v>
      </c>
      <c r="AA733" s="229">
        <v>0</v>
      </c>
      <c r="AC733" s="12">
        <v>1</v>
      </c>
      <c r="AD733" s="14">
        <v>1</v>
      </c>
      <c r="AE733" s="14">
        <v>0</v>
      </c>
      <c r="AF733" s="26">
        <v>0</v>
      </c>
      <c r="AG733" s="12">
        <v>106</v>
      </c>
      <c r="AH733" s="14">
        <v>0</v>
      </c>
      <c r="AI733" s="209"/>
      <c r="AJ733" s="3"/>
      <c r="AK733" s="3"/>
      <c r="AL733" s="3"/>
      <c r="AM733" s="3"/>
      <c r="AN733" s="3"/>
      <c r="AO733" s="40"/>
      <c r="AP733" s="209"/>
      <c r="AQ733" s="3"/>
      <c r="AR733" s="40"/>
      <c r="AS733" s="238"/>
    </row>
    <row r="734" spans="1:45" s="229" customFormat="1">
      <c r="A734" s="42" t="s">
        <v>322</v>
      </c>
      <c r="B734" s="390">
        <v>8.7550000000000008</v>
      </c>
      <c r="C734" s="229" t="s">
        <v>193</v>
      </c>
      <c r="D734" s="229" t="s">
        <v>622</v>
      </c>
      <c r="E734" s="229" t="s">
        <v>0</v>
      </c>
      <c r="F734" s="229">
        <v>387</v>
      </c>
      <c r="G734" s="40">
        <f>F734/299</f>
        <v>1.294314381270903</v>
      </c>
      <c r="H734" s="14">
        <v>1</v>
      </c>
      <c r="I734" s="229">
        <v>0</v>
      </c>
      <c r="J734" s="229">
        <v>0</v>
      </c>
      <c r="K734" s="26">
        <v>0</v>
      </c>
      <c r="L734" s="14">
        <v>0</v>
      </c>
      <c r="M734" s="229">
        <v>0</v>
      </c>
      <c r="N734" s="229">
        <v>0</v>
      </c>
      <c r="O734" s="229">
        <v>0</v>
      </c>
      <c r="P734" s="26">
        <v>0</v>
      </c>
      <c r="Q734" s="14">
        <v>2</v>
      </c>
      <c r="R734" s="229">
        <v>0</v>
      </c>
      <c r="S734" s="229">
        <v>0</v>
      </c>
      <c r="T734" s="229">
        <v>0</v>
      </c>
      <c r="U734" s="229">
        <v>0</v>
      </c>
      <c r="V734" s="229">
        <v>0</v>
      </c>
      <c r="W734" s="229">
        <v>32</v>
      </c>
      <c r="X734" s="229">
        <v>0</v>
      </c>
      <c r="Y734" s="229">
        <v>0</v>
      </c>
      <c r="Z734" s="229">
        <v>0</v>
      </c>
      <c r="AA734" s="229">
        <v>0</v>
      </c>
      <c r="AC734" s="12">
        <v>2</v>
      </c>
      <c r="AD734" s="14">
        <v>2</v>
      </c>
      <c r="AE734" s="14">
        <v>156</v>
      </c>
      <c r="AF734" s="26">
        <v>401</v>
      </c>
      <c r="AG734" s="12">
        <v>128</v>
      </c>
      <c r="AH734" s="14">
        <v>0</v>
      </c>
      <c r="AI734" s="209"/>
      <c r="AJ734" s="3"/>
      <c r="AK734" s="3"/>
      <c r="AL734" s="3"/>
      <c r="AM734" s="3"/>
      <c r="AN734" s="3"/>
      <c r="AO734" s="40"/>
      <c r="AP734" s="209"/>
      <c r="AQ734" s="3"/>
      <c r="AR734" s="40"/>
      <c r="AS734" s="238"/>
    </row>
    <row r="735" spans="1:45" s="229" customFormat="1">
      <c r="A735" s="42" t="s">
        <v>322</v>
      </c>
      <c r="B735" s="390">
        <v>8.7550000000000008</v>
      </c>
      <c r="C735" s="229" t="s">
        <v>193</v>
      </c>
      <c r="D735" s="229" t="s">
        <v>622</v>
      </c>
      <c r="E735" s="229" t="s">
        <v>1</v>
      </c>
      <c r="F735" s="229">
        <v>481</v>
      </c>
      <c r="G735" s="40">
        <f>F735/291</f>
        <v>1.6529209621993126</v>
      </c>
      <c r="H735" s="14">
        <v>1</v>
      </c>
      <c r="I735" s="229">
        <v>0</v>
      </c>
      <c r="J735" s="229">
        <v>0</v>
      </c>
      <c r="K735" s="26">
        <v>1</v>
      </c>
      <c r="L735" s="14">
        <v>0</v>
      </c>
      <c r="M735" s="229">
        <v>1</v>
      </c>
      <c r="N735" s="229">
        <v>0</v>
      </c>
      <c r="O735" s="229">
        <v>0</v>
      </c>
      <c r="P735" s="26">
        <v>1</v>
      </c>
      <c r="Q735" s="14">
        <v>5</v>
      </c>
      <c r="R735" s="229">
        <v>0</v>
      </c>
      <c r="S735" s="229">
        <v>0</v>
      </c>
      <c r="T735" s="229">
        <v>0</v>
      </c>
      <c r="U735" s="229">
        <v>0</v>
      </c>
      <c r="V735" s="229">
        <v>0</v>
      </c>
      <c r="W735" s="229">
        <v>46</v>
      </c>
      <c r="X735" s="229">
        <v>0</v>
      </c>
      <c r="Y735" s="229">
        <v>0</v>
      </c>
      <c r="Z735" s="229">
        <v>0</v>
      </c>
      <c r="AA735" s="229">
        <v>0</v>
      </c>
      <c r="AC735" s="12">
        <v>2</v>
      </c>
      <c r="AD735" s="14">
        <v>3</v>
      </c>
      <c r="AE735" s="14">
        <v>104</v>
      </c>
      <c r="AF735" s="26">
        <v>350</v>
      </c>
      <c r="AG735" s="12">
        <v>128</v>
      </c>
      <c r="AH735" s="14">
        <v>0</v>
      </c>
      <c r="AI735" s="209"/>
      <c r="AJ735" s="3"/>
      <c r="AK735" s="3"/>
      <c r="AL735" s="3"/>
      <c r="AM735" s="3"/>
      <c r="AN735" s="3"/>
      <c r="AO735" s="40"/>
      <c r="AP735" s="209"/>
      <c r="AQ735" s="3"/>
      <c r="AR735" s="40"/>
      <c r="AS735" s="238"/>
    </row>
    <row r="736" spans="1:45" s="229" customFormat="1">
      <c r="A736" s="42" t="s">
        <v>322</v>
      </c>
      <c r="B736" s="390">
        <v>8.7550000000000008</v>
      </c>
      <c r="C736" s="229" t="s">
        <v>193</v>
      </c>
      <c r="D736" s="229" t="s">
        <v>622</v>
      </c>
      <c r="E736" s="229" t="s">
        <v>2</v>
      </c>
      <c r="F736" s="229">
        <v>723</v>
      </c>
      <c r="G736" s="40">
        <f>F736/443</f>
        <v>1.6320541760722347</v>
      </c>
      <c r="H736" s="14">
        <v>0</v>
      </c>
      <c r="I736" s="229">
        <v>0</v>
      </c>
      <c r="J736" s="229">
        <v>1</v>
      </c>
      <c r="K736" s="26">
        <v>0</v>
      </c>
      <c r="L736" s="14">
        <v>0</v>
      </c>
      <c r="M736" s="229">
        <v>0</v>
      </c>
      <c r="N736" s="229">
        <v>0</v>
      </c>
      <c r="O736" s="229">
        <v>1</v>
      </c>
      <c r="P736" s="26">
        <v>1</v>
      </c>
      <c r="Q736" s="14">
        <v>5</v>
      </c>
      <c r="R736" s="229">
        <v>0</v>
      </c>
      <c r="S736" s="229">
        <v>0</v>
      </c>
      <c r="T736" s="229">
        <v>0</v>
      </c>
      <c r="U736" s="229">
        <v>0</v>
      </c>
      <c r="V736" s="229">
        <v>19</v>
      </c>
      <c r="W736" s="229">
        <v>46</v>
      </c>
      <c r="X736" s="229">
        <v>0</v>
      </c>
      <c r="Y736" s="229">
        <v>0</v>
      </c>
      <c r="Z736" s="229">
        <v>0</v>
      </c>
      <c r="AA736" s="229">
        <v>0</v>
      </c>
      <c r="AC736" s="12">
        <v>1</v>
      </c>
      <c r="AD736" s="14">
        <v>1</v>
      </c>
      <c r="AE736" s="14">
        <v>0</v>
      </c>
      <c r="AF736" s="26">
        <v>0</v>
      </c>
      <c r="AG736" s="12">
        <v>128</v>
      </c>
      <c r="AH736" s="14">
        <v>0</v>
      </c>
      <c r="AI736" s="209"/>
      <c r="AJ736" s="3"/>
      <c r="AK736" s="3"/>
      <c r="AL736" s="3"/>
      <c r="AM736" s="3"/>
      <c r="AN736" s="3"/>
      <c r="AO736" s="40"/>
      <c r="AP736" s="209"/>
      <c r="AQ736" s="3"/>
      <c r="AR736" s="40"/>
      <c r="AS736" s="238"/>
    </row>
    <row r="737" spans="1:45" s="229" customFormat="1">
      <c r="A737" s="42" t="s">
        <v>322</v>
      </c>
      <c r="B737" s="390">
        <v>8.7550000000000008</v>
      </c>
      <c r="C737" s="229" t="s">
        <v>193</v>
      </c>
      <c r="D737" s="229" t="s">
        <v>620</v>
      </c>
      <c r="F737" s="229">
        <v>662</v>
      </c>
      <c r="G737" s="40">
        <f>F737/486</f>
        <v>1.3621399176954732</v>
      </c>
      <c r="H737" s="14">
        <v>0</v>
      </c>
      <c r="I737" s="229">
        <v>0</v>
      </c>
      <c r="J737" s="229">
        <v>1</v>
      </c>
      <c r="K737" s="26">
        <v>0</v>
      </c>
      <c r="L737" s="14">
        <v>0</v>
      </c>
      <c r="M737" s="229">
        <v>0</v>
      </c>
      <c r="N737" s="229">
        <v>0</v>
      </c>
      <c r="O737" s="229">
        <v>0</v>
      </c>
      <c r="P737" s="26">
        <v>0</v>
      </c>
      <c r="Q737" s="14">
        <v>10</v>
      </c>
      <c r="R737" s="229">
        <v>13</v>
      </c>
      <c r="S737" s="229">
        <v>28</v>
      </c>
      <c r="T737" s="229">
        <v>0</v>
      </c>
      <c r="U737" s="229">
        <v>0</v>
      </c>
      <c r="V737" s="229">
        <v>0</v>
      </c>
      <c r="W737" s="229">
        <v>0</v>
      </c>
      <c r="X737" s="229">
        <v>0</v>
      </c>
      <c r="Y737" s="229">
        <v>0</v>
      </c>
      <c r="Z737" s="229">
        <v>73</v>
      </c>
      <c r="AA737" s="229">
        <v>137</v>
      </c>
      <c r="AC737" s="12">
        <v>1</v>
      </c>
      <c r="AD737" s="14">
        <v>1</v>
      </c>
      <c r="AE737" s="14">
        <v>0</v>
      </c>
      <c r="AF737" s="26">
        <v>0</v>
      </c>
      <c r="AG737" s="12">
        <v>81</v>
      </c>
      <c r="AH737" s="14">
        <v>1</v>
      </c>
      <c r="AI737" s="209"/>
      <c r="AJ737" s="3"/>
      <c r="AK737" s="3"/>
      <c r="AL737" s="3"/>
      <c r="AM737" s="3"/>
      <c r="AN737" s="3"/>
      <c r="AO737" s="40"/>
      <c r="AP737" s="209"/>
      <c r="AQ737" s="3"/>
      <c r="AR737" s="40"/>
      <c r="AS737" s="238"/>
    </row>
    <row r="738" spans="1:45" s="229" customFormat="1">
      <c r="A738" s="42" t="s">
        <v>322</v>
      </c>
      <c r="B738" s="390">
        <v>8.7550000000000008</v>
      </c>
      <c r="C738" s="229" t="s">
        <v>193</v>
      </c>
      <c r="D738" s="229" t="s">
        <v>629</v>
      </c>
      <c r="E738" s="229" t="s">
        <v>0</v>
      </c>
      <c r="F738" s="229">
        <v>179</v>
      </c>
      <c r="G738" s="40">
        <f>F738/130</f>
        <v>1.3769230769230769</v>
      </c>
      <c r="H738" s="14">
        <v>1</v>
      </c>
      <c r="I738" s="229">
        <v>0</v>
      </c>
      <c r="J738" s="229">
        <v>0</v>
      </c>
      <c r="K738" s="26">
        <v>0</v>
      </c>
      <c r="L738" s="14">
        <v>0</v>
      </c>
      <c r="M738" s="229">
        <v>0</v>
      </c>
      <c r="N738" s="229">
        <v>0</v>
      </c>
      <c r="O738" s="229">
        <v>0</v>
      </c>
      <c r="P738" s="26">
        <v>0</v>
      </c>
      <c r="Q738" s="14">
        <v>0</v>
      </c>
      <c r="R738" s="229">
        <v>0</v>
      </c>
      <c r="S738" s="229">
        <v>0</v>
      </c>
      <c r="T738" s="229">
        <v>0</v>
      </c>
      <c r="U738" s="229">
        <v>0</v>
      </c>
      <c r="V738" s="229">
        <v>0</v>
      </c>
      <c r="W738" s="229">
        <v>0</v>
      </c>
      <c r="X738" s="229">
        <v>0</v>
      </c>
      <c r="Y738" s="229">
        <v>0</v>
      </c>
      <c r="Z738" s="229">
        <v>0</v>
      </c>
      <c r="AA738" s="229">
        <v>0</v>
      </c>
      <c r="AC738" s="12">
        <v>1</v>
      </c>
      <c r="AD738" s="14">
        <v>1</v>
      </c>
      <c r="AE738" s="14">
        <v>0</v>
      </c>
      <c r="AF738" s="26">
        <v>0</v>
      </c>
      <c r="AG738" s="12">
        <v>114</v>
      </c>
      <c r="AH738" s="14">
        <v>0</v>
      </c>
      <c r="AI738" s="209"/>
      <c r="AJ738" s="3"/>
      <c r="AK738" s="3"/>
      <c r="AL738" s="3"/>
      <c r="AM738" s="3"/>
      <c r="AN738" s="3"/>
      <c r="AO738" s="40"/>
      <c r="AP738" s="209"/>
      <c r="AQ738" s="3"/>
      <c r="AR738" s="40"/>
      <c r="AS738" s="238"/>
    </row>
    <row r="739" spans="1:45" s="229" customFormat="1">
      <c r="A739" s="42" t="s">
        <v>322</v>
      </c>
      <c r="B739" s="390">
        <v>8.7550000000000008</v>
      </c>
      <c r="C739" s="229" t="s">
        <v>193</v>
      </c>
      <c r="D739" s="229" t="s">
        <v>629</v>
      </c>
      <c r="E739" s="229" t="s">
        <v>2</v>
      </c>
      <c r="F739" s="229">
        <v>575</v>
      </c>
      <c r="G739" s="40">
        <f>F739/406</f>
        <v>1.416256157635468</v>
      </c>
      <c r="H739" s="14">
        <v>0</v>
      </c>
      <c r="I739" s="229">
        <v>0</v>
      </c>
      <c r="J739" s="229">
        <v>1</v>
      </c>
      <c r="K739" s="26">
        <v>0</v>
      </c>
      <c r="L739" s="14">
        <v>0</v>
      </c>
      <c r="M739" s="229">
        <v>0</v>
      </c>
      <c r="N739" s="229">
        <v>0</v>
      </c>
      <c r="O739" s="229">
        <v>0</v>
      </c>
      <c r="P739" s="26">
        <v>0</v>
      </c>
      <c r="Q739" s="14">
        <v>15</v>
      </c>
      <c r="R739" s="229">
        <v>0</v>
      </c>
      <c r="S739" s="229">
        <v>0</v>
      </c>
      <c r="T739" s="229">
        <v>0</v>
      </c>
      <c r="U739" s="229">
        <v>0</v>
      </c>
      <c r="V739" s="229">
        <v>0</v>
      </c>
      <c r="W739" s="229">
        <v>0</v>
      </c>
      <c r="X739" s="229">
        <v>0</v>
      </c>
      <c r="Y739" s="229">
        <v>0</v>
      </c>
      <c r="Z739" s="229">
        <v>72</v>
      </c>
      <c r="AA739" s="229">
        <v>138</v>
      </c>
      <c r="AC739" s="12">
        <v>1</v>
      </c>
      <c r="AD739" s="14">
        <v>1</v>
      </c>
      <c r="AE739" s="14">
        <v>0</v>
      </c>
      <c r="AF739" s="26">
        <v>0</v>
      </c>
      <c r="AG739" s="12">
        <v>114</v>
      </c>
      <c r="AH739" s="14">
        <v>0</v>
      </c>
      <c r="AI739" s="209"/>
      <c r="AJ739" s="3"/>
      <c r="AK739" s="3"/>
      <c r="AL739" s="3"/>
      <c r="AM739" s="3"/>
      <c r="AN739" s="3"/>
      <c r="AO739" s="40"/>
      <c r="AP739" s="209"/>
      <c r="AQ739" s="3"/>
      <c r="AR739" s="40"/>
      <c r="AS739" s="238"/>
    </row>
    <row r="740" spans="1:45" s="229" customFormat="1">
      <c r="A740" s="42" t="s">
        <v>322</v>
      </c>
      <c r="B740" s="390">
        <v>8.7550000000000008</v>
      </c>
      <c r="C740" s="229" t="s">
        <v>193</v>
      </c>
      <c r="D740" s="229" t="s">
        <v>634</v>
      </c>
      <c r="E740" s="229" t="s">
        <v>0</v>
      </c>
      <c r="F740" s="229">
        <v>271</v>
      </c>
      <c r="G740" s="40">
        <f>F740/187</f>
        <v>1.4491978609625669</v>
      </c>
      <c r="H740" s="14">
        <v>1</v>
      </c>
      <c r="I740" s="229">
        <v>0</v>
      </c>
      <c r="J740" s="229">
        <v>0</v>
      </c>
      <c r="K740" s="26">
        <v>0</v>
      </c>
      <c r="L740" s="14">
        <v>0</v>
      </c>
      <c r="M740" s="229">
        <v>0</v>
      </c>
      <c r="N740" s="229">
        <v>0</v>
      </c>
      <c r="O740" s="229">
        <v>1</v>
      </c>
      <c r="P740" s="26">
        <v>1</v>
      </c>
      <c r="Q740" s="14">
        <v>0</v>
      </c>
      <c r="R740" s="229">
        <v>0</v>
      </c>
      <c r="S740" s="229">
        <v>0</v>
      </c>
      <c r="T740" s="229">
        <v>0</v>
      </c>
      <c r="U740" s="229">
        <v>0</v>
      </c>
      <c r="V740" s="229">
        <v>0</v>
      </c>
      <c r="W740" s="229">
        <v>0</v>
      </c>
      <c r="X740" s="229">
        <v>0</v>
      </c>
      <c r="Y740" s="229">
        <v>0</v>
      </c>
      <c r="Z740" s="229">
        <v>0</v>
      </c>
      <c r="AA740" s="229">
        <v>0</v>
      </c>
      <c r="AC740" s="12">
        <v>1</v>
      </c>
      <c r="AD740" s="14">
        <v>1</v>
      </c>
      <c r="AE740" s="14">
        <v>0</v>
      </c>
      <c r="AF740" s="26">
        <v>0</v>
      </c>
      <c r="AG740" s="12">
        <v>111</v>
      </c>
      <c r="AH740" s="14">
        <v>0</v>
      </c>
      <c r="AI740" s="209"/>
      <c r="AJ740" s="3"/>
      <c r="AK740" s="3"/>
      <c r="AL740" s="3"/>
      <c r="AM740" s="3"/>
      <c r="AN740" s="3"/>
      <c r="AO740" s="40"/>
      <c r="AP740" s="209"/>
      <c r="AQ740" s="3"/>
      <c r="AR740" s="40"/>
      <c r="AS740" s="238"/>
    </row>
    <row r="741" spans="1:45" s="229" customFormat="1">
      <c r="A741" s="42" t="s">
        <v>322</v>
      </c>
      <c r="B741" s="390">
        <v>8.7550000000000008</v>
      </c>
      <c r="C741" s="229" t="s">
        <v>193</v>
      </c>
      <c r="D741" s="229" t="s">
        <v>634</v>
      </c>
      <c r="E741" s="229" t="s">
        <v>1</v>
      </c>
      <c r="F741" s="229">
        <v>662</v>
      </c>
      <c r="G741" s="40">
        <f>F741/461</f>
        <v>1.4360086767895879</v>
      </c>
      <c r="H741" s="14">
        <v>0</v>
      </c>
      <c r="I741" s="229">
        <v>0</v>
      </c>
      <c r="J741" s="229">
        <v>1</v>
      </c>
      <c r="K741" s="26">
        <v>0</v>
      </c>
      <c r="L741" s="14">
        <v>0</v>
      </c>
      <c r="M741" s="229">
        <v>0</v>
      </c>
      <c r="N741" s="229">
        <v>0</v>
      </c>
      <c r="O741" s="229">
        <v>0</v>
      </c>
      <c r="P741" s="26">
        <v>0</v>
      </c>
      <c r="Q741" s="14">
        <v>10</v>
      </c>
      <c r="R741" s="229">
        <v>0</v>
      </c>
      <c r="S741" s="229">
        <v>32</v>
      </c>
      <c r="T741" s="229">
        <v>0</v>
      </c>
      <c r="U741" s="229">
        <v>0</v>
      </c>
      <c r="V741" s="229">
        <v>0</v>
      </c>
      <c r="W741" s="229">
        <v>0</v>
      </c>
      <c r="X741" s="229">
        <v>0</v>
      </c>
      <c r="Y741" s="229">
        <v>0</v>
      </c>
      <c r="Z741" s="229">
        <v>75</v>
      </c>
      <c r="AA741" s="229">
        <v>222</v>
      </c>
      <c r="AC741" s="12">
        <v>1</v>
      </c>
      <c r="AD741" s="14">
        <v>1</v>
      </c>
      <c r="AE741" s="14">
        <v>0</v>
      </c>
      <c r="AF741" s="26">
        <v>0</v>
      </c>
      <c r="AG741" s="12">
        <v>111</v>
      </c>
      <c r="AH741" s="14">
        <v>0</v>
      </c>
      <c r="AI741" s="209"/>
      <c r="AJ741" s="3"/>
      <c r="AK741" s="3"/>
      <c r="AL741" s="3"/>
      <c r="AM741" s="3"/>
      <c r="AN741" s="3"/>
      <c r="AO741" s="40"/>
      <c r="AP741" s="209"/>
      <c r="AQ741" s="3"/>
      <c r="AR741" s="40"/>
      <c r="AS741" s="238"/>
    </row>
    <row r="742" spans="1:45" s="229" customFormat="1">
      <c r="A742" s="42" t="s">
        <v>322</v>
      </c>
      <c r="B742" s="390">
        <v>8.7550000000000008</v>
      </c>
      <c r="C742" s="229" t="s">
        <v>193</v>
      </c>
      <c r="D742" s="229" t="s">
        <v>625</v>
      </c>
      <c r="E742" s="229" t="s">
        <v>0</v>
      </c>
      <c r="F742" s="229">
        <v>117</v>
      </c>
      <c r="G742" s="40">
        <f>F742/63</f>
        <v>1.8571428571428572</v>
      </c>
      <c r="H742" s="14"/>
      <c r="I742" s="229">
        <v>0</v>
      </c>
      <c r="J742" s="229">
        <v>0</v>
      </c>
      <c r="K742" s="26">
        <v>1</v>
      </c>
      <c r="L742" s="14">
        <v>0</v>
      </c>
      <c r="M742" s="229">
        <v>0</v>
      </c>
      <c r="N742" s="229">
        <v>0</v>
      </c>
      <c r="O742" s="229">
        <v>0</v>
      </c>
      <c r="P742" s="26">
        <v>0</v>
      </c>
      <c r="Q742" s="14">
        <v>0</v>
      </c>
      <c r="R742" s="229">
        <v>0</v>
      </c>
      <c r="S742" s="229">
        <v>0</v>
      </c>
      <c r="T742" s="229">
        <v>0</v>
      </c>
      <c r="U742" s="229">
        <v>0</v>
      </c>
      <c r="V742" s="229">
        <v>0</v>
      </c>
      <c r="W742" s="229">
        <v>0</v>
      </c>
      <c r="X742" s="229">
        <v>0</v>
      </c>
      <c r="Y742" s="229">
        <v>0</v>
      </c>
      <c r="Z742" s="229">
        <v>0</v>
      </c>
      <c r="AA742" s="229">
        <v>0</v>
      </c>
      <c r="AC742" s="12">
        <v>1</v>
      </c>
      <c r="AD742" s="14">
        <v>1</v>
      </c>
      <c r="AE742" s="14">
        <v>0</v>
      </c>
      <c r="AF742" s="26">
        <v>0</v>
      </c>
      <c r="AG742" s="12">
        <v>120</v>
      </c>
      <c r="AH742" s="14">
        <v>0</v>
      </c>
      <c r="AI742" s="209"/>
      <c r="AJ742" s="3"/>
      <c r="AK742" s="3"/>
      <c r="AL742" s="3"/>
      <c r="AM742" s="3"/>
      <c r="AN742" s="3"/>
      <c r="AO742" s="40"/>
      <c r="AP742" s="209"/>
      <c r="AQ742" s="3"/>
      <c r="AR742" s="40"/>
      <c r="AS742" s="238"/>
    </row>
    <row r="743" spans="1:45" s="229" customFormat="1">
      <c r="A743" s="42" t="s">
        <v>322</v>
      </c>
      <c r="B743" s="390">
        <v>8.7550000000000008</v>
      </c>
      <c r="C743" s="229" t="s">
        <v>193</v>
      </c>
      <c r="D743" s="229" t="s">
        <v>625</v>
      </c>
      <c r="E743" s="229" t="s">
        <v>1</v>
      </c>
      <c r="F743" s="229">
        <v>401</v>
      </c>
      <c r="G743" s="40">
        <f>F743/256</f>
        <v>1.56640625</v>
      </c>
      <c r="H743" s="14">
        <v>0</v>
      </c>
      <c r="I743" s="229">
        <v>0</v>
      </c>
      <c r="J743" s="229">
        <v>1</v>
      </c>
      <c r="K743" s="26">
        <v>0</v>
      </c>
      <c r="L743" s="14">
        <v>0</v>
      </c>
      <c r="M743" s="229">
        <v>0</v>
      </c>
      <c r="N743" s="229">
        <v>0</v>
      </c>
      <c r="O743" s="229">
        <v>0</v>
      </c>
      <c r="P743" s="26">
        <v>0</v>
      </c>
      <c r="Q743" s="14">
        <v>10</v>
      </c>
      <c r="R743" s="229">
        <v>0</v>
      </c>
      <c r="S743" s="229">
        <v>0</v>
      </c>
      <c r="T743" s="229">
        <v>0</v>
      </c>
      <c r="U743" s="229">
        <v>0</v>
      </c>
      <c r="V743" s="229">
        <v>0</v>
      </c>
      <c r="W743" s="229">
        <v>0</v>
      </c>
      <c r="X743" s="229">
        <v>0</v>
      </c>
      <c r="Y743" s="229">
        <v>0</v>
      </c>
      <c r="Z743" s="229">
        <v>0</v>
      </c>
      <c r="AA743" s="229">
        <v>102</v>
      </c>
      <c r="AC743" s="12">
        <v>1</v>
      </c>
      <c r="AD743" s="14">
        <v>1</v>
      </c>
      <c r="AE743" s="14">
        <v>0</v>
      </c>
      <c r="AF743" s="26">
        <v>0</v>
      </c>
      <c r="AG743" s="12">
        <v>120</v>
      </c>
      <c r="AH743" s="14">
        <v>0</v>
      </c>
      <c r="AI743" s="209"/>
      <c r="AJ743" s="3"/>
      <c r="AK743" s="3"/>
      <c r="AL743" s="3"/>
      <c r="AM743" s="3"/>
      <c r="AN743" s="3"/>
      <c r="AO743" s="40"/>
      <c r="AP743" s="209"/>
      <c r="AQ743" s="3"/>
      <c r="AR743" s="40"/>
      <c r="AS743" s="238"/>
    </row>
    <row r="744" spans="1:45" s="229" customFormat="1">
      <c r="A744" s="42" t="s">
        <v>322</v>
      </c>
      <c r="B744" s="390">
        <v>8.7550000000000008</v>
      </c>
      <c r="C744" s="229" t="s">
        <v>193</v>
      </c>
      <c r="D744" s="229" t="s">
        <v>630</v>
      </c>
      <c r="F744" s="229">
        <v>696</v>
      </c>
      <c r="G744" s="40">
        <f>F744/686</f>
        <v>1.0145772594752187</v>
      </c>
      <c r="H744" s="14">
        <v>1</v>
      </c>
      <c r="I744" s="229">
        <v>0</v>
      </c>
      <c r="J744" s="229">
        <v>0</v>
      </c>
      <c r="K744" s="26">
        <v>0</v>
      </c>
      <c r="L744" s="14">
        <v>0</v>
      </c>
      <c r="M744" s="229">
        <v>1</v>
      </c>
      <c r="N744" s="229">
        <v>0</v>
      </c>
      <c r="O744" s="229">
        <v>0</v>
      </c>
      <c r="P744" s="26">
        <v>1</v>
      </c>
      <c r="Q744" s="14">
        <v>10</v>
      </c>
      <c r="R744" s="229">
        <v>17</v>
      </c>
      <c r="S744" s="229">
        <v>25</v>
      </c>
      <c r="T744" s="229">
        <v>0</v>
      </c>
      <c r="U744" s="229">
        <v>0</v>
      </c>
      <c r="V744" s="229">
        <v>0</v>
      </c>
      <c r="W744" s="229">
        <v>0</v>
      </c>
      <c r="X744" s="229">
        <v>0</v>
      </c>
      <c r="Y744" s="229">
        <v>0</v>
      </c>
      <c r="Z744" s="229">
        <v>15</v>
      </c>
      <c r="AA744" s="229">
        <v>68</v>
      </c>
      <c r="AC744" s="12">
        <v>1</v>
      </c>
      <c r="AD744" s="14">
        <v>1</v>
      </c>
      <c r="AE744" s="14">
        <v>0</v>
      </c>
      <c r="AF744" s="26">
        <v>0</v>
      </c>
      <c r="AG744" s="12">
        <v>106</v>
      </c>
      <c r="AH744" s="14">
        <v>0</v>
      </c>
      <c r="AI744" s="209"/>
      <c r="AJ744" s="3"/>
      <c r="AK744" s="3"/>
      <c r="AL744" s="3"/>
      <c r="AM744" s="3"/>
      <c r="AN744" s="3"/>
      <c r="AO744" s="40"/>
      <c r="AP744" s="209"/>
      <c r="AQ744" s="3"/>
      <c r="AR744" s="40"/>
      <c r="AS744" s="238"/>
    </row>
    <row r="745" spans="1:45" s="229" customFormat="1" ht="17" thickBot="1">
      <c r="A745" s="55" t="s">
        <v>322</v>
      </c>
      <c r="B745" s="388">
        <v>8.7550000000000008</v>
      </c>
      <c r="C745" s="36" t="s">
        <v>193</v>
      </c>
      <c r="D745" s="36" t="s">
        <v>637</v>
      </c>
      <c r="E745" s="36"/>
      <c r="F745" s="36">
        <v>942</v>
      </c>
      <c r="G745" s="48">
        <f>F745/6627</f>
        <v>0.14214576731552739</v>
      </c>
      <c r="H745" s="34">
        <v>0</v>
      </c>
      <c r="I745" s="36">
        <v>0</v>
      </c>
      <c r="J745" s="36">
        <v>1</v>
      </c>
      <c r="K745" s="35">
        <v>0</v>
      </c>
      <c r="L745" s="34">
        <v>1</v>
      </c>
      <c r="M745" s="36">
        <v>0</v>
      </c>
      <c r="N745" s="36">
        <v>0</v>
      </c>
      <c r="O745" s="36">
        <v>0</v>
      </c>
      <c r="P745" s="35">
        <v>1</v>
      </c>
      <c r="Q745" s="34">
        <v>5</v>
      </c>
      <c r="R745" s="36">
        <v>0</v>
      </c>
      <c r="S745" s="36">
        <v>37</v>
      </c>
      <c r="T745" s="36">
        <v>0</v>
      </c>
      <c r="U745" s="36">
        <v>0</v>
      </c>
      <c r="V745" s="36">
        <v>38</v>
      </c>
      <c r="W745" s="36">
        <v>89</v>
      </c>
      <c r="X745" s="36">
        <v>0</v>
      </c>
      <c r="Y745" s="36">
        <v>0</v>
      </c>
      <c r="Z745" s="36">
        <v>115</v>
      </c>
      <c r="AA745" s="36">
        <v>169</v>
      </c>
      <c r="AB745" s="36"/>
      <c r="AC745" s="33">
        <v>1</v>
      </c>
      <c r="AD745" s="34">
        <v>1</v>
      </c>
      <c r="AE745" s="34">
        <v>0</v>
      </c>
      <c r="AF745" s="35">
        <v>0</v>
      </c>
      <c r="AG745" s="33">
        <v>135</v>
      </c>
      <c r="AH745" s="34">
        <v>0</v>
      </c>
      <c r="AI745" s="210">
        <v>79.706429206453365</v>
      </c>
      <c r="AJ745" s="51"/>
      <c r="AK745" s="51"/>
      <c r="AL745" s="51"/>
      <c r="AM745" s="51"/>
      <c r="AN745" s="51"/>
      <c r="AO745" s="48"/>
      <c r="AP745" s="210"/>
      <c r="AQ745" s="51"/>
      <c r="AR745" s="48"/>
      <c r="AS745" s="239"/>
    </row>
    <row r="746" spans="1:45" s="229" customFormat="1">
      <c r="A746" s="42" t="s">
        <v>322</v>
      </c>
      <c r="B746" s="390">
        <v>8.7550000000000008</v>
      </c>
      <c r="C746" s="229" t="s">
        <v>207</v>
      </c>
      <c r="D746" s="229" t="s">
        <v>423</v>
      </c>
      <c r="F746" s="229">
        <v>4409</v>
      </c>
      <c r="G746" s="40">
        <f>F746/319</f>
        <v>13.821316614420063</v>
      </c>
      <c r="H746" s="14">
        <v>1</v>
      </c>
      <c r="I746" s="229">
        <v>0</v>
      </c>
      <c r="J746" s="229">
        <v>0</v>
      </c>
      <c r="K746" s="26">
        <v>0</v>
      </c>
      <c r="L746" s="14">
        <v>0</v>
      </c>
      <c r="M746" s="229">
        <v>0</v>
      </c>
      <c r="N746" s="229">
        <v>0</v>
      </c>
      <c r="O746" s="229">
        <v>0</v>
      </c>
      <c r="P746" s="26">
        <v>0</v>
      </c>
      <c r="Q746" s="14">
        <v>5</v>
      </c>
      <c r="R746" s="229">
        <v>0</v>
      </c>
      <c r="S746" s="229">
        <v>0</v>
      </c>
      <c r="T746" s="229">
        <v>0</v>
      </c>
      <c r="U746" s="229">
        <v>0</v>
      </c>
      <c r="V746" s="229">
        <v>0</v>
      </c>
      <c r="W746" s="229">
        <v>0</v>
      </c>
      <c r="X746" s="229">
        <v>0</v>
      </c>
      <c r="Y746" s="229">
        <v>0</v>
      </c>
      <c r="Z746" s="229">
        <v>0</v>
      </c>
      <c r="AA746" s="229">
        <v>57</v>
      </c>
      <c r="AC746" s="12">
        <v>1</v>
      </c>
      <c r="AD746" s="14">
        <v>1</v>
      </c>
      <c r="AE746" s="14">
        <v>0</v>
      </c>
      <c r="AF746" s="26">
        <v>0</v>
      </c>
      <c r="AG746" s="12">
        <v>91</v>
      </c>
      <c r="AH746" s="14">
        <v>0</v>
      </c>
      <c r="AI746" s="209">
        <v>79.67075934665975</v>
      </c>
      <c r="AJ746" s="3"/>
      <c r="AK746" s="3"/>
      <c r="AL746" s="3"/>
      <c r="AM746" s="3"/>
      <c r="AN746" s="3"/>
      <c r="AO746" s="40"/>
      <c r="AP746" s="209">
        <v>79.722147101000303</v>
      </c>
      <c r="AQ746" s="3"/>
      <c r="AR746" s="40"/>
      <c r="AS746" s="238"/>
    </row>
    <row r="747" spans="1:45" s="229" customFormat="1">
      <c r="A747" s="42" t="s">
        <v>322</v>
      </c>
      <c r="B747" s="390">
        <v>8.7550000000000008</v>
      </c>
      <c r="C747" s="229" t="s">
        <v>207</v>
      </c>
      <c r="D747" s="229" t="s">
        <v>622</v>
      </c>
      <c r="F747" s="229">
        <v>834</v>
      </c>
      <c r="G747" s="40">
        <f>F747/620</f>
        <v>1.3451612903225807</v>
      </c>
      <c r="H747" s="14">
        <v>0</v>
      </c>
      <c r="I747" s="229">
        <v>0</v>
      </c>
      <c r="J747" s="229">
        <v>1</v>
      </c>
      <c r="K747" s="26">
        <v>0</v>
      </c>
      <c r="L747" s="23">
        <v>1</v>
      </c>
      <c r="M747" s="24">
        <v>0</v>
      </c>
      <c r="N747" s="24">
        <v>0</v>
      </c>
      <c r="O747" s="24">
        <v>0</v>
      </c>
      <c r="P747" s="26">
        <v>1</v>
      </c>
      <c r="Q747" s="14">
        <v>5</v>
      </c>
      <c r="R747" s="229">
        <v>0</v>
      </c>
      <c r="S747" s="229">
        <v>0</v>
      </c>
      <c r="T747" s="229">
        <v>0</v>
      </c>
      <c r="U747" s="229">
        <v>0</v>
      </c>
      <c r="V747" s="229">
        <v>8</v>
      </c>
      <c r="W747" s="229">
        <v>36</v>
      </c>
      <c r="X747" s="229">
        <v>0</v>
      </c>
      <c r="Y747" s="229">
        <v>0</v>
      </c>
      <c r="Z747" s="229">
        <v>0</v>
      </c>
      <c r="AA747" s="229">
        <v>0</v>
      </c>
      <c r="AC747" s="12">
        <v>1</v>
      </c>
      <c r="AD747" s="14">
        <v>1</v>
      </c>
      <c r="AE747" s="14">
        <v>0</v>
      </c>
      <c r="AF747" s="26">
        <v>0</v>
      </c>
      <c r="AG747" s="12">
        <v>132</v>
      </c>
      <c r="AH747" s="14">
        <v>1</v>
      </c>
      <c r="AI747" s="209">
        <v>79.579478377398303</v>
      </c>
      <c r="AJ747" s="3"/>
      <c r="AK747" s="3"/>
      <c r="AL747" s="3"/>
      <c r="AM747" s="3"/>
      <c r="AN747" s="3"/>
      <c r="AO747" s="40"/>
      <c r="AP747" s="209"/>
      <c r="AQ747" s="3"/>
      <c r="AR747" s="40"/>
      <c r="AS747" s="238"/>
    </row>
    <row r="748" spans="1:45" s="229" customFormat="1">
      <c r="A748" s="42" t="s">
        <v>322</v>
      </c>
      <c r="B748" s="390">
        <v>8.7550000000000008</v>
      </c>
      <c r="C748" s="229" t="s">
        <v>207</v>
      </c>
      <c r="D748" s="229" t="s">
        <v>620</v>
      </c>
      <c r="E748" s="229" t="s">
        <v>0</v>
      </c>
      <c r="F748" s="229">
        <v>171</v>
      </c>
      <c r="G748" s="40">
        <f>F748/152</f>
        <v>1.125</v>
      </c>
      <c r="H748" s="14">
        <v>1</v>
      </c>
      <c r="I748" s="229">
        <v>0</v>
      </c>
      <c r="J748" s="229">
        <v>0</v>
      </c>
      <c r="K748" s="26">
        <v>0</v>
      </c>
      <c r="L748" s="14">
        <v>0</v>
      </c>
      <c r="M748" s="229">
        <v>0</v>
      </c>
      <c r="N748" s="229">
        <v>0</v>
      </c>
      <c r="O748" s="229">
        <v>0</v>
      </c>
      <c r="P748" s="26">
        <v>0</v>
      </c>
      <c r="Q748" s="14">
        <v>0</v>
      </c>
      <c r="R748" s="229">
        <v>0</v>
      </c>
      <c r="S748" s="229">
        <v>0</v>
      </c>
      <c r="T748" s="229">
        <v>0</v>
      </c>
      <c r="U748" s="229">
        <v>0</v>
      </c>
      <c r="V748" s="229">
        <v>0</v>
      </c>
      <c r="W748" s="229">
        <v>0</v>
      </c>
      <c r="X748" s="229">
        <v>0</v>
      </c>
      <c r="Y748" s="229">
        <v>0</v>
      </c>
      <c r="Z748" s="229">
        <v>0</v>
      </c>
      <c r="AA748" s="229">
        <v>0</v>
      </c>
      <c r="AC748" s="12">
        <v>1</v>
      </c>
      <c r="AD748" s="14">
        <v>1</v>
      </c>
      <c r="AE748" s="14">
        <v>0</v>
      </c>
      <c r="AF748" s="26">
        <v>0</v>
      </c>
      <c r="AG748" s="12">
        <v>127</v>
      </c>
      <c r="AH748" s="14">
        <v>0</v>
      </c>
      <c r="AI748" s="209"/>
      <c r="AJ748" s="3"/>
      <c r="AK748" s="3"/>
      <c r="AL748" s="3"/>
      <c r="AM748" s="3"/>
      <c r="AN748" s="3"/>
      <c r="AO748" s="40"/>
      <c r="AP748" s="209"/>
      <c r="AQ748" s="3"/>
      <c r="AR748" s="40"/>
      <c r="AS748" s="238"/>
    </row>
    <row r="749" spans="1:45" s="229" customFormat="1">
      <c r="A749" s="42" t="s">
        <v>322</v>
      </c>
      <c r="B749" s="390">
        <v>8.7550000000000008</v>
      </c>
      <c r="C749" s="229" t="s">
        <v>207</v>
      </c>
      <c r="D749" s="229" t="s">
        <v>620</v>
      </c>
      <c r="E749" s="229" t="s">
        <v>1</v>
      </c>
      <c r="F749" s="229">
        <v>348</v>
      </c>
      <c r="G749" s="40">
        <f>F749/295</f>
        <v>1.1796610169491526</v>
      </c>
      <c r="H749" s="14">
        <v>1</v>
      </c>
      <c r="I749" s="229">
        <v>0</v>
      </c>
      <c r="J749" s="229">
        <v>0</v>
      </c>
      <c r="K749" s="26">
        <v>0</v>
      </c>
      <c r="L749" s="14">
        <v>0</v>
      </c>
      <c r="M749" s="229">
        <v>0</v>
      </c>
      <c r="N749" s="229">
        <v>0</v>
      </c>
      <c r="O749" s="229">
        <v>1</v>
      </c>
      <c r="P749" s="26">
        <v>1</v>
      </c>
      <c r="Q749" s="14">
        <v>5</v>
      </c>
      <c r="R749" s="229">
        <v>28</v>
      </c>
      <c r="S749" s="229">
        <v>30</v>
      </c>
      <c r="T749" s="229">
        <v>0</v>
      </c>
      <c r="U749" s="229">
        <v>0</v>
      </c>
      <c r="V749" s="229">
        <v>0</v>
      </c>
      <c r="W749" s="229">
        <v>0</v>
      </c>
      <c r="X749" s="229">
        <v>0</v>
      </c>
      <c r="Y749" s="229">
        <v>0</v>
      </c>
      <c r="Z749" s="229">
        <v>0</v>
      </c>
      <c r="AA749" s="229">
        <v>0</v>
      </c>
      <c r="AC749" s="12">
        <v>1</v>
      </c>
      <c r="AD749" s="14">
        <v>1</v>
      </c>
      <c r="AE749" s="14">
        <v>0</v>
      </c>
      <c r="AF749" s="26">
        <v>0</v>
      </c>
      <c r="AG749" s="12">
        <v>127</v>
      </c>
      <c r="AH749" s="14">
        <v>0</v>
      </c>
      <c r="AI749" s="209"/>
      <c r="AJ749" s="3"/>
      <c r="AK749" s="3"/>
      <c r="AL749" s="3"/>
      <c r="AM749" s="3"/>
      <c r="AN749" s="3"/>
      <c r="AO749" s="40"/>
      <c r="AP749" s="209"/>
      <c r="AQ749" s="3"/>
      <c r="AR749" s="40"/>
      <c r="AS749" s="238"/>
    </row>
    <row r="750" spans="1:45" s="229" customFormat="1">
      <c r="A750" s="42" t="s">
        <v>322</v>
      </c>
      <c r="B750" s="390">
        <v>8.7550000000000008</v>
      </c>
      <c r="C750" s="229" t="s">
        <v>207</v>
      </c>
      <c r="D750" s="229" t="s">
        <v>629</v>
      </c>
      <c r="E750" s="229" t="s">
        <v>0</v>
      </c>
      <c r="F750" s="229">
        <v>926</v>
      </c>
      <c r="G750" s="40">
        <f>F750/445</f>
        <v>2.0808988764044942</v>
      </c>
      <c r="H750" s="14">
        <v>0</v>
      </c>
      <c r="I750" s="229">
        <v>0</v>
      </c>
      <c r="J750" s="229">
        <v>1</v>
      </c>
      <c r="K750" s="26">
        <v>0</v>
      </c>
      <c r="L750" s="14">
        <v>0</v>
      </c>
      <c r="M750" s="229">
        <v>0</v>
      </c>
      <c r="N750" s="229">
        <v>0</v>
      </c>
      <c r="O750" s="229">
        <v>0</v>
      </c>
      <c r="P750" s="26">
        <v>0</v>
      </c>
      <c r="Q750" s="14">
        <v>2</v>
      </c>
      <c r="R750" s="229">
        <v>0</v>
      </c>
      <c r="S750" s="229">
        <v>0</v>
      </c>
      <c r="T750" s="229">
        <v>0</v>
      </c>
      <c r="U750" s="229">
        <v>0</v>
      </c>
      <c r="V750" s="229">
        <v>41</v>
      </c>
      <c r="W750" s="229">
        <v>58</v>
      </c>
      <c r="X750" s="229">
        <v>0</v>
      </c>
      <c r="Y750" s="229">
        <v>0</v>
      </c>
      <c r="Z750" s="229">
        <v>0</v>
      </c>
      <c r="AA750" s="229">
        <v>72</v>
      </c>
      <c r="AC750" s="12">
        <v>1</v>
      </c>
      <c r="AD750" s="14">
        <v>1</v>
      </c>
      <c r="AE750" s="14">
        <v>0</v>
      </c>
      <c r="AF750" s="26">
        <v>0</v>
      </c>
      <c r="AG750" s="12">
        <v>115</v>
      </c>
      <c r="AH750" s="14">
        <v>1</v>
      </c>
      <c r="AI750" s="209"/>
      <c r="AJ750" s="3"/>
      <c r="AK750" s="3"/>
      <c r="AL750" s="3"/>
      <c r="AM750" s="3"/>
      <c r="AN750" s="3"/>
      <c r="AO750" s="40"/>
      <c r="AP750" s="209"/>
      <c r="AQ750" s="3"/>
      <c r="AR750" s="40"/>
      <c r="AS750" s="238"/>
    </row>
    <row r="751" spans="1:45" s="229" customFormat="1">
      <c r="A751" s="42" t="s">
        <v>322</v>
      </c>
      <c r="B751" s="390">
        <v>8.7550000000000008</v>
      </c>
      <c r="C751" s="229" t="s">
        <v>207</v>
      </c>
      <c r="D751" s="229" t="s">
        <v>629</v>
      </c>
      <c r="E751" s="229" t="s">
        <v>1</v>
      </c>
      <c r="F751" s="229">
        <v>403</v>
      </c>
      <c r="G751" s="40">
        <f>F751/159</f>
        <v>2.5345911949685536</v>
      </c>
      <c r="H751" s="14">
        <v>0</v>
      </c>
      <c r="I751" s="229">
        <v>1</v>
      </c>
      <c r="J751" s="229">
        <v>0</v>
      </c>
      <c r="K751" s="26">
        <v>0</v>
      </c>
      <c r="L751" s="14">
        <v>0</v>
      </c>
      <c r="M751" s="229">
        <v>0</v>
      </c>
      <c r="N751" s="229">
        <v>0</v>
      </c>
      <c r="O751" s="229">
        <v>0</v>
      </c>
      <c r="P751" s="26">
        <v>0</v>
      </c>
      <c r="Q751" s="14">
        <v>0</v>
      </c>
      <c r="R751" s="229">
        <v>0</v>
      </c>
      <c r="S751" s="229">
        <v>0</v>
      </c>
      <c r="T751" s="229">
        <v>0</v>
      </c>
      <c r="U751" s="229">
        <v>0</v>
      </c>
      <c r="V751" s="229">
        <v>0</v>
      </c>
      <c r="W751" s="229">
        <v>0</v>
      </c>
      <c r="X751" s="229">
        <v>0</v>
      </c>
      <c r="Y751" s="229">
        <v>0</v>
      </c>
      <c r="Z751" s="229">
        <v>0</v>
      </c>
      <c r="AA751" s="229">
        <v>0</v>
      </c>
      <c r="AC751" s="12">
        <v>1</v>
      </c>
      <c r="AD751" s="14">
        <v>1</v>
      </c>
      <c r="AE751" s="14">
        <v>0</v>
      </c>
      <c r="AF751" s="26">
        <v>0</v>
      </c>
      <c r="AG751" s="12">
        <v>115</v>
      </c>
      <c r="AH751" s="14">
        <v>0</v>
      </c>
      <c r="AI751" s="209"/>
      <c r="AJ751" s="3"/>
      <c r="AK751" s="3"/>
      <c r="AL751" s="3"/>
      <c r="AM751" s="3"/>
      <c r="AN751" s="3"/>
      <c r="AO751" s="40"/>
      <c r="AP751" s="209"/>
      <c r="AQ751" s="3"/>
      <c r="AR751" s="40"/>
      <c r="AS751" s="238"/>
    </row>
    <row r="752" spans="1:45" s="229" customFormat="1">
      <c r="A752" s="42" t="s">
        <v>322</v>
      </c>
      <c r="B752" s="390">
        <v>8.7550000000000008</v>
      </c>
      <c r="C752" s="229" t="s">
        <v>207</v>
      </c>
      <c r="D752" s="229" t="s">
        <v>634</v>
      </c>
      <c r="F752" s="229">
        <v>1379</v>
      </c>
      <c r="G752" s="40">
        <f>F752/677</f>
        <v>2.0369276218611523</v>
      </c>
      <c r="H752" s="14">
        <v>0</v>
      </c>
      <c r="I752" s="229">
        <v>0</v>
      </c>
      <c r="J752" s="229">
        <v>1</v>
      </c>
      <c r="K752" s="26">
        <v>0</v>
      </c>
      <c r="L752" s="14">
        <v>0</v>
      </c>
      <c r="M752" s="229">
        <v>0</v>
      </c>
      <c r="N752" s="229">
        <v>0</v>
      </c>
      <c r="O752" s="229">
        <v>1</v>
      </c>
      <c r="P752" s="26">
        <v>1</v>
      </c>
      <c r="Q752" s="14">
        <v>5</v>
      </c>
      <c r="R752" s="229">
        <v>10</v>
      </c>
      <c r="S752" s="229">
        <v>38</v>
      </c>
      <c r="T752" s="229">
        <v>0</v>
      </c>
      <c r="U752" s="229">
        <v>0</v>
      </c>
      <c r="V752" s="229">
        <v>0</v>
      </c>
      <c r="W752" s="229">
        <v>0</v>
      </c>
      <c r="X752" s="229">
        <v>0</v>
      </c>
      <c r="Y752" s="229">
        <v>0</v>
      </c>
      <c r="Z752" s="229">
        <v>70</v>
      </c>
      <c r="AA752" s="229">
        <v>363</v>
      </c>
      <c r="AC752" s="12">
        <v>1</v>
      </c>
      <c r="AD752" s="14">
        <v>1</v>
      </c>
      <c r="AE752" s="14">
        <v>0</v>
      </c>
      <c r="AF752" s="26">
        <v>0</v>
      </c>
      <c r="AG752" s="12">
        <v>108</v>
      </c>
      <c r="AH752" s="14">
        <v>0</v>
      </c>
      <c r="AI752" s="209">
        <v>79.636047951967385</v>
      </c>
      <c r="AJ752" s="3"/>
      <c r="AK752" s="3"/>
      <c r="AL752" s="3"/>
      <c r="AM752" s="3"/>
      <c r="AN752" s="3"/>
      <c r="AO752" s="40"/>
      <c r="AP752" s="209">
        <v>78.895229958203529</v>
      </c>
      <c r="AQ752" s="3"/>
      <c r="AR752" s="40"/>
      <c r="AS752" s="238"/>
    </row>
    <row r="753" spans="1:45" s="229" customFormat="1">
      <c r="A753" s="42" t="s">
        <v>322</v>
      </c>
      <c r="B753" s="390">
        <v>8.7550000000000008</v>
      </c>
      <c r="C753" s="229" t="s">
        <v>207</v>
      </c>
      <c r="D753" s="229" t="s">
        <v>625</v>
      </c>
      <c r="F753" s="229">
        <v>1000</v>
      </c>
      <c r="G753" s="40">
        <f>F753/608</f>
        <v>1.6447368421052631</v>
      </c>
      <c r="H753" s="14">
        <v>0</v>
      </c>
      <c r="I753" s="229">
        <v>0</v>
      </c>
      <c r="J753" s="229">
        <v>1</v>
      </c>
      <c r="K753" s="26">
        <v>0</v>
      </c>
      <c r="L753" s="14">
        <v>0</v>
      </c>
      <c r="M753" s="229">
        <v>0</v>
      </c>
      <c r="N753" s="229">
        <v>0</v>
      </c>
      <c r="O753" s="229">
        <v>1</v>
      </c>
      <c r="P753" s="26">
        <v>1</v>
      </c>
      <c r="Q753" s="14">
        <v>40</v>
      </c>
      <c r="R753" s="229">
        <v>18</v>
      </c>
      <c r="S753" s="229">
        <v>20</v>
      </c>
      <c r="T753" s="229">
        <v>0</v>
      </c>
      <c r="U753" s="229">
        <v>0</v>
      </c>
      <c r="V753" s="229">
        <v>83</v>
      </c>
      <c r="W753" s="229">
        <v>99</v>
      </c>
      <c r="X753" s="229">
        <v>0</v>
      </c>
      <c r="Y753" s="229">
        <v>0</v>
      </c>
      <c r="Z753" s="229">
        <v>0</v>
      </c>
      <c r="AA753" s="229">
        <v>435</v>
      </c>
      <c r="AC753" s="12">
        <v>1</v>
      </c>
      <c r="AD753" s="14">
        <v>1</v>
      </c>
      <c r="AE753" s="14">
        <v>0</v>
      </c>
      <c r="AF753" s="26">
        <v>0</v>
      </c>
      <c r="AG753" s="12">
        <v>116</v>
      </c>
      <c r="AH753" s="14">
        <v>0</v>
      </c>
      <c r="AI753" s="209"/>
      <c r="AJ753" s="3"/>
      <c r="AK753" s="3"/>
      <c r="AL753" s="3"/>
      <c r="AM753" s="3"/>
      <c r="AN753" s="3"/>
      <c r="AO753" s="40"/>
      <c r="AP753" s="209"/>
      <c r="AQ753" s="3"/>
      <c r="AR753" s="40"/>
      <c r="AS753" s="238"/>
    </row>
    <row r="754" spans="1:45" s="229" customFormat="1">
      <c r="A754" s="42" t="s">
        <v>322</v>
      </c>
      <c r="B754" s="390">
        <v>8.7550000000000008</v>
      </c>
      <c r="C754" s="229" t="s">
        <v>207</v>
      </c>
      <c r="D754" s="229" t="s">
        <v>630</v>
      </c>
      <c r="E754" s="229" t="s">
        <v>0</v>
      </c>
      <c r="F754" s="229">
        <v>176</v>
      </c>
      <c r="G754" s="40">
        <f>F754/62</f>
        <v>2.838709677419355</v>
      </c>
      <c r="H754" s="14">
        <v>0</v>
      </c>
      <c r="I754" s="229">
        <v>1</v>
      </c>
      <c r="J754" s="229">
        <v>0</v>
      </c>
      <c r="K754" s="26">
        <v>0</v>
      </c>
      <c r="L754" s="14">
        <v>0</v>
      </c>
      <c r="M754" s="229">
        <v>0</v>
      </c>
      <c r="N754" s="229">
        <v>0</v>
      </c>
      <c r="O754" s="229">
        <v>0</v>
      </c>
      <c r="P754" s="26">
        <v>0</v>
      </c>
      <c r="Q754" s="14">
        <v>0</v>
      </c>
      <c r="R754" s="229">
        <v>0</v>
      </c>
      <c r="S754" s="229">
        <v>0</v>
      </c>
      <c r="T754" s="229">
        <v>0</v>
      </c>
      <c r="U754" s="229">
        <v>0</v>
      </c>
      <c r="V754" s="229">
        <v>0</v>
      </c>
      <c r="W754" s="229">
        <v>0</v>
      </c>
      <c r="X754" s="229">
        <v>0</v>
      </c>
      <c r="Y754" s="229">
        <v>0</v>
      </c>
      <c r="Z754" s="229">
        <v>0</v>
      </c>
      <c r="AA754" s="229">
        <v>0</v>
      </c>
      <c r="AC754" s="12">
        <v>1</v>
      </c>
      <c r="AD754" s="14">
        <v>1</v>
      </c>
      <c r="AE754" s="14">
        <v>0</v>
      </c>
      <c r="AF754" s="26">
        <v>0</v>
      </c>
      <c r="AG754" s="12">
        <v>135</v>
      </c>
      <c r="AH754" s="14">
        <v>0</v>
      </c>
      <c r="AI754" s="209"/>
      <c r="AJ754" s="3"/>
      <c r="AK754" s="3"/>
      <c r="AL754" s="3"/>
      <c r="AM754" s="3"/>
      <c r="AN754" s="3"/>
      <c r="AO754" s="40"/>
      <c r="AP754" s="209"/>
      <c r="AQ754" s="3"/>
      <c r="AR754" s="40"/>
      <c r="AS754" s="238"/>
    </row>
    <row r="755" spans="1:45" s="229" customFormat="1">
      <c r="A755" s="42" t="s">
        <v>322</v>
      </c>
      <c r="B755" s="390">
        <v>8.7550000000000008</v>
      </c>
      <c r="C755" s="229" t="s">
        <v>207</v>
      </c>
      <c r="D755" s="229" t="s">
        <v>630</v>
      </c>
      <c r="E755" s="229" t="s">
        <v>1</v>
      </c>
      <c r="F755" s="229">
        <v>160</v>
      </c>
      <c r="G755" s="40">
        <f>F755/149</f>
        <v>1.0738255033557047</v>
      </c>
      <c r="H755" s="14">
        <v>0</v>
      </c>
      <c r="I755" s="229">
        <v>0</v>
      </c>
      <c r="J755" s="229">
        <v>0</v>
      </c>
      <c r="K755" s="26">
        <v>1</v>
      </c>
      <c r="L755" s="14">
        <v>0</v>
      </c>
      <c r="M755" s="229">
        <v>0</v>
      </c>
      <c r="N755" s="229">
        <v>1</v>
      </c>
      <c r="O755" s="229">
        <v>0</v>
      </c>
      <c r="P755" s="26">
        <v>1</v>
      </c>
      <c r="Q755" s="14">
        <v>0</v>
      </c>
      <c r="R755" s="229">
        <v>0</v>
      </c>
      <c r="S755" s="229">
        <v>0</v>
      </c>
      <c r="T755" s="229">
        <v>0</v>
      </c>
      <c r="U755" s="229">
        <v>0</v>
      </c>
      <c r="V755" s="229">
        <v>0</v>
      </c>
      <c r="W755" s="229">
        <v>0</v>
      </c>
      <c r="X755" s="229">
        <v>0</v>
      </c>
      <c r="Y755" s="229">
        <v>0</v>
      </c>
      <c r="Z755" s="229">
        <v>0</v>
      </c>
      <c r="AA755" s="229">
        <v>0</v>
      </c>
      <c r="AC755" s="12">
        <v>1</v>
      </c>
      <c r="AD755" s="14">
        <v>1</v>
      </c>
      <c r="AE755" s="14">
        <v>0</v>
      </c>
      <c r="AF755" s="26">
        <v>0</v>
      </c>
      <c r="AG755" s="12">
        <v>135</v>
      </c>
      <c r="AH755" s="14">
        <v>0</v>
      </c>
      <c r="AI755" s="209"/>
      <c r="AJ755" s="3"/>
      <c r="AK755" s="3"/>
      <c r="AL755" s="3"/>
      <c r="AM755" s="3"/>
      <c r="AN755" s="3"/>
      <c r="AO755" s="40"/>
      <c r="AP755" s="209"/>
      <c r="AQ755" s="3"/>
      <c r="AR755" s="40"/>
      <c r="AS755" s="238"/>
    </row>
    <row r="756" spans="1:45" s="229" customFormat="1">
      <c r="A756" s="42" t="s">
        <v>322</v>
      </c>
      <c r="B756" s="390">
        <v>8.7550000000000008</v>
      </c>
      <c r="C756" s="229" t="s">
        <v>207</v>
      </c>
      <c r="D756" s="229" t="s">
        <v>630</v>
      </c>
      <c r="E756" s="229" t="s">
        <v>2</v>
      </c>
      <c r="F756" s="229">
        <v>650</v>
      </c>
      <c r="G756" s="40">
        <f>F756/385</f>
        <v>1.6883116883116882</v>
      </c>
      <c r="H756" s="14">
        <v>0</v>
      </c>
      <c r="I756" s="229">
        <v>0</v>
      </c>
      <c r="J756" s="229">
        <v>1</v>
      </c>
      <c r="K756" s="26">
        <v>0</v>
      </c>
      <c r="L756" s="14">
        <v>0</v>
      </c>
      <c r="M756" s="229">
        <v>1</v>
      </c>
      <c r="N756" s="229">
        <v>0</v>
      </c>
      <c r="O756" s="229">
        <v>0</v>
      </c>
      <c r="P756" s="26">
        <v>1</v>
      </c>
      <c r="Q756" s="14">
        <v>10</v>
      </c>
      <c r="R756" s="229">
        <v>0</v>
      </c>
      <c r="S756" s="229">
        <v>0</v>
      </c>
      <c r="T756" s="229">
        <v>0</v>
      </c>
      <c r="U756" s="229">
        <v>0</v>
      </c>
      <c r="V756" s="229">
        <v>32</v>
      </c>
      <c r="W756" s="229">
        <v>146</v>
      </c>
      <c r="X756" s="229">
        <v>0</v>
      </c>
      <c r="Y756" s="229">
        <v>0</v>
      </c>
      <c r="Z756" s="229">
        <v>0</v>
      </c>
      <c r="AA756" s="229">
        <v>0</v>
      </c>
      <c r="AC756" s="12">
        <v>1</v>
      </c>
      <c r="AD756" s="14">
        <v>1</v>
      </c>
      <c r="AE756" s="14">
        <v>0</v>
      </c>
      <c r="AF756" s="26">
        <v>0</v>
      </c>
      <c r="AG756" s="12">
        <v>135</v>
      </c>
      <c r="AH756" s="14">
        <v>0</v>
      </c>
      <c r="AI756" s="209"/>
      <c r="AJ756" s="3"/>
      <c r="AK756" s="3"/>
      <c r="AL756" s="3"/>
      <c r="AM756" s="3"/>
      <c r="AN756" s="3"/>
      <c r="AO756" s="40"/>
      <c r="AP756" s="209"/>
      <c r="AQ756" s="3"/>
      <c r="AR756" s="40"/>
      <c r="AS756" s="238"/>
    </row>
    <row r="757" spans="1:45" s="229" customFormat="1">
      <c r="A757" s="42" t="s">
        <v>322</v>
      </c>
      <c r="B757" s="390">
        <v>8.7550000000000008</v>
      </c>
      <c r="C757" s="229" t="s">
        <v>207</v>
      </c>
      <c r="D757" s="229" t="s">
        <v>630</v>
      </c>
      <c r="E757" s="229" t="s">
        <v>3</v>
      </c>
      <c r="F757" s="229">
        <v>405</v>
      </c>
      <c r="G757" s="40">
        <f>F757/204</f>
        <v>1.9852941176470589</v>
      </c>
      <c r="H757" s="14">
        <v>0</v>
      </c>
      <c r="I757" s="229">
        <v>1</v>
      </c>
      <c r="J757" s="229">
        <v>0</v>
      </c>
      <c r="K757" s="26">
        <v>0</v>
      </c>
      <c r="L757" s="14">
        <v>0</v>
      </c>
      <c r="M757" s="229">
        <v>0</v>
      </c>
      <c r="N757" s="229">
        <v>0</v>
      </c>
      <c r="O757" s="229">
        <v>0</v>
      </c>
      <c r="P757" s="26">
        <v>0</v>
      </c>
      <c r="Q757" s="14">
        <v>0</v>
      </c>
      <c r="R757" s="229">
        <v>0</v>
      </c>
      <c r="S757" s="229">
        <v>0</v>
      </c>
      <c r="T757" s="229">
        <v>0</v>
      </c>
      <c r="U757" s="229">
        <v>0</v>
      </c>
      <c r="V757" s="229">
        <v>0</v>
      </c>
      <c r="W757" s="229">
        <v>0</v>
      </c>
      <c r="X757" s="229">
        <v>0</v>
      </c>
      <c r="Y757" s="229">
        <v>0</v>
      </c>
      <c r="Z757" s="229">
        <v>0</v>
      </c>
      <c r="AA757" s="229">
        <v>0</v>
      </c>
      <c r="AC757" s="12">
        <v>1</v>
      </c>
      <c r="AD757" s="14">
        <v>1</v>
      </c>
      <c r="AE757" s="14">
        <v>0</v>
      </c>
      <c r="AF757" s="26">
        <v>0</v>
      </c>
      <c r="AG757" s="12">
        <v>135</v>
      </c>
      <c r="AH757" s="14">
        <v>0</v>
      </c>
      <c r="AI757" s="209"/>
      <c r="AJ757" s="3"/>
      <c r="AK757" s="3"/>
      <c r="AL757" s="3"/>
      <c r="AM757" s="3"/>
      <c r="AN757" s="3"/>
      <c r="AO757" s="40"/>
      <c r="AP757" s="209"/>
      <c r="AQ757" s="3"/>
      <c r="AR757" s="40"/>
      <c r="AS757" s="238"/>
    </row>
    <row r="758" spans="1:45" s="229" customFormat="1">
      <c r="A758" s="42" t="s">
        <v>322</v>
      </c>
      <c r="B758" s="390">
        <v>8.7550000000000008</v>
      </c>
      <c r="C758" s="229" t="s">
        <v>207</v>
      </c>
      <c r="D758" s="229" t="s">
        <v>637</v>
      </c>
      <c r="F758" s="229">
        <v>712</v>
      </c>
      <c r="G758" s="40">
        <f>F758/540</f>
        <v>1.3185185185185184</v>
      </c>
      <c r="H758" s="14">
        <v>0</v>
      </c>
      <c r="I758" s="229">
        <v>0</v>
      </c>
      <c r="J758" s="229">
        <v>1</v>
      </c>
      <c r="K758" s="26">
        <v>0</v>
      </c>
      <c r="L758" s="14">
        <v>1</v>
      </c>
      <c r="M758" s="229">
        <v>0</v>
      </c>
      <c r="N758" s="229">
        <v>0</v>
      </c>
      <c r="O758" s="229">
        <v>0</v>
      </c>
      <c r="P758" s="26">
        <v>1</v>
      </c>
      <c r="Q758" s="14">
        <v>10</v>
      </c>
      <c r="R758" s="229">
        <v>0</v>
      </c>
      <c r="S758" s="229">
        <v>0</v>
      </c>
      <c r="T758" s="229">
        <v>0</v>
      </c>
      <c r="U758" s="229">
        <v>0</v>
      </c>
      <c r="V758" s="229">
        <v>92</v>
      </c>
      <c r="W758" s="229">
        <v>131</v>
      </c>
      <c r="X758" s="229">
        <v>0</v>
      </c>
      <c r="Y758" s="229">
        <v>0</v>
      </c>
      <c r="Z758" s="229">
        <v>156</v>
      </c>
      <c r="AA758" s="229">
        <v>214</v>
      </c>
      <c r="AC758" s="12">
        <v>1</v>
      </c>
      <c r="AD758" s="14">
        <v>1</v>
      </c>
      <c r="AE758" s="14">
        <v>0</v>
      </c>
      <c r="AF758" s="26">
        <v>0</v>
      </c>
      <c r="AG758" s="12">
        <v>116</v>
      </c>
      <c r="AH758" s="14">
        <v>0</v>
      </c>
      <c r="AI758" s="209"/>
      <c r="AJ758" s="3"/>
      <c r="AK758" s="3"/>
      <c r="AL758" s="3"/>
      <c r="AM758" s="3"/>
      <c r="AN758" s="3"/>
      <c r="AO758" s="40"/>
      <c r="AP758" s="209"/>
      <c r="AQ758" s="3"/>
      <c r="AR758" s="40"/>
      <c r="AS758" s="238"/>
    </row>
    <row r="759" spans="1:45" s="229" customFormat="1">
      <c r="A759" s="42" t="s">
        <v>322</v>
      </c>
      <c r="B759" s="390">
        <v>8.7550000000000008</v>
      </c>
      <c r="C759" s="229" t="s">
        <v>207</v>
      </c>
      <c r="D759" s="229" t="s">
        <v>706</v>
      </c>
      <c r="F759" s="229">
        <v>270</v>
      </c>
      <c r="G759" s="40">
        <f>F759/154</f>
        <v>1.7532467532467533</v>
      </c>
      <c r="H759" s="14">
        <v>0</v>
      </c>
      <c r="I759" s="229">
        <v>0</v>
      </c>
      <c r="J759" s="229">
        <v>0</v>
      </c>
      <c r="K759" s="26">
        <v>1</v>
      </c>
      <c r="L759" s="14">
        <v>0</v>
      </c>
      <c r="M759" s="229">
        <v>0</v>
      </c>
      <c r="N759" s="229">
        <v>1</v>
      </c>
      <c r="O759" s="229">
        <v>0</v>
      </c>
      <c r="P759" s="26">
        <v>1</v>
      </c>
      <c r="Q759" s="14">
        <v>0</v>
      </c>
      <c r="R759" s="229">
        <v>0</v>
      </c>
      <c r="S759" s="229">
        <v>0</v>
      </c>
      <c r="T759" s="229">
        <v>0</v>
      </c>
      <c r="U759" s="229">
        <v>0</v>
      </c>
      <c r="V759" s="229">
        <v>0</v>
      </c>
      <c r="W759" s="229">
        <v>0</v>
      </c>
      <c r="X759" s="229">
        <v>0</v>
      </c>
      <c r="Y759" s="229">
        <v>0</v>
      </c>
      <c r="Z759" s="229">
        <v>0</v>
      </c>
      <c r="AA759" s="229">
        <v>0</v>
      </c>
      <c r="AC759" s="12">
        <v>1</v>
      </c>
      <c r="AD759" s="14">
        <v>1</v>
      </c>
      <c r="AE759" s="14">
        <v>0</v>
      </c>
      <c r="AF759" s="26">
        <v>0</v>
      </c>
      <c r="AG759" s="12">
        <v>132</v>
      </c>
      <c r="AH759" s="14">
        <v>0</v>
      </c>
      <c r="AI759" s="209"/>
      <c r="AJ759" s="3"/>
      <c r="AK759" s="3"/>
      <c r="AL759" s="3"/>
      <c r="AM759" s="3"/>
      <c r="AN759" s="3"/>
      <c r="AO759" s="40"/>
      <c r="AP759" s="209"/>
      <c r="AQ759" s="3"/>
      <c r="AR759" s="40"/>
      <c r="AS759" s="238"/>
    </row>
    <row r="760" spans="1:45" s="229" customFormat="1" ht="17" thickBot="1">
      <c r="A760" s="55" t="s">
        <v>322</v>
      </c>
      <c r="B760" s="388">
        <v>8.7550000000000008</v>
      </c>
      <c r="C760" s="229" t="s">
        <v>207</v>
      </c>
      <c r="D760" s="229" t="s">
        <v>707</v>
      </c>
      <c r="F760" s="229">
        <v>651</v>
      </c>
      <c r="G760" s="40">
        <f>F760/478</f>
        <v>1.3619246861924685</v>
      </c>
      <c r="H760" s="14">
        <v>0</v>
      </c>
      <c r="I760" s="229">
        <v>0</v>
      </c>
      <c r="J760" s="229">
        <v>1</v>
      </c>
      <c r="K760" s="26">
        <v>0</v>
      </c>
      <c r="L760" s="14">
        <v>0</v>
      </c>
      <c r="M760" s="229">
        <v>0</v>
      </c>
      <c r="N760" s="229">
        <v>0</v>
      </c>
      <c r="O760" s="229">
        <v>1</v>
      </c>
      <c r="P760" s="26">
        <v>1</v>
      </c>
      <c r="Q760" s="14">
        <v>15</v>
      </c>
      <c r="R760" s="229">
        <v>0</v>
      </c>
      <c r="S760" s="229">
        <v>0</v>
      </c>
      <c r="T760" s="229">
        <v>0</v>
      </c>
      <c r="U760" s="229">
        <v>0</v>
      </c>
      <c r="V760" s="229">
        <v>29</v>
      </c>
      <c r="W760" s="229">
        <v>269</v>
      </c>
      <c r="X760" s="229">
        <v>0</v>
      </c>
      <c r="Y760" s="229">
        <v>0</v>
      </c>
      <c r="Z760" s="229">
        <v>0</v>
      </c>
      <c r="AA760" s="229">
        <v>182</v>
      </c>
      <c r="AC760" s="12">
        <v>1</v>
      </c>
      <c r="AD760" s="14">
        <v>1</v>
      </c>
      <c r="AE760" s="14">
        <v>0</v>
      </c>
      <c r="AF760" s="26">
        <v>0</v>
      </c>
      <c r="AG760" s="12">
        <v>105</v>
      </c>
      <c r="AH760" s="14">
        <v>0</v>
      </c>
      <c r="AI760" s="209"/>
      <c r="AJ760" s="3"/>
      <c r="AK760" s="3"/>
      <c r="AL760" s="3"/>
      <c r="AM760" s="3"/>
      <c r="AN760" s="3"/>
      <c r="AO760" s="40"/>
      <c r="AP760" s="209"/>
      <c r="AQ760" s="3"/>
      <c r="AR760" s="40"/>
      <c r="AS760" s="238"/>
    </row>
    <row r="761" spans="1:45" s="229" customFormat="1">
      <c r="A761" s="87" t="s">
        <v>322</v>
      </c>
      <c r="B761" s="389">
        <v>8.7550000000000008</v>
      </c>
      <c r="C761" s="8" t="s">
        <v>198</v>
      </c>
      <c r="D761" s="8" t="s">
        <v>423</v>
      </c>
      <c r="E761" s="8" t="s">
        <v>0</v>
      </c>
      <c r="F761" s="8">
        <v>503</v>
      </c>
      <c r="G761" s="10">
        <f>F761/336</f>
        <v>1.4970238095238095</v>
      </c>
      <c r="H761" s="11">
        <v>0</v>
      </c>
      <c r="I761" s="8">
        <v>0</v>
      </c>
      <c r="J761" s="8">
        <v>1</v>
      </c>
      <c r="K761" s="41">
        <v>0</v>
      </c>
      <c r="L761" s="11">
        <v>0</v>
      </c>
      <c r="M761" s="8">
        <v>0</v>
      </c>
      <c r="N761" s="8">
        <v>0</v>
      </c>
      <c r="O761" s="8">
        <v>0</v>
      </c>
      <c r="P761" s="41">
        <v>0</v>
      </c>
      <c r="Q761" s="11">
        <v>0</v>
      </c>
      <c r="R761" s="8">
        <v>0</v>
      </c>
      <c r="S761" s="8">
        <v>0</v>
      </c>
      <c r="T761" s="8">
        <v>0</v>
      </c>
      <c r="U761" s="8">
        <v>0</v>
      </c>
      <c r="V761" s="8">
        <v>0</v>
      </c>
      <c r="W761" s="8">
        <v>0</v>
      </c>
      <c r="X761" s="8">
        <v>0</v>
      </c>
      <c r="Y761" s="8">
        <v>0</v>
      </c>
      <c r="Z761" s="8">
        <v>0</v>
      </c>
      <c r="AA761" s="8">
        <v>0</v>
      </c>
      <c r="AB761" s="8"/>
      <c r="AC761" s="9">
        <v>1</v>
      </c>
      <c r="AD761" s="11">
        <v>1</v>
      </c>
      <c r="AE761" s="11">
        <v>0</v>
      </c>
      <c r="AF761" s="41">
        <v>0</v>
      </c>
      <c r="AG761" s="9">
        <v>157</v>
      </c>
      <c r="AH761" s="11">
        <v>1</v>
      </c>
      <c r="AI761" s="208"/>
      <c r="AJ761" s="54"/>
      <c r="AK761" s="54"/>
      <c r="AL761" s="54"/>
      <c r="AM761" s="54"/>
      <c r="AN761" s="54"/>
      <c r="AO761" s="10"/>
      <c r="AP761" s="208"/>
      <c r="AQ761" s="54"/>
      <c r="AR761" s="10"/>
      <c r="AS761" s="237"/>
    </row>
    <row r="762" spans="1:45" s="229" customFormat="1">
      <c r="A762" s="42" t="s">
        <v>322</v>
      </c>
      <c r="B762" s="390">
        <v>8.7550000000000008</v>
      </c>
      <c r="C762" s="229" t="s">
        <v>198</v>
      </c>
      <c r="D762" s="229" t="s">
        <v>423</v>
      </c>
      <c r="E762" s="229" t="s">
        <v>1</v>
      </c>
      <c r="F762" s="229">
        <v>509</v>
      </c>
      <c r="G762" s="40">
        <f>F762/343</f>
        <v>1.4839650145772594</v>
      </c>
      <c r="H762" s="14">
        <v>0</v>
      </c>
      <c r="I762" s="229">
        <v>0</v>
      </c>
      <c r="J762" s="229">
        <v>1</v>
      </c>
      <c r="K762" s="26">
        <v>0</v>
      </c>
      <c r="L762" s="14">
        <v>0</v>
      </c>
      <c r="M762" s="229">
        <v>0</v>
      </c>
      <c r="N762" s="229">
        <v>0</v>
      </c>
      <c r="O762" s="229">
        <v>0</v>
      </c>
      <c r="P762" s="26">
        <v>0</v>
      </c>
      <c r="Q762" s="14">
        <v>10</v>
      </c>
      <c r="R762" s="229">
        <v>0</v>
      </c>
      <c r="S762" s="229">
        <v>0</v>
      </c>
      <c r="T762" s="229">
        <v>0</v>
      </c>
      <c r="U762" s="229">
        <v>0</v>
      </c>
      <c r="V762" s="229">
        <v>0</v>
      </c>
      <c r="W762" s="229">
        <v>0</v>
      </c>
      <c r="X762" s="229">
        <v>0</v>
      </c>
      <c r="Y762" s="229">
        <v>0</v>
      </c>
      <c r="Z762" s="229">
        <v>0</v>
      </c>
      <c r="AA762" s="229">
        <v>159</v>
      </c>
      <c r="AC762" s="12">
        <v>1</v>
      </c>
      <c r="AD762" s="14">
        <v>1</v>
      </c>
      <c r="AE762" s="14">
        <v>0</v>
      </c>
      <c r="AF762" s="26">
        <v>0</v>
      </c>
      <c r="AG762" s="12">
        <v>157</v>
      </c>
      <c r="AH762" s="14">
        <v>0</v>
      </c>
      <c r="AI762" s="209"/>
      <c r="AJ762" s="3"/>
      <c r="AK762" s="3"/>
      <c r="AL762" s="3"/>
      <c r="AM762" s="3"/>
      <c r="AN762" s="3"/>
      <c r="AO762" s="40"/>
      <c r="AP762" s="209"/>
      <c r="AQ762" s="3"/>
      <c r="AR762" s="40"/>
      <c r="AS762" s="238"/>
    </row>
    <row r="763" spans="1:45" s="229" customFormat="1">
      <c r="A763" s="42" t="s">
        <v>322</v>
      </c>
      <c r="B763" s="390">
        <v>8.7550000000000008</v>
      </c>
      <c r="C763" s="229" t="s">
        <v>198</v>
      </c>
      <c r="D763" s="229" t="s">
        <v>622</v>
      </c>
      <c r="F763" s="229">
        <v>588</v>
      </c>
      <c r="G763" s="40">
        <f>F763/414</f>
        <v>1.4202898550724639</v>
      </c>
      <c r="H763" s="14">
        <v>0</v>
      </c>
      <c r="I763" s="229">
        <v>1</v>
      </c>
      <c r="J763" s="229">
        <v>0</v>
      </c>
      <c r="K763" s="26">
        <v>0</v>
      </c>
      <c r="L763" s="14">
        <v>0</v>
      </c>
      <c r="M763" s="229">
        <v>0</v>
      </c>
      <c r="N763" s="229">
        <v>0</v>
      </c>
      <c r="O763" s="229">
        <v>1</v>
      </c>
      <c r="P763" s="26">
        <v>1</v>
      </c>
      <c r="Q763" s="14">
        <v>5</v>
      </c>
      <c r="R763" s="229">
        <v>0</v>
      </c>
      <c r="S763" s="229">
        <v>0</v>
      </c>
      <c r="T763" s="229">
        <v>0</v>
      </c>
      <c r="U763" s="229">
        <v>0</v>
      </c>
      <c r="V763" s="229">
        <v>0</v>
      </c>
      <c r="W763" s="229">
        <v>54</v>
      </c>
      <c r="X763" s="229">
        <v>0</v>
      </c>
      <c r="Y763" s="229">
        <v>0</v>
      </c>
      <c r="Z763" s="229">
        <v>56</v>
      </c>
      <c r="AA763" s="229">
        <v>100</v>
      </c>
      <c r="AC763" s="12">
        <v>1</v>
      </c>
      <c r="AD763" s="14">
        <v>1</v>
      </c>
      <c r="AE763" s="14">
        <v>0</v>
      </c>
      <c r="AF763" s="26">
        <v>0</v>
      </c>
      <c r="AG763" s="12">
        <v>100</v>
      </c>
      <c r="AH763" s="14">
        <v>0</v>
      </c>
      <c r="AI763" s="209">
        <v>79.267443603930928</v>
      </c>
      <c r="AJ763" s="3"/>
      <c r="AK763" s="3"/>
      <c r="AL763" s="3"/>
      <c r="AM763" s="3"/>
      <c r="AN763" s="3"/>
      <c r="AO763" s="40"/>
      <c r="AP763" s="209">
        <v>79.831027848873362</v>
      </c>
      <c r="AQ763" s="3"/>
      <c r="AR763" s="40"/>
      <c r="AS763" s="238"/>
    </row>
    <row r="764" spans="1:45" s="229" customFormat="1">
      <c r="A764" s="42" t="s">
        <v>322</v>
      </c>
      <c r="B764" s="390">
        <v>8.7550000000000008</v>
      </c>
      <c r="C764" s="229" t="s">
        <v>198</v>
      </c>
      <c r="D764" s="229" t="s">
        <v>620</v>
      </c>
      <c r="E764" s="229" t="s">
        <v>0</v>
      </c>
      <c r="F764" s="229">
        <v>495</v>
      </c>
      <c r="G764" s="40">
        <f>F764/411</f>
        <v>1.2043795620437956</v>
      </c>
      <c r="H764" s="14">
        <v>0</v>
      </c>
      <c r="I764" s="229">
        <v>0</v>
      </c>
      <c r="J764" s="229">
        <v>0</v>
      </c>
      <c r="K764" s="26">
        <v>1</v>
      </c>
      <c r="L764" s="14">
        <v>0</v>
      </c>
      <c r="M764" s="229">
        <v>0</v>
      </c>
      <c r="N764" s="229">
        <v>0</v>
      </c>
      <c r="O764" s="229">
        <v>0</v>
      </c>
      <c r="P764" s="26">
        <v>0</v>
      </c>
      <c r="Q764" s="14">
        <v>1</v>
      </c>
      <c r="R764" s="229">
        <v>0</v>
      </c>
      <c r="S764" s="229">
        <v>13</v>
      </c>
      <c r="T764" s="229">
        <v>0</v>
      </c>
      <c r="U764" s="229">
        <v>0</v>
      </c>
      <c r="V764" s="229">
        <v>0</v>
      </c>
      <c r="W764" s="229">
        <v>0</v>
      </c>
      <c r="X764" s="229">
        <v>0</v>
      </c>
      <c r="Y764" s="229">
        <v>0</v>
      </c>
      <c r="Z764" s="229">
        <v>0</v>
      </c>
      <c r="AA764" s="229">
        <v>49</v>
      </c>
      <c r="AC764" s="12">
        <v>1</v>
      </c>
      <c r="AD764" s="14">
        <v>1</v>
      </c>
      <c r="AE764" s="14">
        <v>0</v>
      </c>
      <c r="AF764" s="26">
        <v>0</v>
      </c>
      <c r="AG764" s="12">
        <v>202</v>
      </c>
      <c r="AH764" s="14">
        <v>0</v>
      </c>
      <c r="AI764" s="209"/>
      <c r="AJ764" s="3"/>
      <c r="AK764" s="3"/>
      <c r="AL764" s="3"/>
      <c r="AM764" s="3"/>
      <c r="AN764" s="3"/>
      <c r="AO764" s="40"/>
      <c r="AP764" s="209"/>
      <c r="AQ764" s="3"/>
      <c r="AR764" s="40"/>
      <c r="AS764" s="238"/>
    </row>
    <row r="765" spans="1:45" s="229" customFormat="1">
      <c r="A765" s="42" t="s">
        <v>322</v>
      </c>
      <c r="B765" s="390">
        <v>8.7550000000000008</v>
      </c>
      <c r="C765" s="229" t="s">
        <v>198</v>
      </c>
      <c r="D765" s="229" t="s">
        <v>620</v>
      </c>
      <c r="E765" s="229" t="s">
        <v>1</v>
      </c>
      <c r="F765" s="229">
        <v>662</v>
      </c>
      <c r="G765" s="40">
        <f>F765/512</f>
        <v>1.29296875</v>
      </c>
      <c r="H765" s="14">
        <v>0</v>
      </c>
      <c r="I765" s="229">
        <v>0</v>
      </c>
      <c r="J765" s="229">
        <v>0</v>
      </c>
      <c r="K765" s="26">
        <v>1</v>
      </c>
      <c r="L765" s="14">
        <v>0</v>
      </c>
      <c r="M765" s="229">
        <v>0</v>
      </c>
      <c r="N765" s="229">
        <v>0</v>
      </c>
      <c r="O765" s="229">
        <v>0</v>
      </c>
      <c r="P765" s="26">
        <v>0</v>
      </c>
      <c r="Q765" s="14">
        <v>0</v>
      </c>
      <c r="R765" s="229">
        <v>0</v>
      </c>
      <c r="S765" s="229">
        <v>0</v>
      </c>
      <c r="T765" s="229">
        <v>0</v>
      </c>
      <c r="U765" s="229">
        <v>0</v>
      </c>
      <c r="V765" s="229">
        <v>0</v>
      </c>
      <c r="W765" s="229">
        <v>0</v>
      </c>
      <c r="X765" s="229">
        <v>0</v>
      </c>
      <c r="Y765" s="229">
        <v>0</v>
      </c>
      <c r="Z765" s="229">
        <v>0</v>
      </c>
      <c r="AA765" s="229">
        <v>0</v>
      </c>
      <c r="AC765" s="12">
        <v>2</v>
      </c>
      <c r="AD765" s="14">
        <v>2</v>
      </c>
      <c r="AE765" s="14">
        <v>498</v>
      </c>
      <c r="AF765" s="26">
        <v>500</v>
      </c>
      <c r="AG765" s="12">
        <v>202</v>
      </c>
      <c r="AH765" s="14">
        <v>0</v>
      </c>
      <c r="AI765" s="209"/>
      <c r="AJ765" s="3"/>
      <c r="AK765" s="3"/>
      <c r="AL765" s="3"/>
      <c r="AM765" s="3"/>
      <c r="AN765" s="3"/>
      <c r="AO765" s="40"/>
      <c r="AP765" s="209"/>
      <c r="AQ765" s="3"/>
      <c r="AR765" s="40"/>
      <c r="AS765" s="238"/>
    </row>
    <row r="766" spans="1:45" s="229" customFormat="1">
      <c r="A766" s="42" t="s">
        <v>322</v>
      </c>
      <c r="B766" s="390">
        <v>8.7550000000000008</v>
      </c>
      <c r="C766" s="229" t="s">
        <v>198</v>
      </c>
      <c r="D766" s="229" t="s">
        <v>620</v>
      </c>
      <c r="E766" s="229" t="s">
        <v>2</v>
      </c>
      <c r="F766" s="229">
        <v>647</v>
      </c>
      <c r="G766" s="40">
        <f>F766/551</f>
        <v>1.1742286751361162</v>
      </c>
      <c r="H766" s="14">
        <v>0</v>
      </c>
      <c r="I766" s="229">
        <v>0</v>
      </c>
      <c r="J766" s="229">
        <v>1</v>
      </c>
      <c r="K766" s="26">
        <v>0</v>
      </c>
      <c r="L766" s="14">
        <v>0</v>
      </c>
      <c r="M766" s="229">
        <v>0</v>
      </c>
      <c r="N766" s="229">
        <v>0</v>
      </c>
      <c r="O766" s="229">
        <v>0</v>
      </c>
      <c r="P766" s="26">
        <v>0</v>
      </c>
      <c r="Q766" s="14">
        <v>10</v>
      </c>
      <c r="R766" s="229">
        <v>0</v>
      </c>
      <c r="S766" s="229">
        <v>0</v>
      </c>
      <c r="T766" s="229">
        <v>0</v>
      </c>
      <c r="U766" s="229">
        <v>0</v>
      </c>
      <c r="V766" s="229">
        <v>0</v>
      </c>
      <c r="W766" s="229">
        <v>0</v>
      </c>
      <c r="X766" s="229">
        <v>0</v>
      </c>
      <c r="Y766" s="229">
        <v>0</v>
      </c>
      <c r="Z766" s="229">
        <v>0</v>
      </c>
      <c r="AA766" s="229">
        <v>194</v>
      </c>
      <c r="AC766" s="12">
        <v>1</v>
      </c>
      <c r="AD766" s="14">
        <v>1</v>
      </c>
      <c r="AE766" s="14">
        <v>0</v>
      </c>
      <c r="AF766" s="26">
        <v>0</v>
      </c>
      <c r="AG766" s="12">
        <v>202</v>
      </c>
      <c r="AH766" s="14">
        <v>0</v>
      </c>
      <c r="AI766" s="209"/>
      <c r="AJ766" s="3"/>
      <c r="AK766" s="3"/>
      <c r="AL766" s="3"/>
      <c r="AM766" s="3"/>
      <c r="AN766" s="3"/>
      <c r="AO766" s="40"/>
      <c r="AP766" s="209"/>
      <c r="AQ766" s="3"/>
      <c r="AR766" s="40"/>
      <c r="AS766" s="238"/>
    </row>
    <row r="767" spans="1:45" s="229" customFormat="1">
      <c r="A767" s="42" t="s">
        <v>322</v>
      </c>
      <c r="B767" s="390">
        <v>8.7550000000000008</v>
      </c>
      <c r="C767" s="229" t="s">
        <v>198</v>
      </c>
      <c r="D767" s="229" t="s">
        <v>629</v>
      </c>
      <c r="E767" s="229" t="s">
        <v>0</v>
      </c>
      <c r="F767" s="229">
        <v>618</v>
      </c>
      <c r="G767" s="40">
        <f>F767/267</f>
        <v>2.3146067415730336</v>
      </c>
      <c r="H767" s="14">
        <v>0</v>
      </c>
      <c r="I767" s="229">
        <v>0</v>
      </c>
      <c r="J767" s="229">
        <v>1</v>
      </c>
      <c r="K767" s="26">
        <v>0</v>
      </c>
      <c r="L767" s="14">
        <v>1</v>
      </c>
      <c r="M767" s="229">
        <v>0</v>
      </c>
      <c r="N767" s="229">
        <v>0</v>
      </c>
      <c r="O767" s="229">
        <v>0</v>
      </c>
      <c r="P767" s="26">
        <v>1</v>
      </c>
      <c r="Q767" s="14">
        <v>10</v>
      </c>
      <c r="R767" s="229">
        <v>0</v>
      </c>
      <c r="S767" s="229">
        <v>0</v>
      </c>
      <c r="T767" s="229">
        <v>0</v>
      </c>
      <c r="U767" s="229">
        <v>0</v>
      </c>
      <c r="V767" s="229">
        <v>0</v>
      </c>
      <c r="W767" s="229">
        <v>0</v>
      </c>
      <c r="X767" s="229">
        <v>0</v>
      </c>
      <c r="Y767" s="229">
        <v>0</v>
      </c>
      <c r="Z767" s="229">
        <v>45</v>
      </c>
      <c r="AA767" s="229">
        <v>116</v>
      </c>
      <c r="AC767" s="12">
        <v>1</v>
      </c>
      <c r="AD767" s="14">
        <v>1</v>
      </c>
      <c r="AE767" s="14">
        <v>0</v>
      </c>
      <c r="AF767" s="26">
        <v>0</v>
      </c>
      <c r="AG767" s="12">
        <v>146</v>
      </c>
      <c r="AH767" s="14">
        <v>0</v>
      </c>
      <c r="AI767" s="209">
        <v>79.573118748892341</v>
      </c>
      <c r="AJ767" s="3"/>
      <c r="AK767" s="3"/>
      <c r="AL767" s="3"/>
      <c r="AM767" s="3"/>
      <c r="AN767" s="3"/>
      <c r="AO767" s="40"/>
      <c r="AP767" s="209">
        <v>79.579753619497694</v>
      </c>
      <c r="AQ767" s="3"/>
      <c r="AR767" s="40"/>
      <c r="AS767" s="238"/>
    </row>
    <row r="768" spans="1:45" s="229" customFormat="1">
      <c r="A768" s="42" t="s">
        <v>322</v>
      </c>
      <c r="B768" s="390">
        <v>8.7550000000000008</v>
      </c>
      <c r="C768" s="229" t="s">
        <v>198</v>
      </c>
      <c r="D768" s="229" t="s">
        <v>629</v>
      </c>
      <c r="E768" s="229" t="s">
        <v>1</v>
      </c>
      <c r="F768" s="229">
        <v>154</v>
      </c>
      <c r="G768" s="40">
        <f>F768/116</f>
        <v>1.3275862068965518</v>
      </c>
      <c r="H768" s="14">
        <v>0</v>
      </c>
      <c r="I768" s="229">
        <v>0</v>
      </c>
      <c r="J768" s="229">
        <v>0</v>
      </c>
      <c r="K768" s="26">
        <v>1</v>
      </c>
      <c r="L768" s="14">
        <v>0</v>
      </c>
      <c r="M768" s="229">
        <v>0</v>
      </c>
      <c r="N768" s="229">
        <v>0</v>
      </c>
      <c r="O768" s="229">
        <v>1</v>
      </c>
      <c r="P768" s="26">
        <v>1</v>
      </c>
      <c r="Q768" s="14">
        <v>1</v>
      </c>
      <c r="R768" s="229">
        <v>0</v>
      </c>
      <c r="S768" s="229">
        <v>0</v>
      </c>
      <c r="T768" s="229">
        <v>0</v>
      </c>
      <c r="U768" s="229">
        <v>0</v>
      </c>
      <c r="V768" s="229">
        <v>0</v>
      </c>
      <c r="W768" s="229">
        <v>7</v>
      </c>
      <c r="X768" s="229">
        <v>0</v>
      </c>
      <c r="Y768" s="229">
        <v>0</v>
      </c>
      <c r="Z768" s="229">
        <v>0</v>
      </c>
      <c r="AA768" s="229">
        <v>0</v>
      </c>
      <c r="AC768" s="12">
        <v>1</v>
      </c>
      <c r="AD768" s="14">
        <v>1</v>
      </c>
      <c r="AE768" s="14">
        <v>0</v>
      </c>
      <c r="AF768" s="26">
        <v>0</v>
      </c>
      <c r="AG768" s="12">
        <v>146</v>
      </c>
      <c r="AH768" s="14">
        <v>0</v>
      </c>
      <c r="AI768" s="209"/>
      <c r="AJ768" s="3"/>
      <c r="AK768" s="3"/>
      <c r="AL768" s="3"/>
      <c r="AM768" s="3"/>
      <c r="AN768" s="3"/>
      <c r="AO768" s="40"/>
      <c r="AP768" s="209"/>
      <c r="AQ768" s="3"/>
      <c r="AR768" s="40"/>
      <c r="AS768" s="238"/>
    </row>
    <row r="769" spans="1:45" s="229" customFormat="1">
      <c r="A769" s="42" t="s">
        <v>322</v>
      </c>
      <c r="B769" s="390">
        <v>8.7550000000000008</v>
      </c>
      <c r="C769" s="229" t="s">
        <v>198</v>
      </c>
      <c r="D769" s="229" t="s">
        <v>629</v>
      </c>
      <c r="E769" s="229" t="s">
        <v>2</v>
      </c>
      <c r="F769" s="229">
        <v>70</v>
      </c>
      <c r="G769" s="40">
        <f>F769/52</f>
        <v>1.3461538461538463</v>
      </c>
      <c r="H769" s="14">
        <v>0</v>
      </c>
      <c r="I769" s="229">
        <v>0</v>
      </c>
      <c r="J769" s="229">
        <v>1</v>
      </c>
      <c r="K769" s="26">
        <v>0</v>
      </c>
      <c r="L769" s="14">
        <v>0</v>
      </c>
      <c r="M769" s="229">
        <v>0</v>
      </c>
      <c r="N769" s="229">
        <v>0</v>
      </c>
      <c r="O769" s="229">
        <v>0</v>
      </c>
      <c r="P769" s="26">
        <v>0</v>
      </c>
      <c r="Q769" s="14">
        <v>0</v>
      </c>
      <c r="R769" s="229">
        <v>0</v>
      </c>
      <c r="S769" s="229">
        <v>0</v>
      </c>
      <c r="T769" s="229">
        <v>0</v>
      </c>
      <c r="U769" s="229">
        <v>0</v>
      </c>
      <c r="V769" s="229">
        <v>0</v>
      </c>
      <c r="W769" s="229">
        <v>0</v>
      </c>
      <c r="X769" s="229">
        <v>0</v>
      </c>
      <c r="Y769" s="229">
        <v>0</v>
      </c>
      <c r="Z769" s="229">
        <v>0</v>
      </c>
      <c r="AA769" s="229">
        <v>0</v>
      </c>
      <c r="AC769" s="12">
        <v>1</v>
      </c>
      <c r="AD769" s="14">
        <v>1</v>
      </c>
      <c r="AE769" s="14">
        <v>0</v>
      </c>
      <c r="AF769" s="26">
        <v>0</v>
      </c>
      <c r="AG769" s="12">
        <v>146</v>
      </c>
      <c r="AH769" s="14">
        <v>0</v>
      </c>
      <c r="AI769" s="209"/>
      <c r="AJ769" s="3"/>
      <c r="AK769" s="3"/>
      <c r="AL769" s="3"/>
      <c r="AM769" s="3"/>
      <c r="AN769" s="3"/>
      <c r="AO769" s="40"/>
      <c r="AP769" s="209"/>
      <c r="AQ769" s="3"/>
      <c r="AR769" s="40"/>
      <c r="AS769" s="238"/>
    </row>
    <row r="770" spans="1:45" s="229" customFormat="1">
      <c r="A770" s="42" t="s">
        <v>322</v>
      </c>
      <c r="B770" s="390">
        <v>8.7550000000000008</v>
      </c>
      <c r="C770" s="229" t="s">
        <v>198</v>
      </c>
      <c r="D770" s="229" t="s">
        <v>634</v>
      </c>
      <c r="F770" s="229">
        <v>1505</v>
      </c>
      <c r="G770" s="40">
        <f>F770/952</f>
        <v>1.5808823529411764</v>
      </c>
      <c r="H770" s="14">
        <v>0</v>
      </c>
      <c r="I770" s="229">
        <v>0</v>
      </c>
      <c r="J770" s="229">
        <v>1</v>
      </c>
      <c r="K770" s="26">
        <v>0</v>
      </c>
      <c r="L770" s="14">
        <v>0</v>
      </c>
      <c r="M770" s="229">
        <v>0</v>
      </c>
      <c r="N770" s="229">
        <v>1</v>
      </c>
      <c r="O770" s="229">
        <v>0</v>
      </c>
      <c r="P770" s="26">
        <v>1</v>
      </c>
      <c r="Q770" s="14">
        <v>5</v>
      </c>
      <c r="R770" s="229">
        <v>0</v>
      </c>
      <c r="S770" s="229">
        <v>0</v>
      </c>
      <c r="T770" s="229">
        <v>0</v>
      </c>
      <c r="U770" s="229">
        <v>0</v>
      </c>
      <c r="V770" s="229">
        <v>74</v>
      </c>
      <c r="W770" s="229">
        <v>100</v>
      </c>
      <c r="X770" s="229">
        <v>0</v>
      </c>
      <c r="Y770" s="229">
        <v>0</v>
      </c>
      <c r="Z770" s="229">
        <v>0</v>
      </c>
      <c r="AA770" s="229">
        <v>154</v>
      </c>
      <c r="AC770" s="12">
        <v>1</v>
      </c>
      <c r="AD770" s="14">
        <v>1</v>
      </c>
      <c r="AE770" s="14">
        <v>0</v>
      </c>
      <c r="AF770" s="26">
        <v>0</v>
      </c>
      <c r="AG770" s="12">
        <v>160</v>
      </c>
      <c r="AH770" s="14">
        <v>1</v>
      </c>
      <c r="AI770" s="209">
        <v>79.833268299360654</v>
      </c>
      <c r="AJ770" s="3"/>
      <c r="AK770" s="3"/>
      <c r="AL770" s="3"/>
      <c r="AM770" s="3"/>
      <c r="AN770" s="3"/>
      <c r="AO770" s="40"/>
      <c r="AP770" s="209">
        <v>79.037600113056797</v>
      </c>
      <c r="AQ770" s="3"/>
      <c r="AR770" s="40"/>
      <c r="AS770" s="238"/>
    </row>
    <row r="771" spans="1:45" s="229" customFormat="1">
      <c r="A771" s="42" t="s">
        <v>322</v>
      </c>
      <c r="B771" s="390">
        <v>8.7550000000000008</v>
      </c>
      <c r="C771" s="229" t="s">
        <v>198</v>
      </c>
      <c r="D771" s="229" t="s">
        <v>625</v>
      </c>
      <c r="E771" s="229" t="s">
        <v>0</v>
      </c>
      <c r="F771" s="229">
        <v>723</v>
      </c>
      <c r="G771" s="40">
        <f>F771/599</f>
        <v>1.2070116861435727</v>
      </c>
      <c r="H771" s="14">
        <v>0</v>
      </c>
      <c r="I771" s="229">
        <v>0</v>
      </c>
      <c r="J771" s="229">
        <v>1</v>
      </c>
      <c r="K771" s="26">
        <v>0</v>
      </c>
      <c r="L771" s="14">
        <v>0</v>
      </c>
      <c r="M771" s="229">
        <v>0</v>
      </c>
      <c r="N771" s="229">
        <v>0</v>
      </c>
      <c r="O771" s="229">
        <v>1</v>
      </c>
      <c r="P771" s="26">
        <v>1</v>
      </c>
      <c r="Q771" s="14">
        <v>2</v>
      </c>
      <c r="R771" s="229">
        <v>0</v>
      </c>
      <c r="S771" s="229">
        <v>0</v>
      </c>
      <c r="T771" s="229">
        <v>0</v>
      </c>
      <c r="U771" s="229">
        <v>0</v>
      </c>
      <c r="V771" s="229">
        <v>0</v>
      </c>
      <c r="W771" s="229">
        <v>41</v>
      </c>
      <c r="X771" s="229">
        <v>0</v>
      </c>
      <c r="Y771" s="229">
        <v>0</v>
      </c>
      <c r="Z771" s="229">
        <v>0</v>
      </c>
      <c r="AA771" s="229">
        <v>0</v>
      </c>
      <c r="AC771" s="12">
        <v>1</v>
      </c>
      <c r="AD771" s="14">
        <v>1</v>
      </c>
      <c r="AE771" s="14">
        <v>0</v>
      </c>
      <c r="AF771" s="26">
        <v>0</v>
      </c>
      <c r="AG771" s="12">
        <v>164</v>
      </c>
      <c r="AH771" s="14">
        <v>1</v>
      </c>
      <c r="AI771" s="209"/>
      <c r="AJ771" s="3"/>
      <c r="AK771" s="3"/>
      <c r="AL771" s="3"/>
      <c r="AM771" s="3"/>
      <c r="AN771" s="3"/>
      <c r="AO771" s="40"/>
      <c r="AP771" s="209"/>
      <c r="AQ771" s="3"/>
      <c r="AR771" s="40"/>
      <c r="AS771" s="238"/>
    </row>
    <row r="772" spans="1:45" s="229" customFormat="1">
      <c r="A772" s="42" t="s">
        <v>322</v>
      </c>
      <c r="B772" s="390">
        <v>8.7550000000000008</v>
      </c>
      <c r="C772" s="229" t="s">
        <v>198</v>
      </c>
      <c r="D772" s="229" t="s">
        <v>625</v>
      </c>
      <c r="E772" s="229" t="s">
        <v>1</v>
      </c>
      <c r="F772" s="229">
        <v>374</v>
      </c>
      <c r="G772" s="40">
        <f>F772/290</f>
        <v>1.289655172413793</v>
      </c>
      <c r="H772" s="14">
        <v>0</v>
      </c>
      <c r="I772" s="229">
        <v>1</v>
      </c>
      <c r="J772" s="229">
        <v>0</v>
      </c>
      <c r="K772" s="26">
        <v>0</v>
      </c>
      <c r="L772" s="14">
        <v>0</v>
      </c>
      <c r="M772" s="229">
        <v>0</v>
      </c>
      <c r="N772" s="229">
        <v>0</v>
      </c>
      <c r="O772" s="229">
        <v>1</v>
      </c>
      <c r="P772" s="26">
        <v>1</v>
      </c>
      <c r="Q772" s="14">
        <v>1</v>
      </c>
      <c r="R772" s="229">
        <v>0</v>
      </c>
      <c r="S772" s="229">
        <v>20</v>
      </c>
      <c r="T772" s="229">
        <v>0</v>
      </c>
      <c r="U772" s="229">
        <v>0</v>
      </c>
      <c r="V772" s="229">
        <v>0</v>
      </c>
      <c r="W772" s="229">
        <v>0</v>
      </c>
      <c r="X772" s="229">
        <v>0</v>
      </c>
      <c r="Y772" s="229">
        <v>0</v>
      </c>
      <c r="Z772" s="229">
        <v>0</v>
      </c>
      <c r="AA772" s="229">
        <v>0</v>
      </c>
      <c r="AC772" s="12">
        <v>1</v>
      </c>
      <c r="AD772" s="14">
        <v>1</v>
      </c>
      <c r="AE772" s="14">
        <v>0</v>
      </c>
      <c r="AF772" s="26">
        <v>0</v>
      </c>
      <c r="AG772" s="12">
        <v>164</v>
      </c>
      <c r="AH772" s="14">
        <v>0</v>
      </c>
      <c r="AI772" s="209"/>
      <c r="AJ772" s="3"/>
      <c r="AK772" s="3"/>
      <c r="AL772" s="3"/>
      <c r="AM772" s="3"/>
      <c r="AN772" s="3"/>
      <c r="AO772" s="40"/>
      <c r="AP772" s="209"/>
      <c r="AQ772" s="3"/>
      <c r="AR772" s="40"/>
      <c r="AS772" s="238"/>
    </row>
    <row r="773" spans="1:45" s="229" customFormat="1">
      <c r="A773" s="42" t="s">
        <v>322</v>
      </c>
      <c r="B773" s="390">
        <v>8.7550000000000008</v>
      </c>
      <c r="C773" s="229" t="s">
        <v>198</v>
      </c>
      <c r="D773" s="229" t="s">
        <v>630</v>
      </c>
      <c r="F773" s="229">
        <v>699</v>
      </c>
      <c r="G773" s="40">
        <f>F773/455</f>
        <v>1.5362637362637364</v>
      </c>
      <c r="H773" s="14">
        <v>0</v>
      </c>
      <c r="I773" s="229">
        <v>1</v>
      </c>
      <c r="J773" s="229">
        <v>0</v>
      </c>
      <c r="K773" s="26">
        <v>0</v>
      </c>
      <c r="L773" s="14">
        <v>0</v>
      </c>
      <c r="M773" s="229">
        <v>0</v>
      </c>
      <c r="N773" s="229">
        <v>0</v>
      </c>
      <c r="O773" s="229">
        <v>1</v>
      </c>
      <c r="P773" s="26">
        <v>1</v>
      </c>
      <c r="Q773" s="14">
        <v>15</v>
      </c>
      <c r="R773" s="229">
        <v>0</v>
      </c>
      <c r="S773" s="229">
        <v>0</v>
      </c>
      <c r="T773" s="229">
        <v>0</v>
      </c>
      <c r="U773" s="229">
        <v>0</v>
      </c>
      <c r="V773" s="229">
        <v>93</v>
      </c>
      <c r="W773" s="229">
        <v>103</v>
      </c>
      <c r="X773" s="229">
        <v>0</v>
      </c>
      <c r="Y773" s="229">
        <v>0</v>
      </c>
      <c r="Z773" s="229">
        <v>0</v>
      </c>
      <c r="AA773" s="229">
        <v>183</v>
      </c>
      <c r="AC773" s="12">
        <v>1</v>
      </c>
      <c r="AD773" s="14">
        <v>1</v>
      </c>
      <c r="AE773" s="14">
        <v>0</v>
      </c>
      <c r="AF773" s="26">
        <v>0</v>
      </c>
      <c r="AG773" s="12">
        <v>138</v>
      </c>
      <c r="AH773" s="14">
        <v>0</v>
      </c>
      <c r="AI773" s="209"/>
      <c r="AJ773" s="3"/>
      <c r="AK773" s="3"/>
      <c r="AL773" s="3"/>
      <c r="AM773" s="3"/>
      <c r="AN773" s="3"/>
      <c r="AO773" s="40"/>
      <c r="AP773" s="209"/>
      <c r="AQ773" s="3"/>
      <c r="AR773" s="40"/>
      <c r="AS773" s="238"/>
    </row>
    <row r="774" spans="1:45" s="229" customFormat="1">
      <c r="A774" s="42" t="s">
        <v>322</v>
      </c>
      <c r="B774" s="390">
        <v>8.7550000000000008</v>
      </c>
      <c r="C774" s="229" t="s">
        <v>198</v>
      </c>
      <c r="D774" s="229" t="s">
        <v>637</v>
      </c>
      <c r="F774" s="229">
        <v>1346</v>
      </c>
      <c r="G774" s="40">
        <f>F774/735</f>
        <v>1.8312925170068026</v>
      </c>
      <c r="H774" s="14">
        <v>0</v>
      </c>
      <c r="I774" s="229">
        <v>0</v>
      </c>
      <c r="J774" s="229">
        <v>1</v>
      </c>
      <c r="K774" s="26">
        <v>0</v>
      </c>
      <c r="L774" s="14">
        <v>0</v>
      </c>
      <c r="M774" s="229">
        <v>0</v>
      </c>
      <c r="N774" s="229">
        <v>0</v>
      </c>
      <c r="O774" s="229">
        <v>1</v>
      </c>
      <c r="P774" s="26">
        <v>1</v>
      </c>
      <c r="Q774" s="14">
        <v>10</v>
      </c>
      <c r="R774" s="229">
        <v>0</v>
      </c>
      <c r="S774" s="229">
        <v>0</v>
      </c>
      <c r="T774" s="229">
        <v>0</v>
      </c>
      <c r="U774" s="229">
        <v>0</v>
      </c>
      <c r="V774" s="229">
        <v>37</v>
      </c>
      <c r="W774" s="229">
        <v>38</v>
      </c>
      <c r="X774" s="229">
        <v>0</v>
      </c>
      <c r="Y774" s="229">
        <v>0</v>
      </c>
      <c r="Z774" s="229">
        <v>77</v>
      </c>
      <c r="AA774" s="229">
        <v>153</v>
      </c>
      <c r="AC774" s="12">
        <v>1</v>
      </c>
      <c r="AD774" s="14">
        <v>1</v>
      </c>
      <c r="AE774" s="14">
        <v>0</v>
      </c>
      <c r="AF774" s="26">
        <v>0</v>
      </c>
      <c r="AG774" s="12">
        <v>148</v>
      </c>
      <c r="AH774" s="14">
        <v>0</v>
      </c>
      <c r="AI774" s="209">
        <v>79.605298633697686</v>
      </c>
      <c r="AJ774" s="3"/>
      <c r="AK774" s="3"/>
      <c r="AL774" s="3"/>
      <c r="AM774" s="3"/>
      <c r="AN774" s="3"/>
      <c r="AO774" s="40"/>
      <c r="AP774" s="209">
        <v>79.935104185769148</v>
      </c>
      <c r="AQ774" s="3"/>
      <c r="AR774" s="40"/>
      <c r="AS774" s="238"/>
    </row>
    <row r="775" spans="1:45" s="229" customFormat="1">
      <c r="A775" s="42" t="s">
        <v>322</v>
      </c>
      <c r="B775" s="390">
        <v>8.7550000000000008</v>
      </c>
      <c r="C775" s="229" t="s">
        <v>198</v>
      </c>
      <c r="D775" s="229" t="s">
        <v>638</v>
      </c>
      <c r="F775" s="229">
        <v>1442</v>
      </c>
      <c r="G775" s="40">
        <f>F775/772</f>
        <v>1.8678756476683938</v>
      </c>
      <c r="H775" s="14">
        <v>0</v>
      </c>
      <c r="I775" s="229">
        <v>0</v>
      </c>
      <c r="J775" s="229">
        <v>1</v>
      </c>
      <c r="K775" s="26">
        <v>0</v>
      </c>
      <c r="L775" s="14">
        <v>0</v>
      </c>
      <c r="M775" s="229">
        <v>0</v>
      </c>
      <c r="N775" s="229">
        <v>1</v>
      </c>
      <c r="O775" s="229">
        <v>0</v>
      </c>
      <c r="P775" s="26">
        <v>1</v>
      </c>
      <c r="Q775" s="14">
        <v>5</v>
      </c>
      <c r="R775" s="229">
        <v>0</v>
      </c>
      <c r="S775" s="229">
        <v>0</v>
      </c>
      <c r="T775" s="229">
        <v>0</v>
      </c>
      <c r="U775" s="229">
        <v>0</v>
      </c>
      <c r="V775" s="229">
        <v>34</v>
      </c>
      <c r="W775" s="229">
        <v>54</v>
      </c>
      <c r="X775" s="229">
        <v>0</v>
      </c>
      <c r="Y775" s="229">
        <v>0</v>
      </c>
      <c r="Z775" s="229">
        <v>0</v>
      </c>
      <c r="AA775" s="229">
        <v>115</v>
      </c>
      <c r="AC775" s="12">
        <v>1</v>
      </c>
      <c r="AD775" s="14">
        <v>1</v>
      </c>
      <c r="AE775" s="14">
        <v>0</v>
      </c>
      <c r="AF775" s="26">
        <v>0</v>
      </c>
      <c r="AG775" s="12">
        <v>171</v>
      </c>
      <c r="AH775" s="14">
        <v>0</v>
      </c>
      <c r="AI775" s="209"/>
      <c r="AJ775" s="3"/>
      <c r="AK775" s="3"/>
      <c r="AL775" s="3"/>
      <c r="AM775" s="3"/>
      <c r="AN775" s="3"/>
      <c r="AO775" s="40"/>
      <c r="AP775" s="209"/>
      <c r="AQ775" s="3"/>
      <c r="AR775" s="40"/>
      <c r="AS775" s="238"/>
    </row>
    <row r="776" spans="1:45" s="229" customFormat="1">
      <c r="A776" s="42" t="s">
        <v>322</v>
      </c>
      <c r="B776" s="390">
        <v>8.7550000000000008</v>
      </c>
      <c r="C776" s="229" t="s">
        <v>198</v>
      </c>
      <c r="D776" s="229" t="s">
        <v>639</v>
      </c>
      <c r="F776" s="229">
        <v>536</v>
      </c>
      <c r="G776" s="40">
        <f>F776/335</f>
        <v>1.6</v>
      </c>
      <c r="H776" s="14">
        <v>1</v>
      </c>
      <c r="I776" s="229">
        <v>0</v>
      </c>
      <c r="J776" s="229">
        <v>0</v>
      </c>
      <c r="K776" s="26">
        <v>0</v>
      </c>
      <c r="L776" s="14">
        <v>0</v>
      </c>
      <c r="M776" s="229">
        <v>0</v>
      </c>
      <c r="N776" s="229">
        <v>0</v>
      </c>
      <c r="O776" s="229">
        <v>0</v>
      </c>
      <c r="P776" s="26">
        <v>0</v>
      </c>
      <c r="Q776" s="14">
        <v>0</v>
      </c>
      <c r="R776" s="229">
        <v>0</v>
      </c>
      <c r="S776" s="229">
        <v>0</v>
      </c>
      <c r="T776" s="229">
        <v>0</v>
      </c>
      <c r="U776" s="229">
        <v>0</v>
      </c>
      <c r="V776" s="229">
        <v>0</v>
      </c>
      <c r="W776" s="229">
        <v>0</v>
      </c>
      <c r="X776" s="229">
        <v>0</v>
      </c>
      <c r="Y776" s="229">
        <v>0</v>
      </c>
      <c r="Z776" s="229">
        <v>0</v>
      </c>
      <c r="AA776" s="229">
        <v>0</v>
      </c>
      <c r="AC776" s="12">
        <v>2</v>
      </c>
      <c r="AD776" s="14">
        <v>2</v>
      </c>
      <c r="AE776" s="14">
        <v>195</v>
      </c>
      <c r="AF776" s="26">
        <v>354</v>
      </c>
      <c r="AG776" s="12">
        <v>96</v>
      </c>
      <c r="AH776" s="14">
        <v>0</v>
      </c>
      <c r="AI776" s="209"/>
      <c r="AJ776" s="3"/>
      <c r="AK776" s="3"/>
      <c r="AL776" s="3"/>
      <c r="AM776" s="3"/>
      <c r="AN776" s="3"/>
      <c r="AO776" s="40"/>
      <c r="AP776" s="209"/>
      <c r="AQ776" s="3"/>
      <c r="AR776" s="40"/>
      <c r="AS776" s="238"/>
    </row>
    <row r="777" spans="1:45" s="229" customFormat="1" ht="17" thickBot="1">
      <c r="A777" s="55" t="s">
        <v>322</v>
      </c>
      <c r="B777" s="388">
        <v>8.7550000000000008</v>
      </c>
      <c r="C777" s="36" t="s">
        <v>198</v>
      </c>
      <c r="D777" s="36" t="s">
        <v>168</v>
      </c>
      <c r="E777" s="36"/>
      <c r="F777" s="36">
        <v>1763</v>
      </c>
      <c r="G777" s="48">
        <f>F777/575</f>
        <v>3.066086956521739</v>
      </c>
      <c r="H777" s="34">
        <v>0</v>
      </c>
      <c r="I777" s="36">
        <v>0</v>
      </c>
      <c r="J777" s="36">
        <v>1</v>
      </c>
      <c r="K777" s="35">
        <v>1</v>
      </c>
      <c r="L777" s="34">
        <v>0</v>
      </c>
      <c r="M777" s="36">
        <v>0</v>
      </c>
      <c r="N777" s="36">
        <v>0</v>
      </c>
      <c r="O777" s="36">
        <v>1</v>
      </c>
      <c r="P777" s="35">
        <v>1</v>
      </c>
      <c r="Q777" s="34">
        <v>0</v>
      </c>
      <c r="R777" s="36">
        <v>0</v>
      </c>
      <c r="S777" s="36">
        <v>0</v>
      </c>
      <c r="T777" s="36">
        <v>0</v>
      </c>
      <c r="U777" s="36">
        <v>0</v>
      </c>
      <c r="V777" s="36">
        <v>0</v>
      </c>
      <c r="W777" s="36">
        <v>0</v>
      </c>
      <c r="X777" s="36">
        <v>0</v>
      </c>
      <c r="Y777" s="36">
        <v>0</v>
      </c>
      <c r="Z777" s="36">
        <v>0</v>
      </c>
      <c r="AA777" s="36">
        <v>0</v>
      </c>
      <c r="AB777" s="36">
        <v>0</v>
      </c>
      <c r="AC777" s="33">
        <v>2</v>
      </c>
      <c r="AD777" s="34">
        <v>3</v>
      </c>
      <c r="AE777" s="34">
        <v>487</v>
      </c>
      <c r="AF777" s="35">
        <v>930</v>
      </c>
      <c r="AG777" s="33">
        <v>172</v>
      </c>
      <c r="AH777" s="34">
        <v>0</v>
      </c>
      <c r="AI777" s="210"/>
      <c r="AJ777" s="51"/>
      <c r="AK777" s="51"/>
      <c r="AL777" s="51"/>
      <c r="AM777" s="51"/>
      <c r="AN777" s="51"/>
      <c r="AO777" s="48"/>
      <c r="AP777" s="210"/>
      <c r="AQ777" s="51"/>
      <c r="AR777" s="48"/>
      <c r="AS777" s="239"/>
    </row>
    <row r="778" spans="1:45" s="229" customFormat="1">
      <c r="A778" s="87" t="s">
        <v>708</v>
      </c>
      <c r="B778" s="384">
        <v>38.398333333333333</v>
      </c>
      <c r="C778" s="229" t="s">
        <v>709</v>
      </c>
      <c r="D778" s="229" t="s">
        <v>423</v>
      </c>
      <c r="E778" s="229" t="s">
        <v>0</v>
      </c>
      <c r="F778" s="229">
        <v>489</v>
      </c>
      <c r="G778" s="40">
        <f>F778/251</f>
        <v>1.9482071713147411</v>
      </c>
      <c r="H778" s="14">
        <v>1</v>
      </c>
      <c r="I778" s="229">
        <v>0</v>
      </c>
      <c r="J778" s="229">
        <v>0</v>
      </c>
      <c r="K778" s="26">
        <v>1</v>
      </c>
      <c r="L778" s="14">
        <v>0</v>
      </c>
      <c r="M778" s="229">
        <v>0</v>
      </c>
      <c r="N778" s="229">
        <v>1</v>
      </c>
      <c r="O778" s="229">
        <v>0</v>
      </c>
      <c r="P778" s="26">
        <v>1</v>
      </c>
      <c r="Q778" s="14">
        <v>3</v>
      </c>
      <c r="R778" s="229">
        <v>9</v>
      </c>
      <c r="S778" s="229">
        <v>28</v>
      </c>
      <c r="T778" s="229">
        <v>0</v>
      </c>
      <c r="U778" s="229">
        <v>0</v>
      </c>
      <c r="V778" s="229">
        <v>0</v>
      </c>
      <c r="W778" s="229">
        <v>0</v>
      </c>
      <c r="X778" s="229">
        <v>0</v>
      </c>
      <c r="Y778" s="229">
        <v>0</v>
      </c>
      <c r="Z778" s="229">
        <v>0</v>
      </c>
      <c r="AA778" s="229">
        <v>0</v>
      </c>
      <c r="AB778" s="229">
        <v>0</v>
      </c>
      <c r="AC778" s="12">
        <v>2</v>
      </c>
      <c r="AD778" s="14">
        <v>2</v>
      </c>
      <c r="AE778" s="14">
        <v>298</v>
      </c>
      <c r="AF778" s="26">
        <v>358</v>
      </c>
      <c r="AG778" s="12">
        <v>151</v>
      </c>
      <c r="AH778" s="14">
        <v>0</v>
      </c>
      <c r="AI778" s="209"/>
      <c r="AJ778" s="3"/>
      <c r="AK778" s="3"/>
      <c r="AL778" s="3"/>
      <c r="AM778" s="3"/>
      <c r="AN778" s="3"/>
      <c r="AO778" s="40"/>
      <c r="AP778" s="209"/>
      <c r="AQ778" s="3"/>
      <c r="AR778" s="40"/>
      <c r="AS778" s="238"/>
    </row>
    <row r="779" spans="1:45" s="229" customFormat="1">
      <c r="A779" s="42" t="s">
        <v>708</v>
      </c>
      <c r="B779" s="386">
        <v>38.398333333333333</v>
      </c>
      <c r="C779" s="229" t="s">
        <v>709</v>
      </c>
      <c r="D779" s="229" t="s">
        <v>423</v>
      </c>
      <c r="E779" s="229" t="s">
        <v>1</v>
      </c>
      <c r="F779" s="229">
        <v>439</v>
      </c>
      <c r="G779" s="40">
        <f>F779/250</f>
        <v>1.756</v>
      </c>
      <c r="H779" s="14">
        <v>0</v>
      </c>
      <c r="I779" s="229">
        <v>0</v>
      </c>
      <c r="J779" s="229">
        <v>0</v>
      </c>
      <c r="K779" s="26">
        <v>1</v>
      </c>
      <c r="L779" s="14">
        <v>0</v>
      </c>
      <c r="M779" s="229">
        <v>0</v>
      </c>
      <c r="N779" s="229">
        <v>1</v>
      </c>
      <c r="O779" s="229">
        <v>0</v>
      </c>
      <c r="P779" s="26">
        <v>1</v>
      </c>
      <c r="Q779" s="14">
        <v>2</v>
      </c>
      <c r="R779" s="229">
        <v>0</v>
      </c>
      <c r="S779" s="229">
        <v>0</v>
      </c>
      <c r="T779" s="229">
        <v>0</v>
      </c>
      <c r="U779" s="229">
        <v>0</v>
      </c>
      <c r="V779" s="229">
        <v>27</v>
      </c>
      <c r="W779" s="229">
        <v>53</v>
      </c>
      <c r="X779" s="229">
        <v>0</v>
      </c>
      <c r="Y779" s="229">
        <v>0</v>
      </c>
      <c r="Z779" s="229">
        <v>0</v>
      </c>
      <c r="AA779" s="229">
        <v>0</v>
      </c>
      <c r="AB779" s="229">
        <v>0</v>
      </c>
      <c r="AC779" s="12">
        <v>1</v>
      </c>
      <c r="AD779" s="14">
        <v>1</v>
      </c>
      <c r="AE779" s="14">
        <v>0</v>
      </c>
      <c r="AF779" s="26">
        <v>0</v>
      </c>
      <c r="AG779" s="12">
        <v>151</v>
      </c>
      <c r="AH779" s="14">
        <v>1</v>
      </c>
      <c r="AI779" s="209"/>
      <c r="AJ779" s="3"/>
      <c r="AK779" s="3"/>
      <c r="AL779" s="3"/>
      <c r="AM779" s="3"/>
      <c r="AN779" s="3"/>
      <c r="AO779" s="40"/>
      <c r="AP779" s="209"/>
      <c r="AQ779" s="3"/>
      <c r="AR779" s="40"/>
      <c r="AS779" s="238"/>
    </row>
    <row r="780" spans="1:45" s="229" customFormat="1">
      <c r="A780" s="42" t="s">
        <v>708</v>
      </c>
      <c r="B780" s="386">
        <v>38.398333333333333</v>
      </c>
      <c r="C780" s="229" t="s">
        <v>709</v>
      </c>
      <c r="D780" s="229" t="s">
        <v>622</v>
      </c>
      <c r="E780" s="229" t="s">
        <v>0</v>
      </c>
      <c r="F780" s="229">
        <v>275</v>
      </c>
      <c r="G780" s="40">
        <f>F780/199</f>
        <v>1.3819095477386936</v>
      </c>
      <c r="H780" s="14">
        <v>0</v>
      </c>
      <c r="I780" s="229">
        <v>0</v>
      </c>
      <c r="J780" s="229">
        <v>1</v>
      </c>
      <c r="K780" s="26">
        <v>1</v>
      </c>
      <c r="L780" s="14">
        <v>0</v>
      </c>
      <c r="M780" s="229">
        <v>0</v>
      </c>
      <c r="N780" s="229">
        <v>1</v>
      </c>
      <c r="O780" s="229">
        <v>0</v>
      </c>
      <c r="P780" s="26">
        <v>1</v>
      </c>
      <c r="Q780" s="14">
        <v>0</v>
      </c>
      <c r="R780" s="229">
        <v>0</v>
      </c>
      <c r="S780" s="229">
        <v>0</v>
      </c>
      <c r="T780" s="229">
        <v>0</v>
      </c>
      <c r="U780" s="229">
        <v>0</v>
      </c>
      <c r="V780" s="229">
        <v>0</v>
      </c>
      <c r="W780" s="229">
        <v>0</v>
      </c>
      <c r="X780" s="229">
        <v>0</v>
      </c>
      <c r="Y780" s="229">
        <v>0</v>
      </c>
      <c r="Z780" s="229">
        <v>0</v>
      </c>
      <c r="AA780" s="229">
        <v>0</v>
      </c>
      <c r="AB780" s="229">
        <v>0</v>
      </c>
      <c r="AC780" s="12">
        <v>2</v>
      </c>
      <c r="AD780" s="14">
        <v>3</v>
      </c>
      <c r="AE780" s="14">
        <v>42</v>
      </c>
      <c r="AF780" s="26">
        <v>166</v>
      </c>
      <c r="AG780" s="12">
        <v>167</v>
      </c>
      <c r="AH780" s="14">
        <v>0</v>
      </c>
      <c r="AI780" s="209"/>
      <c r="AJ780" s="3"/>
      <c r="AK780" s="3"/>
      <c r="AL780" s="3"/>
      <c r="AM780" s="3"/>
      <c r="AN780" s="3"/>
      <c r="AO780" s="40"/>
      <c r="AP780" s="209"/>
      <c r="AQ780" s="3"/>
      <c r="AR780" s="40"/>
      <c r="AS780" s="238"/>
    </row>
    <row r="781" spans="1:45" s="229" customFormat="1">
      <c r="A781" s="42" t="s">
        <v>708</v>
      </c>
      <c r="B781" s="386">
        <v>38.398333333333333</v>
      </c>
      <c r="C781" s="229" t="s">
        <v>709</v>
      </c>
      <c r="D781" s="229" t="s">
        <v>622</v>
      </c>
      <c r="E781" s="229" t="s">
        <v>1</v>
      </c>
      <c r="F781" s="229">
        <v>430</v>
      </c>
      <c r="G781" s="40">
        <f>F781/377</f>
        <v>1.1405835543766578</v>
      </c>
      <c r="H781" s="14">
        <v>0</v>
      </c>
      <c r="I781" s="229">
        <v>0</v>
      </c>
      <c r="J781" s="229">
        <v>0</v>
      </c>
      <c r="K781" s="26">
        <v>1</v>
      </c>
      <c r="L781" s="14">
        <v>0</v>
      </c>
      <c r="M781" s="229">
        <v>0</v>
      </c>
      <c r="N781" s="229">
        <v>1</v>
      </c>
      <c r="O781" s="229">
        <v>0</v>
      </c>
      <c r="P781" s="26">
        <v>1</v>
      </c>
      <c r="Q781" s="14">
        <v>1</v>
      </c>
      <c r="R781" s="229">
        <v>0</v>
      </c>
      <c r="S781" s="229">
        <v>0</v>
      </c>
      <c r="T781" s="229">
        <v>0</v>
      </c>
      <c r="U781" s="229">
        <v>0</v>
      </c>
      <c r="V781" s="229">
        <v>0</v>
      </c>
      <c r="W781" s="229">
        <v>12</v>
      </c>
      <c r="X781" s="229">
        <v>0</v>
      </c>
      <c r="Y781" s="229">
        <v>0</v>
      </c>
      <c r="Z781" s="229">
        <v>0</v>
      </c>
      <c r="AA781" s="229">
        <v>0</v>
      </c>
      <c r="AB781" s="229">
        <v>0</v>
      </c>
      <c r="AC781" s="12">
        <v>2</v>
      </c>
      <c r="AD781" s="14">
        <v>7</v>
      </c>
      <c r="AE781" s="14">
        <v>47</v>
      </c>
      <c r="AF781" s="26">
        <v>255</v>
      </c>
      <c r="AG781" s="12">
        <v>167</v>
      </c>
      <c r="AH781" s="14">
        <v>1</v>
      </c>
      <c r="AI781" s="209"/>
      <c r="AJ781" s="3"/>
      <c r="AK781" s="3"/>
      <c r="AL781" s="3"/>
      <c r="AM781" s="3"/>
      <c r="AN781" s="3"/>
      <c r="AO781" s="40"/>
      <c r="AP781" s="209"/>
      <c r="AQ781" s="3"/>
      <c r="AR781" s="40"/>
      <c r="AS781" s="238"/>
    </row>
    <row r="782" spans="1:45" s="229" customFormat="1">
      <c r="A782" s="42" t="s">
        <v>708</v>
      </c>
      <c r="B782" s="386">
        <v>38.398333333333333</v>
      </c>
      <c r="C782" s="24" t="s">
        <v>709</v>
      </c>
      <c r="D782" s="229" t="s">
        <v>620</v>
      </c>
      <c r="E782" s="229" t="s">
        <v>0</v>
      </c>
      <c r="F782" s="229">
        <v>523</v>
      </c>
      <c r="G782" s="40">
        <f>F782/355</f>
        <v>1.4732394366197183</v>
      </c>
      <c r="H782" s="14">
        <v>0</v>
      </c>
      <c r="I782" s="229">
        <v>0</v>
      </c>
      <c r="J782" s="229">
        <v>0</v>
      </c>
      <c r="K782" s="26">
        <v>1</v>
      </c>
      <c r="L782" s="14">
        <v>0</v>
      </c>
      <c r="M782" s="229">
        <v>0</v>
      </c>
      <c r="N782" s="229">
        <v>1</v>
      </c>
      <c r="O782" s="229">
        <v>0</v>
      </c>
      <c r="P782" s="26">
        <v>1</v>
      </c>
      <c r="Q782" s="14">
        <v>0</v>
      </c>
      <c r="R782" s="229">
        <v>0</v>
      </c>
      <c r="S782" s="229">
        <v>0</v>
      </c>
      <c r="T782" s="229">
        <v>0</v>
      </c>
      <c r="U782" s="229">
        <v>0</v>
      </c>
      <c r="V782" s="229">
        <v>0</v>
      </c>
      <c r="W782" s="229">
        <v>0</v>
      </c>
      <c r="X782" s="229">
        <v>0</v>
      </c>
      <c r="Y782" s="229">
        <v>0</v>
      </c>
      <c r="Z782" s="229">
        <v>0</v>
      </c>
      <c r="AA782" s="229">
        <v>0</v>
      </c>
      <c r="AB782" s="229">
        <v>0</v>
      </c>
      <c r="AC782" s="12">
        <v>2</v>
      </c>
      <c r="AD782" s="14">
        <v>3</v>
      </c>
      <c r="AE782" s="14">
        <v>43</v>
      </c>
      <c r="AF782" s="26">
        <v>523</v>
      </c>
      <c r="AG782" s="12">
        <v>131</v>
      </c>
      <c r="AH782" s="14">
        <v>0</v>
      </c>
      <c r="AI782" s="209"/>
      <c r="AJ782" s="3"/>
      <c r="AK782" s="3"/>
      <c r="AL782" s="3"/>
      <c r="AM782" s="3"/>
      <c r="AN782" s="3"/>
      <c r="AO782" s="40"/>
      <c r="AP782" s="209"/>
      <c r="AQ782" s="3"/>
      <c r="AR782" s="40"/>
      <c r="AS782" s="238"/>
    </row>
    <row r="783" spans="1:45" s="229" customFormat="1">
      <c r="A783" s="42" t="s">
        <v>708</v>
      </c>
      <c r="B783" s="386">
        <v>38.398333333333333</v>
      </c>
      <c r="C783" s="24" t="s">
        <v>709</v>
      </c>
      <c r="D783" s="229" t="s">
        <v>620</v>
      </c>
      <c r="E783" s="229" t="s">
        <v>1</v>
      </c>
      <c r="F783" s="229">
        <v>316</v>
      </c>
      <c r="G783" s="40">
        <f>F783/261</f>
        <v>1.210727969348659</v>
      </c>
      <c r="H783" s="14">
        <v>0</v>
      </c>
      <c r="I783" s="229">
        <v>0</v>
      </c>
      <c r="J783" s="229">
        <v>0</v>
      </c>
      <c r="K783" s="26">
        <v>1</v>
      </c>
      <c r="L783" s="14">
        <v>0</v>
      </c>
      <c r="M783" s="229">
        <v>0</v>
      </c>
      <c r="N783" s="229">
        <v>1</v>
      </c>
      <c r="O783" s="229">
        <v>0</v>
      </c>
      <c r="P783" s="26">
        <v>1</v>
      </c>
      <c r="Q783" s="14">
        <v>2</v>
      </c>
      <c r="R783" s="229">
        <v>0</v>
      </c>
      <c r="S783" s="229">
        <v>0</v>
      </c>
      <c r="T783" s="229">
        <v>0</v>
      </c>
      <c r="U783" s="229">
        <v>0</v>
      </c>
      <c r="V783" s="229">
        <v>0</v>
      </c>
      <c r="W783" s="229">
        <v>31</v>
      </c>
      <c r="X783" s="229">
        <v>0</v>
      </c>
      <c r="Y783" s="229">
        <v>0</v>
      </c>
      <c r="Z783" s="229">
        <v>0</v>
      </c>
      <c r="AA783" s="229">
        <v>0</v>
      </c>
      <c r="AB783" s="229">
        <v>0</v>
      </c>
      <c r="AC783" s="12">
        <v>2</v>
      </c>
      <c r="AD783" s="14">
        <v>2</v>
      </c>
      <c r="AE783" s="14">
        <v>73</v>
      </c>
      <c r="AF783" s="26">
        <v>261</v>
      </c>
      <c r="AG783" s="12">
        <v>131</v>
      </c>
      <c r="AH783" s="14">
        <v>0</v>
      </c>
      <c r="AI783" s="209"/>
      <c r="AJ783" s="3"/>
      <c r="AK783" s="3"/>
      <c r="AL783" s="3"/>
      <c r="AM783" s="3"/>
      <c r="AN783" s="3"/>
      <c r="AO783" s="40"/>
      <c r="AP783" s="209"/>
      <c r="AQ783" s="3"/>
      <c r="AR783" s="40"/>
      <c r="AS783" s="238"/>
    </row>
    <row r="784" spans="1:45" s="229" customFormat="1">
      <c r="A784" s="42" t="s">
        <v>708</v>
      </c>
      <c r="B784" s="386">
        <v>38.398333333333333</v>
      </c>
      <c r="C784" s="24" t="s">
        <v>709</v>
      </c>
      <c r="D784" s="229" t="s">
        <v>620</v>
      </c>
      <c r="E784" s="229" t="s">
        <v>2</v>
      </c>
      <c r="F784" s="229">
        <v>212</v>
      </c>
      <c r="G784" s="40">
        <f>F784/83</f>
        <v>2.5542168674698793</v>
      </c>
      <c r="H784" s="14">
        <v>0</v>
      </c>
      <c r="I784" s="229">
        <v>0</v>
      </c>
      <c r="J784" s="229">
        <v>0</v>
      </c>
      <c r="K784" s="26">
        <v>1</v>
      </c>
      <c r="L784" s="14">
        <v>0</v>
      </c>
      <c r="M784" s="229">
        <v>0</v>
      </c>
      <c r="N784" s="229">
        <v>1</v>
      </c>
      <c r="O784" s="229">
        <v>0</v>
      </c>
      <c r="P784" s="26">
        <v>1</v>
      </c>
      <c r="Q784" s="14">
        <v>5</v>
      </c>
      <c r="R784" s="229">
        <v>0</v>
      </c>
      <c r="S784" s="229">
        <v>17</v>
      </c>
      <c r="T784" s="229">
        <v>0</v>
      </c>
      <c r="U784" s="229">
        <v>0</v>
      </c>
      <c r="V784" s="229">
        <v>0</v>
      </c>
      <c r="W784" s="229">
        <v>0</v>
      </c>
      <c r="X784" s="229">
        <v>0</v>
      </c>
      <c r="Y784" s="229">
        <v>0</v>
      </c>
      <c r="Z784" s="229">
        <v>0</v>
      </c>
      <c r="AA784" s="229">
        <v>0</v>
      </c>
      <c r="AB784" s="229">
        <v>0</v>
      </c>
      <c r="AC784" s="12">
        <v>1</v>
      </c>
      <c r="AD784" s="14">
        <v>1</v>
      </c>
      <c r="AE784" s="14">
        <v>0</v>
      </c>
      <c r="AF784" s="26">
        <v>0</v>
      </c>
      <c r="AG784" s="12">
        <v>131</v>
      </c>
      <c r="AH784" s="14">
        <v>0</v>
      </c>
      <c r="AI784" s="209"/>
      <c r="AJ784" s="3"/>
      <c r="AK784" s="3"/>
      <c r="AL784" s="3"/>
      <c r="AM784" s="3"/>
      <c r="AN784" s="3"/>
      <c r="AO784" s="40"/>
      <c r="AP784" s="209"/>
      <c r="AQ784" s="3"/>
      <c r="AR784" s="40"/>
      <c r="AS784" s="238"/>
    </row>
    <row r="785" spans="1:45" s="229" customFormat="1">
      <c r="A785" s="42" t="s">
        <v>708</v>
      </c>
      <c r="B785" s="386">
        <v>38.398333333333333</v>
      </c>
      <c r="C785" s="24" t="s">
        <v>709</v>
      </c>
      <c r="D785" s="229" t="s">
        <v>634</v>
      </c>
      <c r="F785" s="229">
        <v>397</v>
      </c>
      <c r="G785" s="40">
        <f>F785/340</f>
        <v>1.1676470588235295</v>
      </c>
      <c r="H785" s="14">
        <v>0</v>
      </c>
      <c r="I785" s="229">
        <v>0</v>
      </c>
      <c r="J785" s="229">
        <v>0</v>
      </c>
      <c r="K785" s="26">
        <v>1</v>
      </c>
      <c r="L785" s="14">
        <v>0</v>
      </c>
      <c r="M785" s="229">
        <v>0</v>
      </c>
      <c r="N785" s="229">
        <v>1</v>
      </c>
      <c r="O785" s="229">
        <v>0</v>
      </c>
      <c r="P785" s="26">
        <v>1</v>
      </c>
      <c r="Q785" s="14">
        <v>5</v>
      </c>
      <c r="R785" s="229">
        <v>0</v>
      </c>
      <c r="S785" s="229">
        <v>0</v>
      </c>
      <c r="T785" s="229">
        <v>0</v>
      </c>
      <c r="U785" s="229">
        <v>0</v>
      </c>
      <c r="V785" s="229">
        <v>0</v>
      </c>
      <c r="W785" s="229">
        <v>0</v>
      </c>
      <c r="X785" s="229">
        <v>0</v>
      </c>
      <c r="Y785" s="229">
        <v>0</v>
      </c>
      <c r="Z785" s="229">
        <v>0</v>
      </c>
      <c r="AA785" s="229">
        <v>97</v>
      </c>
      <c r="AB785" s="229">
        <v>0</v>
      </c>
      <c r="AC785" s="12">
        <v>1</v>
      </c>
      <c r="AD785" s="14">
        <v>1</v>
      </c>
      <c r="AE785" s="14">
        <v>0</v>
      </c>
      <c r="AF785" s="26">
        <v>0</v>
      </c>
      <c r="AG785" s="12">
        <v>82</v>
      </c>
      <c r="AH785" s="14">
        <v>0</v>
      </c>
      <c r="AI785" s="209">
        <v>85.51825378662754</v>
      </c>
      <c r="AJ785" s="3"/>
      <c r="AK785" s="3"/>
      <c r="AL785" s="3"/>
      <c r="AM785" s="3"/>
      <c r="AN785" s="3"/>
      <c r="AO785" s="40"/>
      <c r="AP785" s="209">
        <v>85.083650411430185</v>
      </c>
      <c r="AQ785" s="3"/>
      <c r="AR785" s="40"/>
      <c r="AS785" s="238"/>
    </row>
    <row r="786" spans="1:45" s="229" customFormat="1">
      <c r="A786" s="42" t="s">
        <v>708</v>
      </c>
      <c r="B786" s="386">
        <v>38.398333333333333</v>
      </c>
      <c r="C786" s="229" t="s">
        <v>709</v>
      </c>
      <c r="D786" s="229" t="s">
        <v>625</v>
      </c>
      <c r="F786" s="229">
        <v>523</v>
      </c>
      <c r="G786" s="40">
        <f>F786/515</f>
        <v>1.0155339805825243</v>
      </c>
      <c r="H786" s="14">
        <v>0</v>
      </c>
      <c r="I786" s="229">
        <v>1</v>
      </c>
      <c r="J786" s="229">
        <v>0</v>
      </c>
      <c r="K786" s="26">
        <v>1</v>
      </c>
      <c r="L786" s="14">
        <v>0</v>
      </c>
      <c r="M786" s="229">
        <v>0</v>
      </c>
      <c r="N786" s="229">
        <v>1</v>
      </c>
      <c r="O786" s="229">
        <v>0</v>
      </c>
      <c r="P786" s="26">
        <v>1</v>
      </c>
      <c r="Q786" s="14">
        <v>2</v>
      </c>
      <c r="R786" s="229">
        <v>0</v>
      </c>
      <c r="S786" s="229">
        <v>0</v>
      </c>
      <c r="T786" s="229">
        <v>0</v>
      </c>
      <c r="U786" s="229">
        <v>0</v>
      </c>
      <c r="V786" s="229">
        <v>0</v>
      </c>
      <c r="W786" s="229">
        <v>0</v>
      </c>
      <c r="X786" s="229">
        <v>0</v>
      </c>
      <c r="Y786" s="229">
        <v>0</v>
      </c>
      <c r="Z786" s="229">
        <v>0</v>
      </c>
      <c r="AA786" s="229">
        <v>74</v>
      </c>
      <c r="AB786" s="229">
        <v>0</v>
      </c>
      <c r="AC786" s="12">
        <v>2</v>
      </c>
      <c r="AD786" s="14">
        <v>6</v>
      </c>
      <c r="AE786" s="14">
        <v>64</v>
      </c>
      <c r="AF786" s="26">
        <v>302</v>
      </c>
      <c r="AG786" s="12">
        <v>140</v>
      </c>
      <c r="AH786" s="14">
        <v>0</v>
      </c>
      <c r="AI786" s="209"/>
      <c r="AJ786" s="3"/>
      <c r="AK786" s="3"/>
      <c r="AL786" s="3"/>
      <c r="AM786" s="3"/>
      <c r="AN786" s="3"/>
      <c r="AO786" s="40"/>
      <c r="AP786" s="209"/>
      <c r="AQ786" s="3"/>
      <c r="AR786" s="40"/>
      <c r="AS786" s="238"/>
    </row>
    <row r="787" spans="1:45" s="229" customFormat="1">
      <c r="A787" s="42" t="s">
        <v>708</v>
      </c>
      <c r="B787" s="386">
        <v>38.398333333333333</v>
      </c>
      <c r="C787" s="24" t="s">
        <v>709</v>
      </c>
      <c r="D787" s="229" t="s">
        <v>630</v>
      </c>
      <c r="E787" s="229" t="s">
        <v>0</v>
      </c>
      <c r="F787" s="229">
        <v>173</v>
      </c>
      <c r="G787" s="40">
        <f>F787/106</f>
        <v>1.6320754716981132</v>
      </c>
      <c r="H787" s="14">
        <v>0</v>
      </c>
      <c r="I787" s="229">
        <v>0</v>
      </c>
      <c r="J787" s="229">
        <v>0</v>
      </c>
      <c r="K787" s="26">
        <v>1</v>
      </c>
      <c r="L787" s="14">
        <v>0</v>
      </c>
      <c r="M787" s="229">
        <v>0</v>
      </c>
      <c r="N787" s="229">
        <v>1</v>
      </c>
      <c r="O787" s="229">
        <v>0</v>
      </c>
      <c r="P787" s="26">
        <v>1</v>
      </c>
      <c r="Q787" s="14">
        <v>10</v>
      </c>
      <c r="R787" s="229">
        <v>0</v>
      </c>
      <c r="S787" s="229">
        <v>12</v>
      </c>
      <c r="T787" s="229">
        <v>0</v>
      </c>
      <c r="U787" s="229">
        <v>0</v>
      </c>
      <c r="V787" s="229">
        <v>0</v>
      </c>
      <c r="W787" s="229">
        <v>0</v>
      </c>
      <c r="X787" s="229">
        <v>0</v>
      </c>
      <c r="Y787" s="229">
        <v>33</v>
      </c>
      <c r="Z787" s="229">
        <v>0</v>
      </c>
      <c r="AA787" s="229">
        <v>0</v>
      </c>
      <c r="AB787" s="229">
        <v>0</v>
      </c>
      <c r="AC787" s="12">
        <v>1</v>
      </c>
      <c r="AD787" s="14">
        <v>1</v>
      </c>
      <c r="AE787" s="14">
        <v>0</v>
      </c>
      <c r="AF787" s="26">
        <v>0</v>
      </c>
      <c r="AG787" s="12">
        <v>154</v>
      </c>
      <c r="AH787" s="14">
        <v>1</v>
      </c>
      <c r="AI787" s="209"/>
      <c r="AJ787" s="3"/>
      <c r="AK787" s="3"/>
      <c r="AL787" s="3"/>
      <c r="AM787" s="3"/>
      <c r="AN787" s="3"/>
      <c r="AO787" s="40"/>
      <c r="AP787" s="209"/>
      <c r="AQ787" s="3"/>
      <c r="AR787" s="40"/>
      <c r="AS787" s="238"/>
    </row>
    <row r="788" spans="1:45" s="229" customFormat="1">
      <c r="A788" s="42" t="s">
        <v>708</v>
      </c>
      <c r="B788" s="386">
        <v>38.398333333333333</v>
      </c>
      <c r="C788" s="24" t="s">
        <v>709</v>
      </c>
      <c r="D788" s="229" t="s">
        <v>630</v>
      </c>
      <c r="E788" s="229" t="s">
        <v>1</v>
      </c>
      <c r="F788" s="229">
        <v>190</v>
      </c>
      <c r="G788" s="40">
        <f>F788/138</f>
        <v>1.3768115942028984</v>
      </c>
      <c r="H788" s="14">
        <v>1</v>
      </c>
      <c r="I788" s="229">
        <v>0</v>
      </c>
      <c r="J788" s="229">
        <v>0</v>
      </c>
      <c r="K788" s="26">
        <v>1</v>
      </c>
      <c r="L788" s="14">
        <v>0</v>
      </c>
      <c r="M788" s="229">
        <v>0</v>
      </c>
      <c r="N788" s="229">
        <v>0</v>
      </c>
      <c r="O788" s="229">
        <v>0</v>
      </c>
      <c r="P788" s="26">
        <v>0</v>
      </c>
      <c r="Q788" s="14">
        <v>0</v>
      </c>
      <c r="R788" s="229">
        <v>0</v>
      </c>
      <c r="S788" s="229">
        <v>0</v>
      </c>
      <c r="T788" s="229">
        <v>0</v>
      </c>
      <c r="U788" s="229">
        <v>0</v>
      </c>
      <c r="V788" s="229">
        <v>0</v>
      </c>
      <c r="W788" s="229">
        <v>0</v>
      </c>
      <c r="X788" s="229">
        <v>0</v>
      </c>
      <c r="Y788" s="229">
        <v>0</v>
      </c>
      <c r="Z788" s="229">
        <v>0</v>
      </c>
      <c r="AA788" s="229">
        <v>0</v>
      </c>
      <c r="AB788" s="229">
        <v>0</v>
      </c>
      <c r="AC788" s="12">
        <v>2</v>
      </c>
      <c r="AD788" s="14">
        <v>7</v>
      </c>
      <c r="AE788" s="14">
        <v>28</v>
      </c>
      <c r="AF788" s="26">
        <v>124</v>
      </c>
      <c r="AG788" s="12">
        <v>154</v>
      </c>
      <c r="AH788" s="14">
        <v>0</v>
      </c>
      <c r="AI788" s="209"/>
      <c r="AJ788" s="3"/>
      <c r="AK788" s="3"/>
      <c r="AL788" s="3"/>
      <c r="AM788" s="3"/>
      <c r="AN788" s="3"/>
      <c r="AO788" s="40"/>
      <c r="AP788" s="209"/>
      <c r="AQ788" s="3"/>
      <c r="AR788" s="40"/>
      <c r="AS788" s="238"/>
    </row>
    <row r="789" spans="1:45" s="229" customFormat="1">
      <c r="A789" s="42" t="s">
        <v>708</v>
      </c>
      <c r="B789" s="386">
        <v>38.398333333333333</v>
      </c>
      <c r="C789" s="24" t="s">
        <v>709</v>
      </c>
      <c r="D789" s="229" t="s">
        <v>630</v>
      </c>
      <c r="E789" s="229" t="s">
        <v>2</v>
      </c>
      <c r="F789" s="229">
        <v>136</v>
      </c>
      <c r="G789" s="40">
        <f>F789/71</f>
        <v>1.9154929577464788</v>
      </c>
      <c r="H789" s="14">
        <v>0</v>
      </c>
      <c r="I789" s="229">
        <v>0</v>
      </c>
      <c r="J789" s="229">
        <v>0</v>
      </c>
      <c r="K789" s="26">
        <v>1</v>
      </c>
      <c r="L789" s="23">
        <v>0</v>
      </c>
      <c r="M789" s="24">
        <v>0</v>
      </c>
      <c r="N789" s="24">
        <v>1</v>
      </c>
      <c r="O789" s="24">
        <v>0</v>
      </c>
      <c r="P789" s="26">
        <v>1</v>
      </c>
      <c r="Q789" s="14">
        <v>0</v>
      </c>
      <c r="R789" s="229">
        <v>0</v>
      </c>
      <c r="S789" s="229">
        <v>0</v>
      </c>
      <c r="T789" s="229">
        <v>0</v>
      </c>
      <c r="U789" s="229">
        <v>0</v>
      </c>
      <c r="V789" s="229">
        <v>0</v>
      </c>
      <c r="W789" s="229">
        <v>0</v>
      </c>
      <c r="X789" s="229">
        <v>0</v>
      </c>
      <c r="Y789" s="229">
        <v>0</v>
      </c>
      <c r="Z789" s="229">
        <v>0</v>
      </c>
      <c r="AA789" s="229">
        <v>0</v>
      </c>
      <c r="AB789" s="229">
        <v>0</v>
      </c>
      <c r="AC789" s="12">
        <v>1</v>
      </c>
      <c r="AD789" s="14">
        <v>1</v>
      </c>
      <c r="AE789" s="14">
        <v>0</v>
      </c>
      <c r="AF789" s="26">
        <v>0</v>
      </c>
      <c r="AG789" s="12">
        <v>154</v>
      </c>
      <c r="AH789" s="14">
        <v>0</v>
      </c>
      <c r="AI789" s="209"/>
      <c r="AJ789" s="3"/>
      <c r="AK789" s="3"/>
      <c r="AL789" s="3"/>
      <c r="AM789" s="3"/>
      <c r="AN789" s="3"/>
      <c r="AO789" s="40"/>
      <c r="AP789" s="209"/>
      <c r="AQ789" s="3"/>
      <c r="AR789" s="40"/>
      <c r="AS789" s="238"/>
    </row>
    <row r="790" spans="1:45" s="229" customFormat="1">
      <c r="A790" s="42" t="s">
        <v>708</v>
      </c>
      <c r="B790" s="386">
        <v>38.398333333333333</v>
      </c>
      <c r="C790" s="24" t="s">
        <v>709</v>
      </c>
      <c r="D790" s="229" t="s">
        <v>630</v>
      </c>
      <c r="E790" s="229" t="s">
        <v>3</v>
      </c>
      <c r="F790" s="229">
        <v>248</v>
      </c>
      <c r="G790" s="40">
        <f>F790/97</f>
        <v>2.5567010309278349</v>
      </c>
      <c r="H790" s="14">
        <v>1</v>
      </c>
      <c r="I790" s="229">
        <v>0</v>
      </c>
      <c r="J790" s="229">
        <v>0</v>
      </c>
      <c r="K790" s="26">
        <v>1</v>
      </c>
      <c r="L790" s="23">
        <v>0</v>
      </c>
      <c r="M790" s="24">
        <v>0</v>
      </c>
      <c r="N790" s="24">
        <v>1</v>
      </c>
      <c r="O790" s="24">
        <v>0</v>
      </c>
      <c r="P790" s="26">
        <v>1</v>
      </c>
      <c r="Q790" s="14">
        <v>0</v>
      </c>
      <c r="R790" s="229">
        <v>0</v>
      </c>
      <c r="S790" s="229">
        <v>0</v>
      </c>
      <c r="T790" s="229">
        <v>0</v>
      </c>
      <c r="U790" s="229">
        <v>0</v>
      </c>
      <c r="V790" s="229">
        <v>0</v>
      </c>
      <c r="W790" s="229">
        <v>0</v>
      </c>
      <c r="X790" s="229">
        <v>0</v>
      </c>
      <c r="Y790" s="229">
        <v>0</v>
      </c>
      <c r="Z790" s="229">
        <v>0</v>
      </c>
      <c r="AA790" s="229">
        <v>0</v>
      </c>
      <c r="AB790" s="229">
        <v>0</v>
      </c>
      <c r="AC790" s="12">
        <v>2</v>
      </c>
      <c r="AD790" s="14">
        <v>2</v>
      </c>
      <c r="AE790" s="14">
        <v>98</v>
      </c>
      <c r="AF790" s="26">
        <v>148</v>
      </c>
      <c r="AG790" s="12">
        <v>154</v>
      </c>
      <c r="AH790" s="14">
        <v>0</v>
      </c>
      <c r="AI790" s="209"/>
      <c r="AJ790" s="3"/>
      <c r="AK790" s="3"/>
      <c r="AL790" s="3"/>
      <c r="AM790" s="3"/>
      <c r="AN790" s="3"/>
      <c r="AO790" s="40"/>
      <c r="AP790" s="209"/>
      <c r="AQ790" s="3"/>
      <c r="AR790" s="40"/>
      <c r="AS790" s="238"/>
    </row>
    <row r="791" spans="1:45" s="229" customFormat="1">
      <c r="A791" s="42" t="s">
        <v>708</v>
      </c>
      <c r="B791" s="386">
        <v>38.398333333333333</v>
      </c>
      <c r="C791" s="24" t="s">
        <v>709</v>
      </c>
      <c r="D791" s="229" t="s">
        <v>630</v>
      </c>
      <c r="E791" s="229" t="s">
        <v>4</v>
      </c>
      <c r="F791" s="229">
        <v>358</v>
      </c>
      <c r="G791" s="40">
        <f>F791/235</f>
        <v>1.5234042553191489</v>
      </c>
      <c r="H791" s="14">
        <v>0</v>
      </c>
      <c r="I791" s="229">
        <v>0</v>
      </c>
      <c r="J791" s="229">
        <v>0</v>
      </c>
      <c r="K791" s="26">
        <v>1</v>
      </c>
      <c r="L791" s="23">
        <v>0</v>
      </c>
      <c r="M791" s="24">
        <v>0</v>
      </c>
      <c r="N791" s="24">
        <v>1</v>
      </c>
      <c r="O791" s="24">
        <v>0</v>
      </c>
      <c r="P791" s="26">
        <v>1</v>
      </c>
      <c r="Q791" s="14">
        <v>0</v>
      </c>
      <c r="R791" s="229">
        <v>0</v>
      </c>
      <c r="S791" s="229">
        <v>0</v>
      </c>
      <c r="T791" s="229">
        <v>0</v>
      </c>
      <c r="U791" s="229">
        <v>0</v>
      </c>
      <c r="V791" s="229">
        <v>0</v>
      </c>
      <c r="W791" s="229">
        <v>0</v>
      </c>
      <c r="X791" s="229">
        <v>0</v>
      </c>
      <c r="Y791" s="229">
        <v>0</v>
      </c>
      <c r="Z791" s="229">
        <v>0</v>
      </c>
      <c r="AA791" s="229">
        <v>0</v>
      </c>
      <c r="AB791" s="229">
        <v>0</v>
      </c>
      <c r="AC791" s="12">
        <v>2</v>
      </c>
      <c r="AD791" s="14">
        <v>4</v>
      </c>
      <c r="AE791" s="14">
        <v>49</v>
      </c>
      <c r="AF791" s="26">
        <v>245</v>
      </c>
      <c r="AG791" s="12">
        <v>154</v>
      </c>
      <c r="AH791" s="14">
        <v>1</v>
      </c>
      <c r="AI791" s="209"/>
      <c r="AJ791" s="3"/>
      <c r="AK791" s="3"/>
      <c r="AL791" s="3"/>
      <c r="AM791" s="3"/>
      <c r="AN791" s="3"/>
      <c r="AO791" s="40"/>
      <c r="AP791" s="209"/>
      <c r="AQ791" s="3"/>
      <c r="AR791" s="40"/>
      <c r="AS791" s="238"/>
    </row>
    <row r="792" spans="1:45" s="229" customFormat="1">
      <c r="A792" s="42" t="s">
        <v>708</v>
      </c>
      <c r="B792" s="386">
        <v>38.398333333333333</v>
      </c>
      <c r="C792" s="24" t="s">
        <v>709</v>
      </c>
      <c r="D792" s="229" t="s">
        <v>638</v>
      </c>
      <c r="E792" s="229" t="s">
        <v>0</v>
      </c>
      <c r="F792" s="229">
        <v>355</v>
      </c>
      <c r="G792" s="40">
        <f>F792/253</f>
        <v>1.4031620553359683</v>
      </c>
      <c r="H792" s="14">
        <v>0</v>
      </c>
      <c r="I792" s="229">
        <v>0</v>
      </c>
      <c r="J792" s="229">
        <v>1</v>
      </c>
      <c r="K792" s="26">
        <v>0</v>
      </c>
      <c r="L792" s="23">
        <v>0</v>
      </c>
      <c r="M792" s="24">
        <v>0</v>
      </c>
      <c r="N792" s="24">
        <v>1</v>
      </c>
      <c r="O792" s="24">
        <v>0</v>
      </c>
      <c r="P792" s="26">
        <v>1</v>
      </c>
      <c r="Q792" s="14">
        <v>8</v>
      </c>
      <c r="R792" s="229">
        <v>0</v>
      </c>
      <c r="S792" s="229">
        <v>54</v>
      </c>
      <c r="T792" s="229">
        <v>0</v>
      </c>
      <c r="U792" s="229">
        <v>0</v>
      </c>
      <c r="V792" s="229">
        <v>0</v>
      </c>
      <c r="W792" s="229">
        <v>0</v>
      </c>
      <c r="X792" s="229">
        <v>0</v>
      </c>
      <c r="Y792" s="229">
        <v>0</v>
      </c>
      <c r="Z792" s="229">
        <v>0</v>
      </c>
      <c r="AA792" s="229">
        <v>0</v>
      </c>
      <c r="AB792" s="229">
        <v>0</v>
      </c>
      <c r="AC792" s="12">
        <v>1</v>
      </c>
      <c r="AD792" s="14">
        <v>1</v>
      </c>
      <c r="AE792" s="14">
        <v>0</v>
      </c>
      <c r="AF792" s="26">
        <v>0</v>
      </c>
      <c r="AG792" s="12">
        <v>155</v>
      </c>
      <c r="AH792" s="14">
        <v>1</v>
      </c>
      <c r="AI792" s="209"/>
      <c r="AJ792" s="3"/>
      <c r="AK792" s="3"/>
      <c r="AL792" s="3"/>
      <c r="AM792" s="3"/>
      <c r="AN792" s="3"/>
      <c r="AO792" s="40"/>
      <c r="AP792" s="209"/>
      <c r="AQ792" s="3"/>
      <c r="AR792" s="40"/>
      <c r="AS792" s="238"/>
    </row>
    <row r="793" spans="1:45" s="229" customFormat="1">
      <c r="A793" s="42" t="s">
        <v>708</v>
      </c>
      <c r="B793" s="386">
        <v>38.398333333333333</v>
      </c>
      <c r="C793" s="24" t="s">
        <v>709</v>
      </c>
      <c r="D793" s="229" t="s">
        <v>638</v>
      </c>
      <c r="E793" s="229" t="s">
        <v>1</v>
      </c>
      <c r="F793" s="229">
        <v>223</v>
      </c>
      <c r="G793" s="40">
        <f>F793/187</f>
        <v>1.1925133689839573</v>
      </c>
      <c r="H793" s="14">
        <v>0</v>
      </c>
      <c r="I793" s="229">
        <v>0</v>
      </c>
      <c r="J793" s="229">
        <v>1</v>
      </c>
      <c r="K793" s="26">
        <v>0</v>
      </c>
      <c r="L793" s="23">
        <v>0</v>
      </c>
      <c r="M793" s="24">
        <v>0</v>
      </c>
      <c r="N793" s="24">
        <v>1</v>
      </c>
      <c r="O793" s="24">
        <v>0</v>
      </c>
      <c r="P793" s="26">
        <v>1</v>
      </c>
      <c r="Q793" s="14">
        <v>0</v>
      </c>
      <c r="R793" s="229">
        <v>0</v>
      </c>
      <c r="S793" s="229">
        <v>0</v>
      </c>
      <c r="T793" s="229">
        <v>0</v>
      </c>
      <c r="U793" s="229">
        <v>0</v>
      </c>
      <c r="V793" s="229">
        <v>0</v>
      </c>
      <c r="W793" s="229">
        <v>0</v>
      </c>
      <c r="X793" s="229">
        <v>0</v>
      </c>
      <c r="Y793" s="229">
        <v>0</v>
      </c>
      <c r="Z793" s="229">
        <v>0</v>
      </c>
      <c r="AA793" s="229">
        <v>0</v>
      </c>
      <c r="AB793" s="229">
        <v>0</v>
      </c>
      <c r="AC793" s="12">
        <v>1</v>
      </c>
      <c r="AD793" s="14">
        <v>1</v>
      </c>
      <c r="AE793" s="14">
        <v>0</v>
      </c>
      <c r="AF793" s="26">
        <v>0</v>
      </c>
      <c r="AG793" s="12">
        <v>155</v>
      </c>
      <c r="AH793" s="14">
        <v>0</v>
      </c>
      <c r="AI793" s="209"/>
      <c r="AJ793" s="3"/>
      <c r="AK793" s="3"/>
      <c r="AL793" s="3"/>
      <c r="AM793" s="3"/>
      <c r="AN793" s="3"/>
      <c r="AO793" s="40"/>
      <c r="AP793" s="209"/>
      <c r="AQ793" s="3"/>
      <c r="AR793" s="40"/>
      <c r="AS793" s="238"/>
    </row>
    <row r="794" spans="1:45" s="229" customFormat="1">
      <c r="A794" s="42" t="s">
        <v>708</v>
      </c>
      <c r="B794" s="386">
        <v>38.398333333333333</v>
      </c>
      <c r="C794" s="24" t="s">
        <v>709</v>
      </c>
      <c r="D794" s="229" t="s">
        <v>638</v>
      </c>
      <c r="E794" s="229" t="s">
        <v>2</v>
      </c>
      <c r="F794" s="229">
        <v>298</v>
      </c>
      <c r="G794" s="40">
        <f>F794/161</f>
        <v>1.8509316770186335</v>
      </c>
      <c r="H794" s="14">
        <v>1</v>
      </c>
      <c r="I794" s="229">
        <v>0</v>
      </c>
      <c r="J794" s="229">
        <v>0</v>
      </c>
      <c r="K794" s="26">
        <v>1</v>
      </c>
      <c r="L794" s="23">
        <v>0</v>
      </c>
      <c r="M794" s="24">
        <v>0</v>
      </c>
      <c r="N794" s="24">
        <v>1</v>
      </c>
      <c r="O794" s="24">
        <v>0</v>
      </c>
      <c r="P794" s="26">
        <v>1</v>
      </c>
      <c r="Q794" s="14">
        <v>1</v>
      </c>
      <c r="R794" s="229">
        <v>0</v>
      </c>
      <c r="S794" s="229">
        <v>0</v>
      </c>
      <c r="T794" s="229">
        <v>0</v>
      </c>
      <c r="U794" s="229">
        <v>0</v>
      </c>
      <c r="V794" s="229">
        <v>0</v>
      </c>
      <c r="W794" s="229">
        <v>24</v>
      </c>
      <c r="X794" s="229">
        <v>0</v>
      </c>
      <c r="Y794" s="229">
        <v>0</v>
      </c>
      <c r="Z794" s="229">
        <v>0</v>
      </c>
      <c r="AA794" s="229">
        <v>0</v>
      </c>
      <c r="AB794" s="229">
        <v>0</v>
      </c>
      <c r="AC794" s="12">
        <v>2</v>
      </c>
      <c r="AD794" s="14">
        <v>17</v>
      </c>
      <c r="AE794" s="14">
        <v>16</v>
      </c>
      <c r="AF794" s="26">
        <v>139</v>
      </c>
      <c r="AG794" s="12">
        <v>155</v>
      </c>
      <c r="AH794" s="14">
        <v>1</v>
      </c>
      <c r="AI794" s="209"/>
      <c r="AJ794" s="3"/>
      <c r="AK794" s="3"/>
      <c r="AL794" s="3"/>
      <c r="AM794" s="3"/>
      <c r="AN794" s="3"/>
      <c r="AO794" s="40"/>
      <c r="AP794" s="209"/>
      <c r="AQ794" s="3"/>
      <c r="AR794" s="40"/>
      <c r="AS794" s="238"/>
    </row>
    <row r="795" spans="1:45" s="229" customFormat="1">
      <c r="A795" s="42" t="s">
        <v>708</v>
      </c>
      <c r="B795" s="386">
        <v>38.398333333333333</v>
      </c>
      <c r="C795" s="229" t="s">
        <v>709</v>
      </c>
      <c r="D795" s="229" t="s">
        <v>639</v>
      </c>
      <c r="E795" s="229" t="s">
        <v>0</v>
      </c>
      <c r="F795" s="229">
        <v>471</v>
      </c>
      <c r="G795" s="40">
        <f>F795/457</f>
        <v>1.0306345733041575</v>
      </c>
      <c r="H795" s="14">
        <v>1</v>
      </c>
      <c r="I795" s="229">
        <v>0</v>
      </c>
      <c r="J795" s="229">
        <v>0</v>
      </c>
      <c r="K795" s="26">
        <v>1</v>
      </c>
      <c r="L795" s="14">
        <v>1</v>
      </c>
      <c r="M795" s="229">
        <v>0</v>
      </c>
      <c r="N795" s="229">
        <v>0</v>
      </c>
      <c r="O795" s="229">
        <v>0</v>
      </c>
      <c r="P795" s="26">
        <v>1</v>
      </c>
      <c r="Q795" s="14">
        <v>5</v>
      </c>
      <c r="R795" s="229">
        <v>0</v>
      </c>
      <c r="S795" s="229">
        <v>0</v>
      </c>
      <c r="T795" s="229">
        <v>0</v>
      </c>
      <c r="U795" s="229">
        <v>0</v>
      </c>
      <c r="V795" s="229">
        <v>0</v>
      </c>
      <c r="W795" s="229">
        <v>0</v>
      </c>
      <c r="X795" s="229">
        <v>0</v>
      </c>
      <c r="Y795" s="229">
        <v>0</v>
      </c>
      <c r="Z795" s="229">
        <v>31</v>
      </c>
      <c r="AA795" s="229">
        <v>139</v>
      </c>
      <c r="AB795" s="229">
        <v>9</v>
      </c>
      <c r="AC795" s="12">
        <v>2</v>
      </c>
      <c r="AD795" s="14">
        <v>2</v>
      </c>
      <c r="AE795" s="14">
        <v>114</v>
      </c>
      <c r="AF795" s="26">
        <v>471</v>
      </c>
      <c r="AG795" s="12">
        <v>147</v>
      </c>
      <c r="AH795" s="14">
        <v>0</v>
      </c>
      <c r="AI795" s="209">
        <v>85.450098091464255</v>
      </c>
      <c r="AJ795" s="3"/>
      <c r="AK795" s="3"/>
      <c r="AL795" s="3"/>
      <c r="AM795" s="3"/>
      <c r="AN795" s="3"/>
      <c r="AO795" s="40"/>
      <c r="AP795" s="209">
        <v>84.996541272036154</v>
      </c>
      <c r="AQ795" s="3"/>
      <c r="AR795" s="40"/>
      <c r="AS795" s="238"/>
    </row>
    <row r="796" spans="1:45" s="229" customFormat="1">
      <c r="A796" s="42" t="s">
        <v>708</v>
      </c>
      <c r="B796" s="386">
        <v>38.398333333333333</v>
      </c>
      <c r="C796" s="229" t="s">
        <v>709</v>
      </c>
      <c r="D796" s="229" t="s">
        <v>639</v>
      </c>
      <c r="E796" s="229" t="s">
        <v>1</v>
      </c>
      <c r="F796" s="229">
        <v>517</v>
      </c>
      <c r="G796" s="40">
        <f>F796/389</f>
        <v>1.3290488431876606</v>
      </c>
      <c r="H796" s="14">
        <v>0</v>
      </c>
      <c r="I796" s="229">
        <v>1</v>
      </c>
      <c r="J796" s="229">
        <v>0</v>
      </c>
      <c r="K796" s="26">
        <v>1</v>
      </c>
      <c r="L796" s="14">
        <v>1</v>
      </c>
      <c r="M796" s="229">
        <v>0</v>
      </c>
      <c r="N796" s="229">
        <v>0</v>
      </c>
      <c r="O796" s="229">
        <v>0</v>
      </c>
      <c r="P796" s="26">
        <v>1</v>
      </c>
      <c r="Q796" s="14">
        <v>5</v>
      </c>
      <c r="R796" s="229">
        <v>0</v>
      </c>
      <c r="S796" s="229">
        <v>11</v>
      </c>
      <c r="T796" s="229">
        <v>0</v>
      </c>
      <c r="U796" s="229">
        <v>0</v>
      </c>
      <c r="V796" s="229">
        <v>11</v>
      </c>
      <c r="W796" s="229">
        <v>59</v>
      </c>
      <c r="X796" s="229">
        <v>0</v>
      </c>
      <c r="Y796" s="229">
        <v>0</v>
      </c>
      <c r="Z796" s="229">
        <v>0</v>
      </c>
      <c r="AA796" s="229">
        <v>0</v>
      </c>
      <c r="AB796" s="229">
        <v>0</v>
      </c>
      <c r="AC796" s="12">
        <v>2</v>
      </c>
      <c r="AD796" s="14">
        <v>2</v>
      </c>
      <c r="AE796" s="14">
        <v>146</v>
      </c>
      <c r="AF796" s="26">
        <v>517</v>
      </c>
      <c r="AG796" s="12">
        <v>147</v>
      </c>
      <c r="AH796" s="14">
        <v>1</v>
      </c>
      <c r="AI796" s="209"/>
      <c r="AJ796" s="3"/>
      <c r="AK796" s="3"/>
      <c r="AL796" s="3"/>
      <c r="AM796" s="3"/>
      <c r="AN796" s="3"/>
      <c r="AO796" s="40"/>
      <c r="AP796" s="209"/>
      <c r="AQ796" s="3"/>
      <c r="AR796" s="40"/>
      <c r="AS796" s="238"/>
    </row>
    <row r="797" spans="1:45" s="229" customFormat="1">
      <c r="A797" s="42" t="s">
        <v>708</v>
      </c>
      <c r="B797" s="386">
        <v>38.398333333333333</v>
      </c>
      <c r="C797" s="229" t="s">
        <v>709</v>
      </c>
      <c r="D797" s="229" t="s">
        <v>641</v>
      </c>
      <c r="E797" s="229" t="s">
        <v>0</v>
      </c>
      <c r="F797" s="229">
        <v>252</v>
      </c>
      <c r="G797" s="40">
        <f>F797/239</f>
        <v>1.0543933054393306</v>
      </c>
      <c r="H797" s="14">
        <v>0</v>
      </c>
      <c r="I797" s="229">
        <v>0</v>
      </c>
      <c r="J797" s="229">
        <v>0</v>
      </c>
      <c r="K797" s="26">
        <v>1</v>
      </c>
      <c r="L797" s="14">
        <v>0</v>
      </c>
      <c r="M797" s="229">
        <v>0</v>
      </c>
      <c r="N797" s="229">
        <v>1</v>
      </c>
      <c r="O797" s="229">
        <v>0</v>
      </c>
      <c r="P797" s="26">
        <v>1</v>
      </c>
      <c r="Q797" s="14">
        <v>2</v>
      </c>
      <c r="R797" s="229">
        <v>0</v>
      </c>
      <c r="S797" s="229">
        <v>0</v>
      </c>
      <c r="T797" s="229">
        <v>0</v>
      </c>
      <c r="U797" s="229">
        <v>0</v>
      </c>
      <c r="V797" s="229">
        <v>32</v>
      </c>
      <c r="W797" s="229">
        <v>35</v>
      </c>
      <c r="X797" s="229">
        <v>0</v>
      </c>
      <c r="Y797" s="229">
        <v>0</v>
      </c>
      <c r="Z797" s="229">
        <v>0</v>
      </c>
      <c r="AA797" s="229">
        <v>0</v>
      </c>
      <c r="AB797" s="229">
        <v>0</v>
      </c>
      <c r="AC797" s="12">
        <v>2</v>
      </c>
      <c r="AD797" s="14">
        <v>7</v>
      </c>
      <c r="AE797" s="14">
        <v>51</v>
      </c>
      <c r="AF797" s="26">
        <v>160</v>
      </c>
      <c r="AG797" s="12">
        <v>157</v>
      </c>
      <c r="AH797" s="14">
        <v>0</v>
      </c>
      <c r="AI797" s="209"/>
      <c r="AJ797" s="3"/>
      <c r="AK797" s="3"/>
      <c r="AL797" s="3"/>
      <c r="AM797" s="3"/>
      <c r="AN797" s="3"/>
      <c r="AO797" s="40"/>
      <c r="AP797" s="209"/>
      <c r="AQ797" s="3"/>
      <c r="AR797" s="40"/>
      <c r="AS797" s="238"/>
    </row>
    <row r="798" spans="1:45" s="229" customFormat="1">
      <c r="A798" s="42" t="s">
        <v>708</v>
      </c>
      <c r="B798" s="386">
        <v>38.398333333333333</v>
      </c>
      <c r="C798" s="229" t="s">
        <v>709</v>
      </c>
      <c r="D798" s="229" t="s">
        <v>641</v>
      </c>
      <c r="E798" s="229" t="s">
        <v>1</v>
      </c>
      <c r="F798" s="229">
        <v>456</v>
      </c>
      <c r="G798" s="40">
        <f>F798/260</f>
        <v>1.7538461538461538</v>
      </c>
      <c r="H798" s="14">
        <v>0</v>
      </c>
      <c r="I798" s="229">
        <v>0</v>
      </c>
      <c r="J798" s="229">
        <v>0</v>
      </c>
      <c r="K798" s="26">
        <v>1</v>
      </c>
      <c r="L798" s="14">
        <v>0</v>
      </c>
      <c r="M798" s="229">
        <v>0</v>
      </c>
      <c r="N798" s="229">
        <v>1</v>
      </c>
      <c r="O798" s="229">
        <v>0</v>
      </c>
      <c r="P798" s="26">
        <v>1</v>
      </c>
      <c r="Q798" s="14">
        <v>0</v>
      </c>
      <c r="R798" s="229">
        <v>0</v>
      </c>
      <c r="S798" s="229">
        <v>0</v>
      </c>
      <c r="T798" s="229">
        <v>0</v>
      </c>
      <c r="U798" s="229">
        <v>0</v>
      </c>
      <c r="V798" s="229">
        <v>0</v>
      </c>
      <c r="W798" s="229">
        <v>0</v>
      </c>
      <c r="X798" s="229">
        <v>0</v>
      </c>
      <c r="Y798" s="229">
        <v>0</v>
      </c>
      <c r="Z798" s="229">
        <v>0</v>
      </c>
      <c r="AA798" s="229">
        <v>0</v>
      </c>
      <c r="AB798" s="229">
        <v>0</v>
      </c>
      <c r="AC798" s="12">
        <v>1</v>
      </c>
      <c r="AD798" s="14">
        <v>1</v>
      </c>
      <c r="AE798" s="14">
        <v>0</v>
      </c>
      <c r="AF798" s="26">
        <v>0</v>
      </c>
      <c r="AG798" s="12">
        <v>157</v>
      </c>
      <c r="AH798" s="14">
        <v>1</v>
      </c>
      <c r="AI798" s="209"/>
      <c r="AJ798" s="3"/>
      <c r="AK798" s="3"/>
      <c r="AL798" s="3"/>
      <c r="AM798" s="3"/>
      <c r="AN798" s="3"/>
      <c r="AO798" s="40"/>
      <c r="AP798" s="209"/>
      <c r="AQ798" s="3"/>
      <c r="AR798" s="40"/>
      <c r="AS798" s="238"/>
    </row>
    <row r="799" spans="1:45" s="229" customFormat="1">
      <c r="A799" s="42" t="s">
        <v>708</v>
      </c>
      <c r="B799" s="386">
        <v>38.398333333333333</v>
      </c>
      <c r="C799" s="24" t="s">
        <v>709</v>
      </c>
      <c r="D799" s="229" t="s">
        <v>647</v>
      </c>
      <c r="E799" s="229" t="s">
        <v>0</v>
      </c>
      <c r="F799" s="229">
        <v>232</v>
      </c>
      <c r="G799" s="40">
        <f>F799/162</f>
        <v>1.4320987654320987</v>
      </c>
      <c r="H799" s="14">
        <v>0</v>
      </c>
      <c r="I799" s="229">
        <v>0</v>
      </c>
      <c r="J799" s="229">
        <v>0</v>
      </c>
      <c r="K799" s="26">
        <v>1</v>
      </c>
      <c r="L799" s="14">
        <v>0</v>
      </c>
      <c r="M799" s="229">
        <v>0</v>
      </c>
      <c r="N799" s="229">
        <v>0</v>
      </c>
      <c r="O799" s="229">
        <v>0</v>
      </c>
      <c r="P799" s="26">
        <v>0</v>
      </c>
      <c r="Q799" s="14">
        <v>0</v>
      </c>
      <c r="R799" s="229">
        <v>0</v>
      </c>
      <c r="S799" s="229">
        <v>0</v>
      </c>
      <c r="T799" s="229">
        <v>0</v>
      </c>
      <c r="U799" s="229">
        <v>0</v>
      </c>
      <c r="V799" s="229">
        <v>0</v>
      </c>
      <c r="W799" s="229">
        <v>0</v>
      </c>
      <c r="X799" s="229">
        <v>0</v>
      </c>
      <c r="Y799" s="229">
        <v>0</v>
      </c>
      <c r="Z799" s="229">
        <v>0</v>
      </c>
      <c r="AA799" s="229">
        <v>0</v>
      </c>
      <c r="AB799" s="229">
        <v>0</v>
      </c>
      <c r="AC799" s="12">
        <v>1</v>
      </c>
      <c r="AD799" s="14">
        <v>1</v>
      </c>
      <c r="AE799" s="14">
        <v>0</v>
      </c>
      <c r="AF799" s="26">
        <v>0</v>
      </c>
      <c r="AG799" s="12">
        <v>158</v>
      </c>
      <c r="AH799" s="14">
        <v>0</v>
      </c>
      <c r="AI799" s="209"/>
      <c r="AJ799" s="3"/>
      <c r="AK799" s="3"/>
      <c r="AL799" s="3"/>
      <c r="AM799" s="3"/>
      <c r="AN799" s="3"/>
      <c r="AO799" s="40"/>
      <c r="AP799" s="209"/>
      <c r="AQ799" s="3"/>
      <c r="AR799" s="40"/>
      <c r="AS799" s="238"/>
    </row>
    <row r="800" spans="1:45" s="229" customFormat="1">
      <c r="A800" s="42" t="s">
        <v>708</v>
      </c>
      <c r="B800" s="386">
        <v>38.398333333333333</v>
      </c>
      <c r="C800" s="24" t="s">
        <v>709</v>
      </c>
      <c r="D800" s="229" t="s">
        <v>647</v>
      </c>
      <c r="E800" s="229" t="s">
        <v>1</v>
      </c>
      <c r="F800" s="229">
        <v>436</v>
      </c>
      <c r="G800" s="40">
        <f>F800/315</f>
        <v>1.3841269841269841</v>
      </c>
      <c r="H800" s="14">
        <v>0</v>
      </c>
      <c r="I800" s="229">
        <v>0</v>
      </c>
      <c r="J800" s="229">
        <v>1</v>
      </c>
      <c r="K800" s="26">
        <v>1</v>
      </c>
      <c r="L800" s="14">
        <v>0</v>
      </c>
      <c r="M800" s="229">
        <v>0</v>
      </c>
      <c r="N800" s="229">
        <v>1</v>
      </c>
      <c r="O800" s="229">
        <v>0</v>
      </c>
      <c r="P800" s="26">
        <v>1</v>
      </c>
      <c r="Q800" s="14">
        <v>4</v>
      </c>
      <c r="R800" s="229">
        <v>0</v>
      </c>
      <c r="S800" s="229">
        <v>0</v>
      </c>
      <c r="T800" s="229">
        <v>0</v>
      </c>
      <c r="U800" s="229">
        <v>0</v>
      </c>
      <c r="V800" s="229">
        <v>14</v>
      </c>
      <c r="W800" s="229">
        <v>36</v>
      </c>
      <c r="X800" s="229">
        <v>0</v>
      </c>
      <c r="Y800" s="229">
        <v>0</v>
      </c>
      <c r="Z800" s="229">
        <v>0</v>
      </c>
      <c r="AA800" s="229">
        <v>0</v>
      </c>
      <c r="AB800" s="229">
        <v>0</v>
      </c>
      <c r="AC800" s="12">
        <v>2</v>
      </c>
      <c r="AD800" s="14">
        <v>5</v>
      </c>
      <c r="AE800" s="14">
        <v>166</v>
      </c>
      <c r="AF800" s="26">
        <v>242</v>
      </c>
      <c r="AG800" s="12">
        <v>158</v>
      </c>
      <c r="AH800" s="14">
        <v>0</v>
      </c>
      <c r="AI800" s="209"/>
      <c r="AJ800" s="3"/>
      <c r="AK800" s="3"/>
      <c r="AL800" s="3"/>
      <c r="AM800" s="3"/>
      <c r="AN800" s="3"/>
      <c r="AO800" s="40"/>
      <c r="AP800" s="209"/>
      <c r="AQ800" s="3"/>
      <c r="AR800" s="40"/>
      <c r="AS800" s="238"/>
    </row>
    <row r="801" spans="1:45" s="229" customFormat="1">
      <c r="A801" s="42" t="s">
        <v>708</v>
      </c>
      <c r="B801" s="386">
        <v>38.398333333333333</v>
      </c>
      <c r="C801" s="24" t="s">
        <v>709</v>
      </c>
      <c r="D801" s="229" t="s">
        <v>649</v>
      </c>
      <c r="E801" s="229" t="s">
        <v>0</v>
      </c>
      <c r="F801" s="229">
        <v>184</v>
      </c>
      <c r="G801" s="40">
        <f>F801/180</f>
        <v>1.0222222222222221</v>
      </c>
      <c r="H801" s="14">
        <v>1</v>
      </c>
      <c r="I801" s="229">
        <v>0</v>
      </c>
      <c r="J801" s="229">
        <v>0</v>
      </c>
      <c r="K801" s="26">
        <v>0</v>
      </c>
      <c r="L801" s="14">
        <v>0</v>
      </c>
      <c r="M801" s="229">
        <v>0</v>
      </c>
      <c r="N801" s="229">
        <v>1</v>
      </c>
      <c r="O801" s="229">
        <v>0</v>
      </c>
      <c r="P801" s="26">
        <v>1</v>
      </c>
      <c r="Q801" s="14">
        <v>0</v>
      </c>
      <c r="R801" s="229">
        <v>0</v>
      </c>
      <c r="S801" s="229">
        <v>0</v>
      </c>
      <c r="T801" s="229">
        <v>0</v>
      </c>
      <c r="U801" s="229">
        <v>0</v>
      </c>
      <c r="V801" s="229">
        <v>0</v>
      </c>
      <c r="W801" s="229">
        <v>0</v>
      </c>
      <c r="X801" s="229">
        <v>0</v>
      </c>
      <c r="Y801" s="229">
        <v>0</v>
      </c>
      <c r="Z801" s="229">
        <v>0</v>
      </c>
      <c r="AA801" s="229">
        <v>0</v>
      </c>
      <c r="AB801" s="229">
        <v>0</v>
      </c>
      <c r="AC801" s="12">
        <v>1</v>
      </c>
      <c r="AD801" s="14">
        <v>1</v>
      </c>
      <c r="AE801" s="14">
        <v>0</v>
      </c>
      <c r="AF801" s="26">
        <v>0</v>
      </c>
      <c r="AG801" s="12">
        <v>132</v>
      </c>
      <c r="AH801" s="14">
        <v>0</v>
      </c>
      <c r="AI801" s="209"/>
      <c r="AJ801" s="3"/>
      <c r="AK801" s="3"/>
      <c r="AL801" s="3"/>
      <c r="AM801" s="3"/>
      <c r="AN801" s="3"/>
      <c r="AO801" s="40"/>
      <c r="AP801" s="209"/>
      <c r="AQ801" s="3"/>
      <c r="AR801" s="40"/>
      <c r="AS801" s="238"/>
    </row>
    <row r="802" spans="1:45" s="229" customFormat="1">
      <c r="A802" s="42" t="s">
        <v>708</v>
      </c>
      <c r="B802" s="386">
        <v>38.398333333333333</v>
      </c>
      <c r="C802" s="24" t="s">
        <v>709</v>
      </c>
      <c r="D802" s="229" t="s">
        <v>649</v>
      </c>
      <c r="E802" s="229" t="s">
        <v>1</v>
      </c>
      <c r="F802" s="229">
        <v>451</v>
      </c>
      <c r="G802" s="40">
        <f>F802/399</f>
        <v>1.1303258145363408</v>
      </c>
      <c r="H802" s="14">
        <v>1</v>
      </c>
      <c r="I802" s="229">
        <v>0</v>
      </c>
      <c r="J802" s="229">
        <v>1</v>
      </c>
      <c r="K802" s="26">
        <v>0</v>
      </c>
      <c r="L802" s="14">
        <v>0</v>
      </c>
      <c r="M802" s="229">
        <v>0</v>
      </c>
      <c r="N802" s="229">
        <v>1</v>
      </c>
      <c r="O802" s="229">
        <v>0</v>
      </c>
      <c r="P802" s="26">
        <v>1</v>
      </c>
      <c r="Q802" s="14">
        <v>10</v>
      </c>
      <c r="R802" s="229">
        <v>0</v>
      </c>
      <c r="S802" s="229">
        <v>0</v>
      </c>
      <c r="T802" s="229">
        <v>0</v>
      </c>
      <c r="U802" s="229">
        <v>0</v>
      </c>
      <c r="V802" s="229">
        <v>50</v>
      </c>
      <c r="W802" s="229">
        <v>54</v>
      </c>
      <c r="X802" s="229">
        <v>0</v>
      </c>
      <c r="Y802" s="229">
        <v>0</v>
      </c>
      <c r="Z802" s="229">
        <v>0</v>
      </c>
      <c r="AA802" s="229">
        <v>80</v>
      </c>
      <c r="AB802" s="229">
        <v>0</v>
      </c>
      <c r="AC802" s="12">
        <v>2</v>
      </c>
      <c r="AD802" s="14">
        <v>2</v>
      </c>
      <c r="AE802" s="14">
        <v>88</v>
      </c>
      <c r="AF802" s="26">
        <v>451</v>
      </c>
      <c r="AG802" s="12">
        <v>132</v>
      </c>
      <c r="AH802" s="14">
        <v>1</v>
      </c>
      <c r="AI802" s="209"/>
      <c r="AJ802" s="3"/>
      <c r="AK802" s="3"/>
      <c r="AL802" s="3"/>
      <c r="AM802" s="3"/>
      <c r="AN802" s="3"/>
      <c r="AO802" s="40"/>
      <c r="AP802" s="209"/>
      <c r="AQ802" s="3"/>
      <c r="AR802" s="40"/>
      <c r="AS802" s="238"/>
    </row>
    <row r="803" spans="1:45" s="229" customFormat="1">
      <c r="A803" s="42" t="s">
        <v>708</v>
      </c>
      <c r="B803" s="386">
        <v>38.398333333333333</v>
      </c>
      <c r="C803" s="24" t="s">
        <v>709</v>
      </c>
      <c r="D803" s="229" t="s">
        <v>649</v>
      </c>
      <c r="E803" s="229" t="s">
        <v>2</v>
      </c>
      <c r="F803" s="229">
        <v>335</v>
      </c>
      <c r="G803" s="40">
        <f>F803/276</f>
        <v>1.213768115942029</v>
      </c>
      <c r="H803" s="14">
        <v>0</v>
      </c>
      <c r="I803" s="229">
        <v>0</v>
      </c>
      <c r="J803" s="229">
        <v>1</v>
      </c>
      <c r="K803" s="26">
        <v>1</v>
      </c>
      <c r="L803" s="14">
        <v>0</v>
      </c>
      <c r="M803" s="229">
        <v>0</v>
      </c>
      <c r="N803" s="229">
        <v>1</v>
      </c>
      <c r="O803" s="229">
        <v>0</v>
      </c>
      <c r="P803" s="26">
        <v>1</v>
      </c>
      <c r="Q803" s="14">
        <v>2</v>
      </c>
      <c r="R803" s="229">
        <v>0</v>
      </c>
      <c r="S803" s="229">
        <v>6</v>
      </c>
      <c r="T803" s="229">
        <v>0</v>
      </c>
      <c r="U803" s="229">
        <v>0</v>
      </c>
      <c r="V803" s="229">
        <v>15</v>
      </c>
      <c r="W803" s="229">
        <v>23</v>
      </c>
      <c r="X803" s="229">
        <v>0</v>
      </c>
      <c r="Y803" s="229">
        <v>0</v>
      </c>
      <c r="Z803" s="229">
        <v>0</v>
      </c>
      <c r="AA803" s="229">
        <v>0</v>
      </c>
      <c r="AB803" s="229">
        <v>0</v>
      </c>
      <c r="AC803" s="12">
        <v>2</v>
      </c>
      <c r="AD803" s="14">
        <v>3</v>
      </c>
      <c r="AE803" s="14">
        <v>112</v>
      </c>
      <c r="AF803" s="26">
        <v>256</v>
      </c>
      <c r="AG803" s="12">
        <v>132</v>
      </c>
      <c r="AH803" s="14">
        <v>0</v>
      </c>
      <c r="AI803" s="209"/>
      <c r="AJ803" s="3"/>
      <c r="AK803" s="3"/>
      <c r="AL803" s="3"/>
      <c r="AM803" s="3"/>
      <c r="AN803" s="3"/>
      <c r="AO803" s="40"/>
      <c r="AP803" s="209"/>
      <c r="AQ803" s="3"/>
      <c r="AR803" s="40"/>
      <c r="AS803" s="238"/>
    </row>
    <row r="804" spans="1:45" s="229" customFormat="1">
      <c r="A804" s="42" t="s">
        <v>708</v>
      </c>
      <c r="B804" s="386">
        <v>38.398333333333333</v>
      </c>
      <c r="C804" s="229" t="s">
        <v>709</v>
      </c>
      <c r="D804" s="229" t="s">
        <v>669</v>
      </c>
      <c r="E804" s="229" t="s">
        <v>0</v>
      </c>
      <c r="F804" s="229">
        <v>244</v>
      </c>
      <c r="G804" s="40">
        <f>F804/210</f>
        <v>1.161904761904762</v>
      </c>
      <c r="H804" s="14">
        <v>0</v>
      </c>
      <c r="I804" s="229">
        <v>0</v>
      </c>
      <c r="J804" s="229">
        <v>0</v>
      </c>
      <c r="K804" s="26">
        <v>1</v>
      </c>
      <c r="L804" s="14">
        <v>0</v>
      </c>
      <c r="M804" s="229">
        <v>0</v>
      </c>
      <c r="N804" s="229">
        <v>1</v>
      </c>
      <c r="O804" s="229">
        <v>0</v>
      </c>
      <c r="P804" s="26">
        <v>1</v>
      </c>
      <c r="Q804" s="14">
        <v>0</v>
      </c>
      <c r="R804" s="229">
        <v>0</v>
      </c>
      <c r="S804" s="229">
        <v>0</v>
      </c>
      <c r="T804" s="229">
        <v>0</v>
      </c>
      <c r="U804" s="229">
        <v>0</v>
      </c>
      <c r="V804" s="229">
        <v>0</v>
      </c>
      <c r="W804" s="229">
        <v>0</v>
      </c>
      <c r="X804" s="229">
        <v>0</v>
      </c>
      <c r="Y804" s="229">
        <v>0</v>
      </c>
      <c r="Z804" s="229">
        <v>0</v>
      </c>
      <c r="AA804" s="229">
        <v>0</v>
      </c>
      <c r="AB804" s="229">
        <v>0</v>
      </c>
      <c r="AC804" s="12">
        <v>2</v>
      </c>
      <c r="AD804" s="14">
        <v>2</v>
      </c>
      <c r="AE804" s="14">
        <v>190</v>
      </c>
      <c r="AF804" s="26">
        <v>208</v>
      </c>
      <c r="AG804" s="12">
        <v>142</v>
      </c>
      <c r="AH804" s="14">
        <v>0</v>
      </c>
      <c r="AI804" s="209"/>
      <c r="AJ804" s="3"/>
      <c r="AK804" s="3"/>
      <c r="AL804" s="3"/>
      <c r="AM804" s="3"/>
      <c r="AN804" s="3"/>
      <c r="AO804" s="40"/>
      <c r="AP804" s="209"/>
      <c r="AQ804" s="3"/>
      <c r="AR804" s="40"/>
      <c r="AS804" s="238"/>
    </row>
    <row r="805" spans="1:45" s="229" customFormat="1">
      <c r="A805" s="42" t="s">
        <v>708</v>
      </c>
      <c r="B805" s="386">
        <v>38.398333333333333</v>
      </c>
      <c r="C805" s="229" t="s">
        <v>709</v>
      </c>
      <c r="D805" s="229" t="s">
        <v>669</v>
      </c>
      <c r="E805" s="229" t="s">
        <v>1</v>
      </c>
      <c r="F805" s="229">
        <v>296</v>
      </c>
      <c r="G805" s="40">
        <f>F805/174</f>
        <v>1.7011494252873562</v>
      </c>
      <c r="H805" s="14">
        <v>1</v>
      </c>
      <c r="I805" s="229">
        <v>0</v>
      </c>
      <c r="J805" s="229">
        <v>0</v>
      </c>
      <c r="K805" s="26">
        <v>0</v>
      </c>
      <c r="L805" s="14">
        <v>0</v>
      </c>
      <c r="M805" s="229">
        <v>0</v>
      </c>
      <c r="N805" s="229">
        <v>1</v>
      </c>
      <c r="O805" s="229">
        <v>0</v>
      </c>
      <c r="P805" s="26">
        <v>1</v>
      </c>
      <c r="Q805" s="14">
        <v>0</v>
      </c>
      <c r="R805" s="229">
        <v>0</v>
      </c>
      <c r="S805" s="229">
        <v>0</v>
      </c>
      <c r="T805" s="229">
        <v>0</v>
      </c>
      <c r="U805" s="229">
        <v>0</v>
      </c>
      <c r="V805" s="229">
        <v>0</v>
      </c>
      <c r="W805" s="229">
        <v>0</v>
      </c>
      <c r="X805" s="229">
        <v>0</v>
      </c>
      <c r="Y805" s="229">
        <v>0</v>
      </c>
      <c r="Z805" s="229">
        <v>0</v>
      </c>
      <c r="AA805" s="229">
        <v>0</v>
      </c>
      <c r="AB805" s="229">
        <v>0</v>
      </c>
      <c r="AC805" s="12">
        <v>2</v>
      </c>
      <c r="AD805" s="14">
        <v>2</v>
      </c>
      <c r="AE805" s="14">
        <v>140</v>
      </c>
      <c r="AF805" s="26">
        <v>296</v>
      </c>
      <c r="AG805" s="12">
        <v>142</v>
      </c>
      <c r="AH805" s="14">
        <v>0</v>
      </c>
      <c r="AI805" s="209"/>
      <c r="AJ805" s="3"/>
      <c r="AK805" s="3"/>
      <c r="AL805" s="3"/>
      <c r="AM805" s="3"/>
      <c r="AN805" s="3"/>
      <c r="AO805" s="40"/>
      <c r="AP805" s="209"/>
      <c r="AQ805" s="3"/>
      <c r="AR805" s="40"/>
      <c r="AS805" s="238"/>
    </row>
    <row r="806" spans="1:45" s="229" customFormat="1">
      <c r="A806" s="42" t="s">
        <v>708</v>
      </c>
      <c r="B806" s="386">
        <v>38.398333333333333</v>
      </c>
      <c r="C806" s="229" t="s">
        <v>709</v>
      </c>
      <c r="D806" s="229" t="s">
        <v>669</v>
      </c>
      <c r="E806" s="229" t="s">
        <v>2</v>
      </c>
      <c r="F806" s="229">
        <v>202</v>
      </c>
      <c r="G806" s="40">
        <f>F806/182</f>
        <v>1.1098901098901099</v>
      </c>
      <c r="H806" s="14">
        <v>0</v>
      </c>
      <c r="I806" s="229">
        <v>0</v>
      </c>
      <c r="J806" s="229">
        <v>0</v>
      </c>
      <c r="K806" s="26">
        <v>1</v>
      </c>
      <c r="L806" s="14">
        <v>0</v>
      </c>
      <c r="M806" s="229">
        <v>0</v>
      </c>
      <c r="N806" s="229">
        <v>0</v>
      </c>
      <c r="O806" s="229">
        <v>0</v>
      </c>
      <c r="P806" s="26">
        <v>0</v>
      </c>
      <c r="Q806" s="14">
        <v>0</v>
      </c>
      <c r="R806" s="229">
        <v>0</v>
      </c>
      <c r="S806" s="229">
        <v>0</v>
      </c>
      <c r="T806" s="229">
        <v>0</v>
      </c>
      <c r="U806" s="229">
        <v>0</v>
      </c>
      <c r="V806" s="229">
        <v>0</v>
      </c>
      <c r="W806" s="229">
        <v>0</v>
      </c>
      <c r="X806" s="229">
        <v>0</v>
      </c>
      <c r="Y806" s="229">
        <v>0</v>
      </c>
      <c r="Z806" s="229">
        <v>0</v>
      </c>
      <c r="AA806" s="229">
        <v>0</v>
      </c>
      <c r="AB806" s="229">
        <v>0</v>
      </c>
      <c r="AC806" s="12">
        <v>1</v>
      </c>
      <c r="AD806" s="14">
        <v>1</v>
      </c>
      <c r="AE806" s="14">
        <v>0</v>
      </c>
      <c r="AF806" s="26">
        <v>0</v>
      </c>
      <c r="AG806" s="12">
        <v>142</v>
      </c>
      <c r="AH806" s="14">
        <v>0</v>
      </c>
      <c r="AI806" s="209"/>
      <c r="AJ806" s="3"/>
      <c r="AK806" s="3"/>
      <c r="AL806" s="3"/>
      <c r="AM806" s="3"/>
      <c r="AN806" s="3"/>
      <c r="AO806" s="40"/>
      <c r="AP806" s="209"/>
      <c r="AQ806" s="3"/>
      <c r="AR806" s="40"/>
      <c r="AS806" s="238"/>
    </row>
    <row r="807" spans="1:45" s="229" customFormat="1">
      <c r="A807" s="42" t="s">
        <v>708</v>
      </c>
      <c r="B807" s="386">
        <v>38.398333333333333</v>
      </c>
      <c r="C807" s="229" t="s">
        <v>709</v>
      </c>
      <c r="D807" s="229" t="s">
        <v>669</v>
      </c>
      <c r="E807" s="229" t="s">
        <v>3</v>
      </c>
      <c r="F807" s="229">
        <v>536</v>
      </c>
      <c r="G807" s="40">
        <f>F807/321</f>
        <v>1.6697819314641744</v>
      </c>
      <c r="H807" s="14">
        <v>1</v>
      </c>
      <c r="I807" s="229">
        <v>0</v>
      </c>
      <c r="J807" s="229">
        <v>1</v>
      </c>
      <c r="K807" s="26">
        <v>1</v>
      </c>
      <c r="L807" s="14">
        <v>0</v>
      </c>
      <c r="M807" s="229">
        <v>0</v>
      </c>
      <c r="N807" s="229">
        <v>1</v>
      </c>
      <c r="O807" s="229">
        <v>0</v>
      </c>
      <c r="P807" s="26">
        <v>1</v>
      </c>
      <c r="Q807" s="14">
        <v>1</v>
      </c>
      <c r="R807" s="229">
        <v>0</v>
      </c>
      <c r="S807" s="229">
        <v>0</v>
      </c>
      <c r="T807" s="229">
        <v>0</v>
      </c>
      <c r="U807" s="229">
        <v>0</v>
      </c>
      <c r="V807" s="229">
        <v>0</v>
      </c>
      <c r="W807" s="229">
        <v>10</v>
      </c>
      <c r="X807" s="229">
        <v>0</v>
      </c>
      <c r="Y807" s="229">
        <v>0</v>
      </c>
      <c r="Z807" s="229">
        <v>0</v>
      </c>
      <c r="AA807" s="229">
        <v>0</v>
      </c>
      <c r="AB807" s="229">
        <v>0</v>
      </c>
      <c r="AC807" s="12">
        <v>2</v>
      </c>
      <c r="AD807" s="14">
        <v>16</v>
      </c>
      <c r="AE807" s="14">
        <v>29</v>
      </c>
      <c r="AF807" s="26">
        <v>268</v>
      </c>
      <c r="AG807" s="12">
        <v>142</v>
      </c>
      <c r="AH807" s="14">
        <v>1</v>
      </c>
      <c r="AI807" s="209"/>
      <c r="AJ807" s="3"/>
      <c r="AK807" s="3"/>
      <c r="AL807" s="3"/>
      <c r="AM807" s="3"/>
      <c r="AN807" s="3"/>
      <c r="AO807" s="40"/>
      <c r="AP807" s="209"/>
      <c r="AQ807" s="3"/>
      <c r="AR807" s="40"/>
      <c r="AS807" s="238"/>
    </row>
    <row r="808" spans="1:45" s="229" customFormat="1">
      <c r="A808" s="42" t="s">
        <v>708</v>
      </c>
      <c r="B808" s="386">
        <v>38.398333333333333</v>
      </c>
      <c r="C808" s="229" t="s">
        <v>709</v>
      </c>
      <c r="D808" s="229" t="s">
        <v>671</v>
      </c>
      <c r="F808" s="229">
        <v>416</v>
      </c>
      <c r="G808" s="40">
        <f>F808/375</f>
        <v>1.1093333333333333</v>
      </c>
      <c r="H808" s="14">
        <v>0</v>
      </c>
      <c r="I808" s="229">
        <v>0</v>
      </c>
      <c r="J808" s="229">
        <v>0</v>
      </c>
      <c r="K808" s="26">
        <v>1</v>
      </c>
      <c r="L808" s="14">
        <v>0</v>
      </c>
      <c r="M808" s="229">
        <v>0</v>
      </c>
      <c r="N808" s="229">
        <v>1</v>
      </c>
      <c r="O808" s="229">
        <v>0</v>
      </c>
      <c r="P808" s="26">
        <v>1</v>
      </c>
      <c r="Q808" s="14">
        <v>5</v>
      </c>
      <c r="R808" s="229">
        <v>0</v>
      </c>
      <c r="S808" s="229">
        <v>57</v>
      </c>
      <c r="T808" s="229">
        <v>0</v>
      </c>
      <c r="U808" s="229">
        <v>0</v>
      </c>
      <c r="V808" s="229">
        <v>0</v>
      </c>
      <c r="W808" s="229">
        <v>0</v>
      </c>
      <c r="X808" s="229">
        <v>0</v>
      </c>
      <c r="Y808" s="229">
        <v>39</v>
      </c>
      <c r="Z808" s="229">
        <v>0</v>
      </c>
      <c r="AA808" s="229">
        <v>0</v>
      </c>
      <c r="AB808" s="229">
        <v>1</v>
      </c>
      <c r="AC808" s="12">
        <v>2</v>
      </c>
      <c r="AD808" s="14">
        <v>2</v>
      </c>
      <c r="AE808" s="14">
        <v>2252</v>
      </c>
      <c r="AF808" s="26">
        <v>416</v>
      </c>
      <c r="AG808" s="12">
        <v>111</v>
      </c>
      <c r="AH808" s="14">
        <v>1</v>
      </c>
      <c r="AI808" s="209"/>
      <c r="AJ808" s="3"/>
      <c r="AK808" s="3"/>
      <c r="AL808" s="3"/>
      <c r="AM808" s="3"/>
      <c r="AN808" s="3"/>
      <c r="AO808" s="40"/>
      <c r="AP808" s="209"/>
      <c r="AQ808" s="3"/>
      <c r="AR808" s="40"/>
      <c r="AS808" s="238"/>
    </row>
    <row r="809" spans="1:45" s="229" customFormat="1">
      <c r="A809" s="42" t="s">
        <v>708</v>
      </c>
      <c r="B809" s="386">
        <v>38.398333333333333</v>
      </c>
      <c r="C809" s="229" t="s">
        <v>709</v>
      </c>
      <c r="D809" s="229" t="s">
        <v>672</v>
      </c>
      <c r="E809" s="229" t="s">
        <v>0</v>
      </c>
      <c r="F809" s="229">
        <v>434</v>
      </c>
      <c r="G809" s="40">
        <f>F809/192</f>
        <v>2.2604166666666665</v>
      </c>
      <c r="H809" s="14">
        <v>0</v>
      </c>
      <c r="I809" s="229">
        <v>0</v>
      </c>
      <c r="J809" s="229">
        <v>0</v>
      </c>
      <c r="K809" s="26">
        <v>1</v>
      </c>
      <c r="L809" s="14">
        <v>0</v>
      </c>
      <c r="M809" s="229">
        <v>0</v>
      </c>
      <c r="N809" s="229">
        <v>1</v>
      </c>
      <c r="O809" s="229">
        <v>0</v>
      </c>
      <c r="P809" s="26">
        <v>1</v>
      </c>
      <c r="Q809" s="14">
        <v>0</v>
      </c>
      <c r="R809" s="229">
        <v>0</v>
      </c>
      <c r="S809" s="229">
        <v>0</v>
      </c>
      <c r="T809" s="229">
        <v>0</v>
      </c>
      <c r="U809" s="229">
        <v>0</v>
      </c>
      <c r="V809" s="229">
        <v>0</v>
      </c>
      <c r="W809" s="229">
        <v>0</v>
      </c>
      <c r="X809" s="229">
        <v>0</v>
      </c>
      <c r="Y809" s="229">
        <v>0</v>
      </c>
      <c r="Z809" s="229">
        <v>0</v>
      </c>
      <c r="AA809" s="229">
        <v>0</v>
      </c>
      <c r="AB809" s="229">
        <v>0</v>
      </c>
      <c r="AC809" s="12">
        <v>1</v>
      </c>
      <c r="AD809" s="14">
        <v>1</v>
      </c>
      <c r="AE809" s="14">
        <v>0</v>
      </c>
      <c r="AF809" s="26">
        <v>0</v>
      </c>
      <c r="AG809" s="12">
        <v>128</v>
      </c>
      <c r="AH809" s="14">
        <v>1</v>
      </c>
      <c r="AI809" s="209"/>
      <c r="AJ809" s="3"/>
      <c r="AK809" s="3"/>
      <c r="AL809" s="3"/>
      <c r="AM809" s="3"/>
      <c r="AN809" s="3"/>
      <c r="AO809" s="40"/>
      <c r="AP809" s="209"/>
      <c r="AQ809" s="3"/>
      <c r="AR809" s="40"/>
      <c r="AS809" s="238"/>
    </row>
    <row r="810" spans="1:45" s="229" customFormat="1">
      <c r="A810" s="42" t="s">
        <v>708</v>
      </c>
      <c r="B810" s="386">
        <v>38.398333333333333</v>
      </c>
      <c r="C810" s="229" t="s">
        <v>709</v>
      </c>
      <c r="D810" s="229" t="s">
        <v>672</v>
      </c>
      <c r="E810" s="229" t="s">
        <v>1</v>
      </c>
      <c r="F810" s="229">
        <v>624</v>
      </c>
      <c r="G810" s="40">
        <f>F810/351</f>
        <v>1.7777777777777777</v>
      </c>
      <c r="H810" s="14">
        <v>0</v>
      </c>
      <c r="I810" s="229">
        <v>0</v>
      </c>
      <c r="J810" s="229">
        <v>0</v>
      </c>
      <c r="K810" s="26">
        <v>1</v>
      </c>
      <c r="L810" s="14">
        <v>0</v>
      </c>
      <c r="M810" s="229">
        <v>0</v>
      </c>
      <c r="N810" s="229">
        <v>1</v>
      </c>
      <c r="O810" s="229">
        <v>0</v>
      </c>
      <c r="P810" s="26">
        <v>1</v>
      </c>
      <c r="Q810" s="14">
        <v>5</v>
      </c>
      <c r="R810" s="229">
        <v>9</v>
      </c>
      <c r="S810" s="229">
        <v>29</v>
      </c>
      <c r="T810" s="229">
        <v>0</v>
      </c>
      <c r="U810" s="229">
        <v>0</v>
      </c>
      <c r="V810" s="229">
        <v>25</v>
      </c>
      <c r="W810" s="229">
        <v>81</v>
      </c>
      <c r="X810" s="229">
        <v>0</v>
      </c>
      <c r="Y810" s="229">
        <v>0</v>
      </c>
      <c r="Z810" s="229">
        <v>0</v>
      </c>
      <c r="AA810" s="229">
        <v>0</v>
      </c>
      <c r="AB810" s="229">
        <v>0</v>
      </c>
      <c r="AC810" s="12">
        <v>2</v>
      </c>
      <c r="AD810" s="14">
        <v>5</v>
      </c>
      <c r="AE810" s="14">
        <v>104</v>
      </c>
      <c r="AF810" s="26">
        <v>288</v>
      </c>
      <c r="AG810" s="12">
        <v>128</v>
      </c>
      <c r="AH810" s="14">
        <v>1</v>
      </c>
      <c r="AI810" s="209"/>
      <c r="AJ810" s="3"/>
      <c r="AK810" s="3"/>
      <c r="AL810" s="3"/>
      <c r="AM810" s="3"/>
      <c r="AN810" s="3"/>
      <c r="AO810" s="40"/>
      <c r="AP810" s="209"/>
      <c r="AQ810" s="3"/>
      <c r="AR810" s="40"/>
      <c r="AS810" s="238"/>
    </row>
    <row r="811" spans="1:45" s="229" customFormat="1">
      <c r="A811" s="42" t="s">
        <v>708</v>
      </c>
      <c r="B811" s="386">
        <v>38.398333333333333</v>
      </c>
      <c r="C811" s="229" t="s">
        <v>709</v>
      </c>
      <c r="D811" s="229" t="s">
        <v>672</v>
      </c>
      <c r="E811" s="229" t="s">
        <v>2</v>
      </c>
      <c r="F811" s="229">
        <v>237</v>
      </c>
      <c r="G811" s="40">
        <f>F811/91</f>
        <v>2.6043956043956045</v>
      </c>
      <c r="H811" s="14">
        <v>0</v>
      </c>
      <c r="I811" s="229">
        <v>0</v>
      </c>
      <c r="J811" s="229">
        <v>0</v>
      </c>
      <c r="K811" s="26">
        <v>1</v>
      </c>
      <c r="L811" s="14">
        <v>0</v>
      </c>
      <c r="M811" s="229">
        <v>0</v>
      </c>
      <c r="N811" s="229">
        <v>0</v>
      </c>
      <c r="O811" s="229">
        <v>0</v>
      </c>
      <c r="P811" s="26">
        <v>0</v>
      </c>
      <c r="Q811" s="14">
        <v>0</v>
      </c>
      <c r="R811" s="229">
        <v>0</v>
      </c>
      <c r="S811" s="229">
        <v>0</v>
      </c>
      <c r="T811" s="229">
        <v>0</v>
      </c>
      <c r="U811" s="229">
        <v>0</v>
      </c>
      <c r="V811" s="229">
        <v>0</v>
      </c>
      <c r="W811" s="229">
        <v>0</v>
      </c>
      <c r="X811" s="229">
        <v>0</v>
      </c>
      <c r="Y811" s="229">
        <v>0</v>
      </c>
      <c r="Z811" s="229">
        <v>0</v>
      </c>
      <c r="AA811" s="229">
        <v>0</v>
      </c>
      <c r="AB811" s="229">
        <v>0</v>
      </c>
      <c r="AC811" s="12">
        <v>2</v>
      </c>
      <c r="AD811" s="14">
        <v>7</v>
      </c>
      <c r="AE811" s="14">
        <v>29</v>
      </c>
      <c r="AF811" s="26">
        <v>90</v>
      </c>
      <c r="AG811" s="12">
        <v>128</v>
      </c>
      <c r="AH811" s="14">
        <v>1</v>
      </c>
      <c r="AI811" s="209"/>
      <c r="AJ811" s="3"/>
      <c r="AK811" s="3"/>
      <c r="AL811" s="3"/>
      <c r="AM811" s="3"/>
      <c r="AN811" s="3"/>
      <c r="AO811" s="40"/>
      <c r="AP811" s="209"/>
      <c r="AQ811" s="3"/>
      <c r="AR811" s="40"/>
      <c r="AS811" s="238"/>
    </row>
    <row r="812" spans="1:45" s="229" customFormat="1">
      <c r="A812" s="42" t="s">
        <v>708</v>
      </c>
      <c r="B812" s="386">
        <v>38.398333333333333</v>
      </c>
      <c r="C812" s="229" t="s">
        <v>709</v>
      </c>
      <c r="D812" s="229" t="s">
        <v>673</v>
      </c>
      <c r="E812" s="229" t="s">
        <v>0</v>
      </c>
      <c r="F812" s="229">
        <v>371</v>
      </c>
      <c r="G812" s="40">
        <f>F812/56</f>
        <v>6.625</v>
      </c>
      <c r="H812" s="14">
        <v>0</v>
      </c>
      <c r="I812" s="229">
        <v>0</v>
      </c>
      <c r="J812" s="229">
        <v>0</v>
      </c>
      <c r="K812" s="26">
        <v>1</v>
      </c>
      <c r="L812" s="14">
        <v>0</v>
      </c>
      <c r="M812" s="229">
        <v>0</v>
      </c>
      <c r="N812" s="229">
        <v>0</v>
      </c>
      <c r="O812" s="229">
        <v>0</v>
      </c>
      <c r="P812" s="26">
        <v>0</v>
      </c>
      <c r="Q812" s="14">
        <v>2</v>
      </c>
      <c r="R812" s="229">
        <v>0</v>
      </c>
      <c r="S812" s="229">
        <v>0</v>
      </c>
      <c r="T812" s="229">
        <v>0</v>
      </c>
      <c r="U812" s="229">
        <v>0</v>
      </c>
      <c r="V812" s="229">
        <v>0</v>
      </c>
      <c r="W812" s="229">
        <v>27</v>
      </c>
      <c r="X812" s="229">
        <v>0</v>
      </c>
      <c r="Y812" s="229">
        <v>0</v>
      </c>
      <c r="Z812" s="229">
        <v>0</v>
      </c>
      <c r="AA812" s="229">
        <v>0</v>
      </c>
      <c r="AB812" s="229">
        <v>0</v>
      </c>
      <c r="AC812" s="12">
        <v>2</v>
      </c>
      <c r="AD812" s="14">
        <v>3</v>
      </c>
      <c r="AE812" s="14">
        <v>41</v>
      </c>
      <c r="AF812" s="26">
        <v>265</v>
      </c>
      <c r="AG812" s="12">
        <v>110</v>
      </c>
      <c r="AH812" s="14">
        <v>1</v>
      </c>
      <c r="AI812" s="209"/>
      <c r="AJ812" s="3"/>
      <c r="AK812" s="3"/>
      <c r="AL812" s="3"/>
      <c r="AM812" s="3"/>
      <c r="AN812" s="3"/>
      <c r="AO812" s="40"/>
      <c r="AP812" s="209"/>
      <c r="AQ812" s="3"/>
      <c r="AR812" s="40"/>
      <c r="AS812" s="238"/>
    </row>
    <row r="813" spans="1:45" s="229" customFormat="1">
      <c r="A813" s="42" t="s">
        <v>708</v>
      </c>
      <c r="B813" s="386">
        <v>38.398333333333333</v>
      </c>
      <c r="C813" s="229" t="s">
        <v>709</v>
      </c>
      <c r="D813" s="229" t="s">
        <v>673</v>
      </c>
      <c r="E813" s="229" t="s">
        <v>1</v>
      </c>
      <c r="F813" s="229">
        <v>444</v>
      </c>
      <c r="G813" s="40">
        <f>F813/356</f>
        <v>1.247191011235955</v>
      </c>
      <c r="H813" s="14">
        <v>0</v>
      </c>
      <c r="I813" s="229">
        <v>1</v>
      </c>
      <c r="J813" s="229">
        <v>0</v>
      </c>
      <c r="K813" s="26">
        <v>1</v>
      </c>
      <c r="L813" s="14">
        <v>0</v>
      </c>
      <c r="M813" s="229">
        <v>0</v>
      </c>
      <c r="N813" s="229">
        <v>1</v>
      </c>
      <c r="O813" s="229">
        <v>0</v>
      </c>
      <c r="P813" s="26">
        <v>1</v>
      </c>
      <c r="Q813" s="14">
        <v>3</v>
      </c>
      <c r="R813" s="229">
        <v>0</v>
      </c>
      <c r="S813" s="229">
        <v>0</v>
      </c>
      <c r="T813" s="229">
        <v>0</v>
      </c>
      <c r="U813" s="229">
        <v>0</v>
      </c>
      <c r="V813" s="229">
        <v>34</v>
      </c>
      <c r="W813" s="229">
        <v>41</v>
      </c>
      <c r="X813" s="229">
        <v>0</v>
      </c>
      <c r="Y813" s="229">
        <v>0</v>
      </c>
      <c r="Z813" s="229">
        <v>0</v>
      </c>
      <c r="AA813" s="229">
        <v>0</v>
      </c>
      <c r="AB813" s="229">
        <v>0</v>
      </c>
      <c r="AC813" s="12">
        <v>2</v>
      </c>
      <c r="AD813" s="14">
        <v>4</v>
      </c>
      <c r="AE813" s="14">
        <v>79</v>
      </c>
      <c r="AF813" s="26">
        <v>384</v>
      </c>
      <c r="AG813" s="12">
        <v>110</v>
      </c>
      <c r="AH813" s="14">
        <v>0</v>
      </c>
      <c r="AI813" s="209"/>
      <c r="AJ813" s="3"/>
      <c r="AK813" s="3"/>
      <c r="AL813" s="3"/>
      <c r="AM813" s="3"/>
      <c r="AN813" s="3"/>
      <c r="AO813" s="40"/>
      <c r="AP813" s="209"/>
      <c r="AQ813" s="3"/>
      <c r="AR813" s="40"/>
      <c r="AS813" s="238"/>
    </row>
    <row r="814" spans="1:45" s="229" customFormat="1">
      <c r="A814" s="42" t="s">
        <v>708</v>
      </c>
      <c r="B814" s="386">
        <v>38.398333333333333</v>
      </c>
      <c r="C814" s="24" t="s">
        <v>709</v>
      </c>
      <c r="D814" s="229" t="s">
        <v>674</v>
      </c>
      <c r="E814" s="229" t="s">
        <v>0</v>
      </c>
      <c r="F814" s="229">
        <v>515</v>
      </c>
      <c r="G814" s="40">
        <f>F814/361</f>
        <v>1.4265927977839334</v>
      </c>
      <c r="H814" s="14">
        <v>0</v>
      </c>
      <c r="I814" s="229">
        <v>0</v>
      </c>
      <c r="J814" s="229">
        <v>0</v>
      </c>
      <c r="K814" s="26">
        <v>1</v>
      </c>
      <c r="L814" s="14">
        <v>0</v>
      </c>
      <c r="M814" s="229">
        <v>0</v>
      </c>
      <c r="N814" s="229">
        <v>1</v>
      </c>
      <c r="O814" s="229">
        <v>0</v>
      </c>
      <c r="P814" s="26">
        <v>1</v>
      </c>
      <c r="Q814" s="14">
        <v>15</v>
      </c>
      <c r="R814" s="229">
        <v>0</v>
      </c>
      <c r="S814" s="229">
        <v>0</v>
      </c>
      <c r="T814" s="229">
        <v>0</v>
      </c>
      <c r="U814" s="229">
        <v>0</v>
      </c>
      <c r="V814" s="229">
        <v>0</v>
      </c>
      <c r="W814" s="229">
        <v>0</v>
      </c>
      <c r="X814" s="229">
        <v>0</v>
      </c>
      <c r="Y814" s="229">
        <v>0</v>
      </c>
      <c r="Z814" s="229">
        <v>0</v>
      </c>
      <c r="AA814" s="229">
        <v>157</v>
      </c>
      <c r="AB814" s="229">
        <v>0</v>
      </c>
      <c r="AC814" s="12">
        <v>2</v>
      </c>
      <c r="AD814" s="14">
        <v>3</v>
      </c>
      <c r="AE814" s="14">
        <v>115</v>
      </c>
      <c r="AF814" s="26">
        <v>361</v>
      </c>
      <c r="AG814" s="12">
        <v>142</v>
      </c>
      <c r="AH814" s="14">
        <v>0</v>
      </c>
      <c r="AI814" s="209">
        <v>86.042238781192424</v>
      </c>
      <c r="AJ814" s="3"/>
      <c r="AK814" s="3"/>
      <c r="AL814" s="3"/>
      <c r="AM814" s="3"/>
      <c r="AN814" s="3"/>
      <c r="AO814" s="40"/>
      <c r="AP814" s="209">
        <v>85.320934336910256</v>
      </c>
      <c r="AQ814" s="3"/>
      <c r="AR814" s="40"/>
      <c r="AS814" s="238"/>
    </row>
    <row r="815" spans="1:45" s="229" customFormat="1">
      <c r="A815" s="42" t="s">
        <v>708</v>
      </c>
      <c r="B815" s="386">
        <v>38.398333333333333</v>
      </c>
      <c r="C815" s="24" t="s">
        <v>709</v>
      </c>
      <c r="D815" s="229" t="s">
        <v>674</v>
      </c>
      <c r="E815" s="229" t="s">
        <v>1</v>
      </c>
      <c r="F815" s="229">
        <v>372</v>
      </c>
      <c r="G815" s="40">
        <f>F815/234</f>
        <v>1.5897435897435896</v>
      </c>
      <c r="H815" s="14">
        <v>0</v>
      </c>
      <c r="I815" s="229">
        <v>0</v>
      </c>
      <c r="J815" s="229">
        <v>0</v>
      </c>
      <c r="K815" s="26">
        <v>1</v>
      </c>
      <c r="L815" s="14">
        <v>0</v>
      </c>
      <c r="M815" s="229">
        <v>0</v>
      </c>
      <c r="N815" s="229">
        <v>1</v>
      </c>
      <c r="O815" s="229">
        <v>0</v>
      </c>
      <c r="P815" s="26">
        <v>1</v>
      </c>
      <c r="Q815" s="14">
        <v>2</v>
      </c>
      <c r="R815" s="229">
        <v>0</v>
      </c>
      <c r="S815" s="229">
        <v>0</v>
      </c>
      <c r="T815" s="229">
        <v>0</v>
      </c>
      <c r="U815" s="229">
        <v>0</v>
      </c>
      <c r="V815" s="229">
        <v>0</v>
      </c>
      <c r="W815" s="229">
        <v>35</v>
      </c>
      <c r="X815" s="229">
        <v>0</v>
      </c>
      <c r="Y815" s="229">
        <v>0</v>
      </c>
      <c r="Z815" s="229">
        <v>0</v>
      </c>
      <c r="AA815" s="229">
        <v>0</v>
      </c>
      <c r="AB815" s="229">
        <v>0</v>
      </c>
      <c r="AC815" s="12">
        <v>1</v>
      </c>
      <c r="AD815" s="14">
        <v>1</v>
      </c>
      <c r="AE815" s="14">
        <v>0</v>
      </c>
      <c r="AF815" s="26">
        <v>0</v>
      </c>
      <c r="AG815" s="12">
        <v>142</v>
      </c>
      <c r="AH815" s="14">
        <v>0</v>
      </c>
      <c r="AI815" s="209"/>
      <c r="AJ815" s="3"/>
      <c r="AK815" s="3"/>
      <c r="AL815" s="3"/>
      <c r="AM815" s="3"/>
      <c r="AN815" s="3"/>
      <c r="AO815" s="40"/>
      <c r="AP815" s="209"/>
      <c r="AQ815" s="3"/>
      <c r="AR815" s="40"/>
      <c r="AS815" s="238"/>
    </row>
    <row r="816" spans="1:45" s="229" customFormat="1">
      <c r="A816" s="42" t="s">
        <v>708</v>
      </c>
      <c r="B816" s="386">
        <v>38.398333333333333</v>
      </c>
      <c r="C816" s="24" t="s">
        <v>709</v>
      </c>
      <c r="D816" s="229" t="s">
        <v>674</v>
      </c>
      <c r="E816" s="229" t="s">
        <v>2</v>
      </c>
      <c r="F816" s="229">
        <v>605</v>
      </c>
      <c r="G816" s="40">
        <f>F816/540</f>
        <v>1.1203703703703705</v>
      </c>
      <c r="H816" s="14">
        <v>0</v>
      </c>
      <c r="I816" s="229">
        <v>0</v>
      </c>
      <c r="J816" s="229">
        <v>0</v>
      </c>
      <c r="K816" s="26">
        <v>1</v>
      </c>
      <c r="L816" s="14">
        <v>0</v>
      </c>
      <c r="M816" s="229">
        <v>0</v>
      </c>
      <c r="N816" s="229">
        <v>1</v>
      </c>
      <c r="O816" s="229">
        <v>0</v>
      </c>
      <c r="P816" s="26">
        <v>1</v>
      </c>
      <c r="Q816" s="14">
        <v>5</v>
      </c>
      <c r="R816" s="229">
        <v>0</v>
      </c>
      <c r="S816" s="229">
        <v>0</v>
      </c>
      <c r="T816" s="229">
        <v>0</v>
      </c>
      <c r="U816" s="229">
        <v>0</v>
      </c>
      <c r="V816" s="229">
        <v>14</v>
      </c>
      <c r="W816" s="229">
        <v>35</v>
      </c>
      <c r="X816" s="229">
        <v>0</v>
      </c>
      <c r="Y816" s="229">
        <v>0</v>
      </c>
      <c r="Z816" s="229">
        <v>0</v>
      </c>
      <c r="AA816" s="229">
        <v>0</v>
      </c>
      <c r="AB816" s="229">
        <v>0</v>
      </c>
      <c r="AC816" s="12">
        <v>2</v>
      </c>
      <c r="AD816" s="14">
        <v>6</v>
      </c>
      <c r="AE816" s="14">
        <v>175</v>
      </c>
      <c r="AF816" s="26">
        <v>363</v>
      </c>
      <c r="AG816" s="12">
        <v>142</v>
      </c>
      <c r="AH816" s="14">
        <v>0</v>
      </c>
      <c r="AI816" s="209">
        <v>86.049651500834798</v>
      </c>
      <c r="AJ816" s="3"/>
      <c r="AK816" s="3"/>
      <c r="AL816" s="3"/>
      <c r="AM816" s="3"/>
      <c r="AN816" s="3"/>
      <c r="AO816" s="40"/>
      <c r="AP816" s="209">
        <v>76.109557626957667</v>
      </c>
      <c r="AQ816" s="3"/>
      <c r="AR816" s="40"/>
      <c r="AS816" s="238"/>
    </row>
    <row r="817" spans="1:45" s="229" customFormat="1" ht="17" thickBot="1">
      <c r="A817" s="55" t="s">
        <v>708</v>
      </c>
      <c r="B817" s="385">
        <v>38.398333333333333</v>
      </c>
      <c r="C817" s="229" t="s">
        <v>709</v>
      </c>
      <c r="D817" s="229" t="s">
        <v>675</v>
      </c>
      <c r="F817" s="229">
        <v>418</v>
      </c>
      <c r="G817" s="40">
        <f>F817/257</f>
        <v>1.6264591439688716</v>
      </c>
      <c r="H817" s="14">
        <v>1</v>
      </c>
      <c r="I817" s="229">
        <v>0</v>
      </c>
      <c r="J817" s="229">
        <v>1</v>
      </c>
      <c r="K817" s="26">
        <v>1</v>
      </c>
      <c r="L817" s="14">
        <v>0</v>
      </c>
      <c r="M817" s="229">
        <v>0</v>
      </c>
      <c r="N817" s="229">
        <v>1</v>
      </c>
      <c r="O817" s="229">
        <v>0</v>
      </c>
      <c r="P817" s="26">
        <v>1</v>
      </c>
      <c r="Q817" s="14">
        <v>1</v>
      </c>
      <c r="R817" s="229">
        <v>0</v>
      </c>
      <c r="S817" s="229">
        <v>0</v>
      </c>
      <c r="T817" s="229">
        <v>0</v>
      </c>
      <c r="U817" s="229">
        <v>0</v>
      </c>
      <c r="V817" s="229">
        <v>0</v>
      </c>
      <c r="W817" s="229">
        <v>10</v>
      </c>
      <c r="X817" s="229">
        <v>0</v>
      </c>
      <c r="Y817" s="229">
        <v>0</v>
      </c>
      <c r="Z817" s="229">
        <v>0</v>
      </c>
      <c r="AA817" s="229">
        <v>0</v>
      </c>
      <c r="AB817" s="229">
        <v>0</v>
      </c>
      <c r="AC817" s="12">
        <v>2</v>
      </c>
      <c r="AD817" s="14">
        <v>12</v>
      </c>
      <c r="AE817" s="14">
        <v>11</v>
      </c>
      <c r="AF817" s="26">
        <v>210</v>
      </c>
      <c r="AG817" s="12">
        <v>109</v>
      </c>
      <c r="AH817" s="14">
        <v>1</v>
      </c>
      <c r="AI817" s="209"/>
      <c r="AJ817" s="3"/>
      <c r="AK817" s="3"/>
      <c r="AL817" s="3"/>
      <c r="AM817" s="3"/>
      <c r="AN817" s="3"/>
      <c r="AO817" s="40"/>
      <c r="AP817" s="209"/>
      <c r="AQ817" s="3"/>
      <c r="AR817" s="40"/>
      <c r="AS817" s="238"/>
    </row>
    <row r="818" spans="1:45" s="229" customFormat="1">
      <c r="A818" s="42" t="s">
        <v>708</v>
      </c>
      <c r="B818" s="384">
        <v>38.398333333333333</v>
      </c>
      <c r="C818" s="8" t="s">
        <v>710</v>
      </c>
      <c r="D818" s="8" t="s">
        <v>423</v>
      </c>
      <c r="E818" s="8" t="s">
        <v>0</v>
      </c>
      <c r="F818" s="8">
        <v>138</v>
      </c>
      <c r="G818" s="10">
        <f>F818/109</f>
        <v>1.2660550458715596</v>
      </c>
      <c r="H818" s="11">
        <v>0</v>
      </c>
      <c r="I818" s="8">
        <v>1</v>
      </c>
      <c r="J818" s="8">
        <v>0</v>
      </c>
      <c r="K818" s="41">
        <v>0</v>
      </c>
      <c r="L818" s="11">
        <v>0</v>
      </c>
      <c r="M818" s="8">
        <v>0</v>
      </c>
      <c r="N818" s="8">
        <v>0</v>
      </c>
      <c r="O818" s="8">
        <v>0</v>
      </c>
      <c r="P818" s="41">
        <v>0</v>
      </c>
      <c r="Q818" s="11">
        <v>15</v>
      </c>
      <c r="R818" s="8">
        <v>9</v>
      </c>
      <c r="S818" s="8">
        <v>12</v>
      </c>
      <c r="T818" s="8">
        <v>0</v>
      </c>
      <c r="U818" s="8">
        <v>0</v>
      </c>
      <c r="V818" s="8">
        <v>12</v>
      </c>
      <c r="W818" s="8">
        <v>20</v>
      </c>
      <c r="X818" s="8">
        <v>0</v>
      </c>
      <c r="Y818" s="8">
        <v>0</v>
      </c>
      <c r="Z818" s="8">
        <v>0</v>
      </c>
      <c r="AA818" s="8">
        <v>0</v>
      </c>
      <c r="AB818" s="8">
        <v>0</v>
      </c>
      <c r="AC818" s="9">
        <v>1</v>
      </c>
      <c r="AD818" s="11">
        <v>1</v>
      </c>
      <c r="AE818" s="11">
        <v>0</v>
      </c>
      <c r="AF818" s="41">
        <v>0</v>
      </c>
      <c r="AG818" s="9">
        <v>129</v>
      </c>
      <c r="AH818" s="11">
        <v>0</v>
      </c>
      <c r="AI818" s="208"/>
      <c r="AJ818" s="54"/>
      <c r="AK818" s="54"/>
      <c r="AL818" s="54"/>
      <c r="AM818" s="54"/>
      <c r="AN818" s="54"/>
      <c r="AO818" s="10"/>
      <c r="AP818" s="208"/>
      <c r="AQ818" s="54"/>
      <c r="AR818" s="10"/>
      <c r="AS818" s="237"/>
    </row>
    <row r="819" spans="1:45" s="229" customFormat="1">
      <c r="A819" s="42" t="s">
        <v>708</v>
      </c>
      <c r="B819" s="386">
        <v>38.398333333333333</v>
      </c>
      <c r="C819" s="229" t="s">
        <v>710</v>
      </c>
      <c r="D819" s="229" t="s">
        <v>423</v>
      </c>
      <c r="E819" s="229" t="s">
        <v>1</v>
      </c>
      <c r="F819" s="229">
        <v>449</v>
      </c>
      <c r="G819" s="40">
        <f>F819/228</f>
        <v>1.9692982456140351</v>
      </c>
      <c r="H819" s="14">
        <v>0</v>
      </c>
      <c r="I819" s="229">
        <v>0</v>
      </c>
      <c r="J819" s="229">
        <v>0</v>
      </c>
      <c r="K819" s="26">
        <v>1</v>
      </c>
      <c r="L819" s="14">
        <v>0</v>
      </c>
      <c r="M819" s="229">
        <v>0</v>
      </c>
      <c r="N819" s="229">
        <v>0</v>
      </c>
      <c r="O819" s="229">
        <v>0</v>
      </c>
      <c r="P819" s="26">
        <v>0</v>
      </c>
      <c r="Q819" s="14">
        <v>6</v>
      </c>
      <c r="R819" s="229">
        <v>0</v>
      </c>
      <c r="S819" s="229">
        <v>0</v>
      </c>
      <c r="T819" s="229">
        <v>0</v>
      </c>
      <c r="U819" s="229">
        <v>0</v>
      </c>
      <c r="V819" s="229">
        <v>43</v>
      </c>
      <c r="W819" s="229">
        <v>149</v>
      </c>
      <c r="X819" s="229">
        <v>0</v>
      </c>
      <c r="Y819" s="229">
        <v>0</v>
      </c>
      <c r="Z819" s="229">
        <v>0</v>
      </c>
      <c r="AA819" s="229">
        <v>0</v>
      </c>
      <c r="AB819" s="229">
        <v>0</v>
      </c>
      <c r="AC819" s="12">
        <v>1</v>
      </c>
      <c r="AD819" s="14">
        <v>1</v>
      </c>
      <c r="AE819" s="14">
        <v>0</v>
      </c>
      <c r="AF819" s="26">
        <v>0</v>
      </c>
      <c r="AG819" s="12">
        <v>129</v>
      </c>
      <c r="AH819" s="14">
        <v>0</v>
      </c>
      <c r="AI819" s="209"/>
      <c r="AJ819" s="3"/>
      <c r="AK819" s="3"/>
      <c r="AL819" s="3"/>
      <c r="AM819" s="3"/>
      <c r="AN819" s="3"/>
      <c r="AO819" s="40"/>
      <c r="AP819" s="209"/>
      <c r="AQ819" s="3"/>
      <c r="AR819" s="40"/>
      <c r="AS819" s="238"/>
    </row>
    <row r="820" spans="1:45" s="229" customFormat="1">
      <c r="A820" s="42" t="s">
        <v>708</v>
      </c>
      <c r="B820" s="386">
        <v>38.398333333333333</v>
      </c>
      <c r="C820" s="229" t="s">
        <v>710</v>
      </c>
      <c r="D820" s="229" t="s">
        <v>622</v>
      </c>
      <c r="E820" s="229" t="s">
        <v>0</v>
      </c>
      <c r="F820" s="229">
        <v>226</v>
      </c>
      <c r="G820" s="40">
        <f>F820/137</f>
        <v>1.6496350364963503</v>
      </c>
      <c r="H820" s="14">
        <v>1</v>
      </c>
      <c r="I820" s="229">
        <v>0</v>
      </c>
      <c r="J820" s="229">
        <v>0</v>
      </c>
      <c r="K820" s="26">
        <v>0</v>
      </c>
      <c r="L820" s="14">
        <v>0</v>
      </c>
      <c r="M820" s="229">
        <v>0</v>
      </c>
      <c r="N820" s="229">
        <v>1</v>
      </c>
      <c r="O820" s="229">
        <v>0</v>
      </c>
      <c r="P820" s="26">
        <v>1</v>
      </c>
      <c r="Q820" s="14">
        <v>0</v>
      </c>
      <c r="R820" s="229">
        <v>0</v>
      </c>
      <c r="S820" s="229">
        <v>0</v>
      </c>
      <c r="T820" s="229">
        <v>0</v>
      </c>
      <c r="U820" s="229">
        <v>0</v>
      </c>
      <c r="V820" s="229">
        <v>0</v>
      </c>
      <c r="W820" s="229">
        <v>0</v>
      </c>
      <c r="X820" s="229">
        <v>0</v>
      </c>
      <c r="Y820" s="229">
        <v>0</v>
      </c>
      <c r="Z820" s="229">
        <v>0</v>
      </c>
      <c r="AA820" s="229">
        <v>0</v>
      </c>
      <c r="AB820" s="229">
        <v>0</v>
      </c>
      <c r="AC820" s="12">
        <v>1</v>
      </c>
      <c r="AD820" s="14">
        <v>1</v>
      </c>
      <c r="AE820" s="14">
        <v>0</v>
      </c>
      <c r="AF820" s="26">
        <v>0</v>
      </c>
      <c r="AG820" s="12">
        <v>119</v>
      </c>
      <c r="AH820" s="14">
        <v>0</v>
      </c>
      <c r="AI820" s="209"/>
      <c r="AJ820" s="3"/>
      <c r="AK820" s="3"/>
      <c r="AL820" s="3"/>
      <c r="AM820" s="3"/>
      <c r="AN820" s="3"/>
      <c r="AO820" s="40"/>
      <c r="AP820" s="209"/>
      <c r="AQ820" s="3"/>
      <c r="AR820" s="40"/>
      <c r="AS820" s="238"/>
    </row>
    <row r="821" spans="1:45" s="229" customFormat="1">
      <c r="A821" s="42" t="s">
        <v>708</v>
      </c>
      <c r="B821" s="386">
        <v>38.398333333333333</v>
      </c>
      <c r="C821" s="229" t="s">
        <v>710</v>
      </c>
      <c r="D821" s="229" t="s">
        <v>622</v>
      </c>
      <c r="E821" s="229" t="s">
        <v>1</v>
      </c>
      <c r="F821" s="229">
        <v>176</v>
      </c>
      <c r="G821" s="40">
        <f>F821/120</f>
        <v>1.4666666666666666</v>
      </c>
      <c r="H821" s="14">
        <v>0</v>
      </c>
      <c r="I821" s="229">
        <v>0</v>
      </c>
      <c r="J821" s="229">
        <v>0</v>
      </c>
      <c r="K821" s="26">
        <v>1</v>
      </c>
      <c r="L821" s="14">
        <v>0</v>
      </c>
      <c r="M821" s="229">
        <v>0</v>
      </c>
      <c r="N821" s="229">
        <v>0</v>
      </c>
      <c r="O821" s="229">
        <v>0</v>
      </c>
      <c r="P821" s="26">
        <v>0</v>
      </c>
      <c r="Q821" s="14">
        <v>10</v>
      </c>
      <c r="R821" s="229">
        <v>0</v>
      </c>
      <c r="S821" s="229">
        <v>23</v>
      </c>
      <c r="T821" s="229">
        <v>0</v>
      </c>
      <c r="U821" s="229">
        <v>0</v>
      </c>
      <c r="V821" s="229">
        <v>0</v>
      </c>
      <c r="W821" s="229">
        <v>0</v>
      </c>
      <c r="X821" s="229">
        <v>0</v>
      </c>
      <c r="Y821" s="229">
        <v>0</v>
      </c>
      <c r="Z821" s="229">
        <v>0</v>
      </c>
      <c r="AA821" s="229">
        <v>0</v>
      </c>
      <c r="AB821" s="229">
        <v>0</v>
      </c>
      <c r="AC821" s="12">
        <v>1</v>
      </c>
      <c r="AD821" s="14">
        <v>1</v>
      </c>
      <c r="AE821" s="14">
        <v>0</v>
      </c>
      <c r="AF821" s="26">
        <v>0</v>
      </c>
      <c r="AG821" s="12">
        <v>119</v>
      </c>
      <c r="AH821" s="14">
        <v>0</v>
      </c>
      <c r="AI821" s="209"/>
      <c r="AJ821" s="3"/>
      <c r="AK821" s="3"/>
      <c r="AL821" s="3"/>
      <c r="AM821" s="3"/>
      <c r="AN821" s="3"/>
      <c r="AO821" s="40"/>
      <c r="AP821" s="209"/>
      <c r="AQ821" s="3"/>
      <c r="AR821" s="40"/>
      <c r="AS821" s="238"/>
    </row>
    <row r="822" spans="1:45" s="229" customFormat="1">
      <c r="A822" s="42" t="s">
        <v>708</v>
      </c>
      <c r="B822" s="386">
        <v>38.398333333333333</v>
      </c>
      <c r="C822" s="229" t="s">
        <v>710</v>
      </c>
      <c r="D822" s="229" t="s">
        <v>622</v>
      </c>
      <c r="E822" s="229" t="s">
        <v>2</v>
      </c>
      <c r="F822" s="229">
        <v>194</v>
      </c>
      <c r="G822" s="40">
        <f>F822/114</f>
        <v>1.7017543859649122</v>
      </c>
      <c r="H822" s="14">
        <v>0</v>
      </c>
      <c r="I822" s="229">
        <v>0</v>
      </c>
      <c r="J822" s="229">
        <v>0</v>
      </c>
      <c r="K822" s="26">
        <v>1</v>
      </c>
      <c r="L822" s="14">
        <v>0</v>
      </c>
      <c r="M822" s="229">
        <v>0</v>
      </c>
      <c r="N822" s="229">
        <v>0</v>
      </c>
      <c r="O822" s="229">
        <v>0</v>
      </c>
      <c r="P822" s="26">
        <v>0</v>
      </c>
      <c r="Q822" s="14">
        <v>18</v>
      </c>
      <c r="R822" s="229">
        <v>0</v>
      </c>
      <c r="S822" s="229">
        <v>0</v>
      </c>
      <c r="T822" s="229">
        <v>0</v>
      </c>
      <c r="U822" s="229">
        <v>0</v>
      </c>
      <c r="V822" s="229">
        <v>0</v>
      </c>
      <c r="W822" s="229">
        <v>63</v>
      </c>
      <c r="X822" s="229">
        <v>0</v>
      </c>
      <c r="Y822" s="229">
        <v>0</v>
      </c>
      <c r="Z822" s="229">
        <v>0</v>
      </c>
      <c r="AA822" s="229">
        <v>0</v>
      </c>
      <c r="AB822" s="229">
        <v>0</v>
      </c>
      <c r="AC822" s="12">
        <v>1</v>
      </c>
      <c r="AD822" s="14">
        <v>1</v>
      </c>
      <c r="AE822" s="14">
        <v>0</v>
      </c>
      <c r="AF822" s="26">
        <v>0</v>
      </c>
      <c r="AG822" s="12">
        <v>119</v>
      </c>
      <c r="AH822" s="14">
        <v>0</v>
      </c>
      <c r="AI822" s="209"/>
      <c r="AJ822" s="3"/>
      <c r="AK822" s="3"/>
      <c r="AL822" s="3"/>
      <c r="AM822" s="3"/>
      <c r="AN822" s="3"/>
      <c r="AO822" s="40"/>
      <c r="AP822" s="209"/>
      <c r="AQ822" s="3"/>
      <c r="AR822" s="40"/>
      <c r="AS822" s="238"/>
    </row>
    <row r="823" spans="1:45" s="229" customFormat="1">
      <c r="A823" s="42" t="s">
        <v>708</v>
      </c>
      <c r="B823" s="386">
        <v>38.398333333333333</v>
      </c>
      <c r="C823" s="229" t="s">
        <v>710</v>
      </c>
      <c r="D823" s="229" t="s">
        <v>622</v>
      </c>
      <c r="E823" s="229" t="s">
        <v>3</v>
      </c>
      <c r="F823" s="229">
        <v>292</v>
      </c>
      <c r="G823" s="40">
        <f>F823/235</f>
        <v>1.2425531914893617</v>
      </c>
      <c r="H823" s="14">
        <v>0</v>
      </c>
      <c r="I823" s="229">
        <v>0</v>
      </c>
      <c r="J823" s="229">
        <v>0</v>
      </c>
      <c r="K823" s="26">
        <v>1</v>
      </c>
      <c r="L823" s="14">
        <v>0</v>
      </c>
      <c r="M823" s="229">
        <v>0</v>
      </c>
      <c r="N823" s="229">
        <v>0</v>
      </c>
      <c r="O823" s="229">
        <v>0</v>
      </c>
      <c r="P823" s="26">
        <v>0</v>
      </c>
      <c r="Q823" s="14">
        <v>2</v>
      </c>
      <c r="R823" s="229">
        <v>0</v>
      </c>
      <c r="S823" s="229">
        <v>21</v>
      </c>
      <c r="T823" s="229">
        <v>0</v>
      </c>
      <c r="U823" s="229">
        <v>0</v>
      </c>
      <c r="V823" s="229">
        <v>0</v>
      </c>
      <c r="W823" s="229">
        <v>0</v>
      </c>
      <c r="X823" s="229">
        <v>0</v>
      </c>
      <c r="Y823" s="229">
        <v>0</v>
      </c>
      <c r="Z823" s="229">
        <v>0</v>
      </c>
      <c r="AA823" s="229">
        <v>0</v>
      </c>
      <c r="AB823" s="229">
        <v>0</v>
      </c>
      <c r="AC823" s="12">
        <v>2</v>
      </c>
      <c r="AD823" s="14">
        <v>2</v>
      </c>
      <c r="AE823" s="14">
        <v>63</v>
      </c>
      <c r="AF823" s="26">
        <v>294</v>
      </c>
      <c r="AG823" s="12">
        <v>119</v>
      </c>
      <c r="AH823" s="14">
        <v>0</v>
      </c>
      <c r="AI823" s="209"/>
      <c r="AJ823" s="3"/>
      <c r="AK823" s="3"/>
      <c r="AL823" s="3"/>
      <c r="AM823" s="3"/>
      <c r="AN823" s="3"/>
      <c r="AO823" s="40"/>
      <c r="AP823" s="209"/>
      <c r="AQ823" s="3"/>
      <c r="AR823" s="40"/>
      <c r="AS823" s="238"/>
    </row>
    <row r="824" spans="1:45" s="229" customFormat="1">
      <c r="A824" s="42" t="s">
        <v>708</v>
      </c>
      <c r="B824" s="386">
        <v>38.398333333333333</v>
      </c>
      <c r="C824" s="229" t="s">
        <v>710</v>
      </c>
      <c r="D824" s="229" t="s">
        <v>620</v>
      </c>
      <c r="F824" s="229">
        <v>478</v>
      </c>
      <c r="G824" s="40">
        <f>F824/337</f>
        <v>1.4183976261127595</v>
      </c>
      <c r="H824" s="14">
        <v>0</v>
      </c>
      <c r="I824" s="229">
        <v>1</v>
      </c>
      <c r="J824" s="229">
        <v>1</v>
      </c>
      <c r="K824" s="26">
        <v>1</v>
      </c>
      <c r="L824" s="14">
        <v>0</v>
      </c>
      <c r="M824" s="229">
        <v>0</v>
      </c>
      <c r="N824" s="229">
        <v>0</v>
      </c>
      <c r="O824" s="229">
        <v>0</v>
      </c>
      <c r="P824" s="26">
        <v>0</v>
      </c>
      <c r="Q824" s="14">
        <v>3</v>
      </c>
      <c r="R824" s="229">
        <v>0</v>
      </c>
      <c r="S824" s="229">
        <v>12</v>
      </c>
      <c r="T824" s="229">
        <v>0</v>
      </c>
      <c r="U824" s="229">
        <v>0</v>
      </c>
      <c r="V824" s="229">
        <v>0</v>
      </c>
      <c r="W824" s="229">
        <v>41</v>
      </c>
      <c r="X824" s="229">
        <v>0</v>
      </c>
      <c r="Y824" s="229">
        <v>0</v>
      </c>
      <c r="Z824" s="229">
        <v>0</v>
      </c>
      <c r="AA824" s="229">
        <v>0</v>
      </c>
      <c r="AB824" s="229">
        <v>0</v>
      </c>
      <c r="AC824" s="12">
        <v>2</v>
      </c>
      <c r="AD824" s="14">
        <v>5</v>
      </c>
      <c r="AE824" s="14">
        <v>73</v>
      </c>
      <c r="AF824" s="26">
        <v>384</v>
      </c>
      <c r="AG824" s="12">
        <v>110</v>
      </c>
      <c r="AH824" s="14">
        <v>0</v>
      </c>
      <c r="AI824" s="209"/>
      <c r="AJ824" s="3"/>
      <c r="AK824" s="3"/>
      <c r="AL824" s="3"/>
      <c r="AM824" s="3"/>
      <c r="AN824" s="3"/>
      <c r="AO824" s="40"/>
      <c r="AP824" s="209"/>
      <c r="AQ824" s="3"/>
      <c r="AR824" s="40"/>
      <c r="AS824" s="238"/>
    </row>
    <row r="825" spans="1:45" s="229" customFormat="1">
      <c r="A825" s="42" t="s">
        <v>708</v>
      </c>
      <c r="B825" s="386">
        <v>38.398333333333333</v>
      </c>
      <c r="C825" s="229" t="s">
        <v>710</v>
      </c>
      <c r="D825" s="229" t="s">
        <v>629</v>
      </c>
      <c r="E825" s="229" t="s">
        <v>0</v>
      </c>
      <c r="F825" s="229">
        <v>91</v>
      </c>
      <c r="G825" s="40">
        <f>F825/80</f>
        <v>1.1375</v>
      </c>
      <c r="H825" s="14">
        <v>0</v>
      </c>
      <c r="I825" s="229">
        <v>1</v>
      </c>
      <c r="J825" s="229">
        <v>0</v>
      </c>
      <c r="K825" s="26">
        <v>0</v>
      </c>
      <c r="L825" s="14">
        <v>1</v>
      </c>
      <c r="M825" s="229">
        <v>0</v>
      </c>
      <c r="N825" s="229">
        <v>0</v>
      </c>
      <c r="O825" s="229">
        <v>0</v>
      </c>
      <c r="P825" s="26">
        <v>1</v>
      </c>
      <c r="Q825" s="14">
        <v>0</v>
      </c>
      <c r="R825" s="229">
        <v>0</v>
      </c>
      <c r="S825" s="229">
        <v>0</v>
      </c>
      <c r="T825" s="229">
        <v>0</v>
      </c>
      <c r="U825" s="229">
        <v>0</v>
      </c>
      <c r="V825" s="229">
        <v>0</v>
      </c>
      <c r="W825" s="229">
        <v>0</v>
      </c>
      <c r="X825" s="229">
        <v>0</v>
      </c>
      <c r="Y825" s="229">
        <v>0</v>
      </c>
      <c r="Z825" s="229">
        <v>0</v>
      </c>
      <c r="AA825" s="229">
        <v>0</v>
      </c>
      <c r="AB825" s="229">
        <v>0</v>
      </c>
      <c r="AC825" s="12">
        <v>1</v>
      </c>
      <c r="AD825" s="14">
        <v>1</v>
      </c>
      <c r="AE825" s="14">
        <v>0</v>
      </c>
      <c r="AF825" s="26">
        <v>0</v>
      </c>
      <c r="AG825" s="12">
        <v>109</v>
      </c>
      <c r="AH825" s="14">
        <v>0</v>
      </c>
      <c r="AI825" s="209"/>
      <c r="AJ825" s="3"/>
      <c r="AK825" s="3"/>
      <c r="AL825" s="3"/>
      <c r="AM825" s="3"/>
      <c r="AN825" s="3"/>
      <c r="AO825" s="40"/>
      <c r="AP825" s="209"/>
      <c r="AQ825" s="3"/>
      <c r="AR825" s="40"/>
      <c r="AS825" s="238"/>
    </row>
    <row r="826" spans="1:45" s="229" customFormat="1">
      <c r="A826" s="42" t="s">
        <v>708</v>
      </c>
      <c r="B826" s="386">
        <v>38.398333333333333</v>
      </c>
      <c r="C826" s="229" t="s">
        <v>710</v>
      </c>
      <c r="D826" s="229" t="s">
        <v>629</v>
      </c>
      <c r="E826" s="229" t="s">
        <v>1</v>
      </c>
      <c r="F826" s="229">
        <v>371</v>
      </c>
      <c r="G826" s="40">
        <f>F826/357</f>
        <v>1.0392156862745099</v>
      </c>
      <c r="H826" s="14">
        <v>0</v>
      </c>
      <c r="I826" s="229">
        <v>0</v>
      </c>
      <c r="J826" s="229">
        <v>0</v>
      </c>
      <c r="K826" s="26">
        <v>1</v>
      </c>
      <c r="L826" s="14">
        <v>1</v>
      </c>
      <c r="M826" s="229">
        <v>0</v>
      </c>
      <c r="N826" s="229">
        <v>0</v>
      </c>
      <c r="O826" s="229">
        <v>0</v>
      </c>
      <c r="P826" s="26">
        <v>1</v>
      </c>
      <c r="Q826" s="14">
        <v>2</v>
      </c>
      <c r="R826" s="229">
        <v>0</v>
      </c>
      <c r="S826" s="229">
        <v>14</v>
      </c>
      <c r="T826" s="229">
        <v>0</v>
      </c>
      <c r="U826" s="229">
        <v>0</v>
      </c>
      <c r="V826" s="229">
        <v>0</v>
      </c>
      <c r="W826" s="229">
        <v>0</v>
      </c>
      <c r="X826" s="229">
        <v>0</v>
      </c>
      <c r="Y826" s="229">
        <v>0</v>
      </c>
      <c r="Z826" s="229">
        <v>0</v>
      </c>
      <c r="AA826" s="229">
        <v>0</v>
      </c>
      <c r="AB826" s="229">
        <v>0</v>
      </c>
      <c r="AC826" s="12">
        <v>2</v>
      </c>
      <c r="AD826" s="14">
        <v>4</v>
      </c>
      <c r="AE826" s="14">
        <v>70</v>
      </c>
      <c r="AF826" s="26">
        <v>312</v>
      </c>
      <c r="AG826" s="12">
        <v>109</v>
      </c>
      <c r="AH826" s="14">
        <v>1</v>
      </c>
      <c r="AI826" s="209">
        <v>85.521783564623846</v>
      </c>
      <c r="AJ826" s="3"/>
      <c r="AK826" s="3"/>
      <c r="AL826" s="3"/>
      <c r="AM826" s="3"/>
      <c r="AN826" s="3"/>
      <c r="AO826" s="40"/>
      <c r="AP826" s="209">
        <v>83.33727266973807</v>
      </c>
      <c r="AQ826" s="3">
        <v>83.464135158530169</v>
      </c>
      <c r="AR826" s="40"/>
      <c r="AS826" s="238"/>
    </row>
    <row r="827" spans="1:45" s="229" customFormat="1">
      <c r="A827" s="42" t="s">
        <v>708</v>
      </c>
      <c r="B827" s="386">
        <v>38.398333333333333</v>
      </c>
      <c r="C827" s="229" t="s">
        <v>710</v>
      </c>
      <c r="D827" s="229" t="s">
        <v>629</v>
      </c>
      <c r="E827" s="229" t="s">
        <v>2</v>
      </c>
      <c r="F827" s="229">
        <v>250</v>
      </c>
      <c r="G827" s="40">
        <f>F827/173</f>
        <v>1.4450867052023122</v>
      </c>
      <c r="H827" s="14">
        <v>0</v>
      </c>
      <c r="I827" s="229">
        <v>0</v>
      </c>
      <c r="J827" s="229">
        <v>0</v>
      </c>
      <c r="K827" s="26">
        <v>1</v>
      </c>
      <c r="L827" s="14">
        <v>1</v>
      </c>
      <c r="M827" s="229">
        <v>0</v>
      </c>
      <c r="N827" s="229">
        <v>0</v>
      </c>
      <c r="O827" s="229">
        <v>0</v>
      </c>
      <c r="P827" s="26">
        <v>1</v>
      </c>
      <c r="Q827" s="14">
        <v>0</v>
      </c>
      <c r="R827" s="229">
        <v>0</v>
      </c>
      <c r="S827" s="229">
        <v>0</v>
      </c>
      <c r="T827" s="229">
        <v>0</v>
      </c>
      <c r="U827" s="229">
        <v>0</v>
      </c>
      <c r="V827" s="229">
        <v>0</v>
      </c>
      <c r="W827" s="229">
        <v>0</v>
      </c>
      <c r="X827" s="229">
        <v>0</v>
      </c>
      <c r="Y827" s="229">
        <v>0</v>
      </c>
      <c r="Z827" s="229">
        <v>0</v>
      </c>
      <c r="AA827" s="229">
        <v>0</v>
      </c>
      <c r="AB827" s="229">
        <v>0</v>
      </c>
      <c r="AC827" s="12">
        <v>2</v>
      </c>
      <c r="AD827" s="14">
        <v>9</v>
      </c>
      <c r="AE827" s="14">
        <v>20</v>
      </c>
      <c r="AF827" s="26">
        <v>135</v>
      </c>
      <c r="AG827" s="12">
        <v>109</v>
      </c>
      <c r="AH827" s="14">
        <v>1</v>
      </c>
      <c r="AI827" s="209">
        <v>84.698475939653008</v>
      </c>
      <c r="AJ827" s="3">
        <v>83.749155290249533</v>
      </c>
      <c r="AK827" s="3">
        <v>83.634281247694801</v>
      </c>
      <c r="AL827" s="3"/>
      <c r="AM827" s="3"/>
      <c r="AN827" s="3"/>
      <c r="AO827" s="40"/>
      <c r="AP827" s="209">
        <v>83.739765713148913</v>
      </c>
      <c r="AQ827" s="3"/>
      <c r="AR827" s="40"/>
      <c r="AS827" s="238"/>
    </row>
    <row r="828" spans="1:45" s="229" customFormat="1">
      <c r="A828" s="42" t="s">
        <v>708</v>
      </c>
      <c r="B828" s="386">
        <v>38.398333333333333</v>
      </c>
      <c r="C828" s="229" t="s">
        <v>710</v>
      </c>
      <c r="D828" s="229" t="s">
        <v>634</v>
      </c>
      <c r="E828" s="229" t="s">
        <v>0</v>
      </c>
      <c r="F828" s="229">
        <v>329</v>
      </c>
      <c r="G828" s="40">
        <f>F828/287</f>
        <v>1.1463414634146341</v>
      </c>
      <c r="H828" s="14">
        <v>0</v>
      </c>
      <c r="I828" s="229">
        <v>0</v>
      </c>
      <c r="J828" s="229">
        <v>0</v>
      </c>
      <c r="K828" s="26">
        <v>1</v>
      </c>
      <c r="L828" s="14">
        <v>0</v>
      </c>
      <c r="M828" s="229">
        <v>0</v>
      </c>
      <c r="N828" s="229">
        <v>0</v>
      </c>
      <c r="O828" s="229">
        <v>1</v>
      </c>
      <c r="P828" s="26">
        <v>1</v>
      </c>
      <c r="Q828" s="14">
        <v>0</v>
      </c>
      <c r="R828" s="229">
        <v>0</v>
      </c>
      <c r="S828" s="229">
        <v>0</v>
      </c>
      <c r="T828" s="229">
        <v>0</v>
      </c>
      <c r="U828" s="229">
        <v>0</v>
      </c>
      <c r="V828" s="229">
        <v>0</v>
      </c>
      <c r="W828" s="229">
        <v>0</v>
      </c>
      <c r="X828" s="229">
        <v>0</v>
      </c>
      <c r="Y828" s="229">
        <v>0</v>
      </c>
      <c r="Z828" s="229">
        <v>0</v>
      </c>
      <c r="AA828" s="229">
        <v>0</v>
      </c>
      <c r="AB828" s="229">
        <v>0</v>
      </c>
      <c r="AC828" s="12">
        <v>2</v>
      </c>
      <c r="AD828" s="14">
        <v>2</v>
      </c>
      <c r="AE828" s="14">
        <v>231</v>
      </c>
      <c r="AF828" s="26">
        <v>287</v>
      </c>
      <c r="AG828" s="12">
        <v>118</v>
      </c>
      <c r="AH828" s="14">
        <v>0</v>
      </c>
      <c r="AI828" s="209"/>
      <c r="AJ828" s="3"/>
      <c r="AK828" s="3"/>
      <c r="AL828" s="3"/>
      <c r="AM828" s="3"/>
      <c r="AN828" s="3"/>
      <c r="AO828" s="40"/>
      <c r="AP828" s="209"/>
      <c r="AQ828" s="3"/>
      <c r="AR828" s="40"/>
      <c r="AS828" s="238"/>
    </row>
    <row r="829" spans="1:45" s="229" customFormat="1">
      <c r="A829" s="42" t="s">
        <v>708</v>
      </c>
      <c r="B829" s="386">
        <v>38.398333333333333</v>
      </c>
      <c r="C829" s="229" t="s">
        <v>710</v>
      </c>
      <c r="D829" s="229" t="s">
        <v>634</v>
      </c>
      <c r="E829" s="229" t="s">
        <v>1</v>
      </c>
      <c r="F829" s="229">
        <v>122</v>
      </c>
      <c r="G829" s="40">
        <f>F829/58</f>
        <v>2.103448275862069</v>
      </c>
      <c r="H829" s="14">
        <v>1</v>
      </c>
      <c r="I829" s="229">
        <v>0</v>
      </c>
      <c r="J829" s="229">
        <v>0</v>
      </c>
      <c r="K829" s="26">
        <v>0</v>
      </c>
      <c r="L829" s="14">
        <v>0</v>
      </c>
      <c r="M829" s="229">
        <v>0</v>
      </c>
      <c r="N829" s="229">
        <v>0</v>
      </c>
      <c r="O829" s="229">
        <v>0</v>
      </c>
      <c r="P829" s="26">
        <v>0</v>
      </c>
      <c r="Q829" s="14">
        <v>0</v>
      </c>
      <c r="R829" s="229">
        <v>0</v>
      </c>
      <c r="S829" s="229">
        <v>0</v>
      </c>
      <c r="T829" s="229">
        <v>0</v>
      </c>
      <c r="U829" s="229">
        <v>0</v>
      </c>
      <c r="V829" s="229">
        <v>0</v>
      </c>
      <c r="W829" s="229">
        <v>0</v>
      </c>
      <c r="X829" s="229">
        <v>0</v>
      </c>
      <c r="Y829" s="229">
        <v>0</v>
      </c>
      <c r="Z829" s="229">
        <v>0</v>
      </c>
      <c r="AA829" s="229">
        <v>0</v>
      </c>
      <c r="AB829" s="229">
        <v>0</v>
      </c>
      <c r="AC829" s="12">
        <v>1</v>
      </c>
      <c r="AD829" s="14">
        <v>1</v>
      </c>
      <c r="AE829" s="14">
        <v>0</v>
      </c>
      <c r="AF829" s="26">
        <v>0</v>
      </c>
      <c r="AG829" s="12">
        <v>118</v>
      </c>
      <c r="AH829" s="14">
        <v>0</v>
      </c>
      <c r="AI829" s="209"/>
      <c r="AJ829" s="3"/>
      <c r="AK829" s="3"/>
      <c r="AL829" s="3"/>
      <c r="AM829" s="3"/>
      <c r="AN829" s="3"/>
      <c r="AO829" s="40"/>
      <c r="AP829" s="209"/>
      <c r="AQ829" s="3"/>
      <c r="AR829" s="40"/>
      <c r="AS829" s="238"/>
    </row>
    <row r="830" spans="1:45" s="229" customFormat="1">
      <c r="A830" s="42" t="s">
        <v>708</v>
      </c>
      <c r="B830" s="386">
        <v>38.398333333333333</v>
      </c>
      <c r="C830" s="229" t="s">
        <v>710</v>
      </c>
      <c r="D830" s="229" t="s">
        <v>634</v>
      </c>
      <c r="E830" s="229" t="s">
        <v>2</v>
      </c>
      <c r="F830" s="229">
        <v>360</v>
      </c>
      <c r="G830" s="40">
        <f>F830/346</f>
        <v>1.0404624277456647</v>
      </c>
      <c r="H830" s="14">
        <v>0</v>
      </c>
      <c r="I830" s="229">
        <v>0</v>
      </c>
      <c r="J830" s="229">
        <v>0</v>
      </c>
      <c r="K830" s="26">
        <v>1</v>
      </c>
      <c r="L830" s="14">
        <v>0</v>
      </c>
      <c r="M830" s="229">
        <v>0</v>
      </c>
      <c r="N830" s="229">
        <v>1</v>
      </c>
      <c r="O830" s="229">
        <v>0</v>
      </c>
      <c r="P830" s="26">
        <v>1</v>
      </c>
      <c r="Q830" s="14">
        <v>0</v>
      </c>
      <c r="R830" s="229">
        <v>0</v>
      </c>
      <c r="S830" s="229">
        <v>0</v>
      </c>
      <c r="T830" s="229">
        <v>0</v>
      </c>
      <c r="U830" s="229">
        <v>0</v>
      </c>
      <c r="V830" s="229">
        <v>0</v>
      </c>
      <c r="W830" s="229">
        <v>0</v>
      </c>
      <c r="X830" s="229">
        <v>0</v>
      </c>
      <c r="Y830" s="229">
        <v>0</v>
      </c>
      <c r="Z830" s="229">
        <v>0</v>
      </c>
      <c r="AA830" s="229">
        <v>0</v>
      </c>
      <c r="AB830" s="229">
        <v>0</v>
      </c>
      <c r="AC830" s="12">
        <v>2</v>
      </c>
      <c r="AD830" s="14">
        <v>10</v>
      </c>
      <c r="AE830" s="14">
        <v>42</v>
      </c>
      <c r="AF830" s="26">
        <v>165</v>
      </c>
      <c r="AG830" s="12">
        <v>118</v>
      </c>
      <c r="AH830" s="14">
        <v>0</v>
      </c>
      <c r="AI830" s="209"/>
      <c r="AJ830" s="3"/>
      <c r="AK830" s="3"/>
      <c r="AL830" s="3"/>
      <c r="AM830" s="3"/>
      <c r="AN830" s="3"/>
      <c r="AO830" s="40"/>
      <c r="AP830" s="209"/>
      <c r="AQ830" s="3"/>
      <c r="AR830" s="40"/>
      <c r="AS830" s="238"/>
    </row>
    <row r="831" spans="1:45" s="229" customFormat="1">
      <c r="A831" s="42" t="s">
        <v>708</v>
      </c>
      <c r="B831" s="386">
        <v>38.398333333333333</v>
      </c>
      <c r="C831" s="229" t="s">
        <v>710</v>
      </c>
      <c r="D831" s="229" t="s">
        <v>625</v>
      </c>
      <c r="E831" s="229" t="s">
        <v>0</v>
      </c>
      <c r="F831" s="229">
        <v>209</v>
      </c>
      <c r="G831" s="40">
        <f>F831/174</f>
        <v>1.2011494252873562</v>
      </c>
      <c r="H831" s="14">
        <v>0</v>
      </c>
      <c r="I831" s="229">
        <v>0</v>
      </c>
      <c r="J831" s="229">
        <v>0</v>
      </c>
      <c r="K831" s="26">
        <v>1</v>
      </c>
      <c r="L831" s="14">
        <v>0</v>
      </c>
      <c r="M831" s="229">
        <v>0</v>
      </c>
      <c r="N831" s="229">
        <v>1</v>
      </c>
      <c r="O831" s="229">
        <v>0</v>
      </c>
      <c r="P831" s="26">
        <v>1</v>
      </c>
      <c r="Q831" s="14">
        <v>3</v>
      </c>
      <c r="R831" s="229">
        <v>15</v>
      </c>
      <c r="S831" s="229">
        <v>18</v>
      </c>
      <c r="T831" s="229">
        <v>0</v>
      </c>
      <c r="U831" s="229">
        <v>0</v>
      </c>
      <c r="V831" s="229">
        <v>0</v>
      </c>
      <c r="W831" s="229">
        <v>0</v>
      </c>
      <c r="X831" s="229">
        <v>0</v>
      </c>
      <c r="Y831" s="229">
        <v>0</v>
      </c>
      <c r="Z831" s="229">
        <v>0</v>
      </c>
      <c r="AA831" s="229">
        <v>0</v>
      </c>
      <c r="AB831" s="229">
        <v>0</v>
      </c>
      <c r="AC831" s="12">
        <v>1</v>
      </c>
      <c r="AD831" s="14">
        <v>1</v>
      </c>
      <c r="AE831" s="14">
        <v>0</v>
      </c>
      <c r="AF831" s="26">
        <v>0</v>
      </c>
      <c r="AG831" s="12">
        <v>108</v>
      </c>
      <c r="AH831" s="14">
        <v>0</v>
      </c>
      <c r="AI831" s="209"/>
      <c r="AJ831" s="3"/>
      <c r="AK831" s="3"/>
      <c r="AL831" s="3"/>
      <c r="AM831" s="3"/>
      <c r="AN831" s="3"/>
      <c r="AO831" s="40"/>
      <c r="AP831" s="209"/>
      <c r="AQ831" s="3"/>
      <c r="AR831" s="40"/>
      <c r="AS831" s="238"/>
    </row>
    <row r="832" spans="1:45" s="229" customFormat="1">
      <c r="A832" s="42" t="s">
        <v>708</v>
      </c>
      <c r="B832" s="386">
        <v>38.398333333333333</v>
      </c>
      <c r="C832" s="229" t="s">
        <v>710</v>
      </c>
      <c r="D832" s="229" t="s">
        <v>625</v>
      </c>
      <c r="E832" s="229" t="s">
        <v>1</v>
      </c>
      <c r="F832" s="229">
        <v>354</v>
      </c>
      <c r="G832" s="40">
        <f>F832/247</f>
        <v>1.4331983805668016</v>
      </c>
      <c r="H832" s="14">
        <v>0</v>
      </c>
      <c r="I832" s="229">
        <v>0</v>
      </c>
      <c r="J832" s="229">
        <v>0</v>
      </c>
      <c r="K832" s="26">
        <v>1</v>
      </c>
      <c r="L832" s="14">
        <v>0</v>
      </c>
      <c r="M832" s="229">
        <v>0</v>
      </c>
      <c r="N832" s="229">
        <v>1</v>
      </c>
      <c r="O832" s="229">
        <v>0</v>
      </c>
      <c r="P832" s="26">
        <v>1</v>
      </c>
      <c r="Q832" s="14">
        <v>5</v>
      </c>
      <c r="R832" s="229">
        <v>0</v>
      </c>
      <c r="S832" s="229">
        <v>0</v>
      </c>
      <c r="T832" s="229">
        <v>0</v>
      </c>
      <c r="U832" s="229">
        <v>0</v>
      </c>
      <c r="V832" s="229">
        <v>18</v>
      </c>
      <c r="W832" s="229">
        <v>28</v>
      </c>
      <c r="X832" s="229">
        <v>0</v>
      </c>
      <c r="Y832" s="229">
        <v>0</v>
      </c>
      <c r="Z832" s="229">
        <v>0</v>
      </c>
      <c r="AA832" s="229">
        <v>0</v>
      </c>
      <c r="AB832" s="229">
        <v>0</v>
      </c>
      <c r="AC832" s="12">
        <v>2</v>
      </c>
      <c r="AD832" s="14">
        <v>5</v>
      </c>
      <c r="AE832" s="14">
        <v>43</v>
      </c>
      <c r="AF832" s="26">
        <v>265</v>
      </c>
      <c r="AG832" s="12">
        <v>108</v>
      </c>
      <c r="AH832" s="14">
        <v>0</v>
      </c>
      <c r="AI832" s="209"/>
      <c r="AJ832" s="3"/>
      <c r="AK832" s="3"/>
      <c r="AL832" s="3"/>
      <c r="AM832" s="3"/>
      <c r="AN832" s="3"/>
      <c r="AO832" s="40"/>
      <c r="AP832" s="209"/>
      <c r="AQ832" s="3"/>
      <c r="AR832" s="40"/>
      <c r="AS832" s="238"/>
    </row>
    <row r="833" spans="1:45" s="229" customFormat="1">
      <c r="A833" s="42" t="s">
        <v>708</v>
      </c>
      <c r="B833" s="386">
        <v>38.398333333333333</v>
      </c>
      <c r="C833" s="229" t="s">
        <v>710</v>
      </c>
      <c r="D833" s="229" t="s">
        <v>625</v>
      </c>
      <c r="E833" s="229" t="s">
        <v>2</v>
      </c>
      <c r="F833" s="229">
        <v>269</v>
      </c>
      <c r="G833" s="40">
        <f>F833/163</f>
        <v>1.6503067484662577</v>
      </c>
      <c r="H833" s="14">
        <v>0</v>
      </c>
      <c r="I833" s="229">
        <v>0</v>
      </c>
      <c r="J833" s="229">
        <v>0</v>
      </c>
      <c r="K833" s="26">
        <v>1</v>
      </c>
      <c r="L833" s="14">
        <v>0</v>
      </c>
      <c r="M833" s="229">
        <v>0</v>
      </c>
      <c r="N833" s="229">
        <v>1</v>
      </c>
      <c r="O833" s="229">
        <v>0</v>
      </c>
      <c r="P833" s="26">
        <v>1</v>
      </c>
      <c r="Q833" s="14">
        <v>1</v>
      </c>
      <c r="R833" s="229">
        <v>0</v>
      </c>
      <c r="S833" s="229">
        <v>0</v>
      </c>
      <c r="T833" s="229">
        <v>0</v>
      </c>
      <c r="U833" s="229">
        <v>0</v>
      </c>
      <c r="V833" s="229">
        <v>17</v>
      </c>
      <c r="W833" s="229">
        <v>27</v>
      </c>
      <c r="X833" s="229">
        <v>0</v>
      </c>
      <c r="Y833" s="229">
        <v>0</v>
      </c>
      <c r="Z833" s="229">
        <v>0</v>
      </c>
      <c r="AA833" s="229">
        <v>0</v>
      </c>
      <c r="AB833" s="229">
        <v>0</v>
      </c>
      <c r="AC833" s="12">
        <v>2</v>
      </c>
      <c r="AD833" s="14">
        <v>3</v>
      </c>
      <c r="AE833" s="14">
        <v>73</v>
      </c>
      <c r="AF833" s="26">
        <v>221</v>
      </c>
      <c r="AG833" s="12">
        <v>108</v>
      </c>
      <c r="AH833" s="14">
        <v>0</v>
      </c>
      <c r="AI833" s="209"/>
      <c r="AJ833" s="3"/>
      <c r="AK833" s="3"/>
      <c r="AL833" s="3"/>
      <c r="AM833" s="3"/>
      <c r="AN833" s="3"/>
      <c r="AO833" s="40"/>
      <c r="AP833" s="209"/>
      <c r="AQ833" s="3"/>
      <c r="AR833" s="40"/>
      <c r="AS833" s="238"/>
    </row>
    <row r="834" spans="1:45" s="229" customFormat="1">
      <c r="A834" s="42" t="s">
        <v>708</v>
      </c>
      <c r="B834" s="386">
        <v>38.398333333333333</v>
      </c>
      <c r="C834" s="229" t="s">
        <v>710</v>
      </c>
      <c r="D834" s="229" t="s">
        <v>630</v>
      </c>
      <c r="F834" s="229">
        <v>528</v>
      </c>
      <c r="G834" s="40">
        <f>F834/241</f>
        <v>2.190871369294606</v>
      </c>
      <c r="H834" s="14">
        <v>0</v>
      </c>
      <c r="I834" s="229">
        <v>1</v>
      </c>
      <c r="J834" s="229">
        <v>0</v>
      </c>
      <c r="K834" s="26">
        <v>1</v>
      </c>
      <c r="L834" s="14">
        <v>0</v>
      </c>
      <c r="M834" s="229">
        <v>0</v>
      </c>
      <c r="N834" s="229">
        <v>0</v>
      </c>
      <c r="O834" s="229">
        <v>0</v>
      </c>
      <c r="P834" s="26">
        <v>0</v>
      </c>
      <c r="Q834" s="14">
        <v>25</v>
      </c>
      <c r="R834" s="229">
        <v>3</v>
      </c>
      <c r="S834" s="229">
        <v>19</v>
      </c>
      <c r="T834" s="229">
        <v>0</v>
      </c>
      <c r="U834" s="229">
        <v>0</v>
      </c>
      <c r="V834" s="229">
        <v>12</v>
      </c>
      <c r="W834" s="229">
        <v>33</v>
      </c>
      <c r="X834" s="229">
        <v>0</v>
      </c>
      <c r="Y834" s="229">
        <v>0</v>
      </c>
      <c r="Z834" s="229">
        <v>0</v>
      </c>
      <c r="AA834" s="229">
        <v>216</v>
      </c>
      <c r="AB834" s="229">
        <v>0</v>
      </c>
      <c r="AC834" s="12">
        <v>2</v>
      </c>
      <c r="AD834" s="14">
        <v>3</v>
      </c>
      <c r="AE834" s="14">
        <v>72</v>
      </c>
      <c r="AF834" s="26">
        <v>434</v>
      </c>
      <c r="AG834" s="12">
        <v>139</v>
      </c>
      <c r="AH834" s="14">
        <v>0</v>
      </c>
      <c r="AI834" s="209"/>
      <c r="AJ834" s="3"/>
      <c r="AK834" s="3"/>
      <c r="AL834" s="3"/>
      <c r="AM834" s="3"/>
      <c r="AN834" s="3"/>
      <c r="AO834" s="40"/>
      <c r="AP834" s="209"/>
      <c r="AQ834" s="3"/>
      <c r="AR834" s="40"/>
      <c r="AS834" s="238"/>
    </row>
    <row r="835" spans="1:45" s="229" customFormat="1">
      <c r="A835" s="42" t="s">
        <v>708</v>
      </c>
      <c r="B835" s="386">
        <v>38.398333333333333</v>
      </c>
      <c r="C835" s="229" t="s">
        <v>710</v>
      </c>
      <c r="D835" s="229" t="s">
        <v>637</v>
      </c>
      <c r="E835" s="229" t="s">
        <v>0</v>
      </c>
      <c r="F835" s="229">
        <v>639</v>
      </c>
      <c r="G835" s="40">
        <f>F835/326</f>
        <v>1.9601226993865031</v>
      </c>
      <c r="H835" s="14">
        <v>0</v>
      </c>
      <c r="I835" s="229">
        <v>0</v>
      </c>
      <c r="J835" s="229">
        <v>1</v>
      </c>
      <c r="K835" s="26">
        <v>0</v>
      </c>
      <c r="L835" s="14">
        <v>0</v>
      </c>
      <c r="M835" s="229">
        <v>0</v>
      </c>
      <c r="N835" s="229">
        <v>0</v>
      </c>
      <c r="O835" s="229">
        <v>0</v>
      </c>
      <c r="P835" s="26">
        <v>0</v>
      </c>
      <c r="Q835" s="14">
        <v>20</v>
      </c>
      <c r="R835" s="229">
        <v>0</v>
      </c>
      <c r="S835" s="229">
        <v>0</v>
      </c>
      <c r="T835" s="229">
        <v>0</v>
      </c>
      <c r="U835" s="229">
        <v>0</v>
      </c>
      <c r="V835" s="229">
        <v>13</v>
      </c>
      <c r="W835" s="229">
        <v>175</v>
      </c>
      <c r="X835" s="229">
        <v>0</v>
      </c>
      <c r="Y835" s="229">
        <v>0</v>
      </c>
      <c r="Z835" s="229">
        <v>0</v>
      </c>
      <c r="AA835" s="229">
        <v>277</v>
      </c>
      <c r="AB835" s="229">
        <v>0</v>
      </c>
      <c r="AC835" s="12">
        <v>2</v>
      </c>
      <c r="AD835" s="14">
        <v>2</v>
      </c>
      <c r="AE835" s="14">
        <v>224</v>
      </c>
      <c r="AF835" s="26">
        <v>552</v>
      </c>
      <c r="AG835" s="12">
        <v>122</v>
      </c>
      <c r="AH835" s="14">
        <v>0</v>
      </c>
      <c r="AI835" s="209"/>
      <c r="AJ835" s="3"/>
      <c r="AK835" s="3"/>
      <c r="AL835" s="3"/>
      <c r="AM835" s="3"/>
      <c r="AN835" s="3"/>
      <c r="AO835" s="40"/>
      <c r="AP835" s="209"/>
      <c r="AQ835" s="3"/>
      <c r="AR835" s="40"/>
      <c r="AS835" s="238"/>
    </row>
    <row r="836" spans="1:45" s="229" customFormat="1">
      <c r="A836" s="42" t="s">
        <v>708</v>
      </c>
      <c r="B836" s="386">
        <v>38.398333333333333</v>
      </c>
      <c r="C836" s="229" t="s">
        <v>710</v>
      </c>
      <c r="D836" s="229" t="s">
        <v>637</v>
      </c>
      <c r="E836" s="229" t="s">
        <v>1</v>
      </c>
      <c r="F836" s="229">
        <v>188</v>
      </c>
      <c r="G836" s="40">
        <f>F836/174</f>
        <v>1.0804597701149425</v>
      </c>
      <c r="H836" s="14">
        <v>1</v>
      </c>
      <c r="I836" s="229">
        <v>0</v>
      </c>
      <c r="J836" s="229">
        <v>0</v>
      </c>
      <c r="K836" s="26">
        <v>1</v>
      </c>
      <c r="L836" s="14">
        <v>0</v>
      </c>
      <c r="M836" s="229">
        <v>0</v>
      </c>
      <c r="N836" s="229">
        <v>0</v>
      </c>
      <c r="O836" s="229">
        <v>0</v>
      </c>
      <c r="P836" s="26">
        <v>0</v>
      </c>
      <c r="Q836" s="14">
        <v>0</v>
      </c>
      <c r="R836" s="229">
        <v>0</v>
      </c>
      <c r="S836" s="229">
        <v>0</v>
      </c>
      <c r="T836" s="229">
        <v>0</v>
      </c>
      <c r="U836" s="229">
        <v>0</v>
      </c>
      <c r="V836" s="229">
        <v>0</v>
      </c>
      <c r="W836" s="229">
        <v>0</v>
      </c>
      <c r="X836" s="229">
        <v>0</v>
      </c>
      <c r="Y836" s="229">
        <v>0</v>
      </c>
      <c r="Z836" s="229">
        <v>0</v>
      </c>
      <c r="AA836" s="229">
        <v>0</v>
      </c>
      <c r="AB836" s="229">
        <v>0</v>
      </c>
      <c r="AC836" s="12">
        <v>2</v>
      </c>
      <c r="AD836" s="14">
        <v>2</v>
      </c>
      <c r="AE836" s="14">
        <v>117</v>
      </c>
      <c r="AF836" s="26">
        <v>174</v>
      </c>
      <c r="AG836" s="12">
        <v>122</v>
      </c>
      <c r="AH836" s="14">
        <v>0</v>
      </c>
      <c r="AI836" s="209"/>
      <c r="AJ836" s="3"/>
      <c r="AK836" s="3"/>
      <c r="AL836" s="3"/>
      <c r="AM836" s="3"/>
      <c r="AN836" s="3"/>
      <c r="AO836" s="40"/>
      <c r="AP836" s="209"/>
      <c r="AQ836" s="3"/>
      <c r="AR836" s="40"/>
      <c r="AS836" s="238"/>
    </row>
    <row r="837" spans="1:45" s="229" customFormat="1">
      <c r="A837" s="42" t="s">
        <v>708</v>
      </c>
      <c r="B837" s="386">
        <v>38.398333333333333</v>
      </c>
      <c r="C837" s="229" t="s">
        <v>710</v>
      </c>
      <c r="D837" s="229" t="s">
        <v>637</v>
      </c>
      <c r="E837" s="229" t="s">
        <v>2</v>
      </c>
      <c r="F837" s="229">
        <v>212</v>
      </c>
      <c r="G837" s="40">
        <f>F837/146</f>
        <v>1.452054794520548</v>
      </c>
      <c r="H837" s="14">
        <v>1</v>
      </c>
      <c r="I837" s="229">
        <v>0</v>
      </c>
      <c r="J837" s="229">
        <v>0</v>
      </c>
      <c r="K837" s="26">
        <v>0</v>
      </c>
      <c r="L837" s="14">
        <v>0</v>
      </c>
      <c r="M837" s="229">
        <v>0</v>
      </c>
      <c r="N837" s="229">
        <v>0</v>
      </c>
      <c r="O837" s="229">
        <v>0</v>
      </c>
      <c r="P837" s="26">
        <v>0</v>
      </c>
      <c r="Q837" s="14">
        <v>0</v>
      </c>
      <c r="R837" s="229">
        <v>0</v>
      </c>
      <c r="S837" s="229">
        <v>0</v>
      </c>
      <c r="T837" s="229">
        <v>0</v>
      </c>
      <c r="U837" s="229">
        <v>0</v>
      </c>
      <c r="V837" s="229">
        <v>0</v>
      </c>
      <c r="W837" s="229">
        <v>0</v>
      </c>
      <c r="X837" s="229">
        <v>0</v>
      </c>
      <c r="Y837" s="229">
        <v>0</v>
      </c>
      <c r="Z837" s="229">
        <v>0</v>
      </c>
      <c r="AA837" s="229">
        <v>0</v>
      </c>
      <c r="AB837" s="229">
        <v>0</v>
      </c>
      <c r="AC837" s="12">
        <v>1</v>
      </c>
      <c r="AD837" s="14">
        <v>1</v>
      </c>
      <c r="AE837" s="14">
        <v>0</v>
      </c>
      <c r="AF837" s="26">
        <v>0</v>
      </c>
      <c r="AG837" s="12">
        <v>122</v>
      </c>
      <c r="AH837" s="14">
        <v>0</v>
      </c>
      <c r="AI837" s="209"/>
      <c r="AJ837" s="3"/>
      <c r="AK837" s="3"/>
      <c r="AL837" s="3"/>
      <c r="AM837" s="3"/>
      <c r="AN837" s="3"/>
      <c r="AO837" s="40"/>
      <c r="AP837" s="209"/>
      <c r="AQ837" s="3"/>
      <c r="AR837" s="40"/>
      <c r="AS837" s="238"/>
    </row>
    <row r="838" spans="1:45" s="229" customFormat="1">
      <c r="A838" s="42" t="s">
        <v>708</v>
      </c>
      <c r="B838" s="386">
        <v>38.398333333333333</v>
      </c>
      <c r="C838" s="229" t="s">
        <v>710</v>
      </c>
      <c r="D838" s="229" t="s">
        <v>638</v>
      </c>
      <c r="F838" s="229">
        <v>455</v>
      </c>
      <c r="G838" s="40">
        <f>F838/276</f>
        <v>1.6485507246376812</v>
      </c>
      <c r="H838" s="14">
        <v>0</v>
      </c>
      <c r="I838" s="229">
        <v>0</v>
      </c>
      <c r="J838" s="229">
        <v>0</v>
      </c>
      <c r="K838" s="26">
        <v>1</v>
      </c>
      <c r="L838" s="14">
        <v>0</v>
      </c>
      <c r="M838" s="229">
        <v>0</v>
      </c>
      <c r="N838" s="229">
        <v>1</v>
      </c>
      <c r="O838" s="229">
        <v>0</v>
      </c>
      <c r="P838" s="26">
        <v>1</v>
      </c>
      <c r="Q838" s="14">
        <v>5</v>
      </c>
      <c r="R838" s="229">
        <v>0</v>
      </c>
      <c r="S838" s="229">
        <v>0</v>
      </c>
      <c r="T838" s="229">
        <v>0</v>
      </c>
      <c r="U838" s="229">
        <v>0</v>
      </c>
      <c r="V838" s="229">
        <v>70</v>
      </c>
      <c r="W838" s="229">
        <v>99</v>
      </c>
      <c r="X838" s="229">
        <v>0</v>
      </c>
      <c r="Y838" s="229">
        <v>0</v>
      </c>
      <c r="Z838" s="229">
        <v>0</v>
      </c>
      <c r="AA838" s="229">
        <v>0</v>
      </c>
      <c r="AB838" s="229">
        <v>0</v>
      </c>
      <c r="AC838" s="12">
        <v>2</v>
      </c>
      <c r="AD838" s="14">
        <v>4</v>
      </c>
      <c r="AE838" s="14">
        <v>28</v>
      </c>
      <c r="AF838" s="26">
        <v>455</v>
      </c>
      <c r="AG838" s="12">
        <v>105</v>
      </c>
      <c r="AH838" s="14">
        <v>0</v>
      </c>
      <c r="AI838" s="209"/>
      <c r="AJ838" s="3"/>
      <c r="AK838" s="3"/>
      <c r="AL838" s="3"/>
      <c r="AM838" s="3"/>
      <c r="AN838" s="3"/>
      <c r="AO838" s="40"/>
      <c r="AP838" s="209"/>
      <c r="AQ838" s="3"/>
      <c r="AR838" s="40"/>
      <c r="AS838" s="238"/>
    </row>
    <row r="839" spans="1:45" s="229" customFormat="1">
      <c r="A839" s="42" t="s">
        <v>708</v>
      </c>
      <c r="B839" s="386">
        <v>38.398333333333333</v>
      </c>
      <c r="C839" s="229" t="s">
        <v>710</v>
      </c>
      <c r="D839" s="229" t="s">
        <v>639</v>
      </c>
      <c r="E839" s="229" t="s">
        <v>0</v>
      </c>
      <c r="F839" s="229">
        <v>354</v>
      </c>
      <c r="G839" s="40">
        <f>F839/182</f>
        <v>1.945054945054945</v>
      </c>
      <c r="H839" s="14">
        <v>1</v>
      </c>
      <c r="I839" s="229">
        <v>0</v>
      </c>
      <c r="J839" s="229">
        <v>0</v>
      </c>
      <c r="K839" s="26">
        <v>1</v>
      </c>
      <c r="L839" s="14">
        <v>0</v>
      </c>
      <c r="M839" s="229">
        <v>0</v>
      </c>
      <c r="N839" s="229">
        <v>0</v>
      </c>
      <c r="O839" s="229">
        <v>0</v>
      </c>
      <c r="P839" s="26">
        <v>0</v>
      </c>
      <c r="Q839" s="14">
        <v>2</v>
      </c>
      <c r="R839" s="229">
        <v>0</v>
      </c>
      <c r="S839" s="229">
        <v>0</v>
      </c>
      <c r="T839" s="229">
        <v>0</v>
      </c>
      <c r="U839" s="229">
        <v>0</v>
      </c>
      <c r="V839" s="229">
        <v>0</v>
      </c>
      <c r="W839" s="229">
        <v>27</v>
      </c>
      <c r="X839" s="229">
        <v>0</v>
      </c>
      <c r="Y839" s="229">
        <v>0</v>
      </c>
      <c r="Z839" s="229">
        <v>0</v>
      </c>
      <c r="AA839" s="229">
        <v>0</v>
      </c>
      <c r="AB839" s="229">
        <v>0</v>
      </c>
      <c r="AC839" s="12">
        <v>2</v>
      </c>
      <c r="AD839" s="14">
        <v>7</v>
      </c>
      <c r="AE839" s="14">
        <v>33</v>
      </c>
      <c r="AF839" s="26">
        <v>285</v>
      </c>
      <c r="AG839" s="12">
        <v>148</v>
      </c>
      <c r="AH839" s="14">
        <v>0</v>
      </c>
      <c r="AI839" s="209"/>
      <c r="AJ839" s="3"/>
      <c r="AK839" s="3"/>
      <c r="AL839" s="3"/>
      <c r="AM839" s="3"/>
      <c r="AN839" s="3"/>
      <c r="AO839" s="40"/>
      <c r="AP839" s="209"/>
      <c r="AQ839" s="3"/>
      <c r="AR839" s="40"/>
      <c r="AS839" s="238"/>
    </row>
    <row r="840" spans="1:45" s="229" customFormat="1">
      <c r="A840" s="42" t="s">
        <v>708</v>
      </c>
      <c r="B840" s="386">
        <v>38.398333333333333</v>
      </c>
      <c r="C840" s="229" t="s">
        <v>710</v>
      </c>
      <c r="D840" s="229" t="s">
        <v>639</v>
      </c>
      <c r="E840" s="229" t="s">
        <v>1</v>
      </c>
      <c r="F840" s="229">
        <v>191</v>
      </c>
      <c r="G840" s="40">
        <f>F840/181</f>
        <v>1.0552486187845305</v>
      </c>
      <c r="H840" s="14">
        <v>0</v>
      </c>
      <c r="I840" s="229">
        <v>0</v>
      </c>
      <c r="J840" s="229">
        <v>0</v>
      </c>
      <c r="K840" s="26">
        <v>1</v>
      </c>
      <c r="L840" s="14">
        <v>0</v>
      </c>
      <c r="M840" s="229">
        <v>0</v>
      </c>
      <c r="N840" s="229">
        <v>1</v>
      </c>
      <c r="O840" s="229">
        <v>0</v>
      </c>
      <c r="P840" s="26">
        <v>1</v>
      </c>
      <c r="Q840" s="14">
        <v>5</v>
      </c>
      <c r="R840" s="229">
        <v>0</v>
      </c>
      <c r="S840" s="229">
        <v>0</v>
      </c>
      <c r="T840" s="229">
        <v>0</v>
      </c>
      <c r="U840" s="229">
        <v>0</v>
      </c>
      <c r="V840" s="229">
        <v>21</v>
      </c>
      <c r="W840" s="229">
        <v>30</v>
      </c>
      <c r="X840" s="229">
        <v>0</v>
      </c>
      <c r="Y840" s="229">
        <v>0</v>
      </c>
      <c r="Z840" s="229">
        <v>0</v>
      </c>
      <c r="AA840" s="229">
        <v>0</v>
      </c>
      <c r="AB840" s="229">
        <v>0</v>
      </c>
      <c r="AC840" s="12">
        <v>1</v>
      </c>
      <c r="AD840" s="14">
        <v>1</v>
      </c>
      <c r="AE840" s="14">
        <v>0</v>
      </c>
      <c r="AF840" s="26">
        <v>0</v>
      </c>
      <c r="AG840" s="12">
        <v>148</v>
      </c>
      <c r="AH840" s="14">
        <v>0</v>
      </c>
      <c r="AI840" s="209"/>
      <c r="AJ840" s="3"/>
      <c r="AK840" s="3"/>
      <c r="AL840" s="3"/>
      <c r="AM840" s="3"/>
      <c r="AN840" s="3"/>
      <c r="AO840" s="40"/>
      <c r="AP840" s="209"/>
      <c r="AQ840" s="3"/>
      <c r="AR840" s="40"/>
      <c r="AS840" s="238"/>
    </row>
    <row r="841" spans="1:45" s="229" customFormat="1">
      <c r="A841" s="42" t="s">
        <v>708</v>
      </c>
      <c r="B841" s="386">
        <v>38.398333333333333</v>
      </c>
      <c r="C841" s="229" t="s">
        <v>710</v>
      </c>
      <c r="D841" s="229" t="s">
        <v>639</v>
      </c>
      <c r="E841" s="229" t="s">
        <v>2</v>
      </c>
      <c r="F841" s="229">
        <v>177</v>
      </c>
      <c r="G841" s="40">
        <f>F841/152</f>
        <v>1.1644736842105263</v>
      </c>
      <c r="H841" s="14">
        <v>0</v>
      </c>
      <c r="I841" s="229">
        <v>0</v>
      </c>
      <c r="J841" s="229">
        <v>0</v>
      </c>
      <c r="K841" s="26">
        <v>1</v>
      </c>
      <c r="L841" s="14">
        <v>0</v>
      </c>
      <c r="M841" s="229">
        <v>0</v>
      </c>
      <c r="N841" s="229">
        <v>1</v>
      </c>
      <c r="O841" s="229">
        <v>0</v>
      </c>
      <c r="P841" s="26">
        <v>1</v>
      </c>
      <c r="Q841" s="14">
        <v>5</v>
      </c>
      <c r="R841" s="229">
        <v>0</v>
      </c>
      <c r="S841" s="229">
        <v>7</v>
      </c>
      <c r="T841" s="229">
        <v>0</v>
      </c>
      <c r="U841" s="229">
        <v>0</v>
      </c>
      <c r="V841" s="229">
        <v>14</v>
      </c>
      <c r="W841" s="229">
        <v>75</v>
      </c>
      <c r="X841" s="229">
        <v>0</v>
      </c>
      <c r="Y841" s="229">
        <v>0</v>
      </c>
      <c r="Z841" s="229">
        <v>0</v>
      </c>
      <c r="AA841" s="229">
        <v>0</v>
      </c>
      <c r="AB841" s="229">
        <v>0</v>
      </c>
      <c r="AC841" s="12">
        <v>2</v>
      </c>
      <c r="AD841" s="14">
        <v>3</v>
      </c>
      <c r="AE841" s="14">
        <v>26</v>
      </c>
      <c r="AF841" s="26">
        <v>177</v>
      </c>
      <c r="AG841" s="12">
        <v>148</v>
      </c>
      <c r="AH841" s="14">
        <v>1</v>
      </c>
      <c r="AI841" s="209"/>
      <c r="AJ841" s="3"/>
      <c r="AK841" s="3"/>
      <c r="AL841" s="3"/>
      <c r="AM841" s="3"/>
      <c r="AN841" s="3"/>
      <c r="AO841" s="40"/>
      <c r="AP841" s="209"/>
      <c r="AQ841" s="3"/>
      <c r="AR841" s="40"/>
      <c r="AS841" s="238"/>
    </row>
    <row r="842" spans="1:45" s="229" customFormat="1">
      <c r="A842" s="42" t="s">
        <v>708</v>
      </c>
      <c r="B842" s="386">
        <v>38.398333333333333</v>
      </c>
      <c r="C842" s="24" t="s">
        <v>710</v>
      </c>
      <c r="D842" s="229" t="s">
        <v>640</v>
      </c>
      <c r="F842" s="229">
        <v>2734</v>
      </c>
      <c r="G842" s="40">
        <f>F842/1656</f>
        <v>1.6509661835748792</v>
      </c>
      <c r="H842" s="14">
        <v>0</v>
      </c>
      <c r="I842" s="229">
        <v>0</v>
      </c>
      <c r="J842" s="229">
        <v>1</v>
      </c>
      <c r="K842" s="26">
        <v>0</v>
      </c>
      <c r="L842" s="14">
        <v>0</v>
      </c>
      <c r="M842" s="229">
        <v>0</v>
      </c>
      <c r="N842" s="229">
        <v>0</v>
      </c>
      <c r="O842" s="229">
        <v>1</v>
      </c>
      <c r="P842" s="26">
        <v>1</v>
      </c>
      <c r="Q842" s="14">
        <v>2</v>
      </c>
      <c r="R842" s="229">
        <v>7</v>
      </c>
      <c r="S842" s="229">
        <v>31</v>
      </c>
      <c r="T842" s="229">
        <v>0</v>
      </c>
      <c r="U842" s="229">
        <v>0</v>
      </c>
      <c r="V842" s="229">
        <v>23</v>
      </c>
      <c r="W842" s="229">
        <v>54</v>
      </c>
      <c r="X842" s="229">
        <v>0</v>
      </c>
      <c r="Y842" s="229">
        <v>0</v>
      </c>
      <c r="Z842" s="229">
        <v>65</v>
      </c>
      <c r="AA842" s="229">
        <v>173</v>
      </c>
      <c r="AB842" s="229">
        <v>1</v>
      </c>
      <c r="AC842" s="12">
        <v>1</v>
      </c>
      <c r="AD842" s="14">
        <v>1</v>
      </c>
      <c r="AE842" s="14">
        <v>0</v>
      </c>
      <c r="AF842" s="26">
        <v>0</v>
      </c>
      <c r="AG842" s="12">
        <v>132</v>
      </c>
      <c r="AH842" s="14">
        <v>0</v>
      </c>
      <c r="AI842" s="209">
        <v>82.06642798881991</v>
      </c>
      <c r="AJ842" s="3"/>
      <c r="AK842" s="3"/>
      <c r="AL842" s="3"/>
      <c r="AM842" s="3"/>
      <c r="AN842" s="3"/>
      <c r="AO842" s="40"/>
      <c r="AP842" s="209">
        <v>85.505192552472124</v>
      </c>
      <c r="AQ842" s="3"/>
      <c r="AR842" s="40"/>
      <c r="AS842" s="238"/>
    </row>
    <row r="843" spans="1:45" s="229" customFormat="1">
      <c r="A843" s="42" t="s">
        <v>708</v>
      </c>
      <c r="B843" s="386">
        <v>38.398333333333333</v>
      </c>
      <c r="C843" s="24" t="s">
        <v>710</v>
      </c>
      <c r="D843" s="229" t="s">
        <v>641</v>
      </c>
      <c r="E843" s="229" t="s">
        <v>0</v>
      </c>
      <c r="F843" s="229">
        <v>217</v>
      </c>
      <c r="G843" s="40">
        <f>F843/206</f>
        <v>1.0533980582524272</v>
      </c>
      <c r="H843" s="14">
        <v>0</v>
      </c>
      <c r="I843" s="229">
        <v>0</v>
      </c>
      <c r="J843" s="229">
        <v>0</v>
      </c>
      <c r="K843" s="26">
        <v>1</v>
      </c>
      <c r="L843" s="14">
        <v>0</v>
      </c>
      <c r="M843" s="229">
        <v>0</v>
      </c>
      <c r="N843" s="229">
        <v>1</v>
      </c>
      <c r="O843" s="229">
        <v>0</v>
      </c>
      <c r="P843" s="26">
        <v>1</v>
      </c>
      <c r="Q843" s="14">
        <v>0</v>
      </c>
      <c r="R843" s="229">
        <v>0</v>
      </c>
      <c r="S843" s="229">
        <v>0</v>
      </c>
      <c r="T843" s="229">
        <v>0</v>
      </c>
      <c r="U843" s="229">
        <v>0</v>
      </c>
      <c r="V843" s="229">
        <v>0</v>
      </c>
      <c r="W843" s="229">
        <v>0</v>
      </c>
      <c r="X843" s="229">
        <v>0</v>
      </c>
      <c r="Y843" s="229">
        <v>0</v>
      </c>
      <c r="Z843" s="229">
        <v>0</v>
      </c>
      <c r="AA843" s="229">
        <v>0</v>
      </c>
      <c r="AB843" s="229">
        <v>0</v>
      </c>
      <c r="AC843" s="12">
        <v>2</v>
      </c>
      <c r="AD843" s="14">
        <v>4</v>
      </c>
      <c r="AE843" s="14">
        <v>27</v>
      </c>
      <c r="AF843" s="26">
        <v>217</v>
      </c>
      <c r="AG843" s="12">
        <v>117</v>
      </c>
      <c r="AH843" s="14">
        <v>0</v>
      </c>
      <c r="AI843" s="209"/>
      <c r="AJ843" s="3"/>
      <c r="AK843" s="3"/>
      <c r="AL843" s="3"/>
      <c r="AM843" s="3"/>
      <c r="AN843" s="3"/>
      <c r="AO843" s="40"/>
      <c r="AP843" s="209"/>
      <c r="AQ843" s="3"/>
      <c r="AR843" s="40"/>
      <c r="AS843" s="238"/>
    </row>
    <row r="844" spans="1:45" s="229" customFormat="1">
      <c r="A844" s="42" t="s">
        <v>708</v>
      </c>
      <c r="B844" s="386">
        <v>38.398333333333333</v>
      </c>
      <c r="C844" s="24" t="s">
        <v>710</v>
      </c>
      <c r="D844" s="229" t="s">
        <v>641</v>
      </c>
      <c r="E844" s="229" t="s">
        <v>1</v>
      </c>
      <c r="F844" s="229">
        <v>95</v>
      </c>
      <c r="G844" s="40">
        <f>F844/54</f>
        <v>1.7592592592592593</v>
      </c>
      <c r="H844" s="14">
        <v>0</v>
      </c>
      <c r="I844" s="229">
        <v>0</v>
      </c>
      <c r="J844" s="229">
        <v>0</v>
      </c>
      <c r="K844" s="26">
        <v>1</v>
      </c>
      <c r="L844" s="14">
        <v>0</v>
      </c>
      <c r="M844" s="229">
        <v>0</v>
      </c>
      <c r="N844" s="229">
        <v>0</v>
      </c>
      <c r="O844" s="229">
        <v>0</v>
      </c>
      <c r="P844" s="26">
        <v>0</v>
      </c>
      <c r="Q844" s="14">
        <v>0</v>
      </c>
      <c r="R844" s="229">
        <v>0</v>
      </c>
      <c r="S844" s="229">
        <v>0</v>
      </c>
      <c r="T844" s="229">
        <v>0</v>
      </c>
      <c r="U844" s="229">
        <v>0</v>
      </c>
      <c r="V844" s="229">
        <v>0</v>
      </c>
      <c r="W844" s="229">
        <v>0</v>
      </c>
      <c r="X844" s="229">
        <v>0</v>
      </c>
      <c r="Y844" s="229">
        <v>0</v>
      </c>
      <c r="Z844" s="229">
        <v>0</v>
      </c>
      <c r="AA844" s="229">
        <v>0</v>
      </c>
      <c r="AB844" s="229">
        <v>0</v>
      </c>
      <c r="AC844" s="12">
        <v>2</v>
      </c>
      <c r="AD844" s="14">
        <v>2</v>
      </c>
      <c r="AE844" s="14">
        <v>49</v>
      </c>
      <c r="AF844" s="26">
        <v>88</v>
      </c>
      <c r="AG844" s="12">
        <v>117</v>
      </c>
      <c r="AH844" s="14">
        <v>0</v>
      </c>
      <c r="AI844" s="209"/>
      <c r="AJ844" s="3"/>
      <c r="AK844" s="3"/>
      <c r="AL844" s="3"/>
      <c r="AM844" s="3"/>
      <c r="AN844" s="3"/>
      <c r="AO844" s="40"/>
      <c r="AP844" s="209"/>
      <c r="AQ844" s="3"/>
      <c r="AR844" s="40"/>
      <c r="AS844" s="238"/>
    </row>
    <row r="845" spans="1:45" s="229" customFormat="1">
      <c r="A845" s="42" t="s">
        <v>708</v>
      </c>
      <c r="B845" s="386">
        <v>38.398333333333333</v>
      </c>
      <c r="C845" s="24" t="s">
        <v>710</v>
      </c>
      <c r="D845" s="229" t="s">
        <v>641</v>
      </c>
      <c r="E845" s="229" t="s">
        <v>2</v>
      </c>
      <c r="F845" s="229">
        <v>161</v>
      </c>
      <c r="G845" s="40">
        <f>F845/79</f>
        <v>2.037974683544304</v>
      </c>
      <c r="H845" s="14">
        <v>0</v>
      </c>
      <c r="I845" s="229">
        <v>0</v>
      </c>
      <c r="J845" s="229">
        <v>1</v>
      </c>
      <c r="K845" s="26">
        <v>0</v>
      </c>
      <c r="L845" s="14">
        <v>0</v>
      </c>
      <c r="M845" s="229">
        <v>0</v>
      </c>
      <c r="N845" s="229">
        <v>0</v>
      </c>
      <c r="O845" s="229">
        <v>0</v>
      </c>
      <c r="P845" s="26">
        <v>0</v>
      </c>
      <c r="Q845" s="14">
        <v>3</v>
      </c>
      <c r="R845" s="229">
        <v>0</v>
      </c>
      <c r="S845" s="229">
        <v>0</v>
      </c>
      <c r="T845" s="229">
        <v>0</v>
      </c>
      <c r="U845" s="229">
        <v>0</v>
      </c>
      <c r="V845" s="229">
        <v>12</v>
      </c>
      <c r="W845" s="229">
        <v>14</v>
      </c>
      <c r="X845" s="229">
        <v>0</v>
      </c>
      <c r="Y845" s="229">
        <v>0</v>
      </c>
      <c r="Z845" s="229">
        <v>0</v>
      </c>
      <c r="AA845" s="229">
        <v>0</v>
      </c>
      <c r="AB845" s="229">
        <v>0</v>
      </c>
      <c r="AC845" s="12">
        <v>1</v>
      </c>
      <c r="AD845" s="14">
        <v>1</v>
      </c>
      <c r="AE845" s="14">
        <v>0</v>
      </c>
      <c r="AF845" s="26">
        <v>0</v>
      </c>
      <c r="AG845" s="12">
        <v>117</v>
      </c>
      <c r="AH845" s="14">
        <v>0</v>
      </c>
      <c r="AI845" s="209"/>
      <c r="AJ845" s="3"/>
      <c r="AK845" s="3"/>
      <c r="AL845" s="3"/>
      <c r="AM845" s="3"/>
      <c r="AN845" s="3"/>
      <c r="AO845" s="40"/>
      <c r="AP845" s="209"/>
      <c r="AQ845" s="3"/>
      <c r="AR845" s="40"/>
      <c r="AS845" s="238"/>
    </row>
    <row r="846" spans="1:45" s="229" customFormat="1">
      <c r="A846" s="42" t="s">
        <v>708</v>
      </c>
      <c r="B846" s="386">
        <v>38.398333333333333</v>
      </c>
      <c r="C846" s="24" t="s">
        <v>710</v>
      </c>
      <c r="D846" s="229" t="s">
        <v>641</v>
      </c>
      <c r="E846" s="229" t="s">
        <v>3</v>
      </c>
      <c r="F846" s="229">
        <v>151</v>
      </c>
      <c r="G846" s="40">
        <f>F846/109</f>
        <v>1.3853211009174311</v>
      </c>
      <c r="H846" s="14">
        <v>0</v>
      </c>
      <c r="I846" s="229">
        <v>0</v>
      </c>
      <c r="J846" s="229">
        <v>0</v>
      </c>
      <c r="K846" s="26">
        <v>1</v>
      </c>
      <c r="L846" s="14">
        <v>0</v>
      </c>
      <c r="M846" s="229">
        <v>0</v>
      </c>
      <c r="N846" s="229">
        <v>1</v>
      </c>
      <c r="O846" s="229">
        <v>0</v>
      </c>
      <c r="P846" s="26">
        <v>1</v>
      </c>
      <c r="Q846" s="14">
        <v>0</v>
      </c>
      <c r="R846" s="229">
        <v>0</v>
      </c>
      <c r="S846" s="229">
        <v>0</v>
      </c>
      <c r="T846" s="229">
        <v>0</v>
      </c>
      <c r="U846" s="229">
        <v>0</v>
      </c>
      <c r="V846" s="229">
        <v>0</v>
      </c>
      <c r="W846" s="229">
        <v>0</v>
      </c>
      <c r="X846" s="229">
        <v>0</v>
      </c>
      <c r="Y846" s="229">
        <v>0</v>
      </c>
      <c r="Z846" s="229">
        <v>0</v>
      </c>
      <c r="AA846" s="229">
        <v>0</v>
      </c>
      <c r="AB846" s="229">
        <v>0</v>
      </c>
      <c r="AC846" s="12">
        <v>1</v>
      </c>
      <c r="AD846" s="14">
        <v>1</v>
      </c>
      <c r="AE846" s="14">
        <v>0</v>
      </c>
      <c r="AF846" s="26">
        <v>0</v>
      </c>
      <c r="AG846" s="12">
        <v>117</v>
      </c>
      <c r="AH846" s="14">
        <v>1</v>
      </c>
      <c r="AI846" s="209"/>
      <c r="AJ846" s="3"/>
      <c r="AK846" s="3"/>
      <c r="AL846" s="3"/>
      <c r="AM846" s="3"/>
      <c r="AN846" s="3"/>
      <c r="AO846" s="40"/>
      <c r="AP846" s="209"/>
      <c r="AQ846" s="3"/>
      <c r="AR846" s="40"/>
      <c r="AS846" s="238"/>
    </row>
    <row r="847" spans="1:45" s="229" customFormat="1">
      <c r="A847" s="42" t="s">
        <v>708</v>
      </c>
      <c r="B847" s="386">
        <v>38.398333333333333</v>
      </c>
      <c r="C847" s="24" t="s">
        <v>710</v>
      </c>
      <c r="D847" s="229" t="s">
        <v>648</v>
      </c>
      <c r="E847" s="229" t="s">
        <v>0</v>
      </c>
      <c r="F847" s="229">
        <v>161</v>
      </c>
      <c r="G847" s="40">
        <f>F847/122</f>
        <v>1.319672131147541</v>
      </c>
      <c r="H847" s="14">
        <v>0</v>
      </c>
      <c r="I847" s="229">
        <v>0</v>
      </c>
      <c r="J847" s="229">
        <v>0</v>
      </c>
      <c r="K847" s="26">
        <v>1</v>
      </c>
      <c r="L847" s="14">
        <v>0</v>
      </c>
      <c r="M847" s="229">
        <v>0</v>
      </c>
      <c r="N847" s="229">
        <v>0</v>
      </c>
      <c r="O847" s="229">
        <v>0</v>
      </c>
      <c r="P847" s="26">
        <v>0</v>
      </c>
      <c r="Q847" s="14">
        <v>0</v>
      </c>
      <c r="R847" s="229">
        <v>0</v>
      </c>
      <c r="S847" s="229">
        <v>0</v>
      </c>
      <c r="T847" s="229">
        <v>0</v>
      </c>
      <c r="U847" s="229">
        <v>0</v>
      </c>
      <c r="V847" s="229">
        <v>0</v>
      </c>
      <c r="W847" s="229">
        <v>0</v>
      </c>
      <c r="X847" s="229">
        <v>0</v>
      </c>
      <c r="Y847" s="229">
        <v>0</v>
      </c>
      <c r="Z847" s="229">
        <v>0</v>
      </c>
      <c r="AA847" s="229">
        <v>0</v>
      </c>
      <c r="AB847" s="229">
        <v>0</v>
      </c>
      <c r="AC847" s="12">
        <v>1</v>
      </c>
      <c r="AD847" s="14">
        <v>1</v>
      </c>
      <c r="AE847" s="14">
        <v>0</v>
      </c>
      <c r="AF847" s="26">
        <v>0</v>
      </c>
      <c r="AG847" s="12">
        <v>163</v>
      </c>
      <c r="AH847" s="14">
        <v>0</v>
      </c>
      <c r="AI847" s="209">
        <v>85.709482350209356</v>
      </c>
      <c r="AJ847" s="3"/>
      <c r="AK847" s="3"/>
      <c r="AL847" s="3"/>
      <c r="AM847" s="3"/>
      <c r="AN847" s="3"/>
      <c r="AO847" s="40"/>
      <c r="AP847" s="209">
        <v>85.462974394284032</v>
      </c>
      <c r="AQ847" s="3"/>
      <c r="AR847" s="40"/>
      <c r="AS847" s="238"/>
    </row>
    <row r="848" spans="1:45" s="229" customFormat="1">
      <c r="A848" s="42" t="s">
        <v>708</v>
      </c>
      <c r="B848" s="386">
        <v>38.398333333333333</v>
      </c>
      <c r="C848" s="24" t="s">
        <v>710</v>
      </c>
      <c r="D848" s="229" t="s">
        <v>648</v>
      </c>
      <c r="E848" s="229" t="s">
        <v>1</v>
      </c>
      <c r="F848" s="229">
        <v>464</v>
      </c>
      <c r="G848" s="40">
        <f>F848/137</f>
        <v>3.386861313868613</v>
      </c>
      <c r="H848" s="14">
        <v>1</v>
      </c>
      <c r="I848" s="229">
        <v>0</v>
      </c>
      <c r="J848" s="229">
        <v>0</v>
      </c>
      <c r="K848" s="26">
        <v>1</v>
      </c>
      <c r="L848" s="14">
        <v>0</v>
      </c>
      <c r="M848" s="229">
        <v>0</v>
      </c>
      <c r="N848" s="229">
        <v>0</v>
      </c>
      <c r="O848" s="229">
        <v>0</v>
      </c>
      <c r="P848" s="26">
        <v>0</v>
      </c>
      <c r="Q848" s="14">
        <v>1</v>
      </c>
      <c r="R848" s="229">
        <v>0</v>
      </c>
      <c r="S848" s="229">
        <v>0</v>
      </c>
      <c r="T848" s="229">
        <v>0</v>
      </c>
      <c r="U848" s="229">
        <v>0</v>
      </c>
      <c r="V848" s="229">
        <v>0</v>
      </c>
      <c r="W848" s="229">
        <v>11</v>
      </c>
      <c r="X848" s="229">
        <v>0</v>
      </c>
      <c r="Y848" s="229">
        <v>0</v>
      </c>
      <c r="Z848" s="229">
        <v>0</v>
      </c>
      <c r="AA848" s="229">
        <v>0</v>
      </c>
      <c r="AB848" s="229">
        <v>0</v>
      </c>
      <c r="AC848" s="12">
        <v>2</v>
      </c>
      <c r="AD848" s="14">
        <v>11</v>
      </c>
      <c r="AE848" s="14">
        <v>37</v>
      </c>
      <c r="AF848" s="26">
        <v>137</v>
      </c>
      <c r="AG848" s="12">
        <v>163</v>
      </c>
      <c r="AH848" s="14">
        <v>1</v>
      </c>
      <c r="AI848" s="209">
        <v>85.700817252341167</v>
      </c>
      <c r="AJ848" s="3"/>
      <c r="AK848" s="3"/>
      <c r="AL848" s="3"/>
      <c r="AM848" s="3"/>
      <c r="AN848" s="3"/>
      <c r="AO848" s="40"/>
      <c r="AP848" s="209"/>
      <c r="AQ848" s="3"/>
      <c r="AR848" s="40"/>
      <c r="AS848" s="238"/>
    </row>
    <row r="849" spans="1:45" s="229" customFormat="1">
      <c r="A849" s="42" t="s">
        <v>708</v>
      </c>
      <c r="B849" s="386">
        <v>38.398333333333333</v>
      </c>
      <c r="C849" s="24" t="s">
        <v>710</v>
      </c>
      <c r="D849" s="229" t="s">
        <v>648</v>
      </c>
      <c r="E849" s="229" t="s">
        <v>2</v>
      </c>
      <c r="F849" s="229">
        <v>421</v>
      </c>
      <c r="G849" s="40">
        <f>F849/394</f>
        <v>1.0685279187817258</v>
      </c>
      <c r="H849" s="14">
        <v>0</v>
      </c>
      <c r="I849" s="229">
        <v>0</v>
      </c>
      <c r="J849" s="229">
        <v>1</v>
      </c>
      <c r="K849" s="26">
        <v>0</v>
      </c>
      <c r="L849" s="14">
        <v>0</v>
      </c>
      <c r="M849" s="229">
        <v>0</v>
      </c>
      <c r="N849" s="229">
        <v>1</v>
      </c>
      <c r="O849" s="229">
        <v>0</v>
      </c>
      <c r="P849" s="26">
        <v>1</v>
      </c>
      <c r="Q849" s="14">
        <v>15</v>
      </c>
      <c r="R849" s="229">
        <v>17</v>
      </c>
      <c r="S849" s="229">
        <v>32</v>
      </c>
      <c r="T849" s="229">
        <v>0</v>
      </c>
      <c r="U849" s="229">
        <v>0</v>
      </c>
      <c r="V849" s="229">
        <v>0</v>
      </c>
      <c r="W849" s="229">
        <v>0</v>
      </c>
      <c r="X849" s="229">
        <v>0</v>
      </c>
      <c r="Y849" s="229">
        <v>0</v>
      </c>
      <c r="Z849" s="229">
        <v>0</v>
      </c>
      <c r="AA849" s="229">
        <v>138</v>
      </c>
      <c r="AB849" s="229">
        <v>0</v>
      </c>
      <c r="AC849" s="12">
        <v>1</v>
      </c>
      <c r="AD849" s="14">
        <v>1</v>
      </c>
      <c r="AE849" s="14">
        <v>0</v>
      </c>
      <c r="AF849" s="26">
        <v>0</v>
      </c>
      <c r="AG849" s="12">
        <v>163</v>
      </c>
      <c r="AH849" s="14">
        <v>0</v>
      </c>
      <c r="AI849" s="209">
        <v>85.643900845076047</v>
      </c>
      <c r="AJ849" s="3"/>
      <c r="AK849" s="3"/>
      <c r="AL849" s="3"/>
      <c r="AM849" s="3"/>
      <c r="AN849" s="3"/>
      <c r="AO849" s="40"/>
      <c r="AP849" s="209">
        <v>84.429031716396011</v>
      </c>
      <c r="AQ849" s="3"/>
      <c r="AR849" s="40"/>
      <c r="AS849" s="238"/>
    </row>
    <row r="850" spans="1:45" s="229" customFormat="1">
      <c r="A850" s="42" t="s">
        <v>708</v>
      </c>
      <c r="B850" s="386">
        <v>38.398333333333333</v>
      </c>
      <c r="C850" s="24" t="s">
        <v>710</v>
      </c>
      <c r="D850" s="229" t="s">
        <v>649</v>
      </c>
      <c r="E850" s="229" t="s">
        <v>0</v>
      </c>
      <c r="F850" s="229">
        <v>223</v>
      </c>
      <c r="G850" s="40">
        <f>F850/153</f>
        <v>1.457516339869281</v>
      </c>
      <c r="H850" s="14">
        <v>1</v>
      </c>
      <c r="I850" s="229">
        <v>0</v>
      </c>
      <c r="J850" s="229">
        <v>0</v>
      </c>
      <c r="K850" s="26">
        <v>0</v>
      </c>
      <c r="L850" s="14">
        <v>0</v>
      </c>
      <c r="M850" s="229">
        <v>0</v>
      </c>
      <c r="N850" s="229">
        <v>0</v>
      </c>
      <c r="O850" s="229">
        <v>0</v>
      </c>
      <c r="P850" s="26">
        <v>0</v>
      </c>
      <c r="Q850" s="14">
        <v>0</v>
      </c>
      <c r="R850" s="229">
        <v>0</v>
      </c>
      <c r="S850" s="229">
        <v>0</v>
      </c>
      <c r="T850" s="229">
        <v>0</v>
      </c>
      <c r="U850" s="229">
        <v>0</v>
      </c>
      <c r="V850" s="229">
        <v>0</v>
      </c>
      <c r="W850" s="229">
        <v>0</v>
      </c>
      <c r="X850" s="229">
        <v>0</v>
      </c>
      <c r="Y850" s="229">
        <v>0</v>
      </c>
      <c r="Z850" s="229">
        <v>0</v>
      </c>
      <c r="AA850" s="229">
        <v>0</v>
      </c>
      <c r="AB850" s="229">
        <v>0</v>
      </c>
      <c r="AC850" s="12">
        <v>1</v>
      </c>
      <c r="AD850" s="14">
        <v>1</v>
      </c>
      <c r="AE850" s="14">
        <v>0</v>
      </c>
      <c r="AF850" s="26">
        <v>0</v>
      </c>
      <c r="AG850" s="12">
        <v>139</v>
      </c>
      <c r="AH850" s="14">
        <v>0</v>
      </c>
      <c r="AI850" s="209"/>
      <c r="AJ850" s="3"/>
      <c r="AK850" s="3"/>
      <c r="AL850" s="3"/>
      <c r="AM850" s="3"/>
      <c r="AN850" s="3"/>
      <c r="AO850" s="40"/>
      <c r="AP850" s="209"/>
      <c r="AQ850" s="3"/>
      <c r="AR850" s="40"/>
      <c r="AS850" s="238"/>
    </row>
    <row r="851" spans="1:45" s="229" customFormat="1">
      <c r="A851" s="42" t="s">
        <v>708</v>
      </c>
      <c r="B851" s="386">
        <v>38.398333333333333</v>
      </c>
      <c r="C851" s="24" t="s">
        <v>710</v>
      </c>
      <c r="D851" s="229" t="s">
        <v>649</v>
      </c>
      <c r="E851" s="229" t="s">
        <v>1</v>
      </c>
      <c r="F851" s="229">
        <v>200</v>
      </c>
      <c r="G851" s="40">
        <f>F851/133</f>
        <v>1.5037593984962405</v>
      </c>
      <c r="H851" s="14">
        <v>0</v>
      </c>
      <c r="I851" s="229">
        <v>0</v>
      </c>
      <c r="J851" s="229">
        <v>1</v>
      </c>
      <c r="K851" s="26">
        <v>0</v>
      </c>
      <c r="L851" s="14">
        <v>0</v>
      </c>
      <c r="M851" s="229">
        <v>0</v>
      </c>
      <c r="N851" s="229">
        <v>0</v>
      </c>
      <c r="O851" s="229">
        <v>1</v>
      </c>
      <c r="P851" s="26">
        <v>1</v>
      </c>
      <c r="Q851" s="14">
        <v>10</v>
      </c>
      <c r="R851" s="229">
        <v>0</v>
      </c>
      <c r="S851" s="229">
        <v>0</v>
      </c>
      <c r="T851" s="229">
        <v>0</v>
      </c>
      <c r="U851" s="229">
        <v>0</v>
      </c>
      <c r="V851" s="229">
        <v>0</v>
      </c>
      <c r="W851" s="229">
        <v>30</v>
      </c>
      <c r="X851" s="229">
        <v>0</v>
      </c>
      <c r="Y851" s="229">
        <v>0</v>
      </c>
      <c r="Z851" s="229">
        <v>0</v>
      </c>
      <c r="AA851" s="229">
        <v>0</v>
      </c>
      <c r="AB851" s="229">
        <v>0</v>
      </c>
      <c r="AC851" s="12">
        <v>1</v>
      </c>
      <c r="AD851" s="14">
        <v>1</v>
      </c>
      <c r="AE851" s="14">
        <v>0</v>
      </c>
      <c r="AF851" s="26">
        <v>0</v>
      </c>
      <c r="AG851" s="12">
        <v>139</v>
      </c>
      <c r="AH851" s="14">
        <v>0</v>
      </c>
      <c r="AI851" s="209"/>
      <c r="AJ851" s="3"/>
      <c r="AK851" s="3"/>
      <c r="AL851" s="3"/>
      <c r="AM851" s="3"/>
      <c r="AN851" s="3"/>
      <c r="AO851" s="40"/>
      <c r="AP851" s="209"/>
      <c r="AQ851" s="3"/>
      <c r="AR851" s="40"/>
      <c r="AS851" s="238"/>
    </row>
    <row r="852" spans="1:45" s="229" customFormat="1">
      <c r="A852" s="42" t="s">
        <v>708</v>
      </c>
      <c r="B852" s="386">
        <v>38.398333333333333</v>
      </c>
      <c r="C852" s="24" t="s">
        <v>710</v>
      </c>
      <c r="D852" s="229" t="s">
        <v>669</v>
      </c>
      <c r="E852" s="229" t="s">
        <v>0</v>
      </c>
      <c r="F852" s="229">
        <v>265</v>
      </c>
      <c r="G852" s="40">
        <f>F852/230</f>
        <v>1.1521739130434783</v>
      </c>
      <c r="H852" s="14">
        <v>1</v>
      </c>
      <c r="I852" s="229">
        <v>0</v>
      </c>
      <c r="J852" s="229">
        <v>0</v>
      </c>
      <c r="K852" s="26">
        <v>0</v>
      </c>
      <c r="L852" s="14">
        <v>0</v>
      </c>
      <c r="M852" s="229">
        <v>0</v>
      </c>
      <c r="N852" s="229">
        <v>0</v>
      </c>
      <c r="O852" s="229">
        <v>0</v>
      </c>
      <c r="P852" s="26">
        <v>0</v>
      </c>
      <c r="Q852" s="14">
        <v>0</v>
      </c>
      <c r="R852" s="229">
        <v>0</v>
      </c>
      <c r="S852" s="229">
        <v>0</v>
      </c>
      <c r="T852" s="229">
        <v>0</v>
      </c>
      <c r="U852" s="229">
        <v>0</v>
      </c>
      <c r="V852" s="229">
        <v>0</v>
      </c>
      <c r="W852" s="229">
        <v>0</v>
      </c>
      <c r="X852" s="229">
        <v>0</v>
      </c>
      <c r="Y852" s="229">
        <v>0</v>
      </c>
      <c r="Z852" s="229">
        <v>0</v>
      </c>
      <c r="AA852" s="229">
        <v>0</v>
      </c>
      <c r="AB852" s="229">
        <v>0</v>
      </c>
      <c r="AC852" s="12">
        <v>2</v>
      </c>
      <c r="AD852" s="14">
        <v>2</v>
      </c>
      <c r="AE852" s="14">
        <v>166</v>
      </c>
      <c r="AF852" s="26">
        <v>265</v>
      </c>
      <c r="AG852" s="12">
        <v>165</v>
      </c>
      <c r="AH852" s="14">
        <v>0</v>
      </c>
      <c r="AI852" s="209"/>
      <c r="AJ852" s="3"/>
      <c r="AK852" s="3"/>
      <c r="AL852" s="3"/>
      <c r="AM852" s="3"/>
      <c r="AN852" s="3"/>
      <c r="AO852" s="40"/>
      <c r="AP852" s="209"/>
      <c r="AQ852" s="3"/>
      <c r="AR852" s="40"/>
      <c r="AS852" s="238"/>
    </row>
    <row r="853" spans="1:45" s="229" customFormat="1">
      <c r="A853" s="42" t="s">
        <v>708</v>
      </c>
      <c r="B853" s="386">
        <v>38.398333333333333</v>
      </c>
      <c r="C853" s="24" t="s">
        <v>710</v>
      </c>
      <c r="D853" s="229" t="s">
        <v>669</v>
      </c>
      <c r="E853" s="229" t="s">
        <v>1</v>
      </c>
      <c r="F853" s="229">
        <v>145</v>
      </c>
      <c r="G853" s="40">
        <f>F853/78</f>
        <v>1.858974358974359</v>
      </c>
      <c r="H853" s="14">
        <v>0</v>
      </c>
      <c r="I853" s="229">
        <v>0</v>
      </c>
      <c r="J853" s="229">
        <v>0</v>
      </c>
      <c r="K853" s="26">
        <v>1</v>
      </c>
      <c r="L853" s="14">
        <v>0</v>
      </c>
      <c r="M853" s="229">
        <v>0</v>
      </c>
      <c r="N853" s="229">
        <v>0</v>
      </c>
      <c r="O853" s="229">
        <v>0</v>
      </c>
      <c r="P853" s="26">
        <v>0</v>
      </c>
      <c r="Q853" s="14">
        <v>0</v>
      </c>
      <c r="R853" s="229">
        <v>0</v>
      </c>
      <c r="S853" s="229">
        <v>0</v>
      </c>
      <c r="T853" s="229">
        <v>0</v>
      </c>
      <c r="U853" s="229">
        <v>0</v>
      </c>
      <c r="V853" s="229">
        <v>0</v>
      </c>
      <c r="W853" s="229">
        <v>0</v>
      </c>
      <c r="X853" s="229">
        <v>0</v>
      </c>
      <c r="Y853" s="229">
        <v>0</v>
      </c>
      <c r="Z853" s="229">
        <v>0</v>
      </c>
      <c r="AA853" s="229">
        <v>0</v>
      </c>
      <c r="AB853" s="229">
        <v>0</v>
      </c>
      <c r="AC853" s="12">
        <v>2</v>
      </c>
      <c r="AD853" s="14">
        <v>2</v>
      </c>
      <c r="AE853" s="14">
        <v>60</v>
      </c>
      <c r="AF853" s="26">
        <v>145</v>
      </c>
      <c r="AG853" s="12">
        <v>165</v>
      </c>
      <c r="AH853" s="14">
        <v>1</v>
      </c>
      <c r="AI853" s="209"/>
      <c r="AJ853" s="3"/>
      <c r="AK853" s="3"/>
      <c r="AL853" s="3"/>
      <c r="AM853" s="3"/>
      <c r="AN853" s="3"/>
      <c r="AO853" s="40"/>
      <c r="AP853" s="209"/>
      <c r="AQ853" s="3"/>
      <c r="AR853" s="40"/>
      <c r="AS853" s="238"/>
    </row>
    <row r="854" spans="1:45" s="229" customFormat="1">
      <c r="A854" s="42" t="s">
        <v>708</v>
      </c>
      <c r="B854" s="386">
        <v>38.398333333333333</v>
      </c>
      <c r="C854" s="24" t="s">
        <v>710</v>
      </c>
      <c r="D854" s="229" t="s">
        <v>669</v>
      </c>
      <c r="E854" s="229" t="s">
        <v>2</v>
      </c>
      <c r="F854" s="229">
        <v>195</v>
      </c>
      <c r="G854" s="40">
        <f>F854/124</f>
        <v>1.5725806451612903</v>
      </c>
      <c r="H854" s="14">
        <v>1</v>
      </c>
      <c r="I854" s="229">
        <v>0</v>
      </c>
      <c r="J854" s="229">
        <v>0</v>
      </c>
      <c r="K854" s="26">
        <v>0</v>
      </c>
      <c r="L854" s="14">
        <v>0</v>
      </c>
      <c r="M854" s="229">
        <v>0</v>
      </c>
      <c r="N854" s="229">
        <v>1</v>
      </c>
      <c r="O854" s="229">
        <v>0</v>
      </c>
      <c r="P854" s="26">
        <v>1</v>
      </c>
      <c r="Q854" s="14">
        <v>0</v>
      </c>
      <c r="R854" s="229">
        <v>0</v>
      </c>
      <c r="S854" s="229">
        <v>0</v>
      </c>
      <c r="T854" s="229">
        <v>0</v>
      </c>
      <c r="U854" s="229">
        <v>0</v>
      </c>
      <c r="V854" s="229">
        <v>0</v>
      </c>
      <c r="W854" s="229">
        <v>0</v>
      </c>
      <c r="X854" s="229">
        <v>0</v>
      </c>
      <c r="Y854" s="229">
        <v>0</v>
      </c>
      <c r="Z854" s="229">
        <v>0</v>
      </c>
      <c r="AA854" s="229">
        <v>0</v>
      </c>
      <c r="AB854" s="229">
        <v>0</v>
      </c>
      <c r="AC854" s="12">
        <v>1</v>
      </c>
      <c r="AD854" s="14">
        <v>1</v>
      </c>
      <c r="AE854" s="14">
        <v>0</v>
      </c>
      <c r="AF854" s="26">
        <v>0</v>
      </c>
      <c r="AG854" s="12">
        <v>165</v>
      </c>
      <c r="AH854" s="14">
        <v>0</v>
      </c>
      <c r="AI854" s="209"/>
      <c r="AJ854" s="3"/>
      <c r="AK854" s="3"/>
      <c r="AL854" s="3"/>
      <c r="AM854" s="3"/>
      <c r="AN854" s="3"/>
      <c r="AO854" s="40"/>
      <c r="AP854" s="209"/>
      <c r="AQ854" s="3"/>
      <c r="AR854" s="40"/>
      <c r="AS854" s="238"/>
    </row>
    <row r="855" spans="1:45" s="229" customFormat="1">
      <c r="A855" s="42" t="s">
        <v>708</v>
      </c>
      <c r="B855" s="386">
        <v>38.398333333333333</v>
      </c>
      <c r="C855" s="24" t="s">
        <v>710</v>
      </c>
      <c r="D855" s="229" t="s">
        <v>669</v>
      </c>
      <c r="E855" s="229" t="s">
        <v>3</v>
      </c>
      <c r="F855" s="229">
        <v>345</v>
      </c>
      <c r="G855" s="40">
        <f>F855/203</f>
        <v>1.6995073891625616</v>
      </c>
      <c r="H855" s="14">
        <v>0</v>
      </c>
      <c r="I855" s="229">
        <v>0</v>
      </c>
      <c r="J855" s="229">
        <v>0</v>
      </c>
      <c r="K855" s="26">
        <v>1</v>
      </c>
      <c r="L855" s="14">
        <v>0</v>
      </c>
      <c r="M855" s="229">
        <v>0</v>
      </c>
      <c r="N855" s="229">
        <v>1</v>
      </c>
      <c r="O855" s="229">
        <v>0</v>
      </c>
      <c r="P855" s="26">
        <v>1</v>
      </c>
      <c r="Q855" s="14">
        <v>0</v>
      </c>
      <c r="R855" s="229">
        <v>0</v>
      </c>
      <c r="S855" s="229">
        <v>0</v>
      </c>
      <c r="T855" s="229">
        <v>0</v>
      </c>
      <c r="U855" s="229">
        <v>0</v>
      </c>
      <c r="V855" s="229">
        <v>0</v>
      </c>
      <c r="W855" s="229">
        <v>0</v>
      </c>
      <c r="X855" s="229">
        <v>0</v>
      </c>
      <c r="Y855" s="229">
        <v>0</v>
      </c>
      <c r="Z855" s="229">
        <v>0</v>
      </c>
      <c r="AA855" s="229">
        <v>0</v>
      </c>
      <c r="AB855" s="229">
        <v>0</v>
      </c>
      <c r="AC855" s="12">
        <v>2</v>
      </c>
      <c r="AD855" s="14">
        <v>3</v>
      </c>
      <c r="AE855" s="14">
        <v>58</v>
      </c>
      <c r="AF855" s="26">
        <v>217</v>
      </c>
      <c r="AG855" s="12">
        <v>165</v>
      </c>
      <c r="AH855" s="14">
        <v>0</v>
      </c>
      <c r="AI855" s="209"/>
      <c r="AJ855" s="3"/>
      <c r="AK855" s="3"/>
      <c r="AL855" s="3"/>
      <c r="AM855" s="3"/>
      <c r="AN855" s="3"/>
      <c r="AO855" s="40"/>
      <c r="AP855" s="209"/>
      <c r="AQ855" s="3"/>
      <c r="AR855" s="40"/>
      <c r="AS855" s="238"/>
    </row>
    <row r="856" spans="1:45" s="229" customFormat="1">
      <c r="A856" s="42" t="s">
        <v>708</v>
      </c>
      <c r="B856" s="386">
        <v>38.398333333333333</v>
      </c>
      <c r="C856" s="24" t="s">
        <v>710</v>
      </c>
      <c r="D856" s="229" t="s">
        <v>670</v>
      </c>
      <c r="E856" s="229" t="s">
        <v>0</v>
      </c>
      <c r="F856" s="229">
        <v>227</v>
      </c>
      <c r="G856" s="40">
        <f>F856/157</f>
        <v>1.4458598726114649</v>
      </c>
      <c r="H856" s="14">
        <v>0</v>
      </c>
      <c r="I856" s="229">
        <v>0</v>
      </c>
      <c r="J856" s="229">
        <v>0</v>
      </c>
      <c r="K856" s="26">
        <v>1</v>
      </c>
      <c r="L856" s="14">
        <v>0</v>
      </c>
      <c r="M856" s="229">
        <v>0</v>
      </c>
      <c r="N856" s="229">
        <v>1</v>
      </c>
      <c r="O856" s="229">
        <v>0</v>
      </c>
      <c r="P856" s="26">
        <v>1</v>
      </c>
      <c r="Q856" s="14">
        <v>2</v>
      </c>
      <c r="R856" s="229">
        <v>0</v>
      </c>
      <c r="S856" s="229">
        <v>0</v>
      </c>
      <c r="T856" s="229">
        <v>0</v>
      </c>
      <c r="U856" s="229">
        <v>0</v>
      </c>
      <c r="V856" s="229">
        <v>0</v>
      </c>
      <c r="W856" s="229">
        <v>22</v>
      </c>
      <c r="X856" s="229">
        <v>0</v>
      </c>
      <c r="Y856" s="229">
        <v>0</v>
      </c>
      <c r="Z856" s="229">
        <v>0</v>
      </c>
      <c r="AA856" s="229">
        <v>0</v>
      </c>
      <c r="AB856" s="229">
        <v>1</v>
      </c>
      <c r="AC856" s="12">
        <v>1</v>
      </c>
      <c r="AD856" s="14">
        <v>1</v>
      </c>
      <c r="AE856" s="14">
        <v>0</v>
      </c>
      <c r="AF856" s="26">
        <v>0</v>
      </c>
      <c r="AG856" s="12">
        <v>78</v>
      </c>
      <c r="AH856" s="14">
        <v>0</v>
      </c>
      <c r="AI856" s="209"/>
      <c r="AJ856" s="3"/>
      <c r="AK856" s="3"/>
      <c r="AL856" s="3"/>
      <c r="AM856" s="3"/>
      <c r="AN856" s="3"/>
      <c r="AO856" s="40"/>
      <c r="AP856" s="209"/>
      <c r="AQ856" s="3"/>
      <c r="AR856" s="40"/>
      <c r="AS856" s="238"/>
    </row>
    <row r="857" spans="1:45" s="229" customFormat="1" ht="17" thickBot="1">
      <c r="A857" s="42" t="s">
        <v>708</v>
      </c>
      <c r="B857" s="385">
        <v>38.398333333333333</v>
      </c>
      <c r="C857" s="103" t="s">
        <v>710</v>
      </c>
      <c r="D857" s="36" t="s">
        <v>670</v>
      </c>
      <c r="E857" s="36" t="s">
        <v>1</v>
      </c>
      <c r="F857" s="36">
        <v>148</v>
      </c>
      <c r="G857" s="48">
        <f>F857/100</f>
        <v>1.48</v>
      </c>
      <c r="H857" s="34">
        <v>0</v>
      </c>
      <c r="I857" s="36">
        <v>0</v>
      </c>
      <c r="J857" s="36">
        <v>0</v>
      </c>
      <c r="K857" s="35">
        <v>1</v>
      </c>
      <c r="L857" s="34">
        <v>0</v>
      </c>
      <c r="M857" s="36">
        <v>0</v>
      </c>
      <c r="N857" s="36">
        <v>1</v>
      </c>
      <c r="O857" s="36">
        <v>0</v>
      </c>
      <c r="P857" s="35">
        <v>1</v>
      </c>
      <c r="Q857" s="34">
        <v>0</v>
      </c>
      <c r="R857" s="36">
        <v>0</v>
      </c>
      <c r="S857" s="36">
        <v>0</v>
      </c>
      <c r="T857" s="36">
        <v>0</v>
      </c>
      <c r="U857" s="36">
        <v>0</v>
      </c>
      <c r="V857" s="36">
        <v>0</v>
      </c>
      <c r="W857" s="36">
        <v>0</v>
      </c>
      <c r="X857" s="36">
        <v>0</v>
      </c>
      <c r="Y857" s="36">
        <v>0</v>
      </c>
      <c r="Z857" s="36">
        <v>0</v>
      </c>
      <c r="AA857" s="36">
        <v>0</v>
      </c>
      <c r="AB857" s="36">
        <v>0</v>
      </c>
      <c r="AC857" s="33">
        <v>1</v>
      </c>
      <c r="AD857" s="34">
        <v>2</v>
      </c>
      <c r="AE857" s="34">
        <v>40</v>
      </c>
      <c r="AF857" s="35">
        <v>121</v>
      </c>
      <c r="AG857" s="33">
        <v>78</v>
      </c>
      <c r="AH857" s="34">
        <v>0</v>
      </c>
      <c r="AI857" s="210"/>
      <c r="AJ857" s="51"/>
      <c r="AK857" s="51"/>
      <c r="AL857" s="51"/>
      <c r="AM857" s="51"/>
      <c r="AN857" s="51"/>
      <c r="AO857" s="48"/>
      <c r="AP857" s="210"/>
      <c r="AQ857" s="51"/>
      <c r="AR857" s="48"/>
      <c r="AS857" s="239"/>
    </row>
    <row r="858" spans="1:45" s="229" customFormat="1">
      <c r="A858" s="42" t="s">
        <v>708</v>
      </c>
      <c r="B858" s="384">
        <v>38.398333333333333</v>
      </c>
      <c r="C858" s="24" t="s">
        <v>711</v>
      </c>
      <c r="D858" s="229" t="s">
        <v>423</v>
      </c>
      <c r="F858" s="229">
        <v>2274</v>
      </c>
      <c r="G858" s="40">
        <f>F858/1413</f>
        <v>1.6093418259023355</v>
      </c>
      <c r="H858" s="14">
        <v>0</v>
      </c>
      <c r="I858" s="229">
        <v>0</v>
      </c>
      <c r="J858" s="229">
        <v>1</v>
      </c>
      <c r="K858" s="26">
        <v>0</v>
      </c>
      <c r="L858" s="14">
        <v>1</v>
      </c>
      <c r="M858" s="229">
        <v>0</v>
      </c>
      <c r="N858" s="229">
        <v>0</v>
      </c>
      <c r="O858" s="229">
        <v>0</v>
      </c>
      <c r="P858" s="26">
        <v>1</v>
      </c>
      <c r="Q858" s="14">
        <v>3</v>
      </c>
      <c r="R858" s="229">
        <v>5</v>
      </c>
      <c r="S858" s="229">
        <v>22</v>
      </c>
      <c r="T858" s="229">
        <v>0</v>
      </c>
      <c r="U858" s="229">
        <v>114</v>
      </c>
      <c r="V858" s="229">
        <v>0</v>
      </c>
      <c r="W858" s="229">
        <v>0</v>
      </c>
      <c r="X858" s="229">
        <v>0</v>
      </c>
      <c r="Y858" s="229">
        <v>0</v>
      </c>
      <c r="Z858" s="229">
        <v>0</v>
      </c>
      <c r="AA858" s="229">
        <v>0</v>
      </c>
      <c r="AB858" s="229">
        <v>0</v>
      </c>
      <c r="AC858" s="12">
        <v>1</v>
      </c>
      <c r="AD858" s="14">
        <v>1</v>
      </c>
      <c r="AE858" s="14">
        <v>0</v>
      </c>
      <c r="AF858" s="26">
        <v>0</v>
      </c>
      <c r="AG858" s="12">
        <v>166</v>
      </c>
      <c r="AH858" s="14">
        <v>1</v>
      </c>
      <c r="AI858" s="209">
        <v>84.400386094269635</v>
      </c>
      <c r="AJ858" s="3"/>
      <c r="AK858" s="3"/>
      <c r="AL858" s="3"/>
      <c r="AM858" s="3"/>
      <c r="AN858" s="3"/>
      <c r="AO858" s="40"/>
      <c r="AP858" s="209">
        <v>84.397859766961218</v>
      </c>
      <c r="AQ858" s="3">
        <v>83.318486495331086</v>
      </c>
      <c r="AR858" s="40"/>
      <c r="AS858" s="238"/>
    </row>
    <row r="859" spans="1:45" s="229" customFormat="1">
      <c r="A859" s="42" t="s">
        <v>708</v>
      </c>
      <c r="B859" s="386">
        <v>38.398333333333333</v>
      </c>
      <c r="C859" s="24" t="s">
        <v>711</v>
      </c>
      <c r="D859" s="229" t="s">
        <v>622</v>
      </c>
      <c r="E859" s="229" t="s">
        <v>0</v>
      </c>
      <c r="F859" s="229">
        <v>108</v>
      </c>
      <c r="G859" s="40">
        <f>F859/69</f>
        <v>1.5652173913043479</v>
      </c>
      <c r="H859" s="14">
        <v>1</v>
      </c>
      <c r="I859" s="229">
        <v>0</v>
      </c>
      <c r="J859" s="229">
        <v>0</v>
      </c>
      <c r="K859" s="26">
        <v>0</v>
      </c>
      <c r="L859" s="14">
        <v>0</v>
      </c>
      <c r="M859" s="229">
        <v>0</v>
      </c>
      <c r="N859" s="229">
        <v>0</v>
      </c>
      <c r="O859" s="229">
        <v>0</v>
      </c>
      <c r="P859" s="26">
        <v>0</v>
      </c>
      <c r="Q859" s="14">
        <v>3</v>
      </c>
      <c r="R859" s="229">
        <v>0</v>
      </c>
      <c r="S859" s="229">
        <v>0</v>
      </c>
      <c r="T859" s="229">
        <v>0</v>
      </c>
      <c r="U859" s="229">
        <v>0</v>
      </c>
      <c r="V859" s="229">
        <v>6</v>
      </c>
      <c r="W859" s="229">
        <v>10</v>
      </c>
      <c r="X859" s="229">
        <v>0</v>
      </c>
      <c r="Y859" s="229">
        <v>0</v>
      </c>
      <c r="Z859" s="229">
        <v>0</v>
      </c>
      <c r="AA859" s="229">
        <v>0</v>
      </c>
      <c r="AB859" s="229">
        <v>1</v>
      </c>
      <c r="AC859" s="12">
        <v>1</v>
      </c>
      <c r="AD859" s="14">
        <v>1</v>
      </c>
      <c r="AE859" s="14">
        <v>0</v>
      </c>
      <c r="AF859" s="26">
        <v>0</v>
      </c>
      <c r="AG859" s="12">
        <v>129</v>
      </c>
      <c r="AH859" s="14">
        <v>0</v>
      </c>
      <c r="AI859" s="209"/>
      <c r="AJ859" s="3"/>
      <c r="AK859" s="3"/>
      <c r="AL859" s="3"/>
      <c r="AM859" s="3"/>
      <c r="AN859" s="3"/>
      <c r="AO859" s="40"/>
      <c r="AP859" s="209"/>
      <c r="AQ859" s="3"/>
      <c r="AR859" s="40"/>
      <c r="AS859" s="238"/>
    </row>
    <row r="860" spans="1:45" s="229" customFormat="1">
      <c r="A860" s="42" t="s">
        <v>708</v>
      </c>
      <c r="B860" s="386">
        <v>38.398333333333333</v>
      </c>
      <c r="C860" s="24" t="s">
        <v>711</v>
      </c>
      <c r="D860" s="229" t="s">
        <v>622</v>
      </c>
      <c r="E860" s="229" t="s">
        <v>1</v>
      </c>
      <c r="F860" s="229">
        <v>289</v>
      </c>
      <c r="G860" s="40">
        <f>F860/277</f>
        <v>1.0433212996389891</v>
      </c>
      <c r="H860" s="14">
        <v>1</v>
      </c>
      <c r="I860" s="229">
        <v>0</v>
      </c>
      <c r="J860" s="229">
        <v>0</v>
      </c>
      <c r="K860" s="26">
        <v>1</v>
      </c>
      <c r="L860" s="14">
        <v>0</v>
      </c>
      <c r="M860" s="229">
        <v>0</v>
      </c>
      <c r="N860" s="229">
        <v>1</v>
      </c>
      <c r="O860" s="229">
        <v>0</v>
      </c>
      <c r="P860" s="26">
        <v>1</v>
      </c>
      <c r="Q860" s="14">
        <v>2</v>
      </c>
      <c r="R860" s="229">
        <v>0</v>
      </c>
      <c r="S860" s="229">
        <v>17</v>
      </c>
      <c r="T860" s="229">
        <v>0</v>
      </c>
      <c r="U860" s="229">
        <v>0</v>
      </c>
      <c r="V860" s="229">
        <v>0</v>
      </c>
      <c r="W860" s="229">
        <v>9</v>
      </c>
      <c r="X860" s="229">
        <v>0</v>
      </c>
      <c r="Y860" s="229">
        <v>0</v>
      </c>
      <c r="Z860" s="229">
        <v>0</v>
      </c>
      <c r="AA860" s="229">
        <v>0</v>
      </c>
      <c r="AB860" s="229">
        <v>0</v>
      </c>
      <c r="AC860" s="12">
        <v>2</v>
      </c>
      <c r="AD860" s="14">
        <v>4</v>
      </c>
      <c r="AE860" s="14">
        <v>96</v>
      </c>
      <c r="AF860" s="26">
        <v>289</v>
      </c>
      <c r="AG860" s="12">
        <v>129</v>
      </c>
      <c r="AH860" s="14">
        <v>0</v>
      </c>
      <c r="AI860" s="209"/>
      <c r="AJ860" s="3"/>
      <c r="AK860" s="3"/>
      <c r="AL860" s="3"/>
      <c r="AM860" s="3"/>
      <c r="AN860" s="3"/>
      <c r="AO860" s="40"/>
      <c r="AP860" s="209"/>
      <c r="AQ860" s="3"/>
      <c r="AR860" s="40"/>
      <c r="AS860" s="238"/>
    </row>
    <row r="861" spans="1:45" s="229" customFormat="1">
      <c r="A861" s="42" t="s">
        <v>708</v>
      </c>
      <c r="B861" s="386">
        <v>38.398333333333333</v>
      </c>
      <c r="C861" s="24" t="s">
        <v>711</v>
      </c>
      <c r="D861" s="229" t="s">
        <v>634</v>
      </c>
      <c r="E861" s="229" t="s">
        <v>0</v>
      </c>
      <c r="F861" s="229">
        <v>452</v>
      </c>
      <c r="G861" s="40">
        <f>F861/246</f>
        <v>1.8373983739837398</v>
      </c>
      <c r="H861" s="14">
        <v>0</v>
      </c>
      <c r="I861" s="229">
        <v>0</v>
      </c>
      <c r="J861" s="229">
        <v>1</v>
      </c>
      <c r="K861" s="26">
        <v>1</v>
      </c>
      <c r="L861" s="14">
        <v>1</v>
      </c>
      <c r="M861" s="229">
        <v>0</v>
      </c>
      <c r="N861" s="229">
        <v>0</v>
      </c>
      <c r="O861" s="229">
        <v>0</v>
      </c>
      <c r="P861" s="26">
        <v>1</v>
      </c>
      <c r="Q861" s="14">
        <v>5</v>
      </c>
      <c r="R861" s="229">
        <v>13</v>
      </c>
      <c r="S861" s="229">
        <v>23</v>
      </c>
      <c r="T861" s="229">
        <v>0</v>
      </c>
      <c r="U861" s="229">
        <v>0</v>
      </c>
      <c r="V861" s="229">
        <v>9</v>
      </c>
      <c r="W861" s="229">
        <v>41</v>
      </c>
      <c r="X861" s="229">
        <v>0</v>
      </c>
      <c r="Y861" s="229">
        <v>0</v>
      </c>
      <c r="Z861" s="229">
        <v>0</v>
      </c>
      <c r="AA861" s="229">
        <v>0</v>
      </c>
      <c r="AB861" s="229">
        <v>0</v>
      </c>
      <c r="AC861" s="12">
        <v>2</v>
      </c>
      <c r="AD861" s="14">
        <v>3</v>
      </c>
      <c r="AE861" s="14">
        <v>75</v>
      </c>
      <c r="AF861" s="26">
        <v>329</v>
      </c>
      <c r="AG861" s="12">
        <v>149</v>
      </c>
      <c r="AH861" s="14">
        <v>0</v>
      </c>
      <c r="AI861" s="209"/>
      <c r="AJ861" s="3"/>
      <c r="AK861" s="3"/>
      <c r="AL861" s="3"/>
      <c r="AM861" s="3"/>
      <c r="AN861" s="3"/>
      <c r="AO861" s="40"/>
      <c r="AP861" s="209"/>
      <c r="AQ861" s="3"/>
      <c r="AR861" s="40"/>
      <c r="AS861" s="238"/>
    </row>
    <row r="862" spans="1:45" s="229" customFormat="1">
      <c r="A862" s="42" t="s">
        <v>708</v>
      </c>
      <c r="B862" s="386">
        <v>38.398333333333333</v>
      </c>
      <c r="C862" s="24" t="s">
        <v>711</v>
      </c>
      <c r="D862" s="229" t="s">
        <v>634</v>
      </c>
      <c r="E862" s="229" t="s">
        <v>1</v>
      </c>
      <c r="F862" s="229">
        <v>177</v>
      </c>
      <c r="G862" s="40">
        <f>F862/110</f>
        <v>1.6090909090909091</v>
      </c>
      <c r="H862" s="14">
        <v>0</v>
      </c>
      <c r="I862" s="229">
        <v>0</v>
      </c>
      <c r="J862" s="229">
        <v>1</v>
      </c>
      <c r="K862" s="26">
        <v>0</v>
      </c>
      <c r="L862" s="14">
        <v>1</v>
      </c>
      <c r="M862" s="229">
        <v>0</v>
      </c>
      <c r="N862" s="229">
        <v>0</v>
      </c>
      <c r="O862" s="229">
        <v>0</v>
      </c>
      <c r="P862" s="26">
        <v>1</v>
      </c>
      <c r="Q862" s="14">
        <v>0</v>
      </c>
      <c r="R862" s="229">
        <v>0</v>
      </c>
      <c r="S862" s="229">
        <v>0</v>
      </c>
      <c r="T862" s="229">
        <v>0</v>
      </c>
      <c r="U862" s="229">
        <v>0</v>
      </c>
      <c r="V862" s="229">
        <v>0</v>
      </c>
      <c r="W862" s="229">
        <v>0</v>
      </c>
      <c r="X862" s="229">
        <v>0</v>
      </c>
      <c r="Y862" s="229">
        <v>0</v>
      </c>
      <c r="Z862" s="229">
        <v>0</v>
      </c>
      <c r="AA862" s="229">
        <v>0</v>
      </c>
      <c r="AB862" s="229">
        <v>0</v>
      </c>
      <c r="AC862" s="12">
        <v>1</v>
      </c>
      <c r="AD862" s="14">
        <v>1</v>
      </c>
      <c r="AE862" s="14">
        <v>0</v>
      </c>
      <c r="AF862" s="26">
        <v>0</v>
      </c>
      <c r="AG862" s="12">
        <v>149</v>
      </c>
      <c r="AH862" s="14">
        <v>0</v>
      </c>
      <c r="AI862" s="209"/>
      <c r="AJ862" s="3"/>
      <c r="AK862" s="3"/>
      <c r="AL862" s="3"/>
      <c r="AM862" s="3"/>
      <c r="AN862" s="3"/>
      <c r="AO862" s="40"/>
      <c r="AP862" s="209"/>
      <c r="AQ862" s="3"/>
      <c r="AR862" s="40"/>
      <c r="AS862" s="238"/>
    </row>
    <row r="863" spans="1:45" s="229" customFormat="1">
      <c r="A863" s="42" t="s">
        <v>708</v>
      </c>
      <c r="B863" s="386">
        <v>38.398333333333333</v>
      </c>
      <c r="C863" s="24" t="s">
        <v>711</v>
      </c>
      <c r="D863" s="229" t="s">
        <v>634</v>
      </c>
      <c r="E863" s="229" t="s">
        <v>2</v>
      </c>
      <c r="F863" s="229">
        <v>272</v>
      </c>
      <c r="G863" s="40">
        <f>F863/161</f>
        <v>1.68944099378882</v>
      </c>
      <c r="H863" s="14">
        <v>0</v>
      </c>
      <c r="I863" s="229">
        <v>0</v>
      </c>
      <c r="J863" s="229">
        <v>0</v>
      </c>
      <c r="K863" s="26">
        <v>1</v>
      </c>
      <c r="L863" s="14">
        <v>0</v>
      </c>
      <c r="M863" s="229">
        <v>0</v>
      </c>
      <c r="N863" s="229">
        <v>1</v>
      </c>
      <c r="O863" s="229">
        <v>0</v>
      </c>
      <c r="P863" s="26">
        <v>1</v>
      </c>
      <c r="Q863" s="14">
        <v>0</v>
      </c>
      <c r="R863" s="229">
        <v>0</v>
      </c>
      <c r="S863" s="229">
        <v>0</v>
      </c>
      <c r="T863" s="229">
        <v>0</v>
      </c>
      <c r="U863" s="229">
        <v>0</v>
      </c>
      <c r="V863" s="229">
        <v>0</v>
      </c>
      <c r="W863" s="229">
        <v>0</v>
      </c>
      <c r="X863" s="229">
        <v>0</v>
      </c>
      <c r="Y863" s="229">
        <v>0</v>
      </c>
      <c r="Z863" s="229">
        <v>0</v>
      </c>
      <c r="AA863" s="229">
        <v>0</v>
      </c>
      <c r="AB863" s="229">
        <v>0</v>
      </c>
      <c r="AC863" s="12">
        <v>2</v>
      </c>
      <c r="AD863" s="14">
        <v>2</v>
      </c>
      <c r="AE863" s="14">
        <v>135</v>
      </c>
      <c r="AF863" s="26">
        <v>215</v>
      </c>
      <c r="AG863" s="12">
        <v>149</v>
      </c>
      <c r="AH863" s="14">
        <v>0</v>
      </c>
      <c r="AI863" s="209"/>
      <c r="AJ863" s="3"/>
      <c r="AK863" s="3"/>
      <c r="AL863" s="3"/>
      <c r="AM863" s="3"/>
      <c r="AN863" s="3"/>
      <c r="AO863" s="40"/>
      <c r="AP863" s="209"/>
      <c r="AQ863" s="3"/>
      <c r="AR863" s="40"/>
      <c r="AS863" s="238"/>
    </row>
    <row r="864" spans="1:45" s="229" customFormat="1">
      <c r="A864" s="42" t="s">
        <v>708</v>
      </c>
      <c r="B864" s="386">
        <v>38.398333333333333</v>
      </c>
      <c r="C864" s="24" t="s">
        <v>711</v>
      </c>
      <c r="D864" s="229" t="s">
        <v>625</v>
      </c>
      <c r="E864" s="229" t="s">
        <v>0</v>
      </c>
      <c r="F864" s="229">
        <v>79</v>
      </c>
      <c r="G864" s="40">
        <f>F864/51</f>
        <v>1.5490196078431373</v>
      </c>
      <c r="H864" s="14">
        <v>1</v>
      </c>
      <c r="I864" s="229">
        <v>0</v>
      </c>
      <c r="J864" s="229">
        <v>0</v>
      </c>
      <c r="K864" s="26">
        <v>0</v>
      </c>
      <c r="L864" s="14">
        <v>0</v>
      </c>
      <c r="M864" s="229">
        <v>0</v>
      </c>
      <c r="N864" s="229">
        <v>0</v>
      </c>
      <c r="O864" s="229">
        <v>0</v>
      </c>
      <c r="P864" s="26">
        <v>0</v>
      </c>
      <c r="Q864" s="14">
        <v>0</v>
      </c>
      <c r="R864" s="229">
        <v>0</v>
      </c>
      <c r="S864" s="229">
        <v>0</v>
      </c>
      <c r="T864" s="229">
        <v>0</v>
      </c>
      <c r="U864" s="229">
        <v>0</v>
      </c>
      <c r="V864" s="229">
        <v>0</v>
      </c>
      <c r="W864" s="229">
        <v>0</v>
      </c>
      <c r="X864" s="229">
        <v>0</v>
      </c>
      <c r="Y864" s="229">
        <v>0</v>
      </c>
      <c r="Z864" s="229">
        <v>0</v>
      </c>
      <c r="AA864" s="229">
        <v>0</v>
      </c>
      <c r="AB864" s="229">
        <v>0</v>
      </c>
      <c r="AC864" s="12">
        <v>2</v>
      </c>
      <c r="AD864" s="14">
        <v>2</v>
      </c>
      <c r="AE864" s="14">
        <v>52</v>
      </c>
      <c r="AF864" s="26">
        <v>53</v>
      </c>
      <c r="AG864" s="12">
        <v>146</v>
      </c>
      <c r="AH864" s="14">
        <v>0</v>
      </c>
      <c r="AI864" s="209"/>
      <c r="AJ864" s="3"/>
      <c r="AK864" s="3"/>
      <c r="AL864" s="3"/>
      <c r="AM864" s="3"/>
      <c r="AN864" s="3"/>
      <c r="AO864" s="40"/>
      <c r="AP864" s="209"/>
      <c r="AQ864" s="3"/>
      <c r="AR864" s="40"/>
      <c r="AS864" s="238"/>
    </row>
    <row r="865" spans="1:45" s="229" customFormat="1">
      <c r="A865" s="42" t="s">
        <v>708</v>
      </c>
      <c r="B865" s="386">
        <v>38.398333333333333</v>
      </c>
      <c r="C865" s="24" t="s">
        <v>711</v>
      </c>
      <c r="D865" s="229" t="s">
        <v>625</v>
      </c>
      <c r="E865" s="229" t="s">
        <v>1</v>
      </c>
      <c r="F865" s="229">
        <v>503</v>
      </c>
      <c r="G865" s="40">
        <f>F865/184</f>
        <v>2.7336956521739131</v>
      </c>
      <c r="H865" s="14">
        <v>1</v>
      </c>
      <c r="I865" s="229">
        <v>0</v>
      </c>
      <c r="J865" s="229">
        <v>0</v>
      </c>
      <c r="K865" s="26">
        <v>1</v>
      </c>
      <c r="L865" s="14">
        <v>0</v>
      </c>
      <c r="M865" s="229">
        <v>0</v>
      </c>
      <c r="N865" s="229">
        <v>1</v>
      </c>
      <c r="O865" s="229">
        <v>0</v>
      </c>
      <c r="P865" s="26">
        <v>1</v>
      </c>
      <c r="Q865" s="14">
        <v>0</v>
      </c>
      <c r="R865" s="229">
        <v>0</v>
      </c>
      <c r="S865" s="229">
        <v>0</v>
      </c>
      <c r="T865" s="229">
        <v>0</v>
      </c>
      <c r="U865" s="229">
        <v>0</v>
      </c>
      <c r="V865" s="229">
        <v>0</v>
      </c>
      <c r="W865" s="229">
        <v>0</v>
      </c>
      <c r="X865" s="229">
        <v>0</v>
      </c>
      <c r="Y865" s="229">
        <v>0</v>
      </c>
      <c r="Z865" s="229">
        <v>0</v>
      </c>
      <c r="AA865" s="229">
        <v>0</v>
      </c>
      <c r="AB865" s="229">
        <v>0</v>
      </c>
      <c r="AC865" s="12">
        <v>2</v>
      </c>
      <c r="AD865" s="14">
        <v>14</v>
      </c>
      <c r="AE865" s="14">
        <v>44</v>
      </c>
      <c r="AF865" s="26">
        <v>167</v>
      </c>
      <c r="AG865" s="12">
        <v>146</v>
      </c>
      <c r="AH865" s="14">
        <v>0</v>
      </c>
      <c r="AI865" s="209"/>
      <c r="AJ865" s="3"/>
      <c r="AK865" s="3"/>
      <c r="AL865" s="3"/>
      <c r="AM865" s="3"/>
      <c r="AN865" s="3"/>
      <c r="AO865" s="40"/>
      <c r="AP865" s="209"/>
      <c r="AQ865" s="3"/>
      <c r="AR865" s="40"/>
      <c r="AS865" s="238"/>
    </row>
    <row r="866" spans="1:45" s="229" customFormat="1">
      <c r="A866" s="42" t="s">
        <v>708</v>
      </c>
      <c r="B866" s="386">
        <v>38.398333333333333</v>
      </c>
      <c r="C866" s="24" t="s">
        <v>711</v>
      </c>
      <c r="D866" s="229" t="s">
        <v>625</v>
      </c>
      <c r="E866" s="229" t="s">
        <v>2</v>
      </c>
      <c r="F866" s="229">
        <v>629</v>
      </c>
      <c r="G866" s="40">
        <f>F866/586</f>
        <v>1.0733788395904438</v>
      </c>
      <c r="H866" s="14">
        <v>0</v>
      </c>
      <c r="I866" s="229">
        <v>0</v>
      </c>
      <c r="J866" s="229">
        <v>1</v>
      </c>
      <c r="K866" s="26">
        <v>1</v>
      </c>
      <c r="L866" s="14">
        <v>0</v>
      </c>
      <c r="M866" s="229">
        <v>0</v>
      </c>
      <c r="N866" s="229">
        <v>1</v>
      </c>
      <c r="O866" s="229">
        <v>0</v>
      </c>
      <c r="P866" s="26">
        <v>1</v>
      </c>
      <c r="Q866" s="14">
        <v>2</v>
      </c>
      <c r="R866" s="229">
        <v>0</v>
      </c>
      <c r="S866" s="229">
        <v>0</v>
      </c>
      <c r="T866" s="229">
        <v>0</v>
      </c>
      <c r="U866" s="229">
        <v>0</v>
      </c>
      <c r="V866" s="229">
        <v>0</v>
      </c>
      <c r="W866" s="229">
        <v>36</v>
      </c>
      <c r="X866" s="229">
        <v>0</v>
      </c>
      <c r="Y866" s="229">
        <v>0</v>
      </c>
      <c r="Z866" s="229">
        <v>0</v>
      </c>
      <c r="AA866" s="229">
        <v>0</v>
      </c>
      <c r="AB866" s="229">
        <v>0</v>
      </c>
      <c r="AC866" s="12">
        <v>2</v>
      </c>
      <c r="AD866" s="14">
        <v>8</v>
      </c>
      <c r="AE866" s="14">
        <v>49</v>
      </c>
      <c r="AF866" s="26">
        <v>443</v>
      </c>
      <c r="AG866" s="12">
        <v>146</v>
      </c>
      <c r="AH866" s="14">
        <v>0</v>
      </c>
      <c r="AI866" s="209"/>
      <c r="AJ866" s="3"/>
      <c r="AK866" s="3"/>
      <c r="AL866" s="3"/>
      <c r="AM866" s="3"/>
      <c r="AN866" s="3"/>
      <c r="AO866" s="40"/>
      <c r="AP866" s="209"/>
      <c r="AQ866" s="3"/>
      <c r="AR866" s="40"/>
      <c r="AS866" s="238"/>
    </row>
    <row r="867" spans="1:45" s="229" customFormat="1">
      <c r="A867" s="42" t="s">
        <v>708</v>
      </c>
      <c r="B867" s="386">
        <v>38.398333333333333</v>
      </c>
      <c r="C867" s="24" t="s">
        <v>711</v>
      </c>
      <c r="D867" s="229" t="s">
        <v>625</v>
      </c>
      <c r="E867" s="229" t="s">
        <v>3</v>
      </c>
      <c r="F867" s="229">
        <v>247</v>
      </c>
      <c r="G867" s="40">
        <f>F867/204</f>
        <v>1.2107843137254901</v>
      </c>
      <c r="H867" s="14">
        <v>0</v>
      </c>
      <c r="I867" s="229">
        <v>0</v>
      </c>
      <c r="J867" s="229">
        <v>0</v>
      </c>
      <c r="K867" s="26">
        <v>1</v>
      </c>
      <c r="L867" s="14">
        <v>0</v>
      </c>
      <c r="M867" s="229">
        <v>0</v>
      </c>
      <c r="N867" s="229">
        <v>0</v>
      </c>
      <c r="O867" s="229">
        <v>0</v>
      </c>
      <c r="P867" s="26">
        <v>0</v>
      </c>
      <c r="Q867" s="14">
        <v>0</v>
      </c>
      <c r="R867" s="229">
        <v>0</v>
      </c>
      <c r="S867" s="229">
        <v>0</v>
      </c>
      <c r="T867" s="229">
        <v>0</v>
      </c>
      <c r="U867" s="229">
        <v>0</v>
      </c>
      <c r="V867" s="229">
        <v>0</v>
      </c>
      <c r="W867" s="229">
        <v>0</v>
      </c>
      <c r="X867" s="229">
        <v>0</v>
      </c>
      <c r="Y867" s="229">
        <v>0</v>
      </c>
      <c r="Z867" s="229">
        <v>0</v>
      </c>
      <c r="AA867" s="229">
        <v>0</v>
      </c>
      <c r="AB867" s="229">
        <v>0</v>
      </c>
      <c r="AC867" s="12">
        <v>2</v>
      </c>
      <c r="AD867" s="14">
        <v>2</v>
      </c>
      <c r="AE867" s="14">
        <v>198</v>
      </c>
      <c r="AF867" s="26">
        <v>247</v>
      </c>
      <c r="AG867" s="12">
        <v>146</v>
      </c>
      <c r="AH867" s="14">
        <v>0</v>
      </c>
      <c r="AI867" s="209"/>
      <c r="AJ867" s="3"/>
      <c r="AK867" s="3"/>
      <c r="AL867" s="3"/>
      <c r="AM867" s="3"/>
      <c r="AN867" s="3"/>
      <c r="AO867" s="40"/>
      <c r="AP867" s="209"/>
      <c r="AQ867" s="3"/>
      <c r="AR867" s="40"/>
      <c r="AS867" s="238"/>
    </row>
    <row r="868" spans="1:45" s="229" customFormat="1">
      <c r="A868" s="42" t="s">
        <v>708</v>
      </c>
      <c r="B868" s="386">
        <v>38.398333333333333</v>
      </c>
      <c r="C868" s="24" t="s">
        <v>711</v>
      </c>
      <c r="D868" s="229" t="s">
        <v>638</v>
      </c>
      <c r="E868" s="229" t="s">
        <v>0</v>
      </c>
      <c r="F868" s="229">
        <v>133</v>
      </c>
      <c r="G868" s="40">
        <f>F868/80</f>
        <v>1.6625000000000001</v>
      </c>
      <c r="H868" s="14">
        <v>0</v>
      </c>
      <c r="I868" s="229">
        <v>0</v>
      </c>
      <c r="J868" s="229">
        <v>1</v>
      </c>
      <c r="K868" s="26">
        <v>0</v>
      </c>
      <c r="L868" s="14">
        <v>0</v>
      </c>
      <c r="M868" s="229">
        <v>0</v>
      </c>
      <c r="N868" s="229">
        <v>0</v>
      </c>
      <c r="O868" s="229">
        <v>0</v>
      </c>
      <c r="P868" s="26">
        <v>0</v>
      </c>
      <c r="Q868" s="14">
        <v>15</v>
      </c>
      <c r="R868" s="229">
        <v>0</v>
      </c>
      <c r="S868" s="229">
        <v>8</v>
      </c>
      <c r="T868" s="229">
        <v>0</v>
      </c>
      <c r="U868" s="229">
        <v>0</v>
      </c>
      <c r="V868" s="229">
        <v>7</v>
      </c>
      <c r="W868" s="229">
        <v>37</v>
      </c>
      <c r="X868" s="229">
        <v>0</v>
      </c>
      <c r="Y868" s="229">
        <v>0</v>
      </c>
      <c r="Z868" s="229">
        <v>0</v>
      </c>
      <c r="AA868" s="229">
        <v>0</v>
      </c>
      <c r="AB868" s="229">
        <v>0</v>
      </c>
      <c r="AC868" s="12">
        <v>1</v>
      </c>
      <c r="AD868" s="14">
        <v>1</v>
      </c>
      <c r="AE868" s="14">
        <v>0</v>
      </c>
      <c r="AF868" s="26">
        <v>0</v>
      </c>
      <c r="AG868" s="12"/>
      <c r="AH868" s="14">
        <v>0</v>
      </c>
      <c r="AI868" s="209"/>
      <c r="AJ868" s="3"/>
      <c r="AK868" s="3"/>
      <c r="AL868" s="3"/>
      <c r="AM868" s="3"/>
      <c r="AN868" s="3"/>
      <c r="AO868" s="40"/>
      <c r="AP868" s="209"/>
      <c r="AQ868" s="3"/>
      <c r="AR868" s="40"/>
      <c r="AS868" s="238"/>
    </row>
    <row r="869" spans="1:45" s="229" customFormat="1">
      <c r="A869" s="42" t="s">
        <v>708</v>
      </c>
      <c r="B869" s="386">
        <v>38.398333333333333</v>
      </c>
      <c r="C869" s="24" t="s">
        <v>711</v>
      </c>
      <c r="D869" s="229" t="s">
        <v>638</v>
      </c>
      <c r="E869" s="229" t="s">
        <v>1</v>
      </c>
      <c r="F869" s="229">
        <v>222</v>
      </c>
      <c r="G869" s="40">
        <f>F869/177</f>
        <v>1.2542372881355932</v>
      </c>
      <c r="H869" s="14">
        <v>0</v>
      </c>
      <c r="I869" s="229">
        <v>0</v>
      </c>
      <c r="J869" s="229">
        <v>0</v>
      </c>
      <c r="K869" s="26">
        <v>1</v>
      </c>
      <c r="L869" s="14">
        <v>0</v>
      </c>
      <c r="M869" s="229">
        <v>0</v>
      </c>
      <c r="N869" s="229">
        <v>0</v>
      </c>
      <c r="O869" s="229">
        <v>0</v>
      </c>
      <c r="P869" s="26">
        <v>0</v>
      </c>
      <c r="Q869" s="14">
        <v>5</v>
      </c>
      <c r="R869" s="229">
        <v>0</v>
      </c>
      <c r="S869" s="229">
        <v>0</v>
      </c>
      <c r="T869" s="229">
        <v>0</v>
      </c>
      <c r="U869" s="229">
        <v>0</v>
      </c>
      <c r="V869" s="229">
        <v>6</v>
      </c>
      <c r="W869" s="229">
        <v>15</v>
      </c>
      <c r="X869" s="229">
        <v>0</v>
      </c>
      <c r="Y869" s="229">
        <v>0</v>
      </c>
      <c r="Z869" s="229">
        <v>0</v>
      </c>
      <c r="AA869" s="229">
        <v>51</v>
      </c>
      <c r="AB869" s="229">
        <v>0</v>
      </c>
      <c r="AC869" s="12">
        <v>2</v>
      </c>
      <c r="AD869" s="14">
        <v>10</v>
      </c>
      <c r="AE869" s="14">
        <v>28</v>
      </c>
      <c r="AF869" s="26">
        <v>184</v>
      </c>
      <c r="AG869" s="12"/>
      <c r="AH869" s="14">
        <v>0</v>
      </c>
      <c r="AI869" s="209"/>
      <c r="AJ869" s="3"/>
      <c r="AK869" s="3"/>
      <c r="AL869" s="3"/>
      <c r="AM869" s="3"/>
      <c r="AN869" s="3"/>
      <c r="AO869" s="40"/>
      <c r="AP869" s="209"/>
      <c r="AQ869" s="3"/>
      <c r="AR869" s="40"/>
      <c r="AS869" s="238"/>
    </row>
    <row r="870" spans="1:45" s="229" customFormat="1">
      <c r="A870" s="42" t="s">
        <v>708</v>
      </c>
      <c r="B870" s="386">
        <v>38.398333333333333</v>
      </c>
      <c r="C870" s="24" t="s">
        <v>711</v>
      </c>
      <c r="D870" s="229" t="s">
        <v>638</v>
      </c>
      <c r="E870" s="229" t="s">
        <v>2</v>
      </c>
      <c r="F870" s="229">
        <v>263</v>
      </c>
      <c r="G870" s="40">
        <f>F870/184</f>
        <v>1.4293478260869565</v>
      </c>
      <c r="H870" s="14">
        <v>0</v>
      </c>
      <c r="I870" s="229">
        <v>0</v>
      </c>
      <c r="J870" s="229">
        <v>0</v>
      </c>
      <c r="K870" s="26">
        <v>1</v>
      </c>
      <c r="L870" s="14">
        <v>0</v>
      </c>
      <c r="M870" s="229">
        <v>0</v>
      </c>
      <c r="N870" s="229">
        <v>1</v>
      </c>
      <c r="O870" s="229">
        <v>0</v>
      </c>
      <c r="P870" s="26">
        <v>1</v>
      </c>
      <c r="Q870" s="14">
        <v>5</v>
      </c>
      <c r="R870" s="229">
        <v>0</v>
      </c>
      <c r="S870" s="229">
        <v>0</v>
      </c>
      <c r="T870" s="229">
        <v>0</v>
      </c>
      <c r="U870" s="229">
        <v>0</v>
      </c>
      <c r="V870" s="229">
        <v>0</v>
      </c>
      <c r="W870" s="229">
        <v>0</v>
      </c>
      <c r="X870" s="229">
        <v>0</v>
      </c>
      <c r="Y870" s="229">
        <v>0</v>
      </c>
      <c r="Z870" s="229">
        <v>0</v>
      </c>
      <c r="AA870" s="229">
        <v>61</v>
      </c>
      <c r="AB870" s="229">
        <v>0</v>
      </c>
      <c r="AC870" s="12">
        <v>1</v>
      </c>
      <c r="AD870" s="14">
        <v>1</v>
      </c>
      <c r="AE870" s="14">
        <v>0</v>
      </c>
      <c r="AF870" s="26">
        <v>0</v>
      </c>
      <c r="AG870" s="12"/>
      <c r="AH870" s="14">
        <v>1</v>
      </c>
      <c r="AI870" s="209"/>
      <c r="AJ870" s="3"/>
      <c r="AK870" s="3"/>
      <c r="AL870" s="3"/>
      <c r="AM870" s="3"/>
      <c r="AN870" s="3"/>
      <c r="AO870" s="40"/>
      <c r="AP870" s="209"/>
      <c r="AQ870" s="3"/>
      <c r="AR870" s="40"/>
      <c r="AS870" s="238"/>
    </row>
    <row r="871" spans="1:45" s="229" customFormat="1">
      <c r="A871" s="42" t="s">
        <v>708</v>
      </c>
      <c r="B871" s="386">
        <v>38.398333333333333</v>
      </c>
      <c r="C871" s="24" t="s">
        <v>711</v>
      </c>
      <c r="D871" s="229" t="s">
        <v>639</v>
      </c>
      <c r="E871" s="229" t="s">
        <v>0</v>
      </c>
      <c r="F871" s="229">
        <v>333</v>
      </c>
      <c r="G871" s="40">
        <f>F871/272</f>
        <v>1.224264705882353</v>
      </c>
      <c r="H871" s="14">
        <v>0</v>
      </c>
      <c r="I871" s="229">
        <v>0</v>
      </c>
      <c r="J871" s="229">
        <v>0</v>
      </c>
      <c r="K871" s="26">
        <v>1</v>
      </c>
      <c r="L871" s="14">
        <v>0</v>
      </c>
      <c r="M871" s="229">
        <v>0</v>
      </c>
      <c r="N871" s="229">
        <v>1</v>
      </c>
      <c r="O871" s="229">
        <v>0</v>
      </c>
      <c r="P871" s="26">
        <v>1</v>
      </c>
      <c r="Q871" s="14">
        <v>1</v>
      </c>
      <c r="R871" s="229">
        <v>0</v>
      </c>
      <c r="S871" s="229">
        <v>0</v>
      </c>
      <c r="T871" s="229">
        <v>0</v>
      </c>
      <c r="U871" s="229">
        <v>0</v>
      </c>
      <c r="V871" s="229">
        <v>0</v>
      </c>
      <c r="W871" s="229">
        <v>14</v>
      </c>
      <c r="X871" s="229">
        <v>0</v>
      </c>
      <c r="Y871" s="229">
        <v>0</v>
      </c>
      <c r="Z871" s="229">
        <v>0</v>
      </c>
      <c r="AA871" s="229">
        <v>0</v>
      </c>
      <c r="AB871" s="229">
        <v>0</v>
      </c>
      <c r="AC871" s="12">
        <v>2</v>
      </c>
      <c r="AD871" s="14">
        <v>8</v>
      </c>
      <c r="AE871" s="14">
        <v>51</v>
      </c>
      <c r="AF871" s="26">
        <v>165</v>
      </c>
      <c r="AG871" s="12">
        <v>100</v>
      </c>
      <c r="AH871" s="14">
        <v>0</v>
      </c>
      <c r="AI871" s="209"/>
      <c r="AJ871" s="3"/>
      <c r="AK871" s="3"/>
      <c r="AL871" s="3"/>
      <c r="AM871" s="3"/>
      <c r="AN871" s="3"/>
      <c r="AO871" s="40"/>
      <c r="AP871" s="209"/>
      <c r="AQ871" s="3"/>
      <c r="AR871" s="40"/>
      <c r="AS871" s="238"/>
    </row>
    <row r="872" spans="1:45" s="229" customFormat="1">
      <c r="A872" s="42" t="s">
        <v>708</v>
      </c>
      <c r="B872" s="386">
        <v>38.398333333333333</v>
      </c>
      <c r="C872" s="24" t="s">
        <v>711</v>
      </c>
      <c r="D872" s="229" t="s">
        <v>639</v>
      </c>
      <c r="E872" s="229" t="s">
        <v>1</v>
      </c>
      <c r="F872" s="229">
        <v>264</v>
      </c>
      <c r="G872" s="40">
        <f>F872/245</f>
        <v>1.0775510204081633</v>
      </c>
      <c r="H872" s="14">
        <v>0</v>
      </c>
      <c r="I872" s="229">
        <v>0</v>
      </c>
      <c r="J872" s="229">
        <v>0</v>
      </c>
      <c r="K872" s="243">
        <v>1</v>
      </c>
      <c r="L872" s="242">
        <v>0</v>
      </c>
      <c r="M872" s="240">
        <v>0</v>
      </c>
      <c r="N872" s="240">
        <v>1</v>
      </c>
      <c r="O872" s="240">
        <v>0</v>
      </c>
      <c r="P872" s="26">
        <v>1</v>
      </c>
      <c r="Q872" s="14">
        <v>5</v>
      </c>
      <c r="R872" s="229">
        <v>0</v>
      </c>
      <c r="S872" s="229">
        <v>14</v>
      </c>
      <c r="T872" s="229">
        <v>0</v>
      </c>
      <c r="U872" s="229">
        <v>0</v>
      </c>
      <c r="V872" s="229">
        <v>15</v>
      </c>
      <c r="W872" s="229">
        <v>121</v>
      </c>
      <c r="X872" s="229">
        <v>0</v>
      </c>
      <c r="Y872" s="229">
        <v>0</v>
      </c>
      <c r="Z872" s="229">
        <v>0</v>
      </c>
      <c r="AA872" s="229">
        <v>0</v>
      </c>
      <c r="AB872" s="229">
        <v>0</v>
      </c>
      <c r="AC872" s="12">
        <v>1</v>
      </c>
      <c r="AD872" s="14">
        <v>1</v>
      </c>
      <c r="AE872" s="14">
        <v>0</v>
      </c>
      <c r="AF872" s="26">
        <v>0</v>
      </c>
      <c r="AG872" s="12">
        <v>100</v>
      </c>
      <c r="AH872" s="14">
        <v>0</v>
      </c>
      <c r="AI872" s="209"/>
      <c r="AJ872" s="3"/>
      <c r="AK872" s="3"/>
      <c r="AL872" s="3"/>
      <c r="AM872" s="3"/>
      <c r="AN872" s="3"/>
      <c r="AO872" s="40"/>
      <c r="AP872" s="209"/>
      <c r="AQ872" s="3"/>
      <c r="AR872" s="40"/>
      <c r="AS872" s="238"/>
    </row>
    <row r="873" spans="1:45" s="229" customFormat="1">
      <c r="A873" s="42" t="s">
        <v>708</v>
      </c>
      <c r="B873" s="386">
        <v>38.398333333333333</v>
      </c>
      <c r="C873" s="24" t="s">
        <v>711</v>
      </c>
      <c r="D873" s="229" t="s">
        <v>640</v>
      </c>
      <c r="E873" s="229" t="s">
        <v>0</v>
      </c>
      <c r="F873" s="229">
        <v>355</v>
      </c>
      <c r="G873" s="40">
        <f>F873/318</f>
        <v>1.1163522012578617</v>
      </c>
      <c r="H873" s="14">
        <v>0</v>
      </c>
      <c r="I873" s="229">
        <v>0</v>
      </c>
      <c r="J873" s="229">
        <v>1</v>
      </c>
      <c r="K873" s="26">
        <v>0</v>
      </c>
      <c r="L873" s="14">
        <v>0</v>
      </c>
      <c r="M873" s="229">
        <v>0</v>
      </c>
      <c r="N873" s="229">
        <v>1</v>
      </c>
      <c r="O873" s="229">
        <v>0</v>
      </c>
      <c r="P873" s="26">
        <v>1</v>
      </c>
      <c r="Q873" s="14">
        <v>20</v>
      </c>
      <c r="R873" s="229">
        <v>0</v>
      </c>
      <c r="S873" s="229">
        <v>0</v>
      </c>
      <c r="T873" s="229">
        <v>0</v>
      </c>
      <c r="U873" s="229">
        <v>0</v>
      </c>
      <c r="V873" s="229">
        <v>0</v>
      </c>
      <c r="W873" s="229">
        <v>0</v>
      </c>
      <c r="X873" s="229">
        <v>0</v>
      </c>
      <c r="Y873" s="229">
        <v>0</v>
      </c>
      <c r="Z873" s="229">
        <v>143</v>
      </c>
      <c r="AA873" s="229">
        <v>187</v>
      </c>
      <c r="AB873" s="229">
        <v>0</v>
      </c>
      <c r="AC873" s="12">
        <v>1</v>
      </c>
      <c r="AD873" s="14">
        <v>1</v>
      </c>
      <c r="AE873" s="14">
        <v>0</v>
      </c>
      <c r="AF873" s="26">
        <v>0</v>
      </c>
      <c r="AG873" s="12">
        <v>127</v>
      </c>
      <c r="AH873" s="14">
        <v>1</v>
      </c>
      <c r="AI873" s="209"/>
      <c r="AJ873" s="3"/>
      <c r="AK873" s="3"/>
      <c r="AL873" s="3"/>
      <c r="AM873" s="3"/>
      <c r="AN873" s="3"/>
      <c r="AO873" s="40"/>
      <c r="AP873" s="209"/>
      <c r="AQ873" s="3"/>
      <c r="AR873" s="40"/>
      <c r="AS873" s="238"/>
    </row>
    <row r="874" spans="1:45" s="229" customFormat="1">
      <c r="A874" s="42" t="s">
        <v>708</v>
      </c>
      <c r="B874" s="386">
        <v>38.398333333333333</v>
      </c>
      <c r="C874" s="24" t="s">
        <v>711</v>
      </c>
      <c r="D874" s="229" t="s">
        <v>640</v>
      </c>
      <c r="E874" s="229" t="s">
        <v>1</v>
      </c>
      <c r="F874" s="229">
        <v>353</v>
      </c>
      <c r="G874" s="40">
        <f>F874/201</f>
        <v>1.7562189054726369</v>
      </c>
      <c r="H874" s="14">
        <v>0</v>
      </c>
      <c r="I874" s="229">
        <v>0</v>
      </c>
      <c r="J874" s="229">
        <v>1</v>
      </c>
      <c r="K874" s="26">
        <v>0</v>
      </c>
      <c r="L874" s="14">
        <v>0</v>
      </c>
      <c r="M874" s="229">
        <v>0</v>
      </c>
      <c r="N874" s="229">
        <v>1</v>
      </c>
      <c r="O874" s="229">
        <v>0</v>
      </c>
      <c r="P874" s="26">
        <v>1</v>
      </c>
      <c r="Q874" s="14">
        <v>0</v>
      </c>
      <c r="R874" s="229">
        <v>0</v>
      </c>
      <c r="S874" s="229">
        <v>0</v>
      </c>
      <c r="T874" s="229">
        <v>0</v>
      </c>
      <c r="U874" s="229">
        <v>0</v>
      </c>
      <c r="V874" s="229">
        <v>0</v>
      </c>
      <c r="W874" s="229">
        <v>0</v>
      </c>
      <c r="X874" s="229">
        <v>0</v>
      </c>
      <c r="Y874" s="229">
        <v>0</v>
      </c>
      <c r="Z874" s="229">
        <v>0</v>
      </c>
      <c r="AA874" s="229">
        <v>0</v>
      </c>
      <c r="AB874" s="229">
        <v>0</v>
      </c>
      <c r="AC874" s="12">
        <v>1</v>
      </c>
      <c r="AD874" s="14">
        <v>1</v>
      </c>
      <c r="AE874" s="14">
        <v>0</v>
      </c>
      <c r="AF874" s="26">
        <v>0</v>
      </c>
      <c r="AG874" s="12">
        <v>127</v>
      </c>
      <c r="AH874" s="14">
        <v>0</v>
      </c>
      <c r="AI874" s="209"/>
      <c r="AJ874" s="3"/>
      <c r="AK874" s="3"/>
      <c r="AL874" s="3"/>
      <c r="AM874" s="3"/>
      <c r="AN874" s="3"/>
      <c r="AO874" s="40"/>
      <c r="AP874" s="209"/>
      <c r="AQ874" s="3"/>
      <c r="AR874" s="40"/>
      <c r="AS874" s="238"/>
    </row>
    <row r="875" spans="1:45" s="229" customFormat="1">
      <c r="A875" s="42" t="s">
        <v>708</v>
      </c>
      <c r="B875" s="386">
        <v>38.398333333333333</v>
      </c>
      <c r="C875" s="24" t="s">
        <v>711</v>
      </c>
      <c r="D875" s="229" t="s">
        <v>641</v>
      </c>
      <c r="E875" s="229" t="s">
        <v>0</v>
      </c>
      <c r="F875" s="229">
        <v>343</v>
      </c>
      <c r="G875" s="40">
        <f>F875/204</f>
        <v>1.6813725490196079</v>
      </c>
      <c r="H875" s="14">
        <v>0</v>
      </c>
      <c r="I875" s="229">
        <v>0</v>
      </c>
      <c r="J875" s="229">
        <v>0</v>
      </c>
      <c r="K875" s="26">
        <v>1</v>
      </c>
      <c r="L875" s="14">
        <v>0</v>
      </c>
      <c r="M875" s="229">
        <v>0</v>
      </c>
      <c r="N875" s="229">
        <v>1</v>
      </c>
      <c r="O875" s="229">
        <v>0</v>
      </c>
      <c r="P875" s="26">
        <v>1</v>
      </c>
      <c r="Q875" s="14">
        <v>1</v>
      </c>
      <c r="R875" s="229">
        <v>0</v>
      </c>
      <c r="S875" s="229">
        <v>0</v>
      </c>
      <c r="T875" s="229">
        <v>0</v>
      </c>
      <c r="U875" s="229">
        <v>0</v>
      </c>
      <c r="V875" s="229">
        <v>0</v>
      </c>
      <c r="W875" s="229">
        <v>17</v>
      </c>
      <c r="X875" s="229">
        <v>0</v>
      </c>
      <c r="Y875" s="229">
        <v>0</v>
      </c>
      <c r="Z875" s="229">
        <v>0</v>
      </c>
      <c r="AA875" s="229">
        <v>0</v>
      </c>
      <c r="AB875" s="229">
        <v>0</v>
      </c>
      <c r="AC875" s="12">
        <v>2</v>
      </c>
      <c r="AD875" s="14">
        <v>3</v>
      </c>
      <c r="AE875" s="14">
        <v>35</v>
      </c>
      <c r="AF875" s="26">
        <v>280</v>
      </c>
      <c r="AG875" s="12">
        <v>125</v>
      </c>
      <c r="AH875" s="14">
        <v>0</v>
      </c>
      <c r="AI875" s="209"/>
      <c r="AJ875" s="3"/>
      <c r="AK875" s="3"/>
      <c r="AL875" s="3"/>
      <c r="AM875" s="3"/>
      <c r="AN875" s="3"/>
      <c r="AO875" s="40"/>
      <c r="AP875" s="209"/>
      <c r="AQ875" s="3"/>
      <c r="AR875" s="40"/>
      <c r="AS875" s="238"/>
    </row>
    <row r="876" spans="1:45" s="229" customFormat="1">
      <c r="A876" s="42" t="s">
        <v>708</v>
      </c>
      <c r="B876" s="386">
        <v>38.398333333333333</v>
      </c>
      <c r="C876" s="24" t="s">
        <v>711</v>
      </c>
      <c r="D876" s="229" t="s">
        <v>641</v>
      </c>
      <c r="E876" s="229" t="s">
        <v>1</v>
      </c>
      <c r="F876" s="229">
        <v>387</v>
      </c>
      <c r="G876" s="40">
        <f>F876/178</f>
        <v>2.1741573033707864</v>
      </c>
      <c r="H876" s="14">
        <v>1</v>
      </c>
      <c r="I876" s="229">
        <v>0</v>
      </c>
      <c r="J876" s="229">
        <v>0</v>
      </c>
      <c r="K876" s="26">
        <v>1</v>
      </c>
      <c r="L876" s="14">
        <v>0</v>
      </c>
      <c r="M876" s="229">
        <v>0</v>
      </c>
      <c r="N876" s="229">
        <v>1</v>
      </c>
      <c r="O876" s="229">
        <v>0</v>
      </c>
      <c r="P876" s="26">
        <v>1</v>
      </c>
      <c r="Q876" s="14">
        <v>5</v>
      </c>
      <c r="R876" s="229">
        <v>0</v>
      </c>
      <c r="S876" s="229">
        <v>19</v>
      </c>
      <c r="T876" s="229">
        <v>0</v>
      </c>
      <c r="U876" s="229">
        <v>0</v>
      </c>
      <c r="V876" s="229">
        <v>19</v>
      </c>
      <c r="W876" s="229">
        <v>42</v>
      </c>
      <c r="X876" s="229">
        <v>0</v>
      </c>
      <c r="Y876" s="229">
        <v>0</v>
      </c>
      <c r="Z876" s="229">
        <v>0</v>
      </c>
      <c r="AA876" s="229">
        <v>0</v>
      </c>
      <c r="AB876" s="229">
        <v>0</v>
      </c>
      <c r="AC876" s="12">
        <v>2</v>
      </c>
      <c r="AD876" s="14">
        <v>6</v>
      </c>
      <c r="AE876" s="14">
        <v>14</v>
      </c>
      <c r="AF876" s="26">
        <v>252</v>
      </c>
      <c r="AG876" s="12">
        <v>125</v>
      </c>
      <c r="AH876" s="14">
        <v>1</v>
      </c>
      <c r="AI876" s="209"/>
      <c r="AJ876" s="3"/>
      <c r="AK876" s="3"/>
      <c r="AL876" s="3"/>
      <c r="AM876" s="3"/>
      <c r="AN876" s="3"/>
      <c r="AO876" s="40"/>
      <c r="AP876" s="209"/>
      <c r="AQ876" s="3"/>
      <c r="AR876" s="40"/>
      <c r="AS876" s="238"/>
    </row>
    <row r="877" spans="1:45" s="229" customFormat="1">
      <c r="A877" s="42" t="s">
        <v>708</v>
      </c>
      <c r="B877" s="386">
        <v>38.398333333333333</v>
      </c>
      <c r="C877" s="24" t="s">
        <v>711</v>
      </c>
      <c r="D877" s="229" t="s">
        <v>647</v>
      </c>
      <c r="E877" s="229" t="s">
        <v>0</v>
      </c>
      <c r="F877" s="229">
        <v>422</v>
      </c>
      <c r="G877" s="40">
        <f>F877/341</f>
        <v>1.2375366568914956</v>
      </c>
      <c r="H877" s="14">
        <v>1</v>
      </c>
      <c r="I877" s="229">
        <v>0</v>
      </c>
      <c r="J877" s="229">
        <v>0</v>
      </c>
      <c r="K877" s="26">
        <v>1</v>
      </c>
      <c r="L877" s="14">
        <v>1</v>
      </c>
      <c r="M877" s="229">
        <v>0</v>
      </c>
      <c r="N877" s="229">
        <v>0</v>
      </c>
      <c r="O877" s="229">
        <v>0</v>
      </c>
      <c r="P877" s="26">
        <v>1</v>
      </c>
      <c r="Q877" s="14">
        <v>10</v>
      </c>
      <c r="R877" s="229">
        <v>0</v>
      </c>
      <c r="S877" s="229">
        <v>0</v>
      </c>
      <c r="T877" s="229">
        <v>0</v>
      </c>
      <c r="U877" s="229">
        <v>0</v>
      </c>
      <c r="V877" s="229">
        <v>31</v>
      </c>
      <c r="W877" s="229">
        <v>60</v>
      </c>
      <c r="X877" s="229">
        <v>0</v>
      </c>
      <c r="Y877" s="229">
        <v>0</v>
      </c>
      <c r="Z877" s="229">
        <v>0</v>
      </c>
      <c r="AA877" s="229">
        <v>188</v>
      </c>
      <c r="AB877" s="229">
        <v>0</v>
      </c>
      <c r="AC877" s="12">
        <v>2</v>
      </c>
      <c r="AD877" s="14">
        <v>2</v>
      </c>
      <c r="AE877" s="14">
        <v>226</v>
      </c>
      <c r="AF877" s="26">
        <v>300</v>
      </c>
      <c r="AG877" s="12">
        <v>156</v>
      </c>
      <c r="AH877" s="14">
        <v>0</v>
      </c>
      <c r="AI877" s="209"/>
      <c r="AJ877" s="3"/>
      <c r="AK877" s="3"/>
      <c r="AL877" s="3"/>
      <c r="AM877" s="3"/>
      <c r="AN877" s="3"/>
      <c r="AO877" s="40"/>
      <c r="AP877" s="209"/>
      <c r="AQ877" s="3"/>
      <c r="AR877" s="40"/>
      <c r="AS877" s="238"/>
    </row>
    <row r="878" spans="1:45" s="229" customFormat="1">
      <c r="A878" s="42" t="s">
        <v>708</v>
      </c>
      <c r="B878" s="386">
        <v>38.398333333333333</v>
      </c>
      <c r="C878" s="24" t="s">
        <v>711</v>
      </c>
      <c r="D878" s="229" t="s">
        <v>647</v>
      </c>
      <c r="E878" s="229" t="s">
        <v>1</v>
      </c>
      <c r="F878" s="229">
        <v>262</v>
      </c>
      <c r="G878" s="40">
        <f>F878/80</f>
        <v>3.2749999999999999</v>
      </c>
      <c r="H878" s="14">
        <v>0</v>
      </c>
      <c r="I878" s="229">
        <v>0</v>
      </c>
      <c r="J878" s="229">
        <v>1</v>
      </c>
      <c r="K878" s="26">
        <v>0</v>
      </c>
      <c r="L878" s="14">
        <v>1</v>
      </c>
      <c r="M878" s="229">
        <v>0</v>
      </c>
      <c r="N878" s="229">
        <v>0</v>
      </c>
      <c r="O878" s="229">
        <v>0</v>
      </c>
      <c r="P878" s="26">
        <v>1</v>
      </c>
      <c r="Q878" s="14">
        <v>25</v>
      </c>
      <c r="R878" s="229">
        <v>0</v>
      </c>
      <c r="S878" s="229">
        <v>0</v>
      </c>
      <c r="T878" s="229">
        <v>0</v>
      </c>
      <c r="U878" s="229">
        <v>0</v>
      </c>
      <c r="V878" s="229">
        <v>0</v>
      </c>
      <c r="W878" s="229">
        <v>0</v>
      </c>
      <c r="X878" s="229">
        <v>0</v>
      </c>
      <c r="Y878" s="229">
        <v>0</v>
      </c>
      <c r="Z878" s="229">
        <v>29</v>
      </c>
      <c r="AA878" s="229">
        <v>35</v>
      </c>
      <c r="AB878" s="229">
        <v>0</v>
      </c>
      <c r="AC878" s="12">
        <v>1</v>
      </c>
      <c r="AD878" s="14">
        <v>1</v>
      </c>
      <c r="AE878" s="14">
        <v>0</v>
      </c>
      <c r="AF878" s="26">
        <v>0</v>
      </c>
      <c r="AG878" s="12">
        <v>156</v>
      </c>
      <c r="AH878" s="14">
        <v>0</v>
      </c>
      <c r="AI878" s="209"/>
      <c r="AJ878" s="3"/>
      <c r="AK878" s="3"/>
      <c r="AL878" s="3"/>
      <c r="AM878" s="3"/>
      <c r="AN878" s="3"/>
      <c r="AO878" s="40"/>
      <c r="AP878" s="209"/>
      <c r="AQ878" s="3"/>
      <c r="AR878" s="40"/>
      <c r="AS878" s="238"/>
    </row>
    <row r="879" spans="1:45" s="229" customFormat="1">
      <c r="A879" s="42" t="s">
        <v>708</v>
      </c>
      <c r="B879" s="386">
        <v>38.398333333333333</v>
      </c>
      <c r="C879" s="24" t="s">
        <v>711</v>
      </c>
      <c r="D879" s="229" t="s">
        <v>670</v>
      </c>
      <c r="E879" s="229" t="s">
        <v>0</v>
      </c>
      <c r="F879" s="229">
        <v>132</v>
      </c>
      <c r="G879" s="40">
        <f>F879/72</f>
        <v>1.8333333333333333</v>
      </c>
      <c r="H879" s="14">
        <v>1</v>
      </c>
      <c r="I879" s="229">
        <v>0</v>
      </c>
      <c r="J879" s="229">
        <v>0</v>
      </c>
      <c r="K879" s="26">
        <v>0</v>
      </c>
      <c r="L879" s="14">
        <v>0</v>
      </c>
      <c r="M879" s="229">
        <v>0</v>
      </c>
      <c r="N879" s="229">
        <v>1</v>
      </c>
      <c r="O879" s="229">
        <v>0</v>
      </c>
      <c r="P879" s="26">
        <v>1</v>
      </c>
      <c r="Q879" s="14">
        <v>1</v>
      </c>
      <c r="R879" s="229">
        <v>0</v>
      </c>
      <c r="S879" s="229">
        <v>0</v>
      </c>
      <c r="T879" s="229">
        <v>0</v>
      </c>
      <c r="U879" s="229">
        <v>0</v>
      </c>
      <c r="V879" s="229">
        <v>0</v>
      </c>
      <c r="W879" s="229">
        <v>14</v>
      </c>
      <c r="X879" s="229">
        <v>0</v>
      </c>
      <c r="Y879" s="229">
        <v>0</v>
      </c>
      <c r="Z879" s="229">
        <v>0</v>
      </c>
      <c r="AA879" s="229">
        <v>0</v>
      </c>
      <c r="AB879" s="229">
        <v>0</v>
      </c>
      <c r="AC879" s="12">
        <v>1</v>
      </c>
      <c r="AD879" s="14">
        <v>1</v>
      </c>
      <c r="AE879" s="14">
        <v>0</v>
      </c>
      <c r="AF879" s="26">
        <v>0</v>
      </c>
      <c r="AG879" s="12">
        <v>138</v>
      </c>
      <c r="AH879" s="14">
        <v>0</v>
      </c>
      <c r="AI879" s="209"/>
      <c r="AJ879" s="3"/>
      <c r="AK879" s="3"/>
      <c r="AL879" s="3"/>
      <c r="AM879" s="3"/>
      <c r="AN879" s="3"/>
      <c r="AO879" s="40"/>
      <c r="AP879" s="209"/>
      <c r="AQ879" s="3"/>
      <c r="AR879" s="40"/>
      <c r="AS879" s="238"/>
    </row>
    <row r="880" spans="1:45" s="229" customFormat="1">
      <c r="A880" s="42" t="s">
        <v>708</v>
      </c>
      <c r="B880" s="386">
        <v>38.398333333333333</v>
      </c>
      <c r="C880" s="24" t="s">
        <v>711</v>
      </c>
      <c r="D880" s="229" t="s">
        <v>670</v>
      </c>
      <c r="E880" s="229" t="s">
        <v>1</v>
      </c>
      <c r="F880" s="229">
        <v>195</v>
      </c>
      <c r="G880" s="40">
        <f>F880/110</f>
        <v>1.7727272727272727</v>
      </c>
      <c r="H880" s="14">
        <v>1</v>
      </c>
      <c r="I880" s="229">
        <v>0</v>
      </c>
      <c r="J880" s="229">
        <v>0</v>
      </c>
      <c r="K880" s="26">
        <v>0</v>
      </c>
      <c r="L880" s="14">
        <v>0</v>
      </c>
      <c r="M880" s="229">
        <v>0</v>
      </c>
      <c r="N880" s="229">
        <v>1</v>
      </c>
      <c r="O880" s="229">
        <v>0</v>
      </c>
      <c r="P880" s="26">
        <v>1</v>
      </c>
      <c r="Q880" s="14">
        <v>1</v>
      </c>
      <c r="R880" s="229">
        <v>0</v>
      </c>
      <c r="S880" s="229">
        <v>13</v>
      </c>
      <c r="T880" s="229">
        <v>0</v>
      </c>
      <c r="U880" s="229">
        <v>0</v>
      </c>
      <c r="V880" s="229">
        <v>0</v>
      </c>
      <c r="W880" s="229">
        <v>0</v>
      </c>
      <c r="X880" s="229">
        <v>0</v>
      </c>
      <c r="Y880" s="229">
        <v>0</v>
      </c>
      <c r="Z880" s="229">
        <v>0</v>
      </c>
      <c r="AA880" s="229">
        <v>0</v>
      </c>
      <c r="AB880" s="229">
        <v>1</v>
      </c>
      <c r="AC880" s="12">
        <v>1</v>
      </c>
      <c r="AD880" s="14">
        <v>1</v>
      </c>
      <c r="AE880" s="14">
        <v>0</v>
      </c>
      <c r="AF880" s="26">
        <v>0</v>
      </c>
      <c r="AG880" s="12">
        <v>138</v>
      </c>
      <c r="AH880" s="14">
        <v>0</v>
      </c>
      <c r="AI880" s="209"/>
      <c r="AJ880" s="3"/>
      <c r="AK880" s="3"/>
      <c r="AL880" s="3"/>
      <c r="AM880" s="3"/>
      <c r="AN880" s="3"/>
      <c r="AO880" s="40"/>
      <c r="AP880" s="209"/>
      <c r="AQ880" s="3"/>
      <c r="AR880" s="40"/>
      <c r="AS880" s="238"/>
    </row>
    <row r="881" spans="1:45" s="229" customFormat="1">
      <c r="A881" s="42" t="s">
        <v>708</v>
      </c>
      <c r="B881" s="386">
        <v>38.398333333333333</v>
      </c>
      <c r="C881" s="24" t="s">
        <v>711</v>
      </c>
      <c r="D881" s="229" t="s">
        <v>670</v>
      </c>
      <c r="E881" s="229" t="s">
        <v>2</v>
      </c>
      <c r="F881" s="229">
        <v>124</v>
      </c>
      <c r="G881" s="40">
        <f>F881/62</f>
        <v>2</v>
      </c>
      <c r="H881" s="14">
        <v>1</v>
      </c>
      <c r="I881" s="229">
        <v>0</v>
      </c>
      <c r="J881" s="229">
        <v>0</v>
      </c>
      <c r="K881" s="26">
        <v>0</v>
      </c>
      <c r="L881" s="14">
        <v>0</v>
      </c>
      <c r="M881" s="229">
        <v>0</v>
      </c>
      <c r="N881" s="229">
        <v>1</v>
      </c>
      <c r="O881" s="229">
        <v>0</v>
      </c>
      <c r="P881" s="26">
        <v>1</v>
      </c>
      <c r="Q881" s="14">
        <v>0</v>
      </c>
      <c r="R881" s="229">
        <v>0</v>
      </c>
      <c r="S881" s="229">
        <v>0</v>
      </c>
      <c r="T881" s="229">
        <v>0</v>
      </c>
      <c r="U881" s="229">
        <v>0</v>
      </c>
      <c r="V881" s="229">
        <v>0</v>
      </c>
      <c r="W881" s="229">
        <v>0</v>
      </c>
      <c r="X881" s="229">
        <v>0</v>
      </c>
      <c r="Y881" s="229">
        <v>0</v>
      </c>
      <c r="Z881" s="229">
        <v>0</v>
      </c>
      <c r="AA881" s="229">
        <v>0</v>
      </c>
      <c r="AB881" s="229">
        <v>0</v>
      </c>
      <c r="AC881" s="12">
        <v>1</v>
      </c>
      <c r="AD881" s="14">
        <v>1</v>
      </c>
      <c r="AE881" s="14">
        <v>0</v>
      </c>
      <c r="AF881" s="26">
        <v>0</v>
      </c>
      <c r="AG881" s="12">
        <v>138</v>
      </c>
      <c r="AH881" s="14">
        <v>0</v>
      </c>
      <c r="AI881" s="209"/>
      <c r="AJ881" s="3"/>
      <c r="AK881" s="3"/>
      <c r="AL881" s="3"/>
      <c r="AM881" s="3"/>
      <c r="AN881" s="3"/>
      <c r="AO881" s="40"/>
      <c r="AP881" s="209"/>
      <c r="AQ881" s="3"/>
      <c r="AR881" s="40"/>
      <c r="AS881" s="238"/>
    </row>
    <row r="882" spans="1:45" s="229" customFormat="1">
      <c r="A882" s="42" t="s">
        <v>708</v>
      </c>
      <c r="B882" s="386">
        <v>38.398333333333333</v>
      </c>
      <c r="C882" s="24" t="s">
        <v>711</v>
      </c>
      <c r="D882" s="229" t="s">
        <v>671</v>
      </c>
      <c r="F882" s="229">
        <v>1079</v>
      </c>
      <c r="G882" s="40">
        <f>F882/242</f>
        <v>4.4586776859504136</v>
      </c>
      <c r="H882" s="14">
        <v>0</v>
      </c>
      <c r="I882" s="229">
        <v>0</v>
      </c>
      <c r="J882" s="229">
        <v>1</v>
      </c>
      <c r="K882" s="26">
        <v>0</v>
      </c>
      <c r="L882" s="14">
        <v>0</v>
      </c>
      <c r="M882" s="229">
        <v>0</v>
      </c>
      <c r="N882" s="229">
        <v>1</v>
      </c>
      <c r="O882" s="229">
        <v>0</v>
      </c>
      <c r="P882" s="26">
        <v>1</v>
      </c>
      <c r="Q882" s="14">
        <v>3</v>
      </c>
      <c r="R882" s="229">
        <v>0</v>
      </c>
      <c r="S882" s="229">
        <v>0</v>
      </c>
      <c r="T882" s="229">
        <v>0</v>
      </c>
      <c r="U882" s="229">
        <v>0</v>
      </c>
      <c r="V882" s="229">
        <v>22</v>
      </c>
      <c r="W882" s="229">
        <v>42</v>
      </c>
      <c r="X882" s="229">
        <v>0</v>
      </c>
      <c r="Y882" s="229">
        <v>0</v>
      </c>
      <c r="Z882" s="229">
        <v>0</v>
      </c>
      <c r="AA882" s="229">
        <v>0</v>
      </c>
      <c r="AB882" s="229">
        <v>0</v>
      </c>
      <c r="AC882" s="12">
        <v>1</v>
      </c>
      <c r="AD882" s="14">
        <v>1</v>
      </c>
      <c r="AE882" s="14">
        <v>0</v>
      </c>
      <c r="AF882" s="26">
        <v>0</v>
      </c>
      <c r="AG882" s="12">
        <v>152</v>
      </c>
      <c r="AH882" s="14">
        <v>1</v>
      </c>
      <c r="AI882" s="209">
        <v>84.032950671561565</v>
      </c>
      <c r="AJ882" s="3"/>
      <c r="AK882" s="3"/>
      <c r="AL882" s="3"/>
      <c r="AM882" s="3"/>
      <c r="AN882" s="3"/>
      <c r="AO882" s="40"/>
      <c r="AP882" s="209">
        <v>85.004574760807245</v>
      </c>
      <c r="AQ882" s="3"/>
      <c r="AR882" s="40"/>
      <c r="AS882" s="238"/>
    </row>
    <row r="883" spans="1:45" s="229" customFormat="1">
      <c r="A883" s="42" t="s">
        <v>708</v>
      </c>
      <c r="B883" s="386">
        <v>38.398333333333333</v>
      </c>
      <c r="C883" s="24" t="s">
        <v>711</v>
      </c>
      <c r="D883" s="229" t="s">
        <v>673</v>
      </c>
      <c r="F883" s="229">
        <v>327</v>
      </c>
      <c r="G883" s="40">
        <f>F883/317</f>
        <v>1.0315457413249212</v>
      </c>
      <c r="H883" s="14">
        <v>0</v>
      </c>
      <c r="I883" s="229">
        <v>0</v>
      </c>
      <c r="J883" s="229">
        <v>1</v>
      </c>
      <c r="K883" s="26">
        <v>1</v>
      </c>
      <c r="L883" s="14">
        <v>1</v>
      </c>
      <c r="M883" s="229">
        <v>0</v>
      </c>
      <c r="N883" s="229">
        <v>0</v>
      </c>
      <c r="O883" s="229">
        <v>1</v>
      </c>
      <c r="P883" s="26">
        <v>2</v>
      </c>
      <c r="Q883" s="14">
        <v>15</v>
      </c>
      <c r="R883" s="229">
        <v>6</v>
      </c>
      <c r="S883" s="229">
        <v>15</v>
      </c>
      <c r="T883" s="229">
        <v>0</v>
      </c>
      <c r="U883" s="229">
        <v>0</v>
      </c>
      <c r="V883" s="229">
        <v>9</v>
      </c>
      <c r="W883" s="229">
        <v>64</v>
      </c>
      <c r="X883" s="229">
        <v>0</v>
      </c>
      <c r="Y883" s="229">
        <v>0</v>
      </c>
      <c r="Z883" s="229">
        <v>0</v>
      </c>
      <c r="AA883" s="229">
        <v>61</v>
      </c>
      <c r="AB883" s="229">
        <v>0</v>
      </c>
      <c r="AC883" s="12">
        <v>2</v>
      </c>
      <c r="AD883" s="14">
        <v>3</v>
      </c>
      <c r="AE883" s="14">
        <v>55</v>
      </c>
      <c r="AF883" s="26">
        <v>327</v>
      </c>
      <c r="AG883" s="12">
        <v>125</v>
      </c>
      <c r="AH883" s="14">
        <v>0</v>
      </c>
      <c r="AI883" s="209"/>
      <c r="AJ883" s="3"/>
      <c r="AK883" s="3"/>
      <c r="AL883" s="3"/>
      <c r="AM883" s="3"/>
      <c r="AN883" s="3"/>
      <c r="AO883" s="40"/>
      <c r="AP883" s="209"/>
      <c r="AQ883" s="3"/>
      <c r="AR883" s="40"/>
      <c r="AS883" s="238"/>
    </row>
    <row r="884" spans="1:45" s="229" customFormat="1">
      <c r="A884" s="42" t="s">
        <v>708</v>
      </c>
      <c r="B884" s="386">
        <v>38.398333333333333</v>
      </c>
      <c r="C884" s="24" t="s">
        <v>711</v>
      </c>
      <c r="D884" s="229" t="s">
        <v>674</v>
      </c>
      <c r="F884" s="229">
        <v>308</v>
      </c>
      <c r="G884" s="40">
        <f>F884/230</f>
        <v>1.3391304347826087</v>
      </c>
      <c r="H884" s="14">
        <v>0</v>
      </c>
      <c r="I884" s="229">
        <v>0</v>
      </c>
      <c r="J884" s="229">
        <v>0</v>
      </c>
      <c r="K884" s="26">
        <v>1</v>
      </c>
      <c r="L884" s="14">
        <v>0</v>
      </c>
      <c r="M884" s="229">
        <v>0</v>
      </c>
      <c r="N884" s="229">
        <v>1</v>
      </c>
      <c r="O884" s="229">
        <v>0</v>
      </c>
      <c r="P884" s="26">
        <v>1</v>
      </c>
      <c r="Q884" s="14">
        <v>1</v>
      </c>
      <c r="R884" s="229">
        <v>0</v>
      </c>
      <c r="S884" s="229">
        <v>9</v>
      </c>
      <c r="T884" s="229">
        <v>0</v>
      </c>
      <c r="U884" s="229">
        <v>0</v>
      </c>
      <c r="V884" s="229">
        <v>0</v>
      </c>
      <c r="W884" s="229">
        <v>0</v>
      </c>
      <c r="X884" s="229">
        <v>0</v>
      </c>
      <c r="Y884" s="229">
        <v>0</v>
      </c>
      <c r="Z884" s="229">
        <v>0</v>
      </c>
      <c r="AA884" s="229">
        <v>0</v>
      </c>
      <c r="AB884" s="229">
        <v>0</v>
      </c>
      <c r="AC884" s="12">
        <v>2</v>
      </c>
      <c r="AD884" s="14">
        <v>7</v>
      </c>
      <c r="AE884" s="14">
        <v>14</v>
      </c>
      <c r="AF884" s="26">
        <v>155</v>
      </c>
      <c r="AG884" s="12">
        <v>95</v>
      </c>
      <c r="AH884" s="14">
        <v>0</v>
      </c>
      <c r="AI884" s="209"/>
      <c r="AJ884" s="3"/>
      <c r="AK884" s="3"/>
      <c r="AL884" s="3"/>
      <c r="AM884" s="3"/>
      <c r="AN884" s="3"/>
      <c r="AO884" s="40"/>
      <c r="AP884" s="209"/>
      <c r="AQ884" s="3"/>
      <c r="AR884" s="40"/>
      <c r="AS884" s="238"/>
    </row>
    <row r="885" spans="1:45" s="229" customFormat="1">
      <c r="A885" s="42" t="s">
        <v>708</v>
      </c>
      <c r="B885" s="386">
        <v>38.398333333333333</v>
      </c>
      <c r="C885" s="24" t="s">
        <v>711</v>
      </c>
      <c r="D885" s="229" t="s">
        <v>675</v>
      </c>
      <c r="E885" s="229" t="s">
        <v>0</v>
      </c>
      <c r="F885" s="229">
        <v>657</v>
      </c>
      <c r="G885" s="40">
        <f>F885/355</f>
        <v>1.8507042253521127</v>
      </c>
      <c r="H885" s="14">
        <v>0</v>
      </c>
      <c r="I885" s="229">
        <v>0</v>
      </c>
      <c r="J885" s="229">
        <v>1</v>
      </c>
      <c r="K885" s="26">
        <v>0</v>
      </c>
      <c r="L885" s="14">
        <v>0</v>
      </c>
      <c r="M885" s="229">
        <v>0</v>
      </c>
      <c r="N885" s="229">
        <v>1</v>
      </c>
      <c r="O885" s="229">
        <v>0</v>
      </c>
      <c r="P885" s="26">
        <v>1</v>
      </c>
      <c r="Q885" s="14">
        <v>3</v>
      </c>
      <c r="R885" s="229">
        <v>0</v>
      </c>
      <c r="S885" s="229">
        <v>9</v>
      </c>
      <c r="T885" s="229">
        <v>0</v>
      </c>
      <c r="U885" s="229">
        <v>0</v>
      </c>
      <c r="V885" s="229">
        <v>44</v>
      </c>
      <c r="W885" s="229">
        <v>125</v>
      </c>
      <c r="X885" s="229">
        <v>0</v>
      </c>
      <c r="Y885" s="229">
        <v>0</v>
      </c>
      <c r="Z885" s="229">
        <v>0</v>
      </c>
      <c r="AA885" s="229">
        <v>0</v>
      </c>
      <c r="AB885" s="229">
        <v>0</v>
      </c>
      <c r="AC885" s="12">
        <v>2</v>
      </c>
      <c r="AD885" s="14">
        <v>2</v>
      </c>
      <c r="AE885" s="14">
        <v>328</v>
      </c>
      <c r="AF885" s="26">
        <v>490</v>
      </c>
      <c r="AG885" s="12">
        <v>122</v>
      </c>
      <c r="AH885" s="14">
        <v>1</v>
      </c>
      <c r="AI885" s="209">
        <v>85.490048796476458</v>
      </c>
      <c r="AJ885" s="3"/>
      <c r="AK885" s="3"/>
      <c r="AL885" s="3"/>
      <c r="AM885" s="3"/>
      <c r="AN885" s="3"/>
      <c r="AO885" s="40"/>
      <c r="AP885" s="209">
        <v>82.790678385494573</v>
      </c>
      <c r="AQ885" s="3"/>
      <c r="AR885" s="40"/>
      <c r="AS885" s="238"/>
    </row>
    <row r="886" spans="1:45" s="229" customFormat="1">
      <c r="A886" s="42" t="s">
        <v>708</v>
      </c>
      <c r="B886" s="386">
        <v>38.398333333333333</v>
      </c>
      <c r="C886" s="24" t="s">
        <v>711</v>
      </c>
      <c r="D886" s="229" t="s">
        <v>675</v>
      </c>
      <c r="E886" s="229" t="s">
        <v>1</v>
      </c>
      <c r="F886" s="229">
        <v>207</v>
      </c>
      <c r="G886" s="40">
        <f>F886/118</f>
        <v>1.7542372881355932</v>
      </c>
      <c r="H886" s="14">
        <v>0</v>
      </c>
      <c r="I886" s="229">
        <v>0</v>
      </c>
      <c r="J886" s="229">
        <v>0</v>
      </c>
      <c r="K886" s="26">
        <v>1</v>
      </c>
      <c r="L886" s="14">
        <v>0</v>
      </c>
      <c r="M886" s="229">
        <v>0</v>
      </c>
      <c r="N886" s="229">
        <v>1</v>
      </c>
      <c r="O886" s="229">
        <v>0</v>
      </c>
      <c r="P886" s="26">
        <v>1</v>
      </c>
      <c r="Q886" s="14">
        <v>2</v>
      </c>
      <c r="R886" s="229">
        <v>0</v>
      </c>
      <c r="S886" s="229">
        <v>0</v>
      </c>
      <c r="T886" s="229">
        <v>0</v>
      </c>
      <c r="U886" s="229">
        <v>0</v>
      </c>
      <c r="V886" s="229">
        <v>0</v>
      </c>
      <c r="W886" s="229">
        <v>27</v>
      </c>
      <c r="X886" s="229">
        <v>0</v>
      </c>
      <c r="Y886" s="229">
        <v>0</v>
      </c>
      <c r="Z886" s="229">
        <v>0</v>
      </c>
      <c r="AA886" s="229">
        <v>0</v>
      </c>
      <c r="AB886" s="229">
        <v>0</v>
      </c>
      <c r="AC886" s="12">
        <v>2</v>
      </c>
      <c r="AD886" s="14">
        <v>2</v>
      </c>
      <c r="AE886" s="14">
        <v>54</v>
      </c>
      <c r="AF886" s="26">
        <v>156</v>
      </c>
      <c r="AG886" s="12">
        <v>122</v>
      </c>
      <c r="AH886" s="14">
        <v>0</v>
      </c>
      <c r="AI886" s="209">
        <v>85.507762346702307</v>
      </c>
      <c r="AJ886" s="3"/>
      <c r="AK886" s="3"/>
      <c r="AL886" s="3"/>
      <c r="AM886" s="3"/>
      <c r="AN886" s="3"/>
      <c r="AO886" s="40"/>
      <c r="AP886" s="209">
        <v>83.881384780936713</v>
      </c>
      <c r="AQ886" s="3"/>
      <c r="AR886" s="40"/>
      <c r="AS886" s="238"/>
    </row>
    <row r="887" spans="1:45" s="229" customFormat="1">
      <c r="A887" s="42" t="s">
        <v>708</v>
      </c>
      <c r="B887" s="386">
        <v>38.398333333333333</v>
      </c>
      <c r="C887" s="24" t="s">
        <v>711</v>
      </c>
      <c r="D887" s="229" t="s">
        <v>675</v>
      </c>
      <c r="E887" s="229" t="s">
        <v>2</v>
      </c>
      <c r="F887" s="229">
        <v>260</v>
      </c>
      <c r="G887" s="40">
        <f>F887/179</f>
        <v>1.4525139664804469</v>
      </c>
      <c r="H887" s="14">
        <v>0</v>
      </c>
      <c r="I887" s="229">
        <v>0</v>
      </c>
      <c r="J887" s="229">
        <v>0</v>
      </c>
      <c r="K887" s="26">
        <v>1</v>
      </c>
      <c r="L887" s="14">
        <v>0</v>
      </c>
      <c r="M887" s="229">
        <v>0</v>
      </c>
      <c r="N887" s="229">
        <v>0</v>
      </c>
      <c r="O887" s="229">
        <v>0</v>
      </c>
      <c r="P887" s="26">
        <v>0</v>
      </c>
      <c r="Q887" s="14">
        <v>2</v>
      </c>
      <c r="R887" s="229">
        <v>6</v>
      </c>
      <c r="S887" s="229">
        <v>17</v>
      </c>
      <c r="T887" s="229">
        <v>0</v>
      </c>
      <c r="U887" s="229">
        <v>0</v>
      </c>
      <c r="V887" s="229">
        <v>0</v>
      </c>
      <c r="W887" s="229">
        <v>0</v>
      </c>
      <c r="X887" s="229">
        <v>0</v>
      </c>
      <c r="Y887" s="229">
        <v>0</v>
      </c>
      <c r="Z887" s="229">
        <v>0</v>
      </c>
      <c r="AA887" s="229">
        <v>0</v>
      </c>
      <c r="AB887" s="229">
        <v>1</v>
      </c>
      <c r="AC887" s="12">
        <v>2</v>
      </c>
      <c r="AD887" s="14">
        <v>2</v>
      </c>
      <c r="AE887" s="14">
        <v>95</v>
      </c>
      <c r="AF887" s="26">
        <v>260</v>
      </c>
      <c r="AG887" s="12">
        <v>122</v>
      </c>
      <c r="AH887" s="14">
        <v>1</v>
      </c>
      <c r="AI887" s="209"/>
      <c r="AJ887" s="3"/>
      <c r="AK887" s="3"/>
      <c r="AL887" s="3"/>
      <c r="AM887" s="3"/>
      <c r="AN887" s="3"/>
      <c r="AO887" s="40"/>
      <c r="AP887" s="209"/>
      <c r="AQ887" s="3"/>
      <c r="AR887" s="40"/>
      <c r="AS887" s="238"/>
    </row>
    <row r="888" spans="1:45" s="229" customFormat="1">
      <c r="A888" s="42" t="s">
        <v>708</v>
      </c>
      <c r="B888" s="386">
        <v>38.398333333333333</v>
      </c>
      <c r="C888" s="24" t="s">
        <v>711</v>
      </c>
      <c r="D888" s="229" t="s">
        <v>677</v>
      </c>
      <c r="E888" s="229" t="s">
        <v>0</v>
      </c>
      <c r="F888" s="229">
        <v>304</v>
      </c>
      <c r="G888" s="40">
        <f>F888/153</f>
        <v>1.9869281045751634</v>
      </c>
      <c r="H888" s="14">
        <v>0</v>
      </c>
      <c r="I888" s="229">
        <v>0</v>
      </c>
      <c r="J888" s="229">
        <v>0</v>
      </c>
      <c r="K888" s="26">
        <v>1</v>
      </c>
      <c r="L888" s="14">
        <v>0</v>
      </c>
      <c r="M888" s="229">
        <v>0</v>
      </c>
      <c r="N888" s="229">
        <v>0</v>
      </c>
      <c r="O888" s="229">
        <v>1</v>
      </c>
      <c r="P888" s="26">
        <v>1</v>
      </c>
      <c r="Q888" s="14">
        <v>2</v>
      </c>
      <c r="R888" s="229">
        <v>0</v>
      </c>
      <c r="S888" s="229">
        <v>0</v>
      </c>
      <c r="T888" s="229">
        <v>0</v>
      </c>
      <c r="U888" s="229">
        <v>0</v>
      </c>
      <c r="V888" s="229">
        <v>0</v>
      </c>
      <c r="W888" s="229">
        <v>21</v>
      </c>
      <c r="X888" s="229">
        <v>0</v>
      </c>
      <c r="Y888" s="229">
        <v>0</v>
      </c>
      <c r="Z888" s="229">
        <v>0</v>
      </c>
      <c r="AA888" s="229">
        <v>0</v>
      </c>
      <c r="AB888" s="229">
        <v>0</v>
      </c>
      <c r="AC888" s="12">
        <v>2</v>
      </c>
      <c r="AD888" s="14">
        <v>2</v>
      </c>
      <c r="AE888" s="14">
        <v>69</v>
      </c>
      <c r="AF888" s="26">
        <v>304</v>
      </c>
      <c r="AG888" s="12">
        <v>144</v>
      </c>
      <c r="AH888" s="14">
        <v>0</v>
      </c>
      <c r="AI888" s="209"/>
      <c r="AJ888" s="3"/>
      <c r="AK888" s="3"/>
      <c r="AL888" s="3"/>
      <c r="AM888" s="3"/>
      <c r="AN888" s="3"/>
      <c r="AO888" s="40"/>
      <c r="AP888" s="209"/>
      <c r="AQ888" s="3"/>
      <c r="AR888" s="40"/>
      <c r="AS888" s="238"/>
    </row>
    <row r="889" spans="1:45" s="229" customFormat="1">
      <c r="A889" s="42" t="s">
        <v>708</v>
      </c>
      <c r="B889" s="386">
        <v>38.398333333333333</v>
      </c>
      <c r="C889" s="24" t="s">
        <v>711</v>
      </c>
      <c r="D889" s="229" t="s">
        <v>677</v>
      </c>
      <c r="E889" s="229" t="s">
        <v>1</v>
      </c>
      <c r="F889" s="229">
        <v>201</v>
      </c>
      <c r="G889" s="40">
        <f>F889/171</f>
        <v>1.1754385964912282</v>
      </c>
      <c r="H889" s="14">
        <v>0</v>
      </c>
      <c r="I889" s="229">
        <v>0</v>
      </c>
      <c r="J889" s="229">
        <v>0</v>
      </c>
      <c r="K889" s="26">
        <v>1</v>
      </c>
      <c r="L889" s="14">
        <v>0</v>
      </c>
      <c r="M889" s="229">
        <v>0</v>
      </c>
      <c r="N889" s="229">
        <v>0</v>
      </c>
      <c r="O889" s="229">
        <v>1</v>
      </c>
      <c r="P889" s="26">
        <v>1</v>
      </c>
      <c r="Q889" s="14">
        <v>2</v>
      </c>
      <c r="R889" s="229">
        <v>0</v>
      </c>
      <c r="S889" s="229">
        <v>0</v>
      </c>
      <c r="T889" s="229">
        <v>0</v>
      </c>
      <c r="U889" s="229">
        <v>0</v>
      </c>
      <c r="V889" s="229">
        <v>0</v>
      </c>
      <c r="W889" s="229">
        <v>22</v>
      </c>
      <c r="X889" s="229">
        <v>0</v>
      </c>
      <c r="Y889" s="229">
        <v>0</v>
      </c>
      <c r="Z889" s="229">
        <v>0</v>
      </c>
      <c r="AA889" s="229">
        <v>0</v>
      </c>
      <c r="AB889" s="229">
        <v>0</v>
      </c>
      <c r="AC889" s="12">
        <v>2</v>
      </c>
      <c r="AD889" s="14">
        <v>2</v>
      </c>
      <c r="AE889" s="14">
        <v>81</v>
      </c>
      <c r="AF889" s="26">
        <v>201</v>
      </c>
      <c r="AG889" s="12">
        <v>144</v>
      </c>
      <c r="AH889" s="14">
        <v>1</v>
      </c>
      <c r="AI889" s="209"/>
      <c r="AJ889" s="3"/>
      <c r="AK889" s="3"/>
      <c r="AL889" s="3"/>
      <c r="AM889" s="3"/>
      <c r="AN889" s="3"/>
      <c r="AO889" s="40"/>
      <c r="AP889" s="209"/>
      <c r="AQ889" s="3"/>
      <c r="AR889" s="40"/>
      <c r="AS889" s="238"/>
    </row>
    <row r="890" spans="1:45" s="229" customFormat="1">
      <c r="A890" s="42" t="s">
        <v>708</v>
      </c>
      <c r="B890" s="386">
        <v>38.398333333333333</v>
      </c>
      <c r="C890" s="24" t="s">
        <v>711</v>
      </c>
      <c r="D890" s="229" t="s">
        <v>677</v>
      </c>
      <c r="E890" s="229" t="s">
        <v>2</v>
      </c>
      <c r="F890" s="229">
        <v>375</v>
      </c>
      <c r="G890" s="40">
        <f>F890/293</f>
        <v>1.2798634812286689</v>
      </c>
      <c r="H890" s="14">
        <v>0</v>
      </c>
      <c r="I890" s="229">
        <v>0</v>
      </c>
      <c r="J890" s="229">
        <v>0</v>
      </c>
      <c r="K890" s="26">
        <v>1</v>
      </c>
      <c r="L890" s="14">
        <v>0</v>
      </c>
      <c r="M890" s="229">
        <v>0</v>
      </c>
      <c r="N890" s="229">
        <v>0</v>
      </c>
      <c r="O890" s="229">
        <v>1</v>
      </c>
      <c r="P890" s="26">
        <v>1</v>
      </c>
      <c r="Q890" s="14">
        <v>2</v>
      </c>
      <c r="R890" s="229">
        <v>9</v>
      </c>
      <c r="S890" s="229">
        <v>11</v>
      </c>
      <c r="T890" s="229">
        <v>0</v>
      </c>
      <c r="U890" s="229">
        <v>0</v>
      </c>
      <c r="V890" s="229">
        <v>4</v>
      </c>
      <c r="W890" s="229">
        <v>6</v>
      </c>
      <c r="X890" s="229">
        <v>0</v>
      </c>
      <c r="Y890" s="229">
        <v>0</v>
      </c>
      <c r="Z890" s="229">
        <v>0</v>
      </c>
      <c r="AA890" s="229">
        <v>0</v>
      </c>
      <c r="AB890" s="229">
        <v>0</v>
      </c>
      <c r="AC890" s="12">
        <v>2</v>
      </c>
      <c r="AD890" s="14">
        <v>11</v>
      </c>
      <c r="AE890" s="14">
        <v>35</v>
      </c>
      <c r="AF890" s="26">
        <v>238</v>
      </c>
      <c r="AG890" s="12">
        <v>144</v>
      </c>
      <c r="AH890" s="14">
        <v>1</v>
      </c>
      <c r="AI890" s="209"/>
      <c r="AJ890" s="3"/>
      <c r="AK890" s="3"/>
      <c r="AL890" s="3"/>
      <c r="AM890" s="3"/>
      <c r="AN890" s="3"/>
      <c r="AO890" s="40"/>
      <c r="AP890" s="209"/>
      <c r="AQ890" s="3"/>
      <c r="AR890" s="40"/>
      <c r="AS890" s="238"/>
    </row>
    <row r="891" spans="1:45" s="229" customFormat="1">
      <c r="A891" s="42" t="s">
        <v>708</v>
      </c>
      <c r="B891" s="386">
        <v>38.398333333333333</v>
      </c>
      <c r="C891" s="24" t="s">
        <v>711</v>
      </c>
      <c r="D891" s="229" t="s">
        <v>681</v>
      </c>
      <c r="F891" s="229">
        <v>292</v>
      </c>
      <c r="G891" s="40">
        <f>F891/185</f>
        <v>1.5783783783783785</v>
      </c>
      <c r="H891" s="14">
        <v>1</v>
      </c>
      <c r="I891" s="229">
        <v>0</v>
      </c>
      <c r="J891" s="229">
        <v>0</v>
      </c>
      <c r="K891" s="26">
        <v>0</v>
      </c>
      <c r="L891" s="14">
        <v>0</v>
      </c>
      <c r="M891" s="229">
        <v>0</v>
      </c>
      <c r="N891" s="229">
        <v>0</v>
      </c>
      <c r="O891" s="229">
        <v>0</v>
      </c>
      <c r="P891" s="26">
        <v>0</v>
      </c>
      <c r="Q891" s="14">
        <v>15</v>
      </c>
      <c r="R891" s="229">
        <v>0</v>
      </c>
      <c r="S891" s="229">
        <v>0</v>
      </c>
      <c r="T891" s="229">
        <v>0</v>
      </c>
      <c r="U891" s="229">
        <v>0</v>
      </c>
      <c r="V891" s="229">
        <v>20</v>
      </c>
      <c r="W891" s="229">
        <v>21</v>
      </c>
      <c r="X891" s="229">
        <v>0</v>
      </c>
      <c r="Y891" s="229">
        <v>0</v>
      </c>
      <c r="Z891" s="229">
        <v>0</v>
      </c>
      <c r="AA891" s="229">
        <v>109</v>
      </c>
      <c r="AB891" s="229">
        <v>0</v>
      </c>
      <c r="AC891" s="12">
        <v>1</v>
      </c>
      <c r="AD891" s="14">
        <v>1</v>
      </c>
      <c r="AE891" s="14">
        <v>0</v>
      </c>
      <c r="AF891" s="26">
        <v>0</v>
      </c>
      <c r="AG891" s="12">
        <v>131</v>
      </c>
      <c r="AH891" s="14">
        <v>0</v>
      </c>
      <c r="AI891" s="209"/>
      <c r="AJ891" s="3"/>
      <c r="AK891" s="3"/>
      <c r="AL891" s="3"/>
      <c r="AM891" s="3"/>
      <c r="AN891" s="3"/>
      <c r="AO891" s="40"/>
      <c r="AP891" s="209"/>
      <c r="AQ891" s="3"/>
      <c r="AR891" s="40"/>
      <c r="AS891" s="238"/>
    </row>
    <row r="892" spans="1:45" s="229" customFormat="1">
      <c r="A892" s="42" t="s">
        <v>708</v>
      </c>
      <c r="B892" s="386">
        <v>38.398333333333333</v>
      </c>
      <c r="C892" s="24" t="s">
        <v>711</v>
      </c>
      <c r="D892" s="229" t="s">
        <v>682</v>
      </c>
      <c r="F892" s="229">
        <v>496</v>
      </c>
      <c r="G892" s="40">
        <f>F892/185</f>
        <v>2.6810810810810812</v>
      </c>
      <c r="H892" s="14">
        <v>0</v>
      </c>
      <c r="I892" s="229">
        <v>0</v>
      </c>
      <c r="J892" s="229">
        <v>1</v>
      </c>
      <c r="K892" s="26">
        <v>0</v>
      </c>
      <c r="L892" s="14">
        <v>0</v>
      </c>
      <c r="M892" s="229">
        <v>0</v>
      </c>
      <c r="N892" s="229">
        <v>0</v>
      </c>
      <c r="O892" s="229">
        <v>0</v>
      </c>
      <c r="P892" s="26">
        <v>0</v>
      </c>
      <c r="Q892" s="14">
        <v>15</v>
      </c>
      <c r="R892" s="229">
        <v>0</v>
      </c>
      <c r="S892" s="229">
        <v>0</v>
      </c>
      <c r="T892" s="229">
        <v>0</v>
      </c>
      <c r="U892" s="229">
        <v>0</v>
      </c>
      <c r="V892" s="229">
        <v>5</v>
      </c>
      <c r="W892" s="229">
        <v>57</v>
      </c>
      <c r="X892" s="229">
        <v>0</v>
      </c>
      <c r="Y892" s="229">
        <v>0</v>
      </c>
      <c r="Z892" s="229">
        <v>0</v>
      </c>
      <c r="AA892" s="229">
        <v>109</v>
      </c>
      <c r="AB892" s="229">
        <v>0</v>
      </c>
      <c r="AC892" s="12">
        <v>1</v>
      </c>
      <c r="AD892" s="14">
        <v>1</v>
      </c>
      <c r="AE892" s="14">
        <v>0</v>
      </c>
      <c r="AF892" s="26">
        <v>0</v>
      </c>
      <c r="AG892" s="12">
        <v>125</v>
      </c>
      <c r="AH892" s="14">
        <v>0</v>
      </c>
      <c r="AI892" s="209"/>
      <c r="AJ892" s="3"/>
      <c r="AK892" s="3"/>
      <c r="AL892" s="3"/>
      <c r="AM892" s="3"/>
      <c r="AN892" s="3"/>
      <c r="AO892" s="40"/>
      <c r="AP892" s="209"/>
      <c r="AQ892" s="3"/>
      <c r="AR892" s="40"/>
      <c r="AS892" s="238"/>
    </row>
    <row r="893" spans="1:45" s="229" customFormat="1">
      <c r="A893" s="42" t="s">
        <v>708</v>
      </c>
      <c r="B893" s="386">
        <v>38.398333333333333</v>
      </c>
      <c r="C893" s="24" t="s">
        <v>711</v>
      </c>
      <c r="D893" s="229" t="s">
        <v>694</v>
      </c>
      <c r="E893" s="229" t="s">
        <v>0</v>
      </c>
      <c r="F893" s="229">
        <v>296</v>
      </c>
      <c r="G893" s="40">
        <f>F893/145</f>
        <v>2.0413793103448277</v>
      </c>
      <c r="H893" s="14">
        <v>0</v>
      </c>
      <c r="I893" s="229">
        <v>0</v>
      </c>
      <c r="J893" s="229">
        <v>1</v>
      </c>
      <c r="K893" s="26">
        <v>1</v>
      </c>
      <c r="L893" s="14">
        <v>0</v>
      </c>
      <c r="M893" s="229">
        <v>0</v>
      </c>
      <c r="N893" s="229">
        <v>1</v>
      </c>
      <c r="O893" s="229">
        <v>0</v>
      </c>
      <c r="P893" s="26">
        <v>1</v>
      </c>
      <c r="Q893" s="14">
        <v>1</v>
      </c>
      <c r="R893" s="229">
        <v>0</v>
      </c>
      <c r="S893" s="229">
        <v>6</v>
      </c>
      <c r="T893" s="229">
        <v>0</v>
      </c>
      <c r="U893" s="229">
        <v>0</v>
      </c>
      <c r="V893" s="229">
        <v>0</v>
      </c>
      <c r="W893" s="229">
        <v>0</v>
      </c>
      <c r="X893" s="229">
        <v>0</v>
      </c>
      <c r="Y893" s="229">
        <v>0</v>
      </c>
      <c r="Z893" s="229">
        <v>0</v>
      </c>
      <c r="AA893" s="229">
        <v>0</v>
      </c>
      <c r="AB893" s="229">
        <v>0</v>
      </c>
      <c r="AC893" s="12">
        <v>2</v>
      </c>
      <c r="AD893" s="14">
        <v>2</v>
      </c>
      <c r="AE893" s="14">
        <v>40</v>
      </c>
      <c r="AF893" s="26">
        <v>296</v>
      </c>
      <c r="AG893" s="12">
        <v>148</v>
      </c>
      <c r="AH893" s="14">
        <v>0</v>
      </c>
      <c r="AI893" s="209"/>
      <c r="AJ893" s="3"/>
      <c r="AK893" s="3"/>
      <c r="AL893" s="3"/>
      <c r="AM893" s="3"/>
      <c r="AN893" s="3"/>
      <c r="AO893" s="40"/>
      <c r="AP893" s="209"/>
      <c r="AQ893" s="3"/>
      <c r="AR893" s="40"/>
      <c r="AS893" s="238"/>
    </row>
    <row r="894" spans="1:45" s="229" customFormat="1">
      <c r="A894" s="42" t="s">
        <v>708</v>
      </c>
      <c r="B894" s="386">
        <v>38.398333333333333</v>
      </c>
      <c r="C894" s="24" t="s">
        <v>711</v>
      </c>
      <c r="D894" s="229" t="s">
        <v>694</v>
      </c>
      <c r="E894" s="229" t="s">
        <v>1</v>
      </c>
      <c r="F894" s="229">
        <v>550</v>
      </c>
      <c r="G894" s="40">
        <f>F894/451</f>
        <v>1.2195121951219512</v>
      </c>
      <c r="H894" s="14">
        <v>0</v>
      </c>
      <c r="I894" s="229">
        <v>0</v>
      </c>
      <c r="J894" s="229">
        <v>0</v>
      </c>
      <c r="K894" s="26">
        <v>1</v>
      </c>
      <c r="L894" s="14">
        <v>0</v>
      </c>
      <c r="M894" s="229">
        <v>0</v>
      </c>
      <c r="N894" s="229">
        <v>1</v>
      </c>
      <c r="O894" s="229">
        <v>0</v>
      </c>
      <c r="P894" s="26">
        <v>1</v>
      </c>
      <c r="Q894" s="14">
        <v>1</v>
      </c>
      <c r="R894" s="229">
        <v>0</v>
      </c>
      <c r="S894" s="229">
        <v>0</v>
      </c>
      <c r="T894" s="229">
        <v>0</v>
      </c>
      <c r="U894" s="229">
        <v>0</v>
      </c>
      <c r="V894" s="229">
        <v>0</v>
      </c>
      <c r="W894" s="229">
        <v>13</v>
      </c>
      <c r="X894" s="229">
        <v>0</v>
      </c>
      <c r="Y894" s="229">
        <v>0</v>
      </c>
      <c r="Z894" s="229">
        <v>0</v>
      </c>
      <c r="AA894" s="229">
        <v>0</v>
      </c>
      <c r="AB894" s="229">
        <v>0</v>
      </c>
      <c r="AC894" s="12">
        <v>2</v>
      </c>
      <c r="AD894" s="14">
        <v>9</v>
      </c>
      <c r="AE894" s="14">
        <v>25</v>
      </c>
      <c r="AF894" s="26">
        <v>274</v>
      </c>
      <c r="AG894" s="12">
        <v>148</v>
      </c>
      <c r="AH894" s="14">
        <v>0</v>
      </c>
      <c r="AI894" s="209"/>
      <c r="AJ894" s="3"/>
      <c r="AK894" s="3"/>
      <c r="AL894" s="3"/>
      <c r="AM894" s="3"/>
      <c r="AN894" s="3"/>
      <c r="AO894" s="40"/>
      <c r="AP894" s="209"/>
      <c r="AQ894" s="3"/>
      <c r="AR894" s="40"/>
      <c r="AS894" s="238"/>
    </row>
    <row r="895" spans="1:45" s="229" customFormat="1">
      <c r="A895" s="42" t="s">
        <v>708</v>
      </c>
      <c r="B895" s="386">
        <v>38.398333333333333</v>
      </c>
      <c r="C895" s="24" t="s">
        <v>711</v>
      </c>
      <c r="D895" s="229" t="s">
        <v>684</v>
      </c>
      <c r="F895" s="229">
        <v>495</v>
      </c>
      <c r="G895" s="40">
        <f>F895/273</f>
        <v>1.8131868131868132</v>
      </c>
      <c r="H895" s="14">
        <v>1</v>
      </c>
      <c r="I895" s="229">
        <v>0</v>
      </c>
      <c r="J895" s="229">
        <v>0</v>
      </c>
      <c r="K895" s="26">
        <v>0</v>
      </c>
      <c r="L895" s="14">
        <v>0</v>
      </c>
      <c r="M895" s="229">
        <v>0</v>
      </c>
      <c r="N895" s="229">
        <v>1</v>
      </c>
      <c r="O895" s="229">
        <v>0</v>
      </c>
      <c r="P895" s="26">
        <v>1</v>
      </c>
      <c r="Q895" s="14">
        <v>5</v>
      </c>
      <c r="R895" s="229">
        <v>0</v>
      </c>
      <c r="S895" s="229">
        <v>0</v>
      </c>
      <c r="T895" s="229">
        <v>0</v>
      </c>
      <c r="U895" s="229">
        <v>0</v>
      </c>
      <c r="V895" s="229">
        <v>4</v>
      </c>
      <c r="W895" s="229">
        <v>53</v>
      </c>
      <c r="X895" s="229">
        <v>0</v>
      </c>
      <c r="Y895" s="229">
        <v>0</v>
      </c>
      <c r="Z895" s="229">
        <v>0</v>
      </c>
      <c r="AA895" s="229">
        <v>0</v>
      </c>
      <c r="AB895" s="229">
        <v>0</v>
      </c>
      <c r="AC895" s="12">
        <v>1</v>
      </c>
      <c r="AD895" s="14">
        <v>1</v>
      </c>
      <c r="AE895" s="14">
        <v>0</v>
      </c>
      <c r="AF895" s="26">
        <v>0</v>
      </c>
      <c r="AG895" s="12">
        <v>97</v>
      </c>
      <c r="AH895" s="14">
        <v>0</v>
      </c>
      <c r="AI895" s="209">
        <v>85.464584782869167</v>
      </c>
      <c r="AJ895" s="3"/>
      <c r="AK895" s="3"/>
      <c r="AL895" s="3"/>
      <c r="AM895" s="3"/>
      <c r="AN895" s="3"/>
      <c r="AO895" s="40"/>
      <c r="AP895" s="209"/>
      <c r="AQ895" s="3"/>
      <c r="AR895" s="40"/>
      <c r="AS895" s="238"/>
    </row>
    <row r="896" spans="1:45" s="229" customFormat="1" ht="17" thickBot="1">
      <c r="A896" s="42" t="s">
        <v>708</v>
      </c>
      <c r="B896" s="385">
        <v>38.398333333333333</v>
      </c>
      <c r="C896" s="24" t="s">
        <v>711</v>
      </c>
      <c r="D896" s="229" t="s">
        <v>686</v>
      </c>
      <c r="F896" s="229">
        <v>416</v>
      </c>
      <c r="G896" s="40">
        <f>F896/342</f>
        <v>1.2163742690058479</v>
      </c>
      <c r="H896" s="14">
        <v>1</v>
      </c>
      <c r="I896" s="229">
        <v>0</v>
      </c>
      <c r="J896" s="229">
        <v>0</v>
      </c>
      <c r="K896" s="26">
        <v>0</v>
      </c>
      <c r="L896" s="14">
        <v>0</v>
      </c>
      <c r="M896" s="229">
        <v>0</v>
      </c>
      <c r="N896" s="229">
        <v>1</v>
      </c>
      <c r="O896" s="229">
        <v>0</v>
      </c>
      <c r="P896" s="26">
        <v>1</v>
      </c>
      <c r="Q896" s="14">
        <v>5</v>
      </c>
      <c r="R896" s="229">
        <v>9</v>
      </c>
      <c r="S896" s="229">
        <v>24</v>
      </c>
      <c r="T896" s="229">
        <v>0</v>
      </c>
      <c r="U896" s="229">
        <v>0</v>
      </c>
      <c r="V896" s="229">
        <v>14</v>
      </c>
      <c r="W896" s="229">
        <v>89</v>
      </c>
      <c r="X896" s="229">
        <v>0</v>
      </c>
      <c r="Y896" s="229">
        <v>0</v>
      </c>
      <c r="Z896" s="229">
        <v>0</v>
      </c>
      <c r="AA896" s="229">
        <v>0</v>
      </c>
      <c r="AB896" s="229">
        <v>0</v>
      </c>
      <c r="AC896" s="12">
        <v>1</v>
      </c>
      <c r="AD896" s="14">
        <v>1</v>
      </c>
      <c r="AE896" s="14">
        <v>0</v>
      </c>
      <c r="AF896" s="26">
        <v>0</v>
      </c>
      <c r="AG896" s="12">
        <v>93</v>
      </c>
      <c r="AH896" s="14">
        <v>0</v>
      </c>
      <c r="AI896" s="209">
        <v>85.473497213084755</v>
      </c>
      <c r="AJ896" s="3"/>
      <c r="AK896" s="3"/>
      <c r="AL896" s="3"/>
      <c r="AM896" s="3"/>
      <c r="AN896" s="3"/>
      <c r="AO896" s="40"/>
      <c r="AP896" s="209">
        <v>85.079207469712784</v>
      </c>
      <c r="AQ896" s="3"/>
      <c r="AR896" s="40"/>
      <c r="AS896" s="238"/>
    </row>
    <row r="897" spans="1:45" s="229" customFormat="1">
      <c r="A897" s="87" t="s">
        <v>325</v>
      </c>
      <c r="B897" s="384">
        <v>32.218499999999999</v>
      </c>
      <c r="C897" s="100" t="s">
        <v>183</v>
      </c>
      <c r="D897" s="8" t="s">
        <v>423</v>
      </c>
      <c r="E897" s="8"/>
      <c r="F897" s="8">
        <v>3173</v>
      </c>
      <c r="G897" s="10">
        <f>F897/2300</f>
        <v>1.3795652173913044</v>
      </c>
      <c r="H897" s="11">
        <v>0</v>
      </c>
      <c r="I897" s="8">
        <v>1</v>
      </c>
      <c r="J897" s="8">
        <v>0</v>
      </c>
      <c r="K897" s="41">
        <v>0</v>
      </c>
      <c r="L897" s="11">
        <v>0</v>
      </c>
      <c r="M897" s="8">
        <v>0</v>
      </c>
      <c r="N897" s="8">
        <v>1</v>
      </c>
      <c r="O897" s="8">
        <v>0</v>
      </c>
      <c r="P897" s="41">
        <v>1</v>
      </c>
      <c r="Q897" s="11">
        <v>0</v>
      </c>
      <c r="R897" s="8">
        <v>0</v>
      </c>
      <c r="S897" s="8">
        <v>0</v>
      </c>
      <c r="T897" s="8">
        <v>0</v>
      </c>
      <c r="U897" s="8">
        <v>0</v>
      </c>
      <c r="V897" s="8">
        <v>0</v>
      </c>
      <c r="W897" s="8">
        <v>0</v>
      </c>
      <c r="X897" s="8">
        <v>0</v>
      </c>
      <c r="Y897" s="8">
        <v>0</v>
      </c>
      <c r="Z897" s="8">
        <v>0</v>
      </c>
      <c r="AA897" s="8">
        <v>0</v>
      </c>
      <c r="AB897" s="8">
        <v>0</v>
      </c>
      <c r="AC897" s="9">
        <v>1</v>
      </c>
      <c r="AD897" s="11">
        <v>1</v>
      </c>
      <c r="AE897" s="11">
        <v>0</v>
      </c>
      <c r="AF897" s="41">
        <v>0</v>
      </c>
      <c r="AG897" s="9">
        <v>155</v>
      </c>
      <c r="AH897" s="11">
        <v>1</v>
      </c>
      <c r="AI897" s="208">
        <v>88.017712763370852</v>
      </c>
      <c r="AJ897" s="54"/>
      <c r="AK897" s="54"/>
      <c r="AL897" s="54"/>
      <c r="AM897" s="54"/>
      <c r="AN897" s="54"/>
      <c r="AO897" s="10"/>
      <c r="AP897" s="208">
        <v>89.395181260804264</v>
      </c>
      <c r="AQ897" s="54"/>
      <c r="AR897" s="10"/>
      <c r="AS897" s="237"/>
    </row>
    <row r="898" spans="1:45" s="229" customFormat="1">
      <c r="A898" s="42" t="s">
        <v>325</v>
      </c>
      <c r="B898" s="386">
        <v>32.218499999999999</v>
      </c>
      <c r="C898" s="24" t="s">
        <v>183</v>
      </c>
      <c r="D898" s="229" t="s">
        <v>622</v>
      </c>
      <c r="F898" s="229">
        <v>781</v>
      </c>
      <c r="G898" s="40">
        <f>F898/571</f>
        <v>1.3677758318739055</v>
      </c>
      <c r="H898" s="14">
        <v>0</v>
      </c>
      <c r="I898" s="229">
        <v>0</v>
      </c>
      <c r="J898" s="229">
        <v>0</v>
      </c>
      <c r="K898" s="26">
        <v>1</v>
      </c>
      <c r="L898" s="14">
        <v>0</v>
      </c>
      <c r="M898" s="229">
        <v>0</v>
      </c>
      <c r="N898" s="229">
        <v>1</v>
      </c>
      <c r="O898" s="229">
        <v>0</v>
      </c>
      <c r="P898" s="26">
        <v>1</v>
      </c>
      <c r="Q898" s="14">
        <v>0</v>
      </c>
      <c r="R898" s="229">
        <v>0</v>
      </c>
      <c r="S898" s="229">
        <v>0</v>
      </c>
      <c r="T898" s="229">
        <v>0</v>
      </c>
      <c r="U898" s="229">
        <v>0</v>
      </c>
      <c r="V898" s="229">
        <v>0</v>
      </c>
      <c r="W898" s="229">
        <v>0</v>
      </c>
      <c r="X898" s="229">
        <v>0</v>
      </c>
      <c r="Y898" s="229">
        <v>0</v>
      </c>
      <c r="Z898" s="229">
        <v>0</v>
      </c>
      <c r="AA898" s="229">
        <v>0</v>
      </c>
      <c r="AB898" s="229">
        <v>0</v>
      </c>
      <c r="AC898" s="12">
        <v>1</v>
      </c>
      <c r="AD898" s="14">
        <v>1</v>
      </c>
      <c r="AE898" s="14">
        <v>0</v>
      </c>
      <c r="AF898" s="26">
        <v>0</v>
      </c>
      <c r="AG898" s="12">
        <v>94</v>
      </c>
      <c r="AH898" s="14">
        <v>0</v>
      </c>
      <c r="AI898" s="209">
        <v>88.819802024222696</v>
      </c>
      <c r="AJ898" s="3"/>
      <c r="AK898" s="3"/>
      <c r="AL898" s="3"/>
      <c r="AM898" s="3"/>
      <c r="AN898" s="3"/>
      <c r="AO898" s="40"/>
      <c r="AP898" s="209">
        <v>86.861710314896996</v>
      </c>
      <c r="AQ898" s="3"/>
      <c r="AR898" s="40"/>
      <c r="AS898" s="238"/>
    </row>
    <row r="899" spans="1:45" s="229" customFormat="1">
      <c r="A899" s="42" t="s">
        <v>325</v>
      </c>
      <c r="B899" s="386">
        <v>32.218499999999999</v>
      </c>
      <c r="C899" s="24" t="s">
        <v>183</v>
      </c>
      <c r="D899" s="229" t="s">
        <v>620</v>
      </c>
      <c r="F899" s="229">
        <v>1104</v>
      </c>
      <c r="G899" s="40">
        <f>F899/694</f>
        <v>1.5907780979827089</v>
      </c>
      <c r="H899" s="14">
        <v>0</v>
      </c>
      <c r="I899" s="229">
        <v>0</v>
      </c>
      <c r="J899" s="229">
        <v>0</v>
      </c>
      <c r="K899" s="26">
        <v>1</v>
      </c>
      <c r="L899" s="14">
        <v>0</v>
      </c>
      <c r="M899" s="229">
        <v>0</v>
      </c>
      <c r="N899" s="229">
        <v>1</v>
      </c>
      <c r="O899" s="229">
        <v>0</v>
      </c>
      <c r="P899" s="26">
        <v>1</v>
      </c>
      <c r="Q899" s="14">
        <v>2</v>
      </c>
      <c r="R899" s="229">
        <v>0</v>
      </c>
      <c r="S899" s="229">
        <v>0</v>
      </c>
      <c r="T899" s="229">
        <v>0</v>
      </c>
      <c r="U899" s="229">
        <v>0</v>
      </c>
      <c r="V899" s="229">
        <v>0</v>
      </c>
      <c r="W899" s="229">
        <v>0</v>
      </c>
      <c r="X899" s="229">
        <v>0</v>
      </c>
      <c r="Y899" s="229">
        <v>0</v>
      </c>
      <c r="Z899" s="229">
        <v>0</v>
      </c>
      <c r="AA899" s="229">
        <v>49</v>
      </c>
      <c r="AB899" s="229">
        <v>0</v>
      </c>
      <c r="AC899" s="12">
        <v>1</v>
      </c>
      <c r="AD899" s="14">
        <v>1</v>
      </c>
      <c r="AE899" s="14">
        <v>0</v>
      </c>
      <c r="AF899" s="26">
        <v>0</v>
      </c>
      <c r="AG899" s="12">
        <v>117</v>
      </c>
      <c r="AH899" s="14">
        <v>1</v>
      </c>
      <c r="AI899" s="209"/>
      <c r="AJ899" s="3"/>
      <c r="AK899" s="3"/>
      <c r="AL899" s="3"/>
      <c r="AM899" s="3"/>
      <c r="AN899" s="3"/>
      <c r="AO899" s="40"/>
      <c r="AP899" s="209"/>
      <c r="AQ899" s="3"/>
      <c r="AR899" s="40"/>
      <c r="AS899" s="238"/>
    </row>
    <row r="900" spans="1:45" s="229" customFormat="1">
      <c r="A900" s="42" t="s">
        <v>325</v>
      </c>
      <c r="B900" s="386">
        <v>32.218499999999999</v>
      </c>
      <c r="C900" s="24" t="s">
        <v>183</v>
      </c>
      <c r="D900" s="229" t="s">
        <v>629</v>
      </c>
      <c r="F900" s="229">
        <v>2425</v>
      </c>
      <c r="G900" s="40">
        <f>F900/911</f>
        <v>2.6619099890230515</v>
      </c>
      <c r="H900" s="14">
        <v>0</v>
      </c>
      <c r="I900" s="229">
        <v>1</v>
      </c>
      <c r="J900" s="229">
        <v>0</v>
      </c>
      <c r="K900" s="26">
        <v>0</v>
      </c>
      <c r="L900" s="14">
        <v>0</v>
      </c>
      <c r="M900" s="229">
        <v>1</v>
      </c>
      <c r="N900" s="229">
        <v>0</v>
      </c>
      <c r="O900" s="229">
        <v>0</v>
      </c>
      <c r="P900" s="26">
        <v>1</v>
      </c>
      <c r="Q900" s="14">
        <v>0</v>
      </c>
      <c r="R900" s="229">
        <v>0</v>
      </c>
      <c r="S900" s="229">
        <v>0</v>
      </c>
      <c r="T900" s="229">
        <v>0</v>
      </c>
      <c r="U900" s="229">
        <v>0</v>
      </c>
      <c r="V900" s="229">
        <v>0</v>
      </c>
      <c r="W900" s="229">
        <v>0</v>
      </c>
      <c r="X900" s="229">
        <v>0</v>
      </c>
      <c r="Y900" s="229">
        <v>0</v>
      </c>
      <c r="Z900" s="229">
        <v>0</v>
      </c>
      <c r="AA900" s="229">
        <v>0</v>
      </c>
      <c r="AB900" s="229">
        <v>0</v>
      </c>
      <c r="AC900" s="12">
        <v>1</v>
      </c>
      <c r="AD900" s="14">
        <v>1</v>
      </c>
      <c r="AE900" s="14">
        <v>0</v>
      </c>
      <c r="AF900" s="26">
        <v>0</v>
      </c>
      <c r="AG900" s="12">
        <v>146</v>
      </c>
      <c r="AH900" s="14">
        <v>0</v>
      </c>
      <c r="AI900" s="209"/>
      <c r="AJ900" s="3"/>
      <c r="AK900" s="3"/>
      <c r="AL900" s="3"/>
      <c r="AM900" s="3"/>
      <c r="AN900" s="3"/>
      <c r="AO900" s="40"/>
      <c r="AP900" s="209"/>
      <c r="AQ900" s="3"/>
      <c r="AR900" s="40"/>
      <c r="AS900" s="238"/>
    </row>
    <row r="901" spans="1:45" s="229" customFormat="1">
      <c r="A901" s="42" t="s">
        <v>325</v>
      </c>
      <c r="B901" s="386">
        <v>32.218499999999999</v>
      </c>
      <c r="C901" s="24" t="s">
        <v>183</v>
      </c>
      <c r="D901" s="229" t="s">
        <v>634</v>
      </c>
      <c r="E901" s="229" t="s">
        <v>0</v>
      </c>
      <c r="F901" s="229">
        <v>464</v>
      </c>
      <c r="G901" s="40">
        <f>F901/398</f>
        <v>1.1658291457286432</v>
      </c>
      <c r="H901" s="14">
        <v>0</v>
      </c>
      <c r="I901" s="229">
        <v>0</v>
      </c>
      <c r="J901" s="229">
        <v>0</v>
      </c>
      <c r="K901" s="26">
        <v>1</v>
      </c>
      <c r="L901" s="14">
        <v>0</v>
      </c>
      <c r="M901" s="229">
        <v>0</v>
      </c>
      <c r="N901" s="229">
        <v>1</v>
      </c>
      <c r="O901" s="229">
        <v>0</v>
      </c>
      <c r="P901" s="26">
        <v>1</v>
      </c>
      <c r="Q901" s="14">
        <v>0</v>
      </c>
      <c r="R901" s="229">
        <v>0</v>
      </c>
      <c r="S901" s="229">
        <v>0</v>
      </c>
      <c r="T901" s="229">
        <v>0</v>
      </c>
      <c r="U901" s="229">
        <v>0</v>
      </c>
      <c r="V901" s="229">
        <v>0</v>
      </c>
      <c r="W901" s="229">
        <v>0</v>
      </c>
      <c r="X901" s="229">
        <v>0</v>
      </c>
      <c r="Y901" s="229">
        <v>0</v>
      </c>
      <c r="Z901" s="229">
        <v>0</v>
      </c>
      <c r="AA901" s="229">
        <v>0</v>
      </c>
      <c r="AB901" s="229">
        <v>0</v>
      </c>
      <c r="AC901" s="12">
        <v>1</v>
      </c>
      <c r="AD901" s="14">
        <v>1</v>
      </c>
      <c r="AE901" s="14">
        <v>0</v>
      </c>
      <c r="AF901" s="26">
        <v>0</v>
      </c>
      <c r="AG901" s="12">
        <v>109</v>
      </c>
      <c r="AH901" s="14">
        <v>0</v>
      </c>
      <c r="AI901" s="209"/>
      <c r="AJ901" s="3"/>
      <c r="AK901" s="3"/>
      <c r="AL901" s="3"/>
      <c r="AM901" s="3"/>
      <c r="AN901" s="3"/>
      <c r="AO901" s="40"/>
      <c r="AP901" s="209"/>
      <c r="AQ901" s="3"/>
      <c r="AR901" s="40"/>
      <c r="AS901" s="238"/>
    </row>
    <row r="902" spans="1:45" s="229" customFormat="1">
      <c r="A902" s="42" t="s">
        <v>325</v>
      </c>
      <c r="B902" s="386">
        <v>32.218499999999999</v>
      </c>
      <c r="C902" s="24" t="s">
        <v>183</v>
      </c>
      <c r="D902" s="229" t="s">
        <v>634</v>
      </c>
      <c r="E902" s="229" t="s">
        <v>1</v>
      </c>
      <c r="F902" s="229">
        <v>509</v>
      </c>
      <c r="G902" s="40">
        <f>F902/470</f>
        <v>1.0829787234042554</v>
      </c>
      <c r="H902" s="14">
        <v>0</v>
      </c>
      <c r="I902" s="229">
        <v>0</v>
      </c>
      <c r="J902" s="229">
        <v>0</v>
      </c>
      <c r="K902" s="26">
        <v>1</v>
      </c>
      <c r="L902" s="14">
        <v>0</v>
      </c>
      <c r="M902" s="229">
        <v>0</v>
      </c>
      <c r="N902" s="229">
        <v>1</v>
      </c>
      <c r="O902" s="229">
        <v>0</v>
      </c>
      <c r="P902" s="26">
        <v>1</v>
      </c>
      <c r="Q902" s="14">
        <v>0</v>
      </c>
      <c r="R902" s="229">
        <v>0</v>
      </c>
      <c r="S902" s="229">
        <v>0</v>
      </c>
      <c r="T902" s="229">
        <v>0</v>
      </c>
      <c r="U902" s="229">
        <v>0</v>
      </c>
      <c r="V902" s="229">
        <v>0</v>
      </c>
      <c r="W902" s="229">
        <v>0</v>
      </c>
      <c r="X902" s="229">
        <v>0</v>
      </c>
      <c r="Y902" s="229">
        <v>0</v>
      </c>
      <c r="Z902" s="229">
        <v>0</v>
      </c>
      <c r="AA902" s="229">
        <v>0</v>
      </c>
      <c r="AB902" s="229">
        <v>0</v>
      </c>
      <c r="AC902" s="12">
        <v>1</v>
      </c>
      <c r="AD902" s="14">
        <v>1</v>
      </c>
      <c r="AE902" s="14">
        <v>0</v>
      </c>
      <c r="AF902" s="26">
        <v>0</v>
      </c>
      <c r="AG902" s="12">
        <v>109</v>
      </c>
      <c r="AH902" s="14">
        <v>0</v>
      </c>
      <c r="AI902" s="209"/>
      <c r="AJ902" s="3"/>
      <c r="AK902" s="3"/>
      <c r="AL902" s="3"/>
      <c r="AM902" s="3"/>
      <c r="AN902" s="3"/>
      <c r="AO902" s="40"/>
      <c r="AP902" s="209"/>
      <c r="AQ902" s="3"/>
      <c r="AR902" s="40"/>
      <c r="AS902" s="238"/>
    </row>
    <row r="903" spans="1:45" s="229" customFormat="1">
      <c r="A903" s="42" t="s">
        <v>325</v>
      </c>
      <c r="B903" s="386">
        <v>32.218499999999999</v>
      </c>
      <c r="C903" s="24" t="s">
        <v>183</v>
      </c>
      <c r="D903" s="229" t="s">
        <v>625</v>
      </c>
      <c r="F903" s="229">
        <v>2384</v>
      </c>
      <c r="G903" s="40">
        <f>F903/1880</f>
        <v>1.2680851063829788</v>
      </c>
      <c r="H903" s="14">
        <v>0</v>
      </c>
      <c r="I903" s="229">
        <v>0</v>
      </c>
      <c r="J903" s="229">
        <v>1</v>
      </c>
      <c r="K903" s="26">
        <v>0</v>
      </c>
      <c r="L903" s="14">
        <v>0</v>
      </c>
      <c r="M903" s="229">
        <v>0</v>
      </c>
      <c r="N903" s="229">
        <v>1</v>
      </c>
      <c r="O903" s="229">
        <v>0</v>
      </c>
      <c r="P903" s="26">
        <v>1</v>
      </c>
      <c r="Q903" s="14">
        <v>0</v>
      </c>
      <c r="R903" s="229">
        <v>0</v>
      </c>
      <c r="S903" s="229">
        <v>0</v>
      </c>
      <c r="T903" s="229">
        <v>0</v>
      </c>
      <c r="U903" s="229">
        <v>0</v>
      </c>
      <c r="V903" s="229">
        <v>0</v>
      </c>
      <c r="W903" s="229">
        <v>0</v>
      </c>
      <c r="X903" s="229">
        <v>0</v>
      </c>
      <c r="Y903" s="229">
        <v>0</v>
      </c>
      <c r="Z903" s="229">
        <v>0</v>
      </c>
      <c r="AA903" s="229">
        <v>0</v>
      </c>
      <c r="AB903" s="229">
        <v>0</v>
      </c>
      <c r="AC903" s="12">
        <v>1</v>
      </c>
      <c r="AD903" s="14">
        <v>1</v>
      </c>
      <c r="AE903" s="14">
        <v>0</v>
      </c>
      <c r="AF903" s="26">
        <v>0</v>
      </c>
      <c r="AG903" s="12">
        <v>147</v>
      </c>
      <c r="AH903" s="14">
        <v>1</v>
      </c>
      <c r="AI903" s="209"/>
      <c r="AJ903" s="3"/>
      <c r="AK903" s="3"/>
      <c r="AL903" s="3"/>
      <c r="AM903" s="3"/>
      <c r="AN903" s="3"/>
      <c r="AO903" s="40"/>
      <c r="AP903" s="209"/>
      <c r="AQ903" s="3"/>
      <c r="AR903" s="40"/>
      <c r="AS903" s="238"/>
    </row>
    <row r="904" spans="1:45" s="229" customFormat="1">
      <c r="A904" s="42" t="s">
        <v>325</v>
      </c>
      <c r="B904" s="386">
        <v>32.218499999999999</v>
      </c>
      <c r="C904" s="24" t="s">
        <v>183</v>
      </c>
      <c r="D904" s="229" t="s">
        <v>637</v>
      </c>
      <c r="F904" s="229">
        <v>1027</v>
      </c>
      <c r="G904" s="40">
        <f>F904/862</f>
        <v>1.191415313225058</v>
      </c>
      <c r="H904" s="14">
        <v>1</v>
      </c>
      <c r="I904" s="229">
        <v>0</v>
      </c>
      <c r="J904" s="229">
        <v>0</v>
      </c>
      <c r="K904" s="26">
        <v>1</v>
      </c>
      <c r="L904" s="14">
        <v>0</v>
      </c>
      <c r="M904" s="229">
        <v>0</v>
      </c>
      <c r="N904" s="229">
        <v>1</v>
      </c>
      <c r="O904" s="229">
        <v>0</v>
      </c>
      <c r="P904" s="26">
        <v>1</v>
      </c>
      <c r="Q904" s="14">
        <v>0</v>
      </c>
      <c r="R904" s="229">
        <v>0</v>
      </c>
      <c r="S904" s="229">
        <v>0</v>
      </c>
      <c r="T904" s="229">
        <v>0</v>
      </c>
      <c r="U904" s="229">
        <v>0</v>
      </c>
      <c r="V904" s="229">
        <v>0</v>
      </c>
      <c r="W904" s="229">
        <v>0</v>
      </c>
      <c r="X904" s="229">
        <v>0</v>
      </c>
      <c r="Y904" s="229">
        <v>0</v>
      </c>
      <c r="Z904" s="229">
        <v>0</v>
      </c>
      <c r="AA904" s="229">
        <v>0</v>
      </c>
      <c r="AB904" s="229">
        <v>0</v>
      </c>
      <c r="AC904" s="12">
        <v>2</v>
      </c>
      <c r="AD904" s="14">
        <v>2</v>
      </c>
      <c r="AE904" s="14">
        <v>453</v>
      </c>
      <c r="AF904" s="26">
        <v>843</v>
      </c>
      <c r="AG904" s="12">
        <v>131</v>
      </c>
      <c r="AH904" s="14">
        <v>0</v>
      </c>
      <c r="AI904" s="209"/>
      <c r="AJ904" s="3"/>
      <c r="AK904" s="3"/>
      <c r="AL904" s="3"/>
      <c r="AM904" s="3"/>
      <c r="AN904" s="3"/>
      <c r="AO904" s="40"/>
      <c r="AP904" s="209"/>
      <c r="AQ904" s="3"/>
      <c r="AR904" s="40"/>
      <c r="AS904" s="238"/>
    </row>
    <row r="905" spans="1:45" s="229" customFormat="1">
      <c r="A905" s="42" t="s">
        <v>325</v>
      </c>
      <c r="B905" s="386">
        <v>32.218499999999999</v>
      </c>
      <c r="C905" s="24" t="s">
        <v>183</v>
      </c>
      <c r="D905" s="229" t="s">
        <v>638</v>
      </c>
      <c r="F905" s="229">
        <v>1008</v>
      </c>
      <c r="G905" s="40">
        <f>F905/903</f>
        <v>1.1162790697674418</v>
      </c>
      <c r="H905" s="14">
        <v>0</v>
      </c>
      <c r="I905" s="229">
        <v>0</v>
      </c>
      <c r="J905" s="229">
        <v>0</v>
      </c>
      <c r="K905" s="26">
        <v>1</v>
      </c>
      <c r="L905" s="14">
        <v>0</v>
      </c>
      <c r="M905" s="229">
        <v>1</v>
      </c>
      <c r="N905" s="229">
        <v>1</v>
      </c>
      <c r="O905" s="229">
        <v>0</v>
      </c>
      <c r="P905" s="26">
        <v>2</v>
      </c>
      <c r="Q905" s="14">
        <v>10</v>
      </c>
      <c r="R905" s="229">
        <v>0</v>
      </c>
      <c r="S905" s="229">
        <v>0</v>
      </c>
      <c r="T905" s="229">
        <v>0</v>
      </c>
      <c r="U905" s="229">
        <v>0</v>
      </c>
      <c r="V905" s="229">
        <v>133</v>
      </c>
      <c r="W905" s="229">
        <v>208</v>
      </c>
      <c r="X905" s="229">
        <v>0</v>
      </c>
      <c r="Y905" s="229">
        <v>0</v>
      </c>
      <c r="Z905" s="229">
        <v>0</v>
      </c>
      <c r="AA905" s="229">
        <v>0</v>
      </c>
      <c r="AB905" s="229">
        <v>0</v>
      </c>
      <c r="AC905" s="12">
        <v>1</v>
      </c>
      <c r="AD905" s="14">
        <v>1</v>
      </c>
      <c r="AE905" s="14">
        <v>0</v>
      </c>
      <c r="AF905" s="26">
        <v>0</v>
      </c>
      <c r="AG905" s="12">
        <v>175</v>
      </c>
      <c r="AH905" s="14">
        <v>1</v>
      </c>
      <c r="AI905" s="209"/>
      <c r="AJ905" s="3"/>
      <c r="AK905" s="3"/>
      <c r="AL905" s="3"/>
      <c r="AM905" s="3"/>
      <c r="AN905" s="3"/>
      <c r="AO905" s="40"/>
      <c r="AP905" s="209"/>
      <c r="AQ905" s="3"/>
      <c r="AR905" s="40"/>
      <c r="AS905" s="238"/>
    </row>
    <row r="906" spans="1:45" s="229" customFormat="1">
      <c r="A906" s="42" t="s">
        <v>325</v>
      </c>
      <c r="B906" s="386">
        <v>32.218499999999999</v>
      </c>
      <c r="C906" s="24" t="s">
        <v>183</v>
      </c>
      <c r="D906" s="229" t="s">
        <v>639</v>
      </c>
      <c r="F906" s="229">
        <v>1864</v>
      </c>
      <c r="G906" s="40">
        <f>F906/1247</f>
        <v>1.4947874899759424</v>
      </c>
      <c r="H906" s="14">
        <v>0</v>
      </c>
      <c r="I906" s="229">
        <v>0</v>
      </c>
      <c r="J906" s="229">
        <v>1</v>
      </c>
      <c r="K906" s="26">
        <v>0</v>
      </c>
      <c r="L906" s="14">
        <v>0</v>
      </c>
      <c r="M906" s="229">
        <v>0</v>
      </c>
      <c r="N906" s="229">
        <v>1</v>
      </c>
      <c r="O906" s="229">
        <v>0</v>
      </c>
      <c r="P906" s="26">
        <v>1</v>
      </c>
      <c r="Q906" s="14">
        <v>2</v>
      </c>
      <c r="R906" s="229">
        <v>0</v>
      </c>
      <c r="S906" s="229">
        <v>0</v>
      </c>
      <c r="T906" s="229">
        <v>0</v>
      </c>
      <c r="U906" s="229">
        <v>0</v>
      </c>
      <c r="V906" s="229">
        <v>0</v>
      </c>
      <c r="W906" s="229">
        <v>0</v>
      </c>
      <c r="X906" s="229">
        <v>0</v>
      </c>
      <c r="Y906" s="229">
        <v>0</v>
      </c>
      <c r="Z906" s="229">
        <v>0</v>
      </c>
      <c r="AA906" s="229">
        <v>242</v>
      </c>
      <c r="AB906" s="229">
        <v>0</v>
      </c>
      <c r="AC906" s="12">
        <v>1</v>
      </c>
      <c r="AD906" s="14">
        <v>1</v>
      </c>
      <c r="AE906" s="14">
        <v>0</v>
      </c>
      <c r="AF906" s="26">
        <v>0</v>
      </c>
      <c r="AG906" s="12">
        <v>161</v>
      </c>
      <c r="AH906" s="14">
        <v>1</v>
      </c>
      <c r="AI906" s="209"/>
      <c r="AJ906" s="3"/>
      <c r="AK906" s="3"/>
      <c r="AL906" s="3"/>
      <c r="AM906" s="3"/>
      <c r="AN906" s="3"/>
      <c r="AO906" s="40"/>
      <c r="AP906" s="209"/>
      <c r="AQ906" s="3"/>
      <c r="AR906" s="40"/>
      <c r="AS906" s="238"/>
    </row>
    <row r="907" spans="1:45" s="229" customFormat="1">
      <c r="A907" s="42" t="s">
        <v>325</v>
      </c>
      <c r="B907" s="386">
        <v>32.218499999999999</v>
      </c>
      <c r="C907" s="24" t="s">
        <v>183</v>
      </c>
      <c r="D907" s="229" t="s">
        <v>640</v>
      </c>
      <c r="F907" s="229">
        <v>1261</v>
      </c>
      <c r="G907" s="40">
        <f>F907/1230</f>
        <v>1.0252032520325203</v>
      </c>
      <c r="H907" s="14">
        <v>0</v>
      </c>
      <c r="I907" s="229">
        <v>0</v>
      </c>
      <c r="J907" s="229">
        <v>0</v>
      </c>
      <c r="K907" s="26">
        <v>1</v>
      </c>
      <c r="L907" s="14">
        <v>0</v>
      </c>
      <c r="M907" s="229">
        <v>0</v>
      </c>
      <c r="N907" s="229">
        <v>1</v>
      </c>
      <c r="O907" s="229">
        <v>0</v>
      </c>
      <c r="P907" s="26">
        <v>1</v>
      </c>
      <c r="Q907" s="14">
        <v>0</v>
      </c>
      <c r="R907" s="229">
        <v>0</v>
      </c>
      <c r="S907" s="229">
        <v>0</v>
      </c>
      <c r="T907" s="229">
        <v>0</v>
      </c>
      <c r="U907" s="229">
        <v>0</v>
      </c>
      <c r="V907" s="229">
        <v>0</v>
      </c>
      <c r="W907" s="229">
        <v>0</v>
      </c>
      <c r="X907" s="229">
        <v>0</v>
      </c>
      <c r="Y907" s="229">
        <v>0</v>
      </c>
      <c r="Z907" s="229">
        <v>0</v>
      </c>
      <c r="AA907" s="229">
        <v>0</v>
      </c>
      <c r="AB907" s="229">
        <v>0</v>
      </c>
      <c r="AC907" s="12">
        <v>2</v>
      </c>
      <c r="AD907" s="14">
        <v>3</v>
      </c>
      <c r="AE907" s="14">
        <v>256</v>
      </c>
      <c r="AF907" s="26">
        <v>1085</v>
      </c>
      <c r="AG907" s="12">
        <v>128</v>
      </c>
      <c r="AH907" s="14">
        <v>0</v>
      </c>
      <c r="AI907" s="209"/>
      <c r="AJ907" s="3"/>
      <c r="AK907" s="3"/>
      <c r="AL907" s="3"/>
      <c r="AM907" s="3"/>
      <c r="AN907" s="3"/>
      <c r="AO907" s="40"/>
      <c r="AP907" s="209"/>
      <c r="AQ907" s="3"/>
      <c r="AR907" s="40"/>
      <c r="AS907" s="238"/>
    </row>
    <row r="908" spans="1:45" s="229" customFormat="1">
      <c r="A908" s="42" t="s">
        <v>325</v>
      </c>
      <c r="B908" s="386">
        <v>32.218499999999999</v>
      </c>
      <c r="C908" s="24" t="s">
        <v>183</v>
      </c>
      <c r="D908" s="229" t="s">
        <v>641</v>
      </c>
      <c r="E908" s="229" t="s">
        <v>0</v>
      </c>
      <c r="F908" s="229">
        <v>1020</v>
      </c>
      <c r="G908" s="40">
        <f>F908/953</f>
        <v>1.0703043022035676</v>
      </c>
      <c r="H908" s="14">
        <v>0</v>
      </c>
      <c r="I908" s="229">
        <v>0</v>
      </c>
      <c r="J908" s="229">
        <v>0</v>
      </c>
      <c r="K908" s="26">
        <v>1</v>
      </c>
      <c r="L908" s="14">
        <v>0</v>
      </c>
      <c r="M908" s="229">
        <v>0</v>
      </c>
      <c r="N908" s="229">
        <v>1</v>
      </c>
      <c r="O908" s="229">
        <v>0</v>
      </c>
      <c r="P908" s="26">
        <v>1</v>
      </c>
      <c r="Q908" s="14">
        <v>0</v>
      </c>
      <c r="R908" s="229">
        <v>0</v>
      </c>
      <c r="S908" s="229">
        <v>0</v>
      </c>
      <c r="T908" s="229">
        <v>0</v>
      </c>
      <c r="U908" s="229">
        <v>0</v>
      </c>
      <c r="V908" s="229">
        <v>0</v>
      </c>
      <c r="W908" s="229">
        <v>0</v>
      </c>
      <c r="X908" s="229">
        <v>0</v>
      </c>
      <c r="Y908" s="229">
        <v>0</v>
      </c>
      <c r="Z908" s="229">
        <v>0</v>
      </c>
      <c r="AA908" s="229">
        <v>0</v>
      </c>
      <c r="AB908" s="229">
        <v>0</v>
      </c>
      <c r="AC908" s="12">
        <v>1</v>
      </c>
      <c r="AD908" s="14">
        <v>1</v>
      </c>
      <c r="AE908" s="14">
        <v>0</v>
      </c>
      <c r="AF908" s="26">
        <v>0</v>
      </c>
      <c r="AG908" s="12">
        <v>145</v>
      </c>
      <c r="AH908" s="14">
        <v>0</v>
      </c>
      <c r="AI908" s="209"/>
      <c r="AJ908" s="3"/>
      <c r="AK908" s="3"/>
      <c r="AL908" s="3"/>
      <c r="AM908" s="3"/>
      <c r="AN908" s="3"/>
      <c r="AO908" s="40"/>
      <c r="AP908" s="209"/>
      <c r="AQ908" s="3"/>
      <c r="AR908" s="40"/>
      <c r="AS908" s="238"/>
    </row>
    <row r="909" spans="1:45" s="229" customFormat="1">
      <c r="A909" s="42" t="s">
        <v>325</v>
      </c>
      <c r="B909" s="386">
        <v>32.218499999999999</v>
      </c>
      <c r="C909" s="24" t="s">
        <v>183</v>
      </c>
      <c r="D909" s="229" t="s">
        <v>641</v>
      </c>
      <c r="E909" s="229" t="s">
        <v>1</v>
      </c>
      <c r="F909" s="229">
        <v>1936</v>
      </c>
      <c r="G909" s="40">
        <f>F909/1127</f>
        <v>1.717834960070985</v>
      </c>
      <c r="H909" s="14">
        <v>0</v>
      </c>
      <c r="I909" s="229">
        <v>0</v>
      </c>
      <c r="J909" s="229">
        <v>0</v>
      </c>
      <c r="K909" s="26">
        <v>1</v>
      </c>
      <c r="L909" s="14">
        <v>0</v>
      </c>
      <c r="M909" s="229">
        <v>0</v>
      </c>
      <c r="N909" s="229">
        <v>1</v>
      </c>
      <c r="O909" s="229">
        <v>0</v>
      </c>
      <c r="P909" s="26">
        <v>1</v>
      </c>
      <c r="Q909" s="14">
        <v>0</v>
      </c>
      <c r="R909" s="229">
        <v>0</v>
      </c>
      <c r="S909" s="229">
        <v>0</v>
      </c>
      <c r="T909" s="229">
        <v>0</v>
      </c>
      <c r="U909" s="229">
        <v>0</v>
      </c>
      <c r="V909" s="229">
        <v>0</v>
      </c>
      <c r="W909" s="229">
        <v>0</v>
      </c>
      <c r="X909" s="229">
        <v>0</v>
      </c>
      <c r="Y909" s="229">
        <v>0</v>
      </c>
      <c r="Z909" s="229">
        <v>0</v>
      </c>
      <c r="AA909" s="229">
        <v>0</v>
      </c>
      <c r="AB909" s="229">
        <v>0</v>
      </c>
      <c r="AC909" s="12">
        <v>1</v>
      </c>
      <c r="AD909" s="14">
        <v>1</v>
      </c>
      <c r="AE909" s="14">
        <v>0</v>
      </c>
      <c r="AF909" s="26">
        <v>0</v>
      </c>
      <c r="AG909" s="12">
        <v>145</v>
      </c>
      <c r="AH909" s="14">
        <v>0</v>
      </c>
      <c r="AI909" s="209"/>
      <c r="AJ909" s="3"/>
      <c r="AK909" s="3"/>
      <c r="AL909" s="3"/>
      <c r="AM909" s="3"/>
      <c r="AN909" s="3"/>
      <c r="AO909" s="40"/>
      <c r="AP909" s="209"/>
      <c r="AQ909" s="3"/>
      <c r="AR909" s="40"/>
      <c r="AS909" s="238"/>
    </row>
    <row r="910" spans="1:45" s="229" customFormat="1">
      <c r="A910" s="42" t="s">
        <v>325</v>
      </c>
      <c r="B910" s="386">
        <v>32.218499999999999</v>
      </c>
      <c r="C910" s="24" t="s">
        <v>183</v>
      </c>
      <c r="D910" s="229" t="s">
        <v>649</v>
      </c>
      <c r="F910" s="229">
        <v>1189</v>
      </c>
      <c r="G910" s="40">
        <f>F910/734</f>
        <v>1.6198910081743869</v>
      </c>
      <c r="H910" s="14">
        <v>0</v>
      </c>
      <c r="I910" s="229">
        <v>0</v>
      </c>
      <c r="J910" s="229">
        <v>0</v>
      </c>
      <c r="K910" s="26">
        <v>1</v>
      </c>
      <c r="L910" s="14">
        <v>0</v>
      </c>
      <c r="M910" s="229">
        <v>0</v>
      </c>
      <c r="N910" s="229">
        <v>1</v>
      </c>
      <c r="O910" s="229">
        <v>0</v>
      </c>
      <c r="P910" s="26">
        <v>1</v>
      </c>
      <c r="Q910" s="14">
        <v>2</v>
      </c>
      <c r="R910" s="229">
        <v>0</v>
      </c>
      <c r="S910" s="229">
        <v>0</v>
      </c>
      <c r="T910" s="229">
        <v>0</v>
      </c>
      <c r="U910" s="229">
        <v>0</v>
      </c>
      <c r="V910" s="229">
        <v>0</v>
      </c>
      <c r="W910" s="229">
        <v>88</v>
      </c>
      <c r="X910" s="229">
        <v>0</v>
      </c>
      <c r="Y910" s="229">
        <v>0</v>
      </c>
      <c r="Z910" s="229">
        <v>0</v>
      </c>
      <c r="AA910" s="229">
        <v>0</v>
      </c>
      <c r="AB910" s="229">
        <v>1</v>
      </c>
      <c r="AC910" s="12">
        <v>1</v>
      </c>
      <c r="AD910" s="14">
        <v>1</v>
      </c>
      <c r="AE910" s="14">
        <v>0</v>
      </c>
      <c r="AF910" s="26">
        <v>0</v>
      </c>
      <c r="AG910" s="12">
        <v>123</v>
      </c>
      <c r="AH910" s="14">
        <v>0</v>
      </c>
      <c r="AI910" s="209"/>
      <c r="AJ910" s="3"/>
      <c r="AK910" s="3"/>
      <c r="AL910" s="3"/>
      <c r="AM910" s="3"/>
      <c r="AN910" s="3"/>
      <c r="AO910" s="40"/>
      <c r="AP910" s="209">
        <v>86.224754822376042</v>
      </c>
      <c r="AQ910" s="3"/>
      <c r="AR910" s="40"/>
      <c r="AS910" s="238"/>
    </row>
    <row r="911" spans="1:45" s="229" customFormat="1">
      <c r="A911" s="42" t="s">
        <v>325</v>
      </c>
      <c r="B911" s="386">
        <v>32.218499999999999</v>
      </c>
      <c r="C911" s="24" t="s">
        <v>183</v>
      </c>
      <c r="D911" s="229" t="s">
        <v>669</v>
      </c>
      <c r="F911" s="229">
        <v>1639</v>
      </c>
      <c r="G911" s="40">
        <f>F911/1034</f>
        <v>1.5851063829787233</v>
      </c>
      <c r="H911" s="14">
        <v>0</v>
      </c>
      <c r="I911" s="229">
        <v>0</v>
      </c>
      <c r="J911" s="229">
        <v>0</v>
      </c>
      <c r="K911" s="26">
        <v>1</v>
      </c>
      <c r="L911" s="14">
        <v>0</v>
      </c>
      <c r="M911" s="229">
        <v>0</v>
      </c>
      <c r="N911" s="229">
        <v>1</v>
      </c>
      <c r="O911" s="229">
        <v>0</v>
      </c>
      <c r="P911" s="26">
        <v>1</v>
      </c>
      <c r="Q911" s="14">
        <v>0</v>
      </c>
      <c r="R911" s="229">
        <v>0</v>
      </c>
      <c r="S911" s="229">
        <v>0</v>
      </c>
      <c r="T911" s="229">
        <v>0</v>
      </c>
      <c r="U911" s="229">
        <v>0</v>
      </c>
      <c r="V911" s="229">
        <v>0</v>
      </c>
      <c r="W911" s="229">
        <v>0</v>
      </c>
      <c r="X911" s="229">
        <v>0</v>
      </c>
      <c r="Y911" s="229">
        <v>0</v>
      </c>
      <c r="Z911" s="229">
        <v>0</v>
      </c>
      <c r="AA911" s="229">
        <v>0</v>
      </c>
      <c r="AB911" s="229">
        <v>0</v>
      </c>
      <c r="AC911" s="12">
        <v>1</v>
      </c>
      <c r="AD911" s="14">
        <v>1</v>
      </c>
      <c r="AE911" s="14">
        <v>0</v>
      </c>
      <c r="AF911" s="26">
        <v>0</v>
      </c>
      <c r="AG911" s="12">
        <v>116</v>
      </c>
      <c r="AH911" s="14">
        <v>1</v>
      </c>
      <c r="AI911" s="209"/>
      <c r="AJ911" s="3"/>
      <c r="AK911" s="3"/>
      <c r="AL911" s="3"/>
      <c r="AM911" s="3"/>
      <c r="AN911" s="3"/>
      <c r="AO911" s="40"/>
      <c r="AP911" s="209"/>
      <c r="AQ911" s="3"/>
      <c r="AR911" s="40"/>
      <c r="AS911" s="238"/>
    </row>
    <row r="912" spans="1:45" s="229" customFormat="1">
      <c r="A912" s="42" t="s">
        <v>325</v>
      </c>
      <c r="B912" s="386">
        <v>32.218499999999999</v>
      </c>
      <c r="C912" s="24" t="s">
        <v>183</v>
      </c>
      <c r="D912" s="229" t="s">
        <v>670</v>
      </c>
      <c r="F912" s="229">
        <v>1978</v>
      </c>
      <c r="G912" s="40">
        <f>F912/1814</f>
        <v>1.0904079382579934</v>
      </c>
      <c r="H912" s="14">
        <v>0</v>
      </c>
      <c r="I912" s="229">
        <v>1</v>
      </c>
      <c r="J912" s="229">
        <v>0</v>
      </c>
      <c r="K912" s="26">
        <v>0</v>
      </c>
      <c r="L912" s="14">
        <v>0</v>
      </c>
      <c r="M912" s="229">
        <v>1</v>
      </c>
      <c r="N912" s="229">
        <v>1</v>
      </c>
      <c r="O912" s="229">
        <v>0</v>
      </c>
      <c r="P912" s="26">
        <v>2</v>
      </c>
      <c r="Q912" s="14">
        <v>0</v>
      </c>
      <c r="R912" s="229">
        <v>0</v>
      </c>
      <c r="S912" s="229">
        <v>0</v>
      </c>
      <c r="T912" s="229">
        <v>0</v>
      </c>
      <c r="U912" s="229">
        <v>0</v>
      </c>
      <c r="V912" s="229">
        <v>0</v>
      </c>
      <c r="W912" s="229">
        <v>0</v>
      </c>
      <c r="X912" s="229">
        <v>0</v>
      </c>
      <c r="Y912" s="229">
        <v>0</v>
      </c>
      <c r="Z912" s="229">
        <v>0</v>
      </c>
      <c r="AA912" s="229">
        <v>0</v>
      </c>
      <c r="AB912" s="229">
        <v>0</v>
      </c>
      <c r="AC912" s="12">
        <v>1</v>
      </c>
      <c r="AD912" s="14">
        <v>1</v>
      </c>
      <c r="AE912" s="14">
        <v>0</v>
      </c>
      <c r="AF912" s="26">
        <v>0</v>
      </c>
      <c r="AG912" s="12">
        <v>152</v>
      </c>
      <c r="AH912" s="14">
        <v>0</v>
      </c>
      <c r="AI912" s="209">
        <v>86.916217734798337</v>
      </c>
      <c r="AJ912" s="3"/>
      <c r="AK912" s="3"/>
      <c r="AL912" s="3"/>
      <c r="AM912" s="3"/>
      <c r="AN912" s="3"/>
      <c r="AO912" s="40"/>
      <c r="AP912" s="209">
        <v>86.845551833895342</v>
      </c>
      <c r="AQ912" s="3"/>
      <c r="AR912" s="40"/>
      <c r="AS912" s="238"/>
    </row>
    <row r="913" spans="1:45" s="229" customFormat="1">
      <c r="A913" s="42" t="s">
        <v>325</v>
      </c>
      <c r="B913" s="386">
        <v>32.218499999999999</v>
      </c>
      <c r="C913" s="24" t="s">
        <v>183</v>
      </c>
      <c r="D913" s="229" t="s">
        <v>671</v>
      </c>
      <c r="F913" s="229">
        <v>2148</v>
      </c>
      <c r="G913" s="40">
        <f>F913/1298</f>
        <v>1.654853620955316</v>
      </c>
      <c r="H913" s="14">
        <v>0</v>
      </c>
      <c r="I913" s="229">
        <v>0</v>
      </c>
      <c r="J913" s="229">
        <v>0</v>
      </c>
      <c r="K913" s="26">
        <v>1</v>
      </c>
      <c r="L913" s="14">
        <v>0</v>
      </c>
      <c r="M913" s="229">
        <v>0</v>
      </c>
      <c r="N913" s="229">
        <v>1</v>
      </c>
      <c r="O913" s="229">
        <v>0</v>
      </c>
      <c r="P913" s="26">
        <v>1</v>
      </c>
      <c r="Q913" s="14">
        <v>2</v>
      </c>
      <c r="R913" s="229">
        <v>0</v>
      </c>
      <c r="S913" s="229">
        <v>153</v>
      </c>
      <c r="T913" s="229">
        <v>0</v>
      </c>
      <c r="U913" s="229">
        <v>0</v>
      </c>
      <c r="V913" s="229">
        <v>0</v>
      </c>
      <c r="W913" s="229">
        <v>0</v>
      </c>
      <c r="X913" s="229">
        <v>0</v>
      </c>
      <c r="Y913" s="229">
        <v>0</v>
      </c>
      <c r="Z913" s="229">
        <v>0</v>
      </c>
      <c r="AA913" s="229">
        <v>0</v>
      </c>
      <c r="AB913" s="229">
        <v>1</v>
      </c>
      <c r="AC913" s="12">
        <v>2</v>
      </c>
      <c r="AD913" s="14">
        <v>2</v>
      </c>
      <c r="AE913" s="14">
        <v>589</v>
      </c>
      <c r="AF913" s="26">
        <v>2148</v>
      </c>
      <c r="AG913" s="12">
        <v>126</v>
      </c>
      <c r="AH913" s="14">
        <v>0</v>
      </c>
      <c r="AI913" s="209"/>
      <c r="AJ913" s="3"/>
      <c r="AK913" s="3"/>
      <c r="AL913" s="3"/>
      <c r="AM913" s="3"/>
      <c r="AN913" s="3"/>
      <c r="AO913" s="40"/>
      <c r="AP913" s="209"/>
      <c r="AQ913" s="3"/>
      <c r="AR913" s="40"/>
      <c r="AS913" s="238"/>
    </row>
    <row r="914" spans="1:45" s="229" customFormat="1">
      <c r="A914" s="42" t="s">
        <v>325</v>
      </c>
      <c r="B914" s="386">
        <v>32.218499999999999</v>
      </c>
      <c r="C914" s="24" t="s">
        <v>183</v>
      </c>
      <c r="D914" s="229" t="s">
        <v>672</v>
      </c>
      <c r="E914" s="229" t="s">
        <v>0</v>
      </c>
      <c r="F914" s="229">
        <v>1169</v>
      </c>
      <c r="G914" s="40">
        <f>F914/777</f>
        <v>1.5045045045045045</v>
      </c>
      <c r="H914" s="14">
        <v>1</v>
      </c>
      <c r="I914" s="229">
        <v>0</v>
      </c>
      <c r="J914" s="229">
        <v>0</v>
      </c>
      <c r="K914" s="26">
        <v>1</v>
      </c>
      <c r="L914" s="14">
        <v>0</v>
      </c>
      <c r="M914" s="229">
        <v>0</v>
      </c>
      <c r="N914" s="229">
        <v>1</v>
      </c>
      <c r="O914" s="229">
        <v>0</v>
      </c>
      <c r="P914" s="26">
        <v>1</v>
      </c>
      <c r="Q914" s="14">
        <v>0</v>
      </c>
      <c r="R914" s="229">
        <v>0</v>
      </c>
      <c r="S914" s="229">
        <v>0</v>
      </c>
      <c r="T914" s="229">
        <v>0</v>
      </c>
      <c r="U914" s="229">
        <v>0</v>
      </c>
      <c r="V914" s="229">
        <v>0</v>
      </c>
      <c r="W914" s="229">
        <v>0</v>
      </c>
      <c r="X914" s="229">
        <v>0</v>
      </c>
      <c r="Y914" s="229">
        <v>0</v>
      </c>
      <c r="Z914" s="229">
        <v>0</v>
      </c>
      <c r="AA914" s="229">
        <v>0</v>
      </c>
      <c r="AB914" s="229">
        <v>0</v>
      </c>
      <c r="AC914" s="12">
        <v>2</v>
      </c>
      <c r="AD914" s="14">
        <v>2</v>
      </c>
      <c r="AE914" s="14">
        <v>201</v>
      </c>
      <c r="AF914" s="26">
        <v>1169</v>
      </c>
      <c r="AG914" s="12">
        <v>157</v>
      </c>
      <c r="AH914" s="14">
        <v>1</v>
      </c>
      <c r="AI914" s="209"/>
      <c r="AJ914" s="3"/>
      <c r="AK914" s="3"/>
      <c r="AL914" s="3"/>
      <c r="AM914" s="3"/>
      <c r="AN914" s="3"/>
      <c r="AO914" s="40"/>
      <c r="AP914" s="209"/>
      <c r="AQ914" s="3"/>
      <c r="AR914" s="40"/>
      <c r="AS914" s="238"/>
    </row>
    <row r="915" spans="1:45" s="229" customFormat="1">
      <c r="A915" s="42" t="s">
        <v>325</v>
      </c>
      <c r="B915" s="386">
        <v>32.218499999999999</v>
      </c>
      <c r="C915" s="24" t="s">
        <v>183</v>
      </c>
      <c r="D915" s="229" t="s">
        <v>672</v>
      </c>
      <c r="E915" s="229" t="s">
        <v>1</v>
      </c>
      <c r="F915" s="229">
        <v>929</v>
      </c>
      <c r="G915" s="40">
        <f>F915/491</f>
        <v>1.8920570264765784</v>
      </c>
      <c r="H915" s="14">
        <v>0</v>
      </c>
      <c r="I915" s="229">
        <v>0</v>
      </c>
      <c r="J915" s="229">
        <v>0</v>
      </c>
      <c r="K915" s="26">
        <v>1</v>
      </c>
      <c r="L915" s="14">
        <v>0</v>
      </c>
      <c r="M915" s="229">
        <v>0</v>
      </c>
      <c r="N915" s="229">
        <v>1</v>
      </c>
      <c r="O915" s="229">
        <v>0</v>
      </c>
      <c r="P915" s="26">
        <v>1</v>
      </c>
      <c r="Q915" s="14">
        <v>0</v>
      </c>
      <c r="R915" s="229">
        <v>0</v>
      </c>
      <c r="S915" s="229">
        <v>0</v>
      </c>
      <c r="T915" s="229">
        <v>0</v>
      </c>
      <c r="U915" s="229">
        <v>0</v>
      </c>
      <c r="V915" s="229">
        <v>0</v>
      </c>
      <c r="W915" s="229">
        <v>0</v>
      </c>
      <c r="X915" s="229">
        <v>0</v>
      </c>
      <c r="Y915" s="229">
        <v>0</v>
      </c>
      <c r="Z915" s="229">
        <v>0</v>
      </c>
      <c r="AA915" s="229">
        <v>0</v>
      </c>
      <c r="AB915" s="229">
        <v>0</v>
      </c>
      <c r="AC915" s="12">
        <v>1</v>
      </c>
      <c r="AD915" s="14">
        <v>1</v>
      </c>
      <c r="AE915" s="14">
        <v>0</v>
      </c>
      <c r="AF915" s="26">
        <v>0</v>
      </c>
      <c r="AG915" s="12">
        <v>157</v>
      </c>
      <c r="AH915" s="14">
        <v>0</v>
      </c>
      <c r="AI915" s="209"/>
      <c r="AJ915" s="3"/>
      <c r="AK915" s="3"/>
      <c r="AL915" s="3"/>
      <c r="AM915" s="3"/>
      <c r="AN915" s="3"/>
      <c r="AO915" s="40"/>
      <c r="AP915" s="209"/>
      <c r="AQ915" s="3"/>
      <c r="AR915" s="40"/>
      <c r="AS915" s="238"/>
    </row>
    <row r="916" spans="1:45" s="229" customFormat="1">
      <c r="A916" s="42" t="s">
        <v>325</v>
      </c>
      <c r="B916" s="386">
        <v>32.218499999999999</v>
      </c>
      <c r="C916" s="24" t="s">
        <v>183</v>
      </c>
      <c r="D916" s="229" t="s">
        <v>673</v>
      </c>
      <c r="F916" s="229">
        <v>2694</v>
      </c>
      <c r="G916" s="40">
        <f>F916/1446</f>
        <v>1.8630705394190872</v>
      </c>
      <c r="H916" s="14">
        <v>0</v>
      </c>
      <c r="I916" s="229">
        <v>0</v>
      </c>
      <c r="J916" s="229">
        <v>1</v>
      </c>
      <c r="K916" s="26">
        <v>0</v>
      </c>
      <c r="L916" s="14">
        <v>0</v>
      </c>
      <c r="M916" s="229">
        <v>0</v>
      </c>
      <c r="N916" s="229">
        <v>0</v>
      </c>
      <c r="O916" s="229">
        <v>1</v>
      </c>
      <c r="P916" s="26">
        <v>1</v>
      </c>
      <c r="Q916" s="14">
        <v>50</v>
      </c>
      <c r="R916" s="229">
        <v>0</v>
      </c>
      <c r="S916" s="229">
        <v>0</v>
      </c>
      <c r="T916" s="229">
        <v>0</v>
      </c>
      <c r="U916" s="229">
        <v>0</v>
      </c>
      <c r="V916" s="229">
        <v>72</v>
      </c>
      <c r="W916" s="229">
        <v>1245</v>
      </c>
      <c r="X916" s="229">
        <v>0</v>
      </c>
      <c r="Y916" s="229">
        <v>0</v>
      </c>
      <c r="Z916" s="229">
        <v>0</v>
      </c>
      <c r="AA916" s="229">
        <v>0</v>
      </c>
      <c r="AB916" s="229">
        <v>0</v>
      </c>
      <c r="AC916" s="12">
        <v>1</v>
      </c>
      <c r="AD916" s="14">
        <v>1</v>
      </c>
      <c r="AE916" s="14">
        <v>0</v>
      </c>
      <c r="AF916" s="26">
        <v>0</v>
      </c>
      <c r="AG916" s="12">
        <v>142</v>
      </c>
      <c r="AH916" s="14">
        <v>0</v>
      </c>
      <c r="AI916" s="209">
        <v>83.505465992797753</v>
      </c>
      <c r="AJ916" s="3"/>
      <c r="AK916" s="3"/>
      <c r="AL916" s="3"/>
      <c r="AM916" s="3"/>
      <c r="AN916" s="3"/>
      <c r="AO916" s="40"/>
      <c r="AP916" s="209">
        <v>87.017684732606483</v>
      </c>
      <c r="AQ916" s="3"/>
      <c r="AR916" s="40"/>
      <c r="AS916" s="238"/>
    </row>
    <row r="917" spans="1:45" s="229" customFormat="1">
      <c r="A917" s="42" t="s">
        <v>325</v>
      </c>
      <c r="B917" s="386">
        <v>32.218499999999999</v>
      </c>
      <c r="C917" s="24" t="s">
        <v>183</v>
      </c>
      <c r="D917" s="229" t="s">
        <v>675</v>
      </c>
      <c r="F917" s="229">
        <v>1175</v>
      </c>
      <c r="G917" s="40">
        <f>F917/955</f>
        <v>1.2303664921465969</v>
      </c>
      <c r="H917" s="14">
        <v>0</v>
      </c>
      <c r="I917" s="229">
        <v>0</v>
      </c>
      <c r="J917" s="229">
        <v>0</v>
      </c>
      <c r="K917" s="26">
        <v>1</v>
      </c>
      <c r="L917" s="14">
        <v>0</v>
      </c>
      <c r="M917" s="229">
        <v>0</v>
      </c>
      <c r="N917" s="229">
        <v>0</v>
      </c>
      <c r="O917" s="229">
        <v>0</v>
      </c>
      <c r="P917" s="26">
        <v>0</v>
      </c>
      <c r="Q917" s="14">
        <v>0</v>
      </c>
      <c r="R917" s="229">
        <v>0</v>
      </c>
      <c r="S917" s="229">
        <v>0</v>
      </c>
      <c r="T917" s="229">
        <v>0</v>
      </c>
      <c r="U917" s="229">
        <v>0</v>
      </c>
      <c r="V917" s="229">
        <v>0</v>
      </c>
      <c r="W917" s="229">
        <v>0</v>
      </c>
      <c r="X917" s="229">
        <v>0</v>
      </c>
      <c r="Y917" s="229">
        <v>0</v>
      </c>
      <c r="Z917" s="229">
        <v>0</v>
      </c>
      <c r="AA917" s="229">
        <v>0</v>
      </c>
      <c r="AB917" s="229">
        <v>0</v>
      </c>
      <c r="AC917" s="12">
        <v>1</v>
      </c>
      <c r="AD917" s="14">
        <v>1</v>
      </c>
      <c r="AE917" s="14">
        <v>0</v>
      </c>
      <c r="AF917" s="26">
        <v>0</v>
      </c>
      <c r="AG917" s="12">
        <v>125</v>
      </c>
      <c r="AH917" s="14">
        <v>1</v>
      </c>
      <c r="AI917" s="209"/>
      <c r="AJ917" s="3"/>
      <c r="AK917" s="3"/>
      <c r="AL917" s="3"/>
      <c r="AM917" s="3"/>
      <c r="AN917" s="3"/>
      <c r="AO917" s="40"/>
      <c r="AP917" s="209"/>
      <c r="AQ917" s="3"/>
      <c r="AR917" s="40"/>
      <c r="AS917" s="238"/>
    </row>
    <row r="918" spans="1:45" s="229" customFormat="1">
      <c r="A918" s="42" t="s">
        <v>325</v>
      </c>
      <c r="B918" s="386">
        <v>32.218499999999999</v>
      </c>
      <c r="C918" s="24" t="s">
        <v>183</v>
      </c>
      <c r="D918" s="229" t="s">
        <v>677</v>
      </c>
      <c r="F918" s="229">
        <v>1658</v>
      </c>
      <c r="G918" s="40">
        <f>F918/1346</f>
        <v>1.2317979197622586</v>
      </c>
      <c r="H918" s="14">
        <v>0</v>
      </c>
      <c r="I918" s="229">
        <v>1</v>
      </c>
      <c r="J918" s="229">
        <v>0</v>
      </c>
      <c r="K918" s="26">
        <v>0</v>
      </c>
      <c r="L918" s="14">
        <v>0</v>
      </c>
      <c r="M918" s="229">
        <v>0</v>
      </c>
      <c r="N918" s="229">
        <v>1</v>
      </c>
      <c r="O918" s="229">
        <v>0</v>
      </c>
      <c r="P918" s="26">
        <v>1</v>
      </c>
      <c r="Q918" s="14">
        <v>0</v>
      </c>
      <c r="R918" s="229">
        <v>0</v>
      </c>
      <c r="S918" s="229">
        <v>0</v>
      </c>
      <c r="T918" s="229">
        <v>0</v>
      </c>
      <c r="U918" s="229">
        <v>0</v>
      </c>
      <c r="V918" s="229">
        <v>0</v>
      </c>
      <c r="W918" s="229">
        <v>0</v>
      </c>
      <c r="X918" s="229">
        <v>0</v>
      </c>
      <c r="Y918" s="229">
        <v>0</v>
      </c>
      <c r="Z918" s="229">
        <v>0</v>
      </c>
      <c r="AA918" s="229">
        <v>0</v>
      </c>
      <c r="AB918" s="229">
        <v>0</v>
      </c>
      <c r="AC918" s="12">
        <v>1</v>
      </c>
      <c r="AD918" s="14">
        <v>1</v>
      </c>
      <c r="AE918" s="14">
        <v>0</v>
      </c>
      <c r="AF918" s="26">
        <v>0</v>
      </c>
      <c r="AG918" s="12">
        <v>183</v>
      </c>
      <c r="AH918" s="14">
        <v>1</v>
      </c>
      <c r="AI918" s="209"/>
      <c r="AJ918" s="3"/>
      <c r="AK918" s="3"/>
      <c r="AL918" s="3"/>
      <c r="AM918" s="3"/>
      <c r="AN918" s="3"/>
      <c r="AO918" s="40"/>
      <c r="AP918" s="209"/>
      <c r="AQ918" s="3"/>
      <c r="AR918" s="40"/>
      <c r="AS918" s="238"/>
    </row>
    <row r="919" spans="1:45" s="229" customFormat="1">
      <c r="A919" s="42" t="s">
        <v>325</v>
      </c>
      <c r="B919" s="386">
        <v>32.218499999999999</v>
      </c>
      <c r="C919" s="24" t="s">
        <v>183</v>
      </c>
      <c r="D919" s="229" t="s">
        <v>678</v>
      </c>
      <c r="F919" s="229">
        <v>1156</v>
      </c>
      <c r="G919" s="40">
        <f>F919/921</f>
        <v>1.2551574375678609</v>
      </c>
      <c r="H919" s="14">
        <v>0</v>
      </c>
      <c r="I919" s="229">
        <v>0</v>
      </c>
      <c r="J919" s="229">
        <v>0</v>
      </c>
      <c r="K919" s="26">
        <v>1</v>
      </c>
      <c r="L919" s="14">
        <v>1</v>
      </c>
      <c r="M919" s="229">
        <v>0</v>
      </c>
      <c r="N919" s="229">
        <v>0</v>
      </c>
      <c r="O919" s="229">
        <v>0</v>
      </c>
      <c r="P919" s="26">
        <v>1</v>
      </c>
      <c r="Q919" s="14">
        <v>0</v>
      </c>
      <c r="R919" s="229">
        <v>0</v>
      </c>
      <c r="S919" s="229">
        <v>0</v>
      </c>
      <c r="T919" s="229">
        <v>0</v>
      </c>
      <c r="U919" s="229">
        <v>0</v>
      </c>
      <c r="V919" s="229">
        <v>0</v>
      </c>
      <c r="W919" s="229">
        <v>0</v>
      </c>
      <c r="X919" s="229">
        <v>0</v>
      </c>
      <c r="Y919" s="229">
        <v>0</v>
      </c>
      <c r="Z919" s="229">
        <v>0</v>
      </c>
      <c r="AA919" s="229">
        <v>0</v>
      </c>
      <c r="AB919" s="229">
        <v>0</v>
      </c>
      <c r="AC919" s="12">
        <v>1</v>
      </c>
      <c r="AD919" s="14">
        <v>1</v>
      </c>
      <c r="AE919" s="14">
        <v>0</v>
      </c>
      <c r="AF919" s="26">
        <v>0</v>
      </c>
      <c r="AG919" s="12">
        <v>160</v>
      </c>
      <c r="AH919" s="14">
        <v>1</v>
      </c>
      <c r="AI919" s="209"/>
      <c r="AJ919" s="3"/>
      <c r="AK919" s="3"/>
      <c r="AL919" s="3"/>
      <c r="AM919" s="3"/>
      <c r="AN919" s="3"/>
      <c r="AO919" s="40"/>
      <c r="AP919" s="209"/>
      <c r="AQ919" s="3"/>
      <c r="AR919" s="40"/>
      <c r="AS919" s="238"/>
    </row>
    <row r="920" spans="1:45" s="229" customFormat="1">
      <c r="A920" s="42" t="s">
        <v>325</v>
      </c>
      <c r="B920" s="386">
        <v>32.218499999999999</v>
      </c>
      <c r="C920" s="24" t="s">
        <v>183</v>
      </c>
      <c r="D920" s="229" t="s">
        <v>682</v>
      </c>
      <c r="F920" s="229">
        <v>550</v>
      </c>
      <c r="G920" s="40">
        <f>F920/526</f>
        <v>1.0456273764258555</v>
      </c>
      <c r="H920" s="14">
        <v>0</v>
      </c>
      <c r="I920" s="229">
        <v>0</v>
      </c>
      <c r="J920" s="229">
        <v>0</v>
      </c>
      <c r="K920" s="26">
        <v>1</v>
      </c>
      <c r="L920" s="14">
        <v>0</v>
      </c>
      <c r="M920" s="229">
        <v>0</v>
      </c>
      <c r="N920" s="229">
        <v>1</v>
      </c>
      <c r="O920" s="229">
        <v>0</v>
      </c>
      <c r="P920" s="26">
        <v>1</v>
      </c>
      <c r="Q920" s="14">
        <v>0</v>
      </c>
      <c r="R920" s="229">
        <v>0</v>
      </c>
      <c r="S920" s="229">
        <v>0</v>
      </c>
      <c r="T920" s="229">
        <v>0</v>
      </c>
      <c r="U920" s="229">
        <v>0</v>
      </c>
      <c r="V920" s="229">
        <v>0</v>
      </c>
      <c r="W920" s="229">
        <v>0</v>
      </c>
      <c r="X920" s="229">
        <v>0</v>
      </c>
      <c r="Y920" s="229">
        <v>0</v>
      </c>
      <c r="Z920" s="229">
        <v>0</v>
      </c>
      <c r="AA920" s="229">
        <v>0</v>
      </c>
      <c r="AB920" s="229">
        <v>0</v>
      </c>
      <c r="AC920" s="12">
        <v>1</v>
      </c>
      <c r="AD920" s="14">
        <v>1</v>
      </c>
      <c r="AE920" s="14">
        <v>0</v>
      </c>
      <c r="AF920" s="26">
        <v>0</v>
      </c>
      <c r="AG920" s="12">
        <v>84</v>
      </c>
      <c r="AH920" s="14">
        <v>0</v>
      </c>
      <c r="AI920" s="209"/>
      <c r="AJ920" s="3"/>
      <c r="AK920" s="3"/>
      <c r="AL920" s="3"/>
      <c r="AM920" s="3"/>
      <c r="AN920" s="3"/>
      <c r="AO920" s="40"/>
      <c r="AP920" s="209"/>
      <c r="AQ920" s="3"/>
      <c r="AR920" s="40"/>
      <c r="AS920" s="238"/>
    </row>
    <row r="921" spans="1:45" s="229" customFormat="1">
      <c r="A921" s="42" t="s">
        <v>325</v>
      </c>
      <c r="B921" s="386">
        <v>32.218499999999999</v>
      </c>
      <c r="C921" s="24" t="s">
        <v>183</v>
      </c>
      <c r="D921" s="229" t="s">
        <v>694</v>
      </c>
      <c r="F921" s="229">
        <v>1662</v>
      </c>
      <c r="G921" s="40">
        <f>F921/1289</f>
        <v>1.2893716058960434</v>
      </c>
      <c r="H921" s="14">
        <v>0</v>
      </c>
      <c r="I921" s="229">
        <v>0</v>
      </c>
      <c r="J921" s="229">
        <v>1</v>
      </c>
      <c r="K921" s="26">
        <v>0</v>
      </c>
      <c r="L921" s="14">
        <v>0</v>
      </c>
      <c r="M921" s="229">
        <v>0</v>
      </c>
      <c r="N921" s="229">
        <v>1</v>
      </c>
      <c r="O921" s="229">
        <v>0</v>
      </c>
      <c r="P921" s="26">
        <v>1</v>
      </c>
      <c r="Q921" s="14">
        <v>8</v>
      </c>
      <c r="R921" s="229">
        <v>0</v>
      </c>
      <c r="S921" s="229">
        <v>0</v>
      </c>
      <c r="T921" s="229">
        <v>0</v>
      </c>
      <c r="U921" s="229">
        <v>0</v>
      </c>
      <c r="V921" s="229">
        <v>156</v>
      </c>
      <c r="W921" s="229">
        <v>325</v>
      </c>
      <c r="X921" s="229">
        <v>0</v>
      </c>
      <c r="Y921" s="229">
        <v>0</v>
      </c>
      <c r="Z921" s="229">
        <v>0</v>
      </c>
      <c r="AA921" s="229">
        <v>0</v>
      </c>
      <c r="AB921" s="229">
        <v>0</v>
      </c>
      <c r="AC921" s="12">
        <v>1</v>
      </c>
      <c r="AD921" s="14">
        <v>1</v>
      </c>
      <c r="AE921" s="14">
        <v>0</v>
      </c>
      <c r="AF921" s="26">
        <v>0</v>
      </c>
      <c r="AG921" s="12">
        <v>153</v>
      </c>
      <c r="AH921" s="14">
        <v>0</v>
      </c>
      <c r="AI921" s="209"/>
      <c r="AJ921" s="3"/>
      <c r="AK921" s="3"/>
      <c r="AL921" s="3"/>
      <c r="AM921" s="3"/>
      <c r="AN921" s="3"/>
      <c r="AO921" s="40"/>
      <c r="AP921" s="209"/>
      <c r="AQ921" s="3"/>
      <c r="AR921" s="40"/>
      <c r="AS921" s="238"/>
    </row>
    <row r="922" spans="1:45" s="229" customFormat="1">
      <c r="A922" s="42" t="s">
        <v>325</v>
      </c>
      <c r="B922" s="386">
        <v>32.218499999999999</v>
      </c>
      <c r="C922" s="24" t="s">
        <v>183</v>
      </c>
      <c r="D922" s="229" t="s">
        <v>683</v>
      </c>
      <c r="E922" s="229" t="s">
        <v>0</v>
      </c>
      <c r="F922" s="229">
        <v>4151</v>
      </c>
      <c r="G922" s="40">
        <f>F922/3107</f>
        <v>1.3360154489861602</v>
      </c>
      <c r="H922" s="14">
        <v>0</v>
      </c>
      <c r="I922" s="229">
        <v>0</v>
      </c>
      <c r="J922" s="229">
        <v>0</v>
      </c>
      <c r="K922" s="26">
        <v>1</v>
      </c>
      <c r="L922" s="14">
        <v>0</v>
      </c>
      <c r="M922" s="229">
        <v>0</v>
      </c>
      <c r="N922" s="229">
        <v>1</v>
      </c>
      <c r="O922" s="229">
        <v>0</v>
      </c>
      <c r="P922" s="26">
        <v>1</v>
      </c>
      <c r="Q922" s="14">
        <v>2</v>
      </c>
      <c r="R922" s="229">
        <v>0</v>
      </c>
      <c r="S922" s="229">
        <v>0</v>
      </c>
      <c r="T922" s="229">
        <v>0</v>
      </c>
      <c r="U922" s="229">
        <v>0</v>
      </c>
      <c r="V922" s="229">
        <v>62</v>
      </c>
      <c r="W922" s="229">
        <v>80</v>
      </c>
      <c r="X922" s="229">
        <v>0</v>
      </c>
      <c r="Y922" s="229">
        <v>0</v>
      </c>
      <c r="Z922" s="229">
        <v>0</v>
      </c>
      <c r="AA922" s="229">
        <v>0</v>
      </c>
      <c r="AB922" s="229">
        <v>1</v>
      </c>
      <c r="AC922" s="12">
        <v>1</v>
      </c>
      <c r="AD922" s="14">
        <v>1</v>
      </c>
      <c r="AE922" s="14">
        <v>0</v>
      </c>
      <c r="AF922" s="26">
        <v>0</v>
      </c>
      <c r="AG922" s="12">
        <v>132</v>
      </c>
      <c r="AH922" s="14">
        <v>1</v>
      </c>
      <c r="AI922" s="209">
        <v>88.830701469633098</v>
      </c>
      <c r="AJ922" s="3"/>
      <c r="AK922" s="3"/>
      <c r="AL922" s="3"/>
      <c r="AM922" s="3"/>
      <c r="AN922" s="3"/>
      <c r="AO922" s="40"/>
      <c r="AP922" s="209">
        <v>88.477262244473508</v>
      </c>
      <c r="AQ922" s="3"/>
      <c r="AR922" s="40"/>
      <c r="AS922" s="238"/>
    </row>
    <row r="923" spans="1:45" s="229" customFormat="1">
      <c r="A923" s="42" t="s">
        <v>325</v>
      </c>
      <c r="B923" s="386">
        <v>32.218499999999999</v>
      </c>
      <c r="C923" s="24" t="s">
        <v>183</v>
      </c>
      <c r="D923" s="229" t="s">
        <v>683</v>
      </c>
      <c r="E923" s="229" t="s">
        <v>1</v>
      </c>
      <c r="F923" s="229">
        <v>295</v>
      </c>
      <c r="G923" s="40">
        <f>F923/257</f>
        <v>1.1478599221789882</v>
      </c>
      <c r="H923" s="14">
        <v>0</v>
      </c>
      <c r="I923" s="229">
        <v>0</v>
      </c>
      <c r="J923" s="229">
        <v>1</v>
      </c>
      <c r="K923" s="26">
        <v>0</v>
      </c>
      <c r="L923" s="14">
        <v>0</v>
      </c>
      <c r="M923" s="229">
        <v>0</v>
      </c>
      <c r="N923" s="229">
        <v>0</v>
      </c>
      <c r="O923" s="229">
        <v>0</v>
      </c>
      <c r="P923" s="26">
        <v>0</v>
      </c>
      <c r="Q923" s="14">
        <v>5</v>
      </c>
      <c r="R923" s="229">
        <v>0</v>
      </c>
      <c r="S923" s="229">
        <v>0</v>
      </c>
      <c r="T923" s="229">
        <v>0</v>
      </c>
      <c r="U923" s="229">
        <v>0</v>
      </c>
      <c r="V923" s="229">
        <v>0</v>
      </c>
      <c r="W923" s="229">
        <v>48</v>
      </c>
      <c r="X923" s="229">
        <v>0</v>
      </c>
      <c r="Y923" s="229">
        <v>0</v>
      </c>
      <c r="Z923" s="229">
        <v>0</v>
      </c>
      <c r="AA923" s="229">
        <v>0</v>
      </c>
      <c r="AB923" s="229">
        <v>1</v>
      </c>
      <c r="AC923" s="12">
        <v>1</v>
      </c>
      <c r="AD923" s="14">
        <v>1</v>
      </c>
      <c r="AE923" s="14">
        <v>0</v>
      </c>
      <c r="AF923" s="26">
        <v>0</v>
      </c>
      <c r="AG923" s="12">
        <v>132</v>
      </c>
      <c r="AH923" s="14">
        <v>0</v>
      </c>
      <c r="AI923" s="209"/>
      <c r="AJ923" s="3"/>
      <c r="AK923" s="3"/>
      <c r="AL923" s="3"/>
      <c r="AM923" s="3"/>
      <c r="AN923" s="3"/>
      <c r="AO923" s="40"/>
      <c r="AP923" s="209"/>
      <c r="AQ923" s="3"/>
      <c r="AR923" s="40"/>
      <c r="AS923" s="238"/>
    </row>
    <row r="924" spans="1:45" s="229" customFormat="1">
      <c r="A924" s="42" t="s">
        <v>325</v>
      </c>
      <c r="B924" s="386">
        <v>32.218499999999999</v>
      </c>
      <c r="C924" s="24" t="s">
        <v>183</v>
      </c>
      <c r="D924" s="229" t="s">
        <v>684</v>
      </c>
      <c r="E924" s="229" t="s">
        <v>0</v>
      </c>
      <c r="F924" s="229">
        <v>1352</v>
      </c>
      <c r="G924" s="40">
        <f>F924/1338</f>
        <v>1.0104633781763828</v>
      </c>
      <c r="H924" s="14">
        <v>0</v>
      </c>
      <c r="I924" s="229">
        <v>0</v>
      </c>
      <c r="J924" s="229">
        <v>0</v>
      </c>
      <c r="K924" s="26">
        <v>1</v>
      </c>
      <c r="L924" s="14">
        <v>0</v>
      </c>
      <c r="M924" s="229">
        <v>0</v>
      </c>
      <c r="N924" s="229">
        <v>1</v>
      </c>
      <c r="O924" s="229">
        <v>0</v>
      </c>
      <c r="P924" s="26">
        <v>1</v>
      </c>
      <c r="Q924" s="14">
        <v>2</v>
      </c>
      <c r="R924" s="229">
        <v>0</v>
      </c>
      <c r="S924" s="229">
        <v>0</v>
      </c>
      <c r="T924" s="229">
        <v>0</v>
      </c>
      <c r="U924" s="229">
        <v>0</v>
      </c>
      <c r="V924" s="229">
        <v>0</v>
      </c>
      <c r="W924" s="229">
        <v>60</v>
      </c>
      <c r="X924" s="229">
        <v>0</v>
      </c>
      <c r="Y924" s="229">
        <v>0</v>
      </c>
      <c r="Z924" s="229">
        <v>0</v>
      </c>
      <c r="AA924" s="229">
        <v>0</v>
      </c>
      <c r="AB924" s="229">
        <v>1</v>
      </c>
      <c r="AC924" s="12">
        <v>2</v>
      </c>
      <c r="AD924" s="14">
        <v>2</v>
      </c>
      <c r="AE924" s="14">
        <v>1158</v>
      </c>
      <c r="AF924" s="26">
        <v>1352</v>
      </c>
      <c r="AG924" s="12">
        <v>149</v>
      </c>
      <c r="AH924" s="14">
        <v>0</v>
      </c>
      <c r="AI924" s="209">
        <v>88.158865355375355</v>
      </c>
      <c r="AJ924" s="3"/>
      <c r="AK924" s="3"/>
      <c r="AL924" s="3"/>
      <c r="AM924" s="3"/>
      <c r="AN924" s="3"/>
      <c r="AO924" s="40"/>
      <c r="AP924" s="209">
        <v>85.961310472196729</v>
      </c>
      <c r="AQ924" s="3"/>
      <c r="AR924" s="40"/>
      <c r="AS924" s="238"/>
    </row>
    <row r="925" spans="1:45" s="229" customFormat="1">
      <c r="A925" s="42" t="s">
        <v>325</v>
      </c>
      <c r="B925" s="386">
        <v>32.218499999999999</v>
      </c>
      <c r="C925" s="24" t="s">
        <v>183</v>
      </c>
      <c r="D925" s="229" t="s">
        <v>684</v>
      </c>
      <c r="E925" s="229" t="s">
        <v>1</v>
      </c>
      <c r="F925" s="229">
        <v>305</v>
      </c>
      <c r="G925" s="40">
        <f>F925/236</f>
        <v>1.2923728813559323</v>
      </c>
      <c r="H925" s="14">
        <v>1</v>
      </c>
      <c r="I925" s="229">
        <v>0</v>
      </c>
      <c r="J925" s="229">
        <v>0</v>
      </c>
      <c r="K925" s="26">
        <v>0</v>
      </c>
      <c r="L925" s="14">
        <v>0</v>
      </c>
      <c r="M925" s="229">
        <v>0</v>
      </c>
      <c r="N925" s="229">
        <v>0</v>
      </c>
      <c r="O925" s="229">
        <v>0</v>
      </c>
      <c r="P925" s="26">
        <v>0</v>
      </c>
      <c r="Q925" s="14">
        <v>0</v>
      </c>
      <c r="R925" s="229">
        <v>0</v>
      </c>
      <c r="S925" s="229">
        <v>0</v>
      </c>
      <c r="T925" s="229">
        <v>0</v>
      </c>
      <c r="U925" s="229">
        <v>0</v>
      </c>
      <c r="V925" s="229">
        <v>0</v>
      </c>
      <c r="W925" s="229">
        <v>0</v>
      </c>
      <c r="X925" s="229">
        <v>0</v>
      </c>
      <c r="Y925" s="229">
        <v>0</v>
      </c>
      <c r="Z925" s="229">
        <v>0</v>
      </c>
      <c r="AA925" s="229">
        <v>0</v>
      </c>
      <c r="AB925" s="229">
        <v>0</v>
      </c>
      <c r="AC925" s="12">
        <v>1</v>
      </c>
      <c r="AD925" s="14">
        <v>1</v>
      </c>
      <c r="AE925" s="14">
        <v>0</v>
      </c>
      <c r="AF925" s="26">
        <v>0</v>
      </c>
      <c r="AG925" s="12">
        <v>149</v>
      </c>
      <c r="AH925" s="14">
        <v>0</v>
      </c>
      <c r="AI925" s="209"/>
      <c r="AJ925" s="3"/>
      <c r="AK925" s="3"/>
      <c r="AL925" s="3"/>
      <c r="AM925" s="3"/>
      <c r="AN925" s="3"/>
      <c r="AO925" s="40"/>
      <c r="AP925" s="209"/>
      <c r="AQ925" s="3"/>
      <c r="AR925" s="40"/>
      <c r="AS925" s="238"/>
    </row>
    <row r="926" spans="1:45" s="229" customFormat="1">
      <c r="A926" s="42" t="s">
        <v>325</v>
      </c>
      <c r="B926" s="386">
        <v>32.218499999999999</v>
      </c>
      <c r="C926" s="24" t="s">
        <v>183</v>
      </c>
      <c r="D926" s="229" t="s">
        <v>684</v>
      </c>
      <c r="E926" s="229" t="s">
        <v>2</v>
      </c>
      <c r="F926" s="229">
        <v>4434</v>
      </c>
      <c r="G926" s="40">
        <f>F926/2190</f>
        <v>2.0246575342465754</v>
      </c>
      <c r="H926" s="14">
        <v>0</v>
      </c>
      <c r="I926" s="229">
        <v>1</v>
      </c>
      <c r="J926" s="229">
        <v>0</v>
      </c>
      <c r="K926" s="26">
        <v>0</v>
      </c>
      <c r="L926" s="14">
        <v>1</v>
      </c>
      <c r="M926" s="229">
        <v>0</v>
      </c>
      <c r="N926" s="229">
        <v>0</v>
      </c>
      <c r="O926" s="229">
        <v>1</v>
      </c>
      <c r="P926" s="26">
        <v>2</v>
      </c>
      <c r="Q926" s="14">
        <v>2</v>
      </c>
      <c r="R926" s="229">
        <v>0</v>
      </c>
      <c r="S926" s="229">
        <v>34</v>
      </c>
      <c r="T926" s="229">
        <v>0</v>
      </c>
      <c r="U926" s="229">
        <v>0</v>
      </c>
      <c r="V926" s="229">
        <v>30</v>
      </c>
      <c r="W926" s="229">
        <v>163</v>
      </c>
      <c r="X926" s="229">
        <v>0</v>
      </c>
      <c r="Y926" s="229">
        <v>0</v>
      </c>
      <c r="Z926" s="229">
        <v>0</v>
      </c>
      <c r="AA926" s="229">
        <v>0</v>
      </c>
      <c r="AB926" s="229">
        <v>1</v>
      </c>
      <c r="AC926" s="12">
        <v>2</v>
      </c>
      <c r="AD926" s="14">
        <v>8</v>
      </c>
      <c r="AE926" s="14">
        <v>493</v>
      </c>
      <c r="AF926" s="26">
        <v>2309</v>
      </c>
      <c r="AG926" s="12">
        <v>149</v>
      </c>
      <c r="AH926" s="14">
        <v>0</v>
      </c>
      <c r="AI926" s="209">
        <v>83.955982754855555</v>
      </c>
      <c r="AJ926" s="3"/>
      <c r="AK926" s="3"/>
      <c r="AL926" s="3"/>
      <c r="AM926" s="3"/>
      <c r="AN926" s="3"/>
      <c r="AO926" s="40"/>
      <c r="AP926" s="209">
        <v>87.873304168898528</v>
      </c>
      <c r="AQ926" s="3"/>
      <c r="AR926" s="40"/>
      <c r="AS926" s="238"/>
    </row>
    <row r="927" spans="1:45" s="229" customFormat="1" ht="17" thickBot="1">
      <c r="A927" s="55" t="s">
        <v>325</v>
      </c>
      <c r="B927" s="385">
        <v>32.218499999999999</v>
      </c>
      <c r="C927" s="103" t="s">
        <v>183</v>
      </c>
      <c r="D927" s="36" t="s">
        <v>685</v>
      </c>
      <c r="E927" s="36"/>
      <c r="F927" s="36">
        <v>3790</v>
      </c>
      <c r="G927" s="48">
        <f>F927/1138</f>
        <v>3.3304042179261861</v>
      </c>
      <c r="H927" s="34">
        <v>0</v>
      </c>
      <c r="I927" s="36">
        <v>0</v>
      </c>
      <c r="J927" s="36">
        <v>0</v>
      </c>
      <c r="K927" s="35">
        <v>1</v>
      </c>
      <c r="L927" s="34">
        <v>0</v>
      </c>
      <c r="M927" s="36">
        <v>0</v>
      </c>
      <c r="N927" s="36">
        <v>1</v>
      </c>
      <c r="O927" s="36">
        <v>0</v>
      </c>
      <c r="P927" s="35">
        <v>1</v>
      </c>
      <c r="Q927" s="34">
        <v>0</v>
      </c>
      <c r="R927" s="36">
        <v>0</v>
      </c>
      <c r="S927" s="36">
        <v>0</v>
      </c>
      <c r="T927" s="36">
        <v>0</v>
      </c>
      <c r="U927" s="36">
        <v>0</v>
      </c>
      <c r="V927" s="36">
        <v>0</v>
      </c>
      <c r="W927" s="36">
        <v>0</v>
      </c>
      <c r="X927" s="36">
        <v>0</v>
      </c>
      <c r="Y927" s="36">
        <v>0</v>
      </c>
      <c r="Z927" s="36">
        <v>0</v>
      </c>
      <c r="AA927" s="36">
        <v>0</v>
      </c>
      <c r="AB927" s="36">
        <v>0</v>
      </c>
      <c r="AC927" s="33">
        <v>2</v>
      </c>
      <c r="AD927" s="34">
        <v>5</v>
      </c>
      <c r="AE927" s="34">
        <v>232</v>
      </c>
      <c r="AF927" s="35">
        <v>1898</v>
      </c>
      <c r="AG927" s="33">
        <v>166</v>
      </c>
      <c r="AH927" s="34">
        <v>0</v>
      </c>
      <c r="AI927" s="210"/>
      <c r="AJ927" s="51"/>
      <c r="AK927" s="51"/>
      <c r="AL927" s="51"/>
      <c r="AM927" s="51"/>
      <c r="AN927" s="51"/>
      <c r="AO927" s="48"/>
      <c r="AP927" s="210"/>
      <c r="AQ927" s="51"/>
      <c r="AR927" s="48"/>
      <c r="AS927" s="239"/>
    </row>
    <row r="928" spans="1:45" s="229" customFormat="1">
      <c r="A928" s="147" t="s">
        <v>325</v>
      </c>
      <c r="B928" s="390">
        <v>32.68</v>
      </c>
      <c r="C928" s="24" t="s">
        <v>146</v>
      </c>
      <c r="D928" s="229" t="s">
        <v>423</v>
      </c>
      <c r="E928" s="229" t="s">
        <v>0</v>
      </c>
      <c r="F928" s="229">
        <v>379</v>
      </c>
      <c r="G928" s="40">
        <f>F928/245</f>
        <v>1.546938775510204</v>
      </c>
      <c r="H928" s="14">
        <v>0</v>
      </c>
      <c r="I928" s="229">
        <v>0</v>
      </c>
      <c r="J928" s="229">
        <v>1</v>
      </c>
      <c r="K928" s="26">
        <v>0</v>
      </c>
      <c r="L928" s="14">
        <v>0</v>
      </c>
      <c r="M928" s="229">
        <v>0</v>
      </c>
      <c r="N928" s="229">
        <v>1</v>
      </c>
      <c r="O928" s="229">
        <v>0</v>
      </c>
      <c r="P928" s="26">
        <v>1</v>
      </c>
      <c r="Q928" s="14">
        <v>1</v>
      </c>
      <c r="R928" s="229">
        <v>0</v>
      </c>
      <c r="S928" s="229">
        <v>10</v>
      </c>
      <c r="T928" s="229">
        <v>0</v>
      </c>
      <c r="U928" s="229">
        <v>0</v>
      </c>
      <c r="V928" s="229">
        <v>0</v>
      </c>
      <c r="W928" s="229">
        <v>38</v>
      </c>
      <c r="X928" s="229">
        <v>0</v>
      </c>
      <c r="Y928" s="229">
        <v>0</v>
      </c>
      <c r="Z928" s="229">
        <v>0</v>
      </c>
      <c r="AA928" s="229">
        <v>0</v>
      </c>
      <c r="AB928" s="229">
        <v>1</v>
      </c>
      <c r="AC928" s="12">
        <v>1</v>
      </c>
      <c r="AD928" s="14">
        <v>1</v>
      </c>
      <c r="AE928" s="14">
        <v>0</v>
      </c>
      <c r="AF928" s="26">
        <v>0</v>
      </c>
      <c r="AG928" s="12">
        <v>152</v>
      </c>
      <c r="AH928" s="14">
        <v>0</v>
      </c>
      <c r="AI928" s="209"/>
      <c r="AJ928" s="3"/>
      <c r="AK928" s="3"/>
      <c r="AL928" s="3"/>
      <c r="AM928" s="3"/>
      <c r="AN928" s="3"/>
      <c r="AO928" s="40"/>
      <c r="AP928" s="209"/>
      <c r="AQ928" s="3"/>
      <c r="AR928" s="40"/>
      <c r="AS928" s="238"/>
    </row>
    <row r="929" spans="1:45" s="229" customFormat="1">
      <c r="A929" s="83" t="s">
        <v>325</v>
      </c>
      <c r="B929" s="390">
        <v>32.68</v>
      </c>
      <c r="C929" s="24" t="s">
        <v>146</v>
      </c>
      <c r="D929" s="229" t="s">
        <v>423</v>
      </c>
      <c r="E929" s="229" t="s">
        <v>1</v>
      </c>
      <c r="F929" s="229">
        <v>387</v>
      </c>
      <c r="G929" s="40">
        <f>F929/382</f>
        <v>1.0130890052356021</v>
      </c>
      <c r="H929" s="14">
        <v>0</v>
      </c>
      <c r="I929" s="229">
        <v>0</v>
      </c>
      <c r="J929" s="229">
        <v>1</v>
      </c>
      <c r="K929" s="26">
        <v>0</v>
      </c>
      <c r="L929" s="14">
        <v>0</v>
      </c>
      <c r="M929" s="229">
        <v>0</v>
      </c>
      <c r="N929" s="229">
        <v>1</v>
      </c>
      <c r="O929" s="229">
        <v>1</v>
      </c>
      <c r="P929" s="26">
        <v>2</v>
      </c>
      <c r="Q929" s="14">
        <v>6</v>
      </c>
      <c r="R929" s="229">
        <v>0</v>
      </c>
      <c r="S929" s="229">
        <v>0</v>
      </c>
      <c r="T929" s="229">
        <v>0</v>
      </c>
      <c r="U929" s="229">
        <v>0</v>
      </c>
      <c r="V929" s="229">
        <v>0</v>
      </c>
      <c r="W929" s="229">
        <v>51</v>
      </c>
      <c r="X929" s="229">
        <v>0</v>
      </c>
      <c r="Y929" s="229">
        <v>0</v>
      </c>
      <c r="Z929" s="229">
        <v>0</v>
      </c>
      <c r="AA929" s="229">
        <v>86</v>
      </c>
      <c r="AB929" s="229">
        <v>0</v>
      </c>
      <c r="AC929" s="12">
        <v>2</v>
      </c>
      <c r="AD929" s="14">
        <v>2</v>
      </c>
      <c r="AE929" s="14">
        <v>344</v>
      </c>
      <c r="AF929" s="26">
        <v>387</v>
      </c>
      <c r="AG929" s="12">
        <v>152</v>
      </c>
      <c r="AH929" s="14">
        <v>0</v>
      </c>
      <c r="AI929" s="209"/>
      <c r="AJ929" s="3"/>
      <c r="AK929" s="3"/>
      <c r="AL929" s="3"/>
      <c r="AM929" s="3"/>
      <c r="AN929" s="3"/>
      <c r="AO929" s="40"/>
      <c r="AP929" s="209"/>
      <c r="AQ929" s="3"/>
      <c r="AR929" s="40"/>
      <c r="AS929" s="238"/>
    </row>
    <row r="930" spans="1:45" s="229" customFormat="1">
      <c r="A930" s="83" t="s">
        <v>325</v>
      </c>
      <c r="B930" s="390">
        <v>32.68</v>
      </c>
      <c r="C930" s="24" t="s">
        <v>146</v>
      </c>
      <c r="D930" s="229" t="s">
        <v>622</v>
      </c>
      <c r="F930" s="229">
        <v>357</v>
      </c>
      <c r="G930" s="40">
        <f>F930/198</f>
        <v>1.803030303030303</v>
      </c>
      <c r="H930" s="14">
        <v>1</v>
      </c>
      <c r="I930" s="229">
        <v>0</v>
      </c>
      <c r="J930" s="229">
        <v>0</v>
      </c>
      <c r="K930" s="26">
        <v>1</v>
      </c>
      <c r="L930" s="14">
        <v>0</v>
      </c>
      <c r="M930" s="229">
        <v>0</v>
      </c>
      <c r="N930" s="229">
        <v>1</v>
      </c>
      <c r="O930" s="229">
        <v>1</v>
      </c>
      <c r="P930" s="26">
        <v>2</v>
      </c>
      <c r="Q930" s="14">
        <v>0</v>
      </c>
      <c r="R930" s="229">
        <v>0</v>
      </c>
      <c r="S930" s="229">
        <v>0</v>
      </c>
      <c r="T930" s="229">
        <v>0</v>
      </c>
      <c r="U930" s="229">
        <v>0</v>
      </c>
      <c r="V930" s="229">
        <v>0</v>
      </c>
      <c r="W930" s="229">
        <v>0</v>
      </c>
      <c r="X930" s="229">
        <v>0</v>
      </c>
      <c r="Y930" s="229">
        <v>0</v>
      </c>
      <c r="Z930" s="229">
        <v>0</v>
      </c>
      <c r="AA930" s="229">
        <v>0</v>
      </c>
      <c r="AB930" s="229">
        <v>0</v>
      </c>
      <c r="AC930" s="12">
        <v>2</v>
      </c>
      <c r="AD930" s="14">
        <v>4</v>
      </c>
      <c r="AE930" s="14">
        <v>34</v>
      </c>
      <c r="AF930" s="26">
        <v>280</v>
      </c>
      <c r="AG930" s="12">
        <v>134</v>
      </c>
      <c r="AH930" s="14">
        <v>0</v>
      </c>
      <c r="AI930" s="209"/>
      <c r="AJ930" s="3"/>
      <c r="AK930" s="3"/>
      <c r="AL930" s="3"/>
      <c r="AM930" s="3"/>
      <c r="AN930" s="3"/>
      <c r="AO930" s="40"/>
      <c r="AP930" s="209"/>
      <c r="AQ930" s="3"/>
      <c r="AR930" s="40"/>
      <c r="AS930" s="238"/>
    </row>
    <row r="931" spans="1:45" s="229" customFormat="1">
      <c r="A931" s="83" t="s">
        <v>325</v>
      </c>
      <c r="B931" s="390">
        <v>32.68</v>
      </c>
      <c r="C931" s="24" t="s">
        <v>146</v>
      </c>
      <c r="D931" s="229" t="s">
        <v>620</v>
      </c>
      <c r="F931" s="229">
        <v>850</v>
      </c>
      <c r="G931" s="40">
        <f>F931/465</f>
        <v>1.8279569892473118</v>
      </c>
      <c r="H931" s="14">
        <v>0</v>
      </c>
      <c r="I931" s="229">
        <v>0</v>
      </c>
      <c r="J931" s="229">
        <v>1</v>
      </c>
      <c r="K931" s="26">
        <v>0</v>
      </c>
      <c r="L931" s="14">
        <v>1</v>
      </c>
      <c r="M931" s="229">
        <v>0</v>
      </c>
      <c r="N931" s="229">
        <v>0</v>
      </c>
      <c r="O931" s="229">
        <v>0</v>
      </c>
      <c r="P931" s="26">
        <v>1</v>
      </c>
      <c r="Q931" s="14">
        <v>0</v>
      </c>
      <c r="R931" s="229">
        <v>0</v>
      </c>
      <c r="S931" s="229">
        <v>0</v>
      </c>
      <c r="T931" s="229">
        <v>0</v>
      </c>
      <c r="U931" s="229">
        <v>0</v>
      </c>
      <c r="V931" s="229">
        <v>0</v>
      </c>
      <c r="W931" s="229">
        <v>0</v>
      </c>
      <c r="X931" s="229">
        <v>0</v>
      </c>
      <c r="Y931" s="229">
        <v>0</v>
      </c>
      <c r="Z931" s="229">
        <v>0</v>
      </c>
      <c r="AA931" s="229">
        <v>0</v>
      </c>
      <c r="AB931" s="229">
        <v>0</v>
      </c>
      <c r="AC931" s="12">
        <v>1</v>
      </c>
      <c r="AD931" s="14">
        <v>1</v>
      </c>
      <c r="AE931" s="14">
        <v>0</v>
      </c>
      <c r="AF931" s="26">
        <v>0</v>
      </c>
      <c r="AG931" s="12">
        <v>132</v>
      </c>
      <c r="AH931" s="14">
        <v>0</v>
      </c>
      <c r="AI931" s="209">
        <v>85.793478128565027</v>
      </c>
      <c r="AJ931" s="3"/>
      <c r="AK931" s="3"/>
      <c r="AL931" s="3"/>
      <c r="AM931" s="3"/>
      <c r="AN931" s="3"/>
      <c r="AO931" s="40"/>
      <c r="AP931" s="209">
        <v>79.939213322025722</v>
      </c>
      <c r="AQ931" s="3"/>
      <c r="AR931" s="40"/>
      <c r="AS931" s="238"/>
    </row>
    <row r="932" spans="1:45" s="229" customFormat="1">
      <c r="A932" s="83" t="s">
        <v>325</v>
      </c>
      <c r="B932" s="390">
        <v>32.68</v>
      </c>
      <c r="C932" s="24" t="s">
        <v>146</v>
      </c>
      <c r="D932" s="229" t="s">
        <v>654</v>
      </c>
      <c r="F932" s="229">
        <v>1644</v>
      </c>
      <c r="G932" s="40">
        <f>F932/1227</f>
        <v>1.3398533007334963</v>
      </c>
      <c r="H932" s="14">
        <v>0</v>
      </c>
      <c r="I932" s="229">
        <v>0</v>
      </c>
      <c r="J932" s="229">
        <v>1</v>
      </c>
      <c r="K932" s="26">
        <v>0</v>
      </c>
      <c r="L932" s="14">
        <v>0</v>
      </c>
      <c r="M932" s="229">
        <v>0</v>
      </c>
      <c r="N932" s="229">
        <v>1</v>
      </c>
      <c r="O932" s="229">
        <v>0</v>
      </c>
      <c r="P932" s="26">
        <v>1</v>
      </c>
      <c r="Q932" s="14">
        <v>2</v>
      </c>
      <c r="R932" s="229">
        <v>0</v>
      </c>
      <c r="S932" s="229">
        <v>0</v>
      </c>
      <c r="T932" s="229">
        <v>0</v>
      </c>
      <c r="U932" s="229">
        <v>0</v>
      </c>
      <c r="V932" s="229">
        <v>0</v>
      </c>
      <c r="W932" s="229">
        <v>67</v>
      </c>
      <c r="X932" s="229">
        <v>0</v>
      </c>
      <c r="Y932" s="229">
        <v>0</v>
      </c>
      <c r="Z932" s="229">
        <v>0</v>
      </c>
      <c r="AA932" s="229">
        <v>0</v>
      </c>
      <c r="AB932" s="229">
        <v>1</v>
      </c>
      <c r="AC932" s="12">
        <v>2</v>
      </c>
      <c r="AD932" s="14">
        <v>2</v>
      </c>
      <c r="AE932" s="14">
        <v>844</v>
      </c>
      <c r="AF932" s="26">
        <v>1370</v>
      </c>
      <c r="AG932" s="12">
        <v>160</v>
      </c>
      <c r="AH932" s="14">
        <v>0</v>
      </c>
      <c r="AI932" s="209">
        <v>87.362036914890311</v>
      </c>
      <c r="AJ932" s="3"/>
      <c r="AK932" s="3"/>
      <c r="AL932" s="3"/>
      <c r="AM932" s="3"/>
      <c r="AN932" s="3"/>
      <c r="AO932" s="40"/>
      <c r="AP932" s="209">
        <v>81.624607146214061</v>
      </c>
      <c r="AQ932" s="3"/>
      <c r="AR932" s="40"/>
      <c r="AS932" s="238"/>
    </row>
    <row r="933" spans="1:45" s="229" customFormat="1">
      <c r="A933" s="83" t="s">
        <v>325</v>
      </c>
      <c r="B933" s="390">
        <v>32.68</v>
      </c>
      <c r="C933" s="24" t="s">
        <v>146</v>
      </c>
      <c r="D933" s="229" t="s">
        <v>634</v>
      </c>
      <c r="E933" s="229" t="s">
        <v>0</v>
      </c>
      <c r="F933" s="229">
        <v>779</v>
      </c>
      <c r="G933" s="40">
        <f>F933/688</f>
        <v>1.132267441860465</v>
      </c>
      <c r="H933" s="14">
        <v>0</v>
      </c>
      <c r="I933" s="229">
        <v>0</v>
      </c>
      <c r="J933" s="229">
        <v>1</v>
      </c>
      <c r="K933" s="26">
        <v>0</v>
      </c>
      <c r="L933" s="14">
        <v>0</v>
      </c>
      <c r="M933" s="229">
        <v>0</v>
      </c>
      <c r="N933" s="229">
        <v>1</v>
      </c>
      <c r="O933" s="229">
        <v>0</v>
      </c>
      <c r="P933" s="26">
        <v>1</v>
      </c>
      <c r="Q933" s="14">
        <v>10</v>
      </c>
      <c r="R933" s="229">
        <v>0</v>
      </c>
      <c r="S933" s="229">
        <v>0</v>
      </c>
      <c r="T933" s="229">
        <v>0</v>
      </c>
      <c r="U933" s="229">
        <v>0</v>
      </c>
      <c r="V933" s="229">
        <v>0</v>
      </c>
      <c r="W933" s="229">
        <v>216</v>
      </c>
      <c r="X933" s="229">
        <v>0</v>
      </c>
      <c r="Y933" s="229">
        <v>0</v>
      </c>
      <c r="Z933" s="229">
        <v>0</v>
      </c>
      <c r="AA933" s="229">
        <v>120</v>
      </c>
      <c r="AB933" s="229">
        <v>0</v>
      </c>
      <c r="AC933" s="12">
        <v>1</v>
      </c>
      <c r="AD933" s="14">
        <v>1</v>
      </c>
      <c r="AE933" s="14">
        <v>0</v>
      </c>
      <c r="AF933" s="26">
        <v>0</v>
      </c>
      <c r="AG933" s="12">
        <v>154</v>
      </c>
      <c r="AH933" s="14">
        <v>0</v>
      </c>
      <c r="AI933" s="209">
        <v>85.462687687870343</v>
      </c>
      <c r="AJ933" s="3"/>
      <c r="AK933" s="3"/>
      <c r="AL933" s="3"/>
      <c r="AM933" s="3"/>
      <c r="AN933" s="3"/>
      <c r="AO933" s="40"/>
      <c r="AP933" s="209">
        <v>80.872879389755056</v>
      </c>
      <c r="AQ933" s="3"/>
      <c r="AR933" s="40"/>
      <c r="AS933" s="238"/>
    </row>
    <row r="934" spans="1:45" s="229" customFormat="1">
      <c r="A934" s="83" t="s">
        <v>325</v>
      </c>
      <c r="B934" s="390">
        <v>32.68</v>
      </c>
      <c r="C934" s="24" t="s">
        <v>146</v>
      </c>
      <c r="D934" s="229" t="s">
        <v>634</v>
      </c>
      <c r="E934" s="229" t="s">
        <v>1</v>
      </c>
      <c r="F934" s="229">
        <v>463</v>
      </c>
      <c r="G934" s="40">
        <f>F934/324</f>
        <v>1.4290123456790123</v>
      </c>
      <c r="H934" s="14">
        <v>0</v>
      </c>
      <c r="I934" s="229">
        <v>0</v>
      </c>
      <c r="J934" s="229">
        <v>1</v>
      </c>
      <c r="K934" s="26">
        <v>0</v>
      </c>
      <c r="L934" s="14">
        <v>0</v>
      </c>
      <c r="M934" s="229">
        <v>0</v>
      </c>
      <c r="N934" s="229">
        <v>0</v>
      </c>
      <c r="O934" s="229">
        <v>0</v>
      </c>
      <c r="P934" s="26">
        <v>0</v>
      </c>
      <c r="Q934" s="14">
        <v>40</v>
      </c>
      <c r="R934" s="229">
        <v>0</v>
      </c>
      <c r="S934" s="229">
        <v>0</v>
      </c>
      <c r="T934" s="229">
        <v>0</v>
      </c>
      <c r="U934" s="229">
        <v>0</v>
      </c>
      <c r="V934" s="229">
        <v>0</v>
      </c>
      <c r="W934" s="229">
        <v>0</v>
      </c>
      <c r="X934" s="229">
        <v>0</v>
      </c>
      <c r="Y934" s="229">
        <v>0</v>
      </c>
      <c r="Z934" s="229">
        <v>0</v>
      </c>
      <c r="AA934" s="229">
        <v>299</v>
      </c>
      <c r="AB934" s="229">
        <v>0</v>
      </c>
      <c r="AC934" s="12">
        <v>1</v>
      </c>
      <c r="AD934" s="14">
        <v>1</v>
      </c>
      <c r="AE934" s="14">
        <v>0</v>
      </c>
      <c r="AF934" s="26">
        <v>0</v>
      </c>
      <c r="AG934" s="12">
        <v>154</v>
      </c>
      <c r="AH934" s="14">
        <v>0</v>
      </c>
      <c r="AI934" s="209"/>
      <c r="AJ934" s="3"/>
      <c r="AK934" s="3"/>
      <c r="AL934" s="3"/>
      <c r="AM934" s="3"/>
      <c r="AN934" s="3"/>
      <c r="AO934" s="40"/>
      <c r="AP934" s="209"/>
      <c r="AQ934" s="3"/>
      <c r="AR934" s="40"/>
      <c r="AS934" s="238"/>
    </row>
    <row r="935" spans="1:45" s="229" customFormat="1" ht="17" thickBot="1">
      <c r="A935" s="84" t="s">
        <v>325</v>
      </c>
      <c r="B935" s="388">
        <v>32.68</v>
      </c>
      <c r="C935" s="24" t="s">
        <v>146</v>
      </c>
      <c r="D935" s="229" t="s">
        <v>712</v>
      </c>
      <c r="F935" s="229">
        <v>237</v>
      </c>
      <c r="G935" s="40">
        <f>F935/191</f>
        <v>1.2408376963350785</v>
      </c>
      <c r="H935" s="14">
        <v>1</v>
      </c>
      <c r="I935" s="229">
        <v>0</v>
      </c>
      <c r="J935" s="229">
        <v>0</v>
      </c>
      <c r="K935" s="26">
        <v>0</v>
      </c>
      <c r="L935" s="14">
        <v>0</v>
      </c>
      <c r="M935" s="229">
        <v>0</v>
      </c>
      <c r="N935" s="229">
        <v>1</v>
      </c>
      <c r="O935" s="229">
        <v>0</v>
      </c>
      <c r="P935" s="26">
        <v>1</v>
      </c>
      <c r="Q935" s="14">
        <v>0</v>
      </c>
      <c r="R935" s="229">
        <v>0</v>
      </c>
      <c r="S935" s="229">
        <v>0</v>
      </c>
      <c r="T935" s="229">
        <v>0</v>
      </c>
      <c r="U935" s="229">
        <v>0</v>
      </c>
      <c r="V935" s="229">
        <v>0</v>
      </c>
      <c r="W935" s="229">
        <v>0</v>
      </c>
      <c r="X935" s="229">
        <v>0</v>
      </c>
      <c r="Y935" s="229">
        <v>0</v>
      </c>
      <c r="Z935" s="229">
        <v>0</v>
      </c>
      <c r="AA935" s="229">
        <v>0</v>
      </c>
      <c r="AB935" s="229">
        <v>0</v>
      </c>
      <c r="AC935" s="12">
        <v>1</v>
      </c>
      <c r="AD935" s="14">
        <v>1</v>
      </c>
      <c r="AE935" s="14">
        <v>0</v>
      </c>
      <c r="AF935" s="26">
        <v>0</v>
      </c>
      <c r="AG935" s="12">
        <v>121</v>
      </c>
      <c r="AH935" s="14">
        <v>0</v>
      </c>
      <c r="AI935" s="209"/>
      <c r="AJ935" s="3"/>
      <c r="AK935" s="3"/>
      <c r="AL935" s="3"/>
      <c r="AM935" s="3"/>
      <c r="AN935" s="3"/>
      <c r="AO935" s="40"/>
      <c r="AP935" s="209"/>
      <c r="AQ935" s="3"/>
      <c r="AR935" s="40"/>
      <c r="AS935" s="238"/>
    </row>
    <row r="936" spans="1:45" s="229" customFormat="1">
      <c r="A936" s="147" t="s">
        <v>325</v>
      </c>
      <c r="B936" s="384">
        <v>31.958333333333332</v>
      </c>
      <c r="C936" s="100" t="s">
        <v>292</v>
      </c>
      <c r="D936" s="8" t="s">
        <v>423</v>
      </c>
      <c r="E936" s="8" t="s">
        <v>0</v>
      </c>
      <c r="F936" s="8">
        <v>284</v>
      </c>
      <c r="G936" s="10">
        <f>F936/171</f>
        <v>1.6608187134502923</v>
      </c>
      <c r="H936" s="11">
        <v>0</v>
      </c>
      <c r="I936" s="8">
        <v>0</v>
      </c>
      <c r="J936" s="8">
        <v>0</v>
      </c>
      <c r="K936" s="41">
        <v>1</v>
      </c>
      <c r="L936" s="11">
        <v>1</v>
      </c>
      <c r="M936" s="8">
        <v>0</v>
      </c>
      <c r="N936" s="8">
        <v>0</v>
      </c>
      <c r="O936" s="8">
        <v>0</v>
      </c>
      <c r="P936" s="41">
        <v>1</v>
      </c>
      <c r="Q936" s="11">
        <v>0</v>
      </c>
      <c r="R936" s="8">
        <v>0</v>
      </c>
      <c r="S936" s="8">
        <v>0</v>
      </c>
      <c r="T936" s="8">
        <v>0</v>
      </c>
      <c r="U936" s="8">
        <v>0</v>
      </c>
      <c r="V936" s="8">
        <v>0</v>
      </c>
      <c r="W936" s="8">
        <v>0</v>
      </c>
      <c r="X936" s="8">
        <v>0</v>
      </c>
      <c r="Y936" s="8">
        <v>0</v>
      </c>
      <c r="Z936" s="8">
        <v>0</v>
      </c>
      <c r="AA936" s="8">
        <v>0</v>
      </c>
      <c r="AB936" s="8">
        <v>0</v>
      </c>
      <c r="AC936" s="9">
        <v>3</v>
      </c>
      <c r="AD936" s="11">
        <v>3</v>
      </c>
      <c r="AE936" s="11">
        <v>61</v>
      </c>
      <c r="AF936" s="41">
        <v>173</v>
      </c>
      <c r="AG936" s="9">
        <v>97</v>
      </c>
      <c r="AH936" s="11">
        <v>0</v>
      </c>
      <c r="AI936" s="208"/>
      <c r="AJ936" s="54"/>
      <c r="AK936" s="54"/>
      <c r="AL936" s="54"/>
      <c r="AM936" s="54"/>
      <c r="AN936" s="54"/>
      <c r="AO936" s="10"/>
      <c r="AP936" s="208"/>
      <c r="AQ936" s="54"/>
      <c r="AR936" s="10"/>
      <c r="AS936" s="237"/>
    </row>
    <row r="937" spans="1:45" s="229" customFormat="1">
      <c r="A937" s="83" t="s">
        <v>325</v>
      </c>
      <c r="B937" s="386">
        <v>31.958333333333332</v>
      </c>
      <c r="C937" s="24" t="s">
        <v>292</v>
      </c>
      <c r="D937" s="229" t="s">
        <v>423</v>
      </c>
      <c r="E937" s="229" t="s">
        <v>1</v>
      </c>
      <c r="F937" s="229">
        <v>190</v>
      </c>
      <c r="G937" s="40">
        <f>F937/92</f>
        <v>2.0652173913043477</v>
      </c>
      <c r="H937" s="14">
        <v>1</v>
      </c>
      <c r="I937" s="229">
        <v>0</v>
      </c>
      <c r="J937" s="229">
        <v>0</v>
      </c>
      <c r="K937" s="26">
        <v>0</v>
      </c>
      <c r="L937" s="14">
        <v>0</v>
      </c>
      <c r="M937" s="229">
        <v>0</v>
      </c>
      <c r="N937" s="229">
        <v>0</v>
      </c>
      <c r="O937" s="229">
        <v>1</v>
      </c>
      <c r="P937" s="26">
        <v>1</v>
      </c>
      <c r="Q937" s="14">
        <v>0</v>
      </c>
      <c r="R937" s="229">
        <v>0</v>
      </c>
      <c r="S937" s="229">
        <v>0</v>
      </c>
      <c r="T937" s="229">
        <v>0</v>
      </c>
      <c r="U937" s="229">
        <v>0</v>
      </c>
      <c r="V937" s="229">
        <v>0</v>
      </c>
      <c r="W937" s="229">
        <v>0</v>
      </c>
      <c r="X937" s="229">
        <v>0</v>
      </c>
      <c r="Y937" s="229">
        <v>0</v>
      </c>
      <c r="Z937" s="229">
        <v>0</v>
      </c>
      <c r="AA937" s="229">
        <v>0</v>
      </c>
      <c r="AB937" s="229">
        <v>0</v>
      </c>
      <c r="AC937" s="12">
        <v>1</v>
      </c>
      <c r="AD937" s="14">
        <v>1</v>
      </c>
      <c r="AE937" s="14">
        <v>0</v>
      </c>
      <c r="AF937" s="26">
        <v>0</v>
      </c>
      <c r="AG937" s="12">
        <v>97</v>
      </c>
      <c r="AH937" s="14">
        <v>0</v>
      </c>
      <c r="AI937" s="209"/>
      <c r="AJ937" s="3"/>
      <c r="AK937" s="3"/>
      <c r="AL937" s="3"/>
      <c r="AM937" s="3"/>
      <c r="AN937" s="3"/>
      <c r="AO937" s="40"/>
      <c r="AP937" s="209"/>
      <c r="AQ937" s="3"/>
      <c r="AR937" s="40"/>
      <c r="AS937" s="238"/>
    </row>
    <row r="938" spans="1:45" s="229" customFormat="1">
      <c r="A938" s="83" t="s">
        <v>325</v>
      </c>
      <c r="B938" s="386">
        <v>31.958333333333332</v>
      </c>
      <c r="C938" s="24" t="s">
        <v>292</v>
      </c>
      <c r="D938" s="229" t="s">
        <v>622</v>
      </c>
      <c r="F938" s="229">
        <v>402</v>
      </c>
      <c r="G938" s="40">
        <f>F938/303</f>
        <v>1.3267326732673268</v>
      </c>
      <c r="H938" s="14">
        <v>0</v>
      </c>
      <c r="I938" s="229">
        <v>0</v>
      </c>
      <c r="J938" s="229">
        <v>1</v>
      </c>
      <c r="K938" s="26">
        <v>0</v>
      </c>
      <c r="L938" s="14">
        <v>0</v>
      </c>
      <c r="M938" s="229">
        <v>0</v>
      </c>
      <c r="N938" s="229">
        <v>0</v>
      </c>
      <c r="O938" s="229">
        <v>1</v>
      </c>
      <c r="P938" s="26">
        <v>1</v>
      </c>
      <c r="Q938" s="14">
        <v>5</v>
      </c>
      <c r="R938" s="229">
        <v>0</v>
      </c>
      <c r="S938" s="229">
        <v>0</v>
      </c>
      <c r="T938" s="229">
        <v>0</v>
      </c>
      <c r="U938" s="229">
        <v>0</v>
      </c>
      <c r="V938" s="229">
        <v>37</v>
      </c>
      <c r="W938" s="229">
        <v>44</v>
      </c>
      <c r="X938" s="229">
        <v>0</v>
      </c>
      <c r="Y938" s="229">
        <v>0</v>
      </c>
      <c r="Z938" s="229">
        <v>0</v>
      </c>
      <c r="AA938" s="229">
        <v>0</v>
      </c>
      <c r="AB938" s="229">
        <v>0</v>
      </c>
      <c r="AC938" s="12">
        <v>1</v>
      </c>
      <c r="AD938" s="14">
        <v>1</v>
      </c>
      <c r="AE938" s="14">
        <v>0</v>
      </c>
      <c r="AF938" s="26">
        <v>0</v>
      </c>
      <c r="AG938" s="12">
        <v>43</v>
      </c>
      <c r="AH938" s="14">
        <v>0</v>
      </c>
      <c r="AI938" s="209"/>
      <c r="AJ938" s="3"/>
      <c r="AK938" s="3"/>
      <c r="AL938" s="3"/>
      <c r="AM938" s="3"/>
      <c r="AN938" s="3"/>
      <c r="AO938" s="40"/>
      <c r="AP938" s="209"/>
      <c r="AQ938" s="3"/>
      <c r="AR938" s="40"/>
      <c r="AS938" s="238"/>
    </row>
    <row r="939" spans="1:45" s="229" customFormat="1">
      <c r="A939" s="83" t="s">
        <v>325</v>
      </c>
      <c r="B939" s="386">
        <v>31.958333333333332</v>
      </c>
      <c r="C939" s="24" t="s">
        <v>292</v>
      </c>
      <c r="D939" s="229" t="s">
        <v>620</v>
      </c>
      <c r="E939" s="229" t="s">
        <v>0</v>
      </c>
      <c r="F939" s="229">
        <v>490</v>
      </c>
      <c r="G939" s="40">
        <f>F939/418</f>
        <v>1.1722488038277512</v>
      </c>
      <c r="H939" s="14">
        <v>0</v>
      </c>
      <c r="I939" s="229">
        <v>0</v>
      </c>
      <c r="J939" s="229">
        <v>0</v>
      </c>
      <c r="K939" s="26">
        <v>1</v>
      </c>
      <c r="L939" s="14">
        <v>0</v>
      </c>
      <c r="M939" s="229">
        <v>0</v>
      </c>
      <c r="N939" s="229">
        <v>0</v>
      </c>
      <c r="O939" s="229">
        <v>1</v>
      </c>
      <c r="P939" s="26">
        <v>1</v>
      </c>
      <c r="Q939" s="14">
        <v>5</v>
      </c>
      <c r="R939" s="229">
        <v>0</v>
      </c>
      <c r="S939" s="229">
        <v>0</v>
      </c>
      <c r="T939" s="229">
        <v>0</v>
      </c>
      <c r="U939" s="229">
        <v>0</v>
      </c>
      <c r="V939" s="229">
        <v>0</v>
      </c>
      <c r="W939" s="229">
        <v>119</v>
      </c>
      <c r="X939" s="229">
        <v>0</v>
      </c>
      <c r="Y939" s="229">
        <v>0</v>
      </c>
      <c r="Z939" s="229">
        <v>0</v>
      </c>
      <c r="AA939" s="229">
        <v>66</v>
      </c>
      <c r="AB939" s="229">
        <v>0</v>
      </c>
      <c r="AC939" s="12">
        <v>2</v>
      </c>
      <c r="AD939" s="14">
        <v>2</v>
      </c>
      <c r="AE939" s="14">
        <v>140</v>
      </c>
      <c r="AF939" s="26">
        <v>490</v>
      </c>
      <c r="AG939" s="12">
        <v>118</v>
      </c>
      <c r="AH939" s="14">
        <v>0</v>
      </c>
      <c r="AI939" s="209">
        <v>72.45</v>
      </c>
      <c r="AJ939" s="3"/>
      <c r="AK939" s="3"/>
      <c r="AL939" s="3"/>
      <c r="AM939" s="3"/>
      <c r="AN939" s="3"/>
      <c r="AO939" s="40"/>
      <c r="AP939" s="209">
        <v>74.33</v>
      </c>
      <c r="AQ939" s="3"/>
      <c r="AR939" s="40"/>
      <c r="AS939" s="238"/>
    </row>
    <row r="940" spans="1:45" s="229" customFormat="1">
      <c r="A940" s="83" t="s">
        <v>325</v>
      </c>
      <c r="B940" s="386">
        <v>31.958333333333332</v>
      </c>
      <c r="C940" s="24" t="s">
        <v>292</v>
      </c>
      <c r="D940" s="229" t="s">
        <v>620</v>
      </c>
      <c r="E940" s="229" t="s">
        <v>1</v>
      </c>
      <c r="F940" s="229">
        <v>272</v>
      </c>
      <c r="G940" s="40">
        <f>F940/229</f>
        <v>1.1877729257641922</v>
      </c>
      <c r="H940" s="14">
        <v>0</v>
      </c>
      <c r="I940" s="229">
        <v>0</v>
      </c>
      <c r="J940" s="229">
        <v>1</v>
      </c>
      <c r="K940" s="26">
        <v>0</v>
      </c>
      <c r="L940" s="14">
        <v>0</v>
      </c>
      <c r="M940" s="229">
        <v>0</v>
      </c>
      <c r="N940" s="229">
        <v>0</v>
      </c>
      <c r="O940" s="229">
        <v>1</v>
      </c>
      <c r="P940" s="26">
        <v>1</v>
      </c>
      <c r="Q940" s="14">
        <v>20</v>
      </c>
      <c r="R940" s="229">
        <v>0</v>
      </c>
      <c r="S940" s="229">
        <v>0</v>
      </c>
      <c r="T940" s="229">
        <v>0</v>
      </c>
      <c r="U940" s="229">
        <v>0</v>
      </c>
      <c r="V940" s="229">
        <v>0</v>
      </c>
      <c r="W940" s="229">
        <v>0</v>
      </c>
      <c r="X940" s="229">
        <v>0</v>
      </c>
      <c r="Y940" s="229">
        <v>0</v>
      </c>
      <c r="Z940" s="229">
        <v>0</v>
      </c>
      <c r="AA940" s="229">
        <v>118</v>
      </c>
      <c r="AB940" s="229">
        <v>0</v>
      </c>
      <c r="AC940" s="12">
        <v>1</v>
      </c>
      <c r="AD940" s="14">
        <v>1</v>
      </c>
      <c r="AE940" s="14">
        <v>0</v>
      </c>
      <c r="AF940" s="26">
        <v>0</v>
      </c>
      <c r="AG940" s="12">
        <v>118</v>
      </c>
      <c r="AH940" s="14">
        <v>0</v>
      </c>
      <c r="AI940" s="209"/>
      <c r="AJ940" s="3"/>
      <c r="AK940" s="3"/>
      <c r="AL940" s="3"/>
      <c r="AM940" s="3"/>
      <c r="AN940" s="3"/>
      <c r="AO940" s="40"/>
      <c r="AP940" s="209"/>
      <c r="AQ940" s="3"/>
      <c r="AR940" s="40"/>
      <c r="AS940" s="238"/>
    </row>
    <row r="941" spans="1:45" s="229" customFormat="1">
      <c r="A941" s="83" t="s">
        <v>325</v>
      </c>
      <c r="B941" s="386">
        <v>31.958333333333332</v>
      </c>
      <c r="C941" s="24" t="s">
        <v>292</v>
      </c>
      <c r="D941" s="229" t="s">
        <v>620</v>
      </c>
      <c r="E941" s="229" t="s">
        <v>2</v>
      </c>
      <c r="F941" s="229">
        <v>394</v>
      </c>
      <c r="G941" s="40">
        <f>F941/262</f>
        <v>1.5038167938931297</v>
      </c>
      <c r="H941" s="14">
        <v>0</v>
      </c>
      <c r="I941" s="229">
        <v>0</v>
      </c>
      <c r="J941" s="229">
        <v>1</v>
      </c>
      <c r="K941" s="26">
        <v>0</v>
      </c>
      <c r="L941" s="14">
        <v>0</v>
      </c>
      <c r="M941" s="229">
        <v>0</v>
      </c>
      <c r="N941" s="229">
        <v>0</v>
      </c>
      <c r="O941" s="229">
        <v>1</v>
      </c>
      <c r="P941" s="26">
        <v>1</v>
      </c>
      <c r="Q941" s="14">
        <v>20</v>
      </c>
      <c r="R941" s="229">
        <v>0</v>
      </c>
      <c r="S941" s="229">
        <v>0</v>
      </c>
      <c r="T941" s="229">
        <v>0</v>
      </c>
      <c r="U941" s="229">
        <v>0</v>
      </c>
      <c r="V941" s="229">
        <v>78</v>
      </c>
      <c r="W941" s="229">
        <v>147</v>
      </c>
      <c r="X941" s="229">
        <v>0</v>
      </c>
      <c r="Y941" s="229">
        <v>0</v>
      </c>
      <c r="Z941" s="229">
        <v>0</v>
      </c>
      <c r="AA941" s="229">
        <v>0</v>
      </c>
      <c r="AB941" s="229">
        <v>0</v>
      </c>
      <c r="AC941" s="12">
        <v>1</v>
      </c>
      <c r="AD941" s="14">
        <v>1</v>
      </c>
      <c r="AE941" s="14">
        <v>0</v>
      </c>
      <c r="AF941" s="26">
        <v>0</v>
      </c>
      <c r="AG941" s="12">
        <v>118</v>
      </c>
      <c r="AH941" s="14">
        <v>0</v>
      </c>
      <c r="AI941" s="209"/>
      <c r="AJ941" s="3"/>
      <c r="AK941" s="3"/>
      <c r="AL941" s="3"/>
      <c r="AM941" s="3"/>
      <c r="AN941" s="3"/>
      <c r="AO941" s="40"/>
      <c r="AP941" s="209"/>
      <c r="AQ941" s="3"/>
      <c r="AR941" s="40"/>
      <c r="AS941" s="238"/>
    </row>
    <row r="942" spans="1:45" s="229" customFormat="1">
      <c r="A942" s="83" t="s">
        <v>325</v>
      </c>
      <c r="B942" s="386">
        <v>31.958333333333332</v>
      </c>
      <c r="C942" s="24" t="s">
        <v>292</v>
      </c>
      <c r="D942" s="229" t="s">
        <v>629</v>
      </c>
      <c r="F942" s="229">
        <v>696</v>
      </c>
      <c r="G942" s="40">
        <f>F942/525</f>
        <v>1.3257142857142856</v>
      </c>
      <c r="H942" s="14">
        <v>0</v>
      </c>
      <c r="I942" s="229">
        <v>0</v>
      </c>
      <c r="J942" s="229">
        <v>1</v>
      </c>
      <c r="K942" s="26">
        <v>0</v>
      </c>
      <c r="L942" s="14">
        <v>0</v>
      </c>
      <c r="M942" s="229">
        <v>0</v>
      </c>
      <c r="N942" s="229">
        <v>0</v>
      </c>
      <c r="O942" s="229">
        <v>1</v>
      </c>
      <c r="P942" s="26">
        <v>1</v>
      </c>
      <c r="Q942" s="14">
        <v>20</v>
      </c>
      <c r="R942" s="229">
        <v>0</v>
      </c>
      <c r="S942" s="229">
        <v>0</v>
      </c>
      <c r="T942" s="229">
        <v>0</v>
      </c>
      <c r="U942" s="229">
        <v>0</v>
      </c>
      <c r="V942" s="229">
        <v>0</v>
      </c>
      <c r="W942" s="229">
        <v>0</v>
      </c>
      <c r="X942" s="229">
        <v>0</v>
      </c>
      <c r="Y942" s="229">
        <v>0</v>
      </c>
      <c r="Z942" s="229">
        <v>0</v>
      </c>
      <c r="AA942" s="229">
        <v>246</v>
      </c>
      <c r="AB942" s="229">
        <v>0</v>
      </c>
      <c r="AC942" s="12">
        <v>1</v>
      </c>
      <c r="AD942" s="14">
        <v>1</v>
      </c>
      <c r="AE942" s="14">
        <v>0</v>
      </c>
      <c r="AF942" s="26">
        <v>0</v>
      </c>
      <c r="AG942" s="12">
        <v>154</v>
      </c>
      <c r="AH942" s="14">
        <v>0</v>
      </c>
      <c r="AI942" s="209">
        <v>72.86</v>
      </c>
      <c r="AJ942" s="3"/>
      <c r="AK942" s="3"/>
      <c r="AL942" s="3"/>
      <c r="AM942" s="3"/>
      <c r="AN942" s="3"/>
      <c r="AO942" s="40"/>
      <c r="AP942" s="209">
        <v>74.69</v>
      </c>
      <c r="AQ942" s="3"/>
      <c r="AR942" s="40"/>
      <c r="AS942" s="238"/>
    </row>
    <row r="943" spans="1:45" s="229" customFormat="1">
      <c r="A943" s="83" t="s">
        <v>325</v>
      </c>
      <c r="B943" s="386">
        <v>31.958333333333332</v>
      </c>
      <c r="C943" s="24" t="s">
        <v>292</v>
      </c>
      <c r="D943" s="229" t="s">
        <v>634</v>
      </c>
      <c r="F943" s="229">
        <v>371</v>
      </c>
      <c r="G943" s="40">
        <f>F943/222</f>
        <v>1.6711711711711712</v>
      </c>
      <c r="H943" s="14">
        <v>0</v>
      </c>
      <c r="I943" s="229">
        <v>0</v>
      </c>
      <c r="J943" s="229">
        <v>1</v>
      </c>
      <c r="K943" s="26">
        <v>0</v>
      </c>
      <c r="L943" s="14">
        <v>0</v>
      </c>
      <c r="M943" s="229">
        <v>0</v>
      </c>
      <c r="N943" s="229">
        <v>1</v>
      </c>
      <c r="O943" s="229">
        <v>0</v>
      </c>
      <c r="P943" s="26">
        <v>1</v>
      </c>
      <c r="Q943" s="14">
        <v>0</v>
      </c>
      <c r="R943" s="229">
        <v>0</v>
      </c>
      <c r="S943" s="229">
        <v>0</v>
      </c>
      <c r="T943" s="229">
        <v>0</v>
      </c>
      <c r="U943" s="229">
        <v>0</v>
      </c>
      <c r="V943" s="229">
        <v>0</v>
      </c>
      <c r="W943" s="229">
        <v>0</v>
      </c>
      <c r="X943" s="229">
        <v>0</v>
      </c>
      <c r="Y943" s="229">
        <v>0</v>
      </c>
      <c r="Z943" s="229">
        <v>0</v>
      </c>
      <c r="AA943" s="229">
        <v>0</v>
      </c>
      <c r="AB943" s="229">
        <v>0</v>
      </c>
      <c r="AC943" s="12">
        <v>1</v>
      </c>
      <c r="AD943" s="14">
        <v>1</v>
      </c>
      <c r="AE943" s="14">
        <v>0</v>
      </c>
      <c r="AF943" s="26">
        <v>0</v>
      </c>
      <c r="AG943" s="12">
        <v>97</v>
      </c>
      <c r="AH943" s="14">
        <v>0</v>
      </c>
      <c r="AI943" s="209">
        <v>86.42</v>
      </c>
      <c r="AJ943" s="3"/>
      <c r="AK943" s="3"/>
      <c r="AL943" s="3"/>
      <c r="AM943" s="3"/>
      <c r="AN943" s="3"/>
      <c r="AO943" s="40"/>
      <c r="AP943" s="209">
        <v>75.599999999999994</v>
      </c>
      <c r="AQ943" s="3"/>
      <c r="AR943" s="40"/>
      <c r="AS943" s="238"/>
    </row>
    <row r="944" spans="1:45" s="229" customFormat="1">
      <c r="A944" s="83" t="s">
        <v>325</v>
      </c>
      <c r="B944" s="386">
        <v>31.958333333333332</v>
      </c>
      <c r="C944" s="24" t="s">
        <v>292</v>
      </c>
      <c r="D944" s="229" t="s">
        <v>625</v>
      </c>
      <c r="E944" s="229" t="s">
        <v>0</v>
      </c>
      <c r="F944" s="229">
        <v>158</v>
      </c>
      <c r="G944" s="40">
        <f>F944/87</f>
        <v>1.8160919540229885</v>
      </c>
      <c r="H944" s="14">
        <v>1</v>
      </c>
      <c r="I944" s="229">
        <v>0</v>
      </c>
      <c r="J944" s="229">
        <v>0</v>
      </c>
      <c r="K944" s="26">
        <v>0</v>
      </c>
      <c r="L944" s="14">
        <v>0</v>
      </c>
      <c r="M944" s="229">
        <v>0</v>
      </c>
      <c r="N944" s="229">
        <v>1</v>
      </c>
      <c r="O944" s="229">
        <v>0</v>
      </c>
      <c r="P944" s="26">
        <v>1</v>
      </c>
      <c r="Q944" s="14">
        <v>0</v>
      </c>
      <c r="R944" s="229">
        <v>0</v>
      </c>
      <c r="S944" s="229">
        <v>0</v>
      </c>
      <c r="T944" s="229">
        <v>0</v>
      </c>
      <c r="U944" s="229">
        <v>0</v>
      </c>
      <c r="V944" s="229">
        <v>0</v>
      </c>
      <c r="W944" s="229">
        <v>0</v>
      </c>
      <c r="X944" s="229">
        <v>0</v>
      </c>
      <c r="Y944" s="229">
        <v>0</v>
      </c>
      <c r="Z944" s="229">
        <v>0</v>
      </c>
      <c r="AA944" s="229">
        <v>0</v>
      </c>
      <c r="AB944" s="229">
        <v>0</v>
      </c>
      <c r="AC944" s="12">
        <v>1</v>
      </c>
      <c r="AD944" s="14">
        <v>1</v>
      </c>
      <c r="AE944" s="14">
        <v>0</v>
      </c>
      <c r="AF944" s="26">
        <v>0</v>
      </c>
      <c r="AG944" s="12">
        <v>120</v>
      </c>
      <c r="AH944" s="14">
        <v>0</v>
      </c>
      <c r="AI944" s="209"/>
      <c r="AJ944" s="3"/>
      <c r="AK944" s="3"/>
      <c r="AL944" s="3"/>
      <c r="AM944" s="3"/>
      <c r="AN944" s="3"/>
      <c r="AO944" s="40"/>
      <c r="AP944" s="209"/>
      <c r="AQ944" s="3"/>
      <c r="AR944" s="40"/>
      <c r="AS944" s="238"/>
    </row>
    <row r="945" spans="1:45" s="229" customFormat="1">
      <c r="A945" s="83" t="s">
        <v>325</v>
      </c>
      <c r="B945" s="386">
        <v>31.958333333333332</v>
      </c>
      <c r="C945" s="24" t="s">
        <v>292</v>
      </c>
      <c r="D945" s="229" t="s">
        <v>625</v>
      </c>
      <c r="E945" s="229" t="s">
        <v>1</v>
      </c>
      <c r="F945" s="229">
        <v>141</v>
      </c>
      <c r="G945" s="40">
        <f>F945/107</f>
        <v>1.3177570093457944</v>
      </c>
      <c r="H945" s="14">
        <v>0</v>
      </c>
      <c r="I945" s="229">
        <v>0</v>
      </c>
      <c r="J945" s="229">
        <v>1</v>
      </c>
      <c r="K945" s="26">
        <v>0</v>
      </c>
      <c r="L945" s="14">
        <v>0</v>
      </c>
      <c r="M945" s="229">
        <v>0</v>
      </c>
      <c r="N945" s="229">
        <v>0</v>
      </c>
      <c r="O945" s="229">
        <v>1</v>
      </c>
      <c r="P945" s="26">
        <v>1</v>
      </c>
      <c r="Q945" s="14">
        <v>0</v>
      </c>
      <c r="R945" s="229">
        <v>0</v>
      </c>
      <c r="S945" s="229">
        <v>0</v>
      </c>
      <c r="T945" s="229">
        <v>0</v>
      </c>
      <c r="U945" s="229">
        <v>0</v>
      </c>
      <c r="V945" s="229">
        <v>0</v>
      </c>
      <c r="W945" s="229">
        <v>0</v>
      </c>
      <c r="X945" s="229">
        <v>0</v>
      </c>
      <c r="Y945" s="229">
        <v>0</v>
      </c>
      <c r="Z945" s="229">
        <v>0</v>
      </c>
      <c r="AA945" s="229">
        <v>0</v>
      </c>
      <c r="AB945" s="229">
        <v>0</v>
      </c>
      <c r="AC945" s="12">
        <v>1</v>
      </c>
      <c r="AD945" s="14">
        <v>1</v>
      </c>
      <c r="AE945" s="14">
        <v>0</v>
      </c>
      <c r="AF945" s="26">
        <v>0</v>
      </c>
      <c r="AG945" s="12">
        <v>120</v>
      </c>
      <c r="AH945" s="14">
        <v>0</v>
      </c>
      <c r="AI945" s="209"/>
      <c r="AJ945" s="3"/>
      <c r="AK945" s="3"/>
      <c r="AL945" s="3"/>
      <c r="AM945" s="3"/>
      <c r="AN945" s="3"/>
      <c r="AO945" s="40"/>
      <c r="AP945" s="209"/>
      <c r="AQ945" s="3"/>
      <c r="AR945" s="40"/>
      <c r="AS945" s="238"/>
    </row>
    <row r="946" spans="1:45" s="229" customFormat="1">
      <c r="A946" s="83" t="s">
        <v>325</v>
      </c>
      <c r="B946" s="386">
        <v>31.958333333333332</v>
      </c>
      <c r="C946" s="24" t="s">
        <v>292</v>
      </c>
      <c r="D946" s="229" t="s">
        <v>625</v>
      </c>
      <c r="E946" s="229" t="s">
        <v>2</v>
      </c>
      <c r="F946" s="229">
        <v>397</v>
      </c>
      <c r="G946" s="40">
        <f>F946/194</f>
        <v>2.0463917525773194</v>
      </c>
      <c r="H946" s="14">
        <v>0</v>
      </c>
      <c r="I946" s="229">
        <v>0</v>
      </c>
      <c r="J946" s="229">
        <v>0</v>
      </c>
      <c r="K946" s="26">
        <v>1</v>
      </c>
      <c r="L946" s="14">
        <v>0</v>
      </c>
      <c r="M946" s="229">
        <v>0</v>
      </c>
      <c r="N946" s="229">
        <v>0</v>
      </c>
      <c r="O946" s="229">
        <v>1</v>
      </c>
      <c r="P946" s="26">
        <v>1</v>
      </c>
      <c r="Q946" s="14">
        <v>1</v>
      </c>
      <c r="R946" s="229">
        <v>0</v>
      </c>
      <c r="S946" s="229">
        <v>0</v>
      </c>
      <c r="T946" s="229">
        <v>0</v>
      </c>
      <c r="U946" s="229">
        <v>0</v>
      </c>
      <c r="V946" s="229">
        <v>0</v>
      </c>
      <c r="W946" s="229">
        <v>31</v>
      </c>
      <c r="X946" s="229">
        <v>0</v>
      </c>
      <c r="Y946" s="229">
        <v>0</v>
      </c>
      <c r="Z946" s="229">
        <v>0</v>
      </c>
      <c r="AA946" s="229">
        <v>0</v>
      </c>
      <c r="AB946" s="229">
        <v>0</v>
      </c>
      <c r="AC946" s="12">
        <v>2</v>
      </c>
      <c r="AD946" s="14">
        <v>2</v>
      </c>
      <c r="AE946" s="14">
        <v>59</v>
      </c>
      <c r="AF946" s="26">
        <v>397</v>
      </c>
      <c r="AG946" s="12">
        <v>120</v>
      </c>
      <c r="AH946" s="14">
        <v>0</v>
      </c>
      <c r="AI946" s="209"/>
      <c r="AJ946" s="3"/>
      <c r="AK946" s="3"/>
      <c r="AL946" s="3"/>
      <c r="AM946" s="3"/>
      <c r="AN946" s="3"/>
      <c r="AO946" s="40"/>
      <c r="AP946" s="209"/>
      <c r="AQ946" s="3"/>
      <c r="AR946" s="40"/>
      <c r="AS946" s="238"/>
    </row>
    <row r="947" spans="1:45" s="229" customFormat="1">
      <c r="A947" s="83" t="s">
        <v>325</v>
      </c>
      <c r="B947" s="386">
        <v>31.958333333333332</v>
      </c>
      <c r="C947" s="24" t="s">
        <v>292</v>
      </c>
      <c r="D947" s="229" t="s">
        <v>630</v>
      </c>
      <c r="E947" s="229" t="s">
        <v>0</v>
      </c>
      <c r="F947" s="229">
        <v>589</v>
      </c>
      <c r="G947" s="40">
        <f>F947/233</f>
        <v>2.5278969957081543</v>
      </c>
      <c r="H947" s="14">
        <v>0</v>
      </c>
      <c r="I947" s="229">
        <v>0</v>
      </c>
      <c r="J947" s="229">
        <v>1</v>
      </c>
      <c r="K947" s="26">
        <v>0</v>
      </c>
      <c r="L947" s="14">
        <v>0</v>
      </c>
      <c r="M947" s="229">
        <v>0</v>
      </c>
      <c r="N947" s="229">
        <v>0</v>
      </c>
      <c r="O947" s="229">
        <v>1</v>
      </c>
      <c r="P947" s="26">
        <v>1</v>
      </c>
      <c r="Q947" s="14">
        <v>2</v>
      </c>
      <c r="R947" s="229">
        <v>0</v>
      </c>
      <c r="S947" s="229">
        <v>18</v>
      </c>
      <c r="T947" s="229">
        <v>0</v>
      </c>
      <c r="U947" s="229">
        <v>0</v>
      </c>
      <c r="V947" s="229">
        <v>21</v>
      </c>
      <c r="W947" s="229">
        <v>28</v>
      </c>
      <c r="X947" s="229">
        <v>0</v>
      </c>
      <c r="Y947" s="229">
        <v>0</v>
      </c>
      <c r="Z947" s="229">
        <v>0</v>
      </c>
      <c r="AA947" s="229">
        <v>0</v>
      </c>
      <c r="AB947" s="229">
        <v>0</v>
      </c>
      <c r="AC947" s="12">
        <v>1</v>
      </c>
      <c r="AD947" s="14">
        <v>1</v>
      </c>
      <c r="AE947" s="14">
        <v>0</v>
      </c>
      <c r="AF947" s="26">
        <v>0</v>
      </c>
      <c r="AG947" s="12">
        <v>103</v>
      </c>
      <c r="AH947" s="14">
        <v>0</v>
      </c>
      <c r="AI947" s="209"/>
      <c r="AJ947" s="3"/>
      <c r="AK947" s="3"/>
      <c r="AL947" s="3"/>
      <c r="AM947" s="3"/>
      <c r="AN947" s="3"/>
      <c r="AO947" s="40"/>
      <c r="AP947" s="209"/>
      <c r="AQ947" s="3"/>
      <c r="AR947" s="40"/>
      <c r="AS947" s="238"/>
    </row>
    <row r="948" spans="1:45" s="229" customFormat="1">
      <c r="A948" s="83" t="s">
        <v>325</v>
      </c>
      <c r="B948" s="386">
        <v>31.958333333333332</v>
      </c>
      <c r="C948" s="24" t="s">
        <v>292</v>
      </c>
      <c r="D948" s="229" t="s">
        <v>630</v>
      </c>
      <c r="E948" s="229" t="s">
        <v>1</v>
      </c>
      <c r="F948" s="229">
        <v>346</v>
      </c>
      <c r="G948" s="40">
        <f>F948/218</f>
        <v>1.5871559633027523</v>
      </c>
      <c r="H948" s="14">
        <v>0</v>
      </c>
      <c r="I948" s="229">
        <v>0</v>
      </c>
      <c r="J948" s="229">
        <v>1</v>
      </c>
      <c r="K948" s="26">
        <v>1</v>
      </c>
      <c r="L948" s="14">
        <v>0</v>
      </c>
      <c r="M948" s="229">
        <v>0</v>
      </c>
      <c r="N948" s="229">
        <v>0</v>
      </c>
      <c r="O948" s="229">
        <v>1</v>
      </c>
      <c r="P948" s="26">
        <v>1</v>
      </c>
      <c r="Q948" s="14">
        <v>1</v>
      </c>
      <c r="R948" s="229">
        <v>0</v>
      </c>
      <c r="S948" s="229">
        <v>0</v>
      </c>
      <c r="T948" s="229">
        <v>0</v>
      </c>
      <c r="U948" s="229">
        <v>0</v>
      </c>
      <c r="V948" s="229">
        <v>0</v>
      </c>
      <c r="W948" s="229">
        <v>22</v>
      </c>
      <c r="X948" s="229">
        <v>0</v>
      </c>
      <c r="Y948" s="229">
        <v>0</v>
      </c>
      <c r="Z948" s="229">
        <v>0</v>
      </c>
      <c r="AA948" s="229">
        <v>0</v>
      </c>
      <c r="AB948" s="229">
        <v>0</v>
      </c>
      <c r="AC948" s="12">
        <v>2</v>
      </c>
      <c r="AD948" s="14">
        <v>2</v>
      </c>
      <c r="AE948" s="14">
        <v>216</v>
      </c>
      <c r="AF948" s="26">
        <v>218</v>
      </c>
      <c r="AG948" s="12">
        <v>103</v>
      </c>
      <c r="AH948" s="14">
        <v>0</v>
      </c>
      <c r="AI948" s="209"/>
      <c r="AJ948" s="3"/>
      <c r="AK948" s="3"/>
      <c r="AL948" s="3"/>
      <c r="AM948" s="3"/>
      <c r="AN948" s="3"/>
      <c r="AO948" s="40"/>
      <c r="AP948" s="209"/>
      <c r="AQ948" s="3"/>
      <c r="AR948" s="40"/>
      <c r="AS948" s="238"/>
    </row>
    <row r="949" spans="1:45" s="229" customFormat="1">
      <c r="A949" s="83" t="s">
        <v>325</v>
      </c>
      <c r="B949" s="386">
        <v>31.958333333333332</v>
      </c>
      <c r="C949" s="24" t="s">
        <v>292</v>
      </c>
      <c r="D949" s="229" t="s">
        <v>637</v>
      </c>
      <c r="F949" s="229">
        <v>233</v>
      </c>
      <c r="G949" s="40">
        <f>F949/259</f>
        <v>0.89961389961389959</v>
      </c>
      <c r="H949" s="14">
        <v>0</v>
      </c>
      <c r="I949" s="229">
        <v>0</v>
      </c>
      <c r="J949" s="229">
        <v>0</v>
      </c>
      <c r="K949" s="26">
        <v>1</v>
      </c>
      <c r="L949" s="14">
        <v>1</v>
      </c>
      <c r="M949" s="229">
        <v>0</v>
      </c>
      <c r="N949" s="229">
        <v>0</v>
      </c>
      <c r="O949" s="229">
        <v>0</v>
      </c>
      <c r="P949" s="26">
        <v>1</v>
      </c>
      <c r="Q949" s="14">
        <v>1</v>
      </c>
      <c r="R949" s="229">
        <v>0</v>
      </c>
      <c r="S949" s="229">
        <v>15</v>
      </c>
      <c r="T949" s="229">
        <v>0</v>
      </c>
      <c r="U949" s="229">
        <v>0</v>
      </c>
      <c r="V949" s="229">
        <v>0</v>
      </c>
      <c r="W949" s="229">
        <v>0</v>
      </c>
      <c r="X949" s="229">
        <v>0</v>
      </c>
      <c r="Y949" s="229">
        <v>0</v>
      </c>
      <c r="Z949" s="229">
        <v>0</v>
      </c>
      <c r="AA949" s="229">
        <v>0</v>
      </c>
      <c r="AB949" s="229">
        <v>0</v>
      </c>
      <c r="AC949" s="12">
        <v>1</v>
      </c>
      <c r="AD949" s="14">
        <v>1</v>
      </c>
      <c r="AE949" s="14">
        <v>0</v>
      </c>
      <c r="AF949" s="26">
        <v>0</v>
      </c>
      <c r="AG949" s="12">
        <v>111</v>
      </c>
      <c r="AH949" s="14">
        <v>0</v>
      </c>
      <c r="AI949" s="209"/>
      <c r="AJ949" s="3"/>
      <c r="AK949" s="3"/>
      <c r="AL949" s="3"/>
      <c r="AM949" s="3"/>
      <c r="AN949" s="3"/>
      <c r="AO949" s="40"/>
      <c r="AP949" s="209"/>
      <c r="AQ949" s="3"/>
      <c r="AR949" s="40"/>
      <c r="AS949" s="238"/>
    </row>
    <row r="950" spans="1:45" s="229" customFormat="1">
      <c r="A950" s="83" t="s">
        <v>325</v>
      </c>
      <c r="B950" s="386">
        <v>31.958333333333332</v>
      </c>
      <c r="C950" s="24" t="s">
        <v>292</v>
      </c>
      <c r="D950" s="229" t="s">
        <v>638</v>
      </c>
      <c r="F950" s="229">
        <v>917</v>
      </c>
      <c r="G950" s="40">
        <f>F950/450</f>
        <v>2.0377777777777779</v>
      </c>
      <c r="H950" s="14">
        <v>0</v>
      </c>
      <c r="I950" s="229">
        <v>0</v>
      </c>
      <c r="J950" s="229">
        <v>1</v>
      </c>
      <c r="K950" s="26">
        <v>0</v>
      </c>
      <c r="L950" s="14">
        <v>0</v>
      </c>
      <c r="M950" s="229">
        <v>0</v>
      </c>
      <c r="N950" s="229">
        <v>0</v>
      </c>
      <c r="O950" s="229">
        <v>1</v>
      </c>
      <c r="P950" s="26">
        <v>1</v>
      </c>
      <c r="Q950" s="14">
        <v>2</v>
      </c>
      <c r="R950" s="229">
        <v>0</v>
      </c>
      <c r="S950" s="229">
        <v>16</v>
      </c>
      <c r="T950" s="229">
        <v>0</v>
      </c>
      <c r="U950" s="229">
        <v>0</v>
      </c>
      <c r="V950" s="229">
        <v>0</v>
      </c>
      <c r="W950" s="229">
        <v>45</v>
      </c>
      <c r="X950" s="229">
        <v>0</v>
      </c>
      <c r="Y950" s="229">
        <v>0</v>
      </c>
      <c r="Z950" s="229">
        <v>0</v>
      </c>
      <c r="AA950" s="229">
        <v>0</v>
      </c>
      <c r="AB950" s="229">
        <v>0</v>
      </c>
      <c r="AC950" s="12">
        <v>1</v>
      </c>
      <c r="AD950" s="14">
        <v>1</v>
      </c>
      <c r="AE950" s="14">
        <v>0</v>
      </c>
      <c r="AF950" s="26">
        <v>0</v>
      </c>
      <c r="AG950" s="12">
        <v>115</v>
      </c>
      <c r="AH950" s="14">
        <v>0</v>
      </c>
      <c r="AI950" s="209">
        <v>72.66</v>
      </c>
      <c r="AJ950" s="3"/>
      <c r="AK950" s="3"/>
      <c r="AL950" s="3"/>
      <c r="AM950" s="3"/>
      <c r="AN950" s="3"/>
      <c r="AO950" s="40"/>
      <c r="AP950" s="209">
        <v>75.459999999999994</v>
      </c>
      <c r="AQ950" s="3"/>
      <c r="AR950" s="40"/>
      <c r="AS950" s="238"/>
    </row>
    <row r="951" spans="1:45" s="229" customFormat="1">
      <c r="A951" s="83" t="s">
        <v>325</v>
      </c>
      <c r="B951" s="386">
        <v>31.958333333333332</v>
      </c>
      <c r="C951" s="24" t="s">
        <v>292</v>
      </c>
      <c r="D951" s="229" t="s">
        <v>639</v>
      </c>
      <c r="F951" s="229">
        <v>246</v>
      </c>
      <c r="G951" s="40">
        <f>F951/256</f>
        <v>0.9609375</v>
      </c>
      <c r="H951" s="14">
        <v>1</v>
      </c>
      <c r="I951" s="229">
        <v>0</v>
      </c>
      <c r="J951" s="229">
        <v>0</v>
      </c>
      <c r="K951" s="26">
        <v>0</v>
      </c>
      <c r="L951" s="14">
        <v>0</v>
      </c>
      <c r="M951" s="229">
        <v>0</v>
      </c>
      <c r="N951" s="229">
        <v>1</v>
      </c>
      <c r="O951" s="229">
        <v>0</v>
      </c>
      <c r="P951" s="26">
        <v>1</v>
      </c>
      <c r="Q951" s="14">
        <v>5</v>
      </c>
      <c r="R951" s="229">
        <v>4</v>
      </c>
      <c r="S951" s="229">
        <v>12</v>
      </c>
      <c r="T951" s="229">
        <v>0</v>
      </c>
      <c r="U951" s="229">
        <v>0</v>
      </c>
      <c r="V951" s="229">
        <v>6</v>
      </c>
      <c r="W951" s="229">
        <v>17</v>
      </c>
      <c r="X951" s="229">
        <v>0</v>
      </c>
      <c r="Y951" s="229">
        <v>0</v>
      </c>
      <c r="Z951" s="229">
        <v>0</v>
      </c>
      <c r="AA951" s="229">
        <v>33</v>
      </c>
      <c r="AB951" s="229">
        <v>1</v>
      </c>
      <c r="AC951" s="12">
        <v>1</v>
      </c>
      <c r="AD951" s="14">
        <v>1</v>
      </c>
      <c r="AE951" s="14">
        <v>0</v>
      </c>
      <c r="AF951" s="26">
        <v>0</v>
      </c>
      <c r="AG951" s="12">
        <v>115</v>
      </c>
      <c r="AH951" s="14">
        <v>0</v>
      </c>
      <c r="AI951" s="209"/>
      <c r="AJ951" s="3"/>
      <c r="AK951" s="3"/>
      <c r="AL951" s="3"/>
      <c r="AM951" s="3"/>
      <c r="AN951" s="3"/>
      <c r="AO951" s="40"/>
      <c r="AP951" s="209"/>
      <c r="AQ951" s="3"/>
      <c r="AR951" s="40"/>
      <c r="AS951" s="238"/>
    </row>
    <row r="952" spans="1:45" s="229" customFormat="1">
      <c r="A952" s="83" t="s">
        <v>325</v>
      </c>
      <c r="B952" s="386">
        <v>31.958333333333332</v>
      </c>
      <c r="C952" s="24" t="s">
        <v>292</v>
      </c>
      <c r="D952" s="229" t="s">
        <v>640</v>
      </c>
      <c r="F952" s="229">
        <v>253</v>
      </c>
      <c r="G952" s="40">
        <f>F952/216</f>
        <v>1.1712962962962963</v>
      </c>
      <c r="H952" s="14">
        <v>0</v>
      </c>
      <c r="I952" s="229">
        <v>0</v>
      </c>
      <c r="J952" s="229">
        <v>0</v>
      </c>
      <c r="K952" s="26">
        <v>1</v>
      </c>
      <c r="L952" s="14">
        <v>0</v>
      </c>
      <c r="M952" s="229">
        <v>0</v>
      </c>
      <c r="N952" s="229">
        <v>0</v>
      </c>
      <c r="O952" s="229">
        <v>1</v>
      </c>
      <c r="P952" s="26">
        <v>1</v>
      </c>
      <c r="Q952" s="14">
        <v>0</v>
      </c>
      <c r="R952" s="229">
        <v>0</v>
      </c>
      <c r="S952" s="229">
        <v>0</v>
      </c>
      <c r="T952" s="229">
        <v>0</v>
      </c>
      <c r="U952" s="229">
        <v>0</v>
      </c>
      <c r="V952" s="229">
        <v>0</v>
      </c>
      <c r="W952" s="229">
        <v>0</v>
      </c>
      <c r="X952" s="229">
        <v>0</v>
      </c>
      <c r="Y952" s="229">
        <v>0</v>
      </c>
      <c r="Z952" s="229">
        <v>0</v>
      </c>
      <c r="AA952" s="229">
        <v>0</v>
      </c>
      <c r="AB952" s="229">
        <v>0</v>
      </c>
      <c r="AC952" s="12">
        <v>2</v>
      </c>
      <c r="AD952" s="14">
        <v>2</v>
      </c>
      <c r="AE952" s="14">
        <v>183</v>
      </c>
      <c r="AF952" s="26">
        <v>253</v>
      </c>
      <c r="AG952" s="12">
        <v>114</v>
      </c>
      <c r="AH952" s="14">
        <v>0</v>
      </c>
      <c r="AI952" s="209"/>
      <c r="AJ952" s="3"/>
      <c r="AK952" s="3"/>
      <c r="AL952" s="3"/>
      <c r="AM952" s="3"/>
      <c r="AN952" s="3"/>
      <c r="AO952" s="40"/>
      <c r="AP952" s="209"/>
      <c r="AQ952" s="3"/>
      <c r="AR952" s="40"/>
      <c r="AS952" s="238"/>
    </row>
    <row r="953" spans="1:45" s="229" customFormat="1">
      <c r="A953" s="83" t="s">
        <v>325</v>
      </c>
      <c r="B953" s="386">
        <v>31.958333333333332</v>
      </c>
      <c r="C953" s="24" t="s">
        <v>292</v>
      </c>
      <c r="D953" s="229" t="s">
        <v>641</v>
      </c>
      <c r="F953" s="229">
        <v>423</v>
      </c>
      <c r="G953" s="40">
        <f>F953/252</f>
        <v>1.6785714285714286</v>
      </c>
      <c r="H953" s="14">
        <v>0</v>
      </c>
      <c r="I953" s="229">
        <v>0</v>
      </c>
      <c r="J953" s="229">
        <v>1</v>
      </c>
      <c r="K953" s="26">
        <v>0</v>
      </c>
      <c r="L953" s="14">
        <v>0</v>
      </c>
      <c r="M953" s="229">
        <v>0</v>
      </c>
      <c r="N953" s="229">
        <v>0</v>
      </c>
      <c r="O953" s="229">
        <v>1</v>
      </c>
      <c r="P953" s="26">
        <v>1</v>
      </c>
      <c r="Q953" s="14">
        <v>5</v>
      </c>
      <c r="R953" s="229">
        <v>0</v>
      </c>
      <c r="S953" s="229">
        <v>0</v>
      </c>
      <c r="T953" s="229">
        <v>0</v>
      </c>
      <c r="U953" s="229">
        <v>0</v>
      </c>
      <c r="V953" s="229">
        <v>18</v>
      </c>
      <c r="W953" s="229">
        <v>59</v>
      </c>
      <c r="X953" s="229">
        <v>0</v>
      </c>
      <c r="Y953" s="229">
        <v>0</v>
      </c>
      <c r="Z953" s="229">
        <v>0</v>
      </c>
      <c r="AA953" s="229">
        <v>0</v>
      </c>
      <c r="AB953" s="229">
        <v>0</v>
      </c>
      <c r="AC953" s="12">
        <v>1</v>
      </c>
      <c r="AD953" s="14">
        <v>1</v>
      </c>
      <c r="AE953" s="14">
        <v>0</v>
      </c>
      <c r="AF953" s="26">
        <v>0</v>
      </c>
      <c r="AG953" s="12">
        <v>128</v>
      </c>
      <c r="AH953" s="14">
        <v>0</v>
      </c>
      <c r="AI953" s="209"/>
      <c r="AJ953" s="3"/>
      <c r="AK953" s="3"/>
      <c r="AL953" s="3"/>
      <c r="AM953" s="3"/>
      <c r="AN953" s="3"/>
      <c r="AO953" s="40"/>
      <c r="AP953" s="209"/>
      <c r="AQ953" s="3"/>
      <c r="AR953" s="40"/>
      <c r="AS953" s="238"/>
    </row>
    <row r="954" spans="1:45" s="229" customFormat="1">
      <c r="A954" s="83" t="s">
        <v>325</v>
      </c>
      <c r="B954" s="386">
        <v>31.958333333333332</v>
      </c>
      <c r="C954" s="24" t="s">
        <v>292</v>
      </c>
      <c r="D954" s="229" t="s">
        <v>647</v>
      </c>
      <c r="F954" s="229">
        <v>523</v>
      </c>
      <c r="G954" s="40">
        <f>F954/413</f>
        <v>1.2663438256658595</v>
      </c>
      <c r="H954" s="14">
        <v>0</v>
      </c>
      <c r="I954" s="229">
        <v>0</v>
      </c>
      <c r="J954" s="229">
        <v>1</v>
      </c>
      <c r="K954" s="26">
        <v>0</v>
      </c>
      <c r="L954" s="14">
        <v>0</v>
      </c>
      <c r="M954" s="229">
        <v>1</v>
      </c>
      <c r="N954" s="229">
        <v>0</v>
      </c>
      <c r="O954" s="229">
        <v>1</v>
      </c>
      <c r="P954" s="26">
        <v>2</v>
      </c>
      <c r="Q954" s="14">
        <v>10</v>
      </c>
      <c r="R954" s="229">
        <v>0</v>
      </c>
      <c r="S954" s="229">
        <v>0</v>
      </c>
      <c r="T954" s="229">
        <v>0</v>
      </c>
      <c r="U954" s="229">
        <v>0</v>
      </c>
      <c r="V954" s="229">
        <v>23</v>
      </c>
      <c r="W954" s="229">
        <v>34</v>
      </c>
      <c r="X954" s="229">
        <v>0</v>
      </c>
      <c r="Y954" s="229">
        <v>0</v>
      </c>
      <c r="Z954" s="229">
        <v>0</v>
      </c>
      <c r="AA954" s="229">
        <v>105</v>
      </c>
      <c r="AB954" s="229">
        <v>0</v>
      </c>
      <c r="AC954" s="12">
        <v>1</v>
      </c>
      <c r="AD954" s="14">
        <v>1</v>
      </c>
      <c r="AE954" s="14">
        <v>0</v>
      </c>
      <c r="AF954" s="26">
        <v>0</v>
      </c>
      <c r="AG954" s="12">
        <v>125</v>
      </c>
      <c r="AH954" s="14">
        <v>0</v>
      </c>
      <c r="AI954" s="209"/>
      <c r="AJ954" s="3"/>
      <c r="AK954" s="3"/>
      <c r="AL954" s="3"/>
      <c r="AM954" s="3"/>
      <c r="AN954" s="3"/>
      <c r="AO954" s="40"/>
      <c r="AP954" s="209"/>
      <c r="AQ954" s="3"/>
      <c r="AR954" s="40"/>
      <c r="AS954" s="238"/>
    </row>
    <row r="955" spans="1:45" s="229" customFormat="1" ht="17" thickBot="1">
      <c r="A955" s="84" t="s">
        <v>325</v>
      </c>
      <c r="B955" s="385">
        <v>31.958333333333332</v>
      </c>
      <c r="C955" s="103" t="s">
        <v>292</v>
      </c>
      <c r="D955" s="36" t="s">
        <v>648</v>
      </c>
      <c r="E955" s="36"/>
      <c r="F955" s="36">
        <v>472</v>
      </c>
      <c r="G955" s="48">
        <f>F955/316</f>
        <v>1.4936708860759493</v>
      </c>
      <c r="H955" s="34">
        <v>0</v>
      </c>
      <c r="I955" s="36">
        <v>0</v>
      </c>
      <c r="J955" s="36">
        <v>0</v>
      </c>
      <c r="K955" s="35">
        <v>1</v>
      </c>
      <c r="L955" s="34">
        <v>1</v>
      </c>
      <c r="M955" s="36">
        <v>0</v>
      </c>
      <c r="N955" s="36">
        <v>0</v>
      </c>
      <c r="O955" s="36">
        <v>0</v>
      </c>
      <c r="P955" s="35">
        <v>1</v>
      </c>
      <c r="Q955" s="34">
        <v>0</v>
      </c>
      <c r="R955" s="36">
        <v>0</v>
      </c>
      <c r="S955" s="36">
        <v>0</v>
      </c>
      <c r="T955" s="36">
        <v>0</v>
      </c>
      <c r="U955" s="36">
        <v>0</v>
      </c>
      <c r="V955" s="36">
        <v>0</v>
      </c>
      <c r="W955" s="36">
        <v>0</v>
      </c>
      <c r="X955" s="36">
        <v>0</v>
      </c>
      <c r="Y955" s="36">
        <v>0</v>
      </c>
      <c r="Z955" s="36">
        <v>0</v>
      </c>
      <c r="AA955" s="36">
        <v>0</v>
      </c>
      <c r="AB955" s="36">
        <v>0</v>
      </c>
      <c r="AC955" s="33">
        <v>2</v>
      </c>
      <c r="AD955" s="34">
        <v>2</v>
      </c>
      <c r="AE955" s="34">
        <v>280</v>
      </c>
      <c r="AF955" s="35">
        <v>316</v>
      </c>
      <c r="AG955" s="33">
        <v>154</v>
      </c>
      <c r="AH955" s="34">
        <v>0</v>
      </c>
      <c r="AI955" s="210"/>
      <c r="AJ955" s="51"/>
      <c r="AK955" s="51"/>
      <c r="AL955" s="51"/>
      <c r="AM955" s="51"/>
      <c r="AN955" s="51"/>
      <c r="AO955" s="48"/>
      <c r="AP955" s="210"/>
      <c r="AQ955" s="51"/>
      <c r="AR955" s="48"/>
      <c r="AS955" s="239"/>
    </row>
    <row r="956" spans="1:45" s="229" customFormat="1">
      <c r="A956" s="83" t="s">
        <v>325</v>
      </c>
      <c r="B956" s="386">
        <v>32.218499999999999</v>
      </c>
      <c r="C956" s="24" t="s">
        <v>293</v>
      </c>
      <c r="D956" s="229" t="s">
        <v>622</v>
      </c>
      <c r="F956" s="229">
        <v>1074</v>
      </c>
      <c r="G956" s="40">
        <f>F956/755</f>
        <v>1.4225165562913906</v>
      </c>
      <c r="H956" s="14">
        <v>0</v>
      </c>
      <c r="I956" s="229">
        <v>0</v>
      </c>
      <c r="J956" s="229">
        <v>0</v>
      </c>
      <c r="K956" s="26">
        <v>1</v>
      </c>
      <c r="L956" s="14">
        <v>1</v>
      </c>
      <c r="M956" s="229">
        <v>0</v>
      </c>
      <c r="N956" s="229">
        <v>0</v>
      </c>
      <c r="O956" s="229">
        <v>0</v>
      </c>
      <c r="P956" s="26">
        <v>1</v>
      </c>
      <c r="Q956" s="14">
        <v>1</v>
      </c>
      <c r="R956" s="229">
        <v>0</v>
      </c>
      <c r="S956" s="229">
        <v>13</v>
      </c>
      <c r="T956" s="229">
        <v>0</v>
      </c>
      <c r="U956" s="229">
        <v>0</v>
      </c>
      <c r="V956" s="229">
        <v>0</v>
      </c>
      <c r="W956" s="229">
        <v>0</v>
      </c>
      <c r="X956" s="229">
        <v>0</v>
      </c>
      <c r="Y956" s="229">
        <v>11</v>
      </c>
      <c r="Z956" s="229">
        <v>0</v>
      </c>
      <c r="AA956" s="229">
        <v>0</v>
      </c>
      <c r="AB956" s="229">
        <v>1</v>
      </c>
      <c r="AC956" s="12">
        <v>2</v>
      </c>
      <c r="AD956" s="14">
        <v>2</v>
      </c>
      <c r="AE956" s="14">
        <v>660</v>
      </c>
      <c r="AF956" s="26">
        <v>770</v>
      </c>
      <c r="AG956" s="12">
        <v>121</v>
      </c>
      <c r="AH956" s="14">
        <v>0</v>
      </c>
      <c r="AI956" s="209">
        <v>86</v>
      </c>
      <c r="AJ956" s="3"/>
      <c r="AK956" s="3"/>
      <c r="AL956" s="3"/>
      <c r="AM956" s="3"/>
      <c r="AN956" s="3"/>
      <c r="AO956" s="40"/>
      <c r="AP956" s="209">
        <v>86</v>
      </c>
      <c r="AQ956" s="3"/>
      <c r="AR956" s="40"/>
      <c r="AS956" s="238"/>
    </row>
    <row r="957" spans="1:45" s="229" customFormat="1">
      <c r="A957" s="83" t="s">
        <v>325</v>
      </c>
      <c r="B957" s="386">
        <v>32.218499999999999</v>
      </c>
      <c r="C957" s="24" t="s">
        <v>293</v>
      </c>
      <c r="D957" s="229" t="s">
        <v>620</v>
      </c>
      <c r="F957" s="229">
        <v>3055</v>
      </c>
      <c r="G957" s="40">
        <f>F957/1975</f>
        <v>1.5468354430379747</v>
      </c>
      <c r="H957" s="14">
        <v>1</v>
      </c>
      <c r="I957" s="229">
        <v>0</v>
      </c>
      <c r="J957" s="229">
        <v>0</v>
      </c>
      <c r="K957" s="26">
        <v>0</v>
      </c>
      <c r="L957" s="14">
        <v>0</v>
      </c>
      <c r="M957" s="229">
        <v>0</v>
      </c>
      <c r="N957" s="229">
        <v>1</v>
      </c>
      <c r="O957" s="229">
        <v>0</v>
      </c>
      <c r="P957" s="26">
        <v>1</v>
      </c>
      <c r="Q957" s="14">
        <v>0</v>
      </c>
      <c r="R957" s="229">
        <v>0</v>
      </c>
      <c r="S957" s="229">
        <v>0</v>
      </c>
      <c r="T957" s="229">
        <v>0</v>
      </c>
      <c r="U957" s="229">
        <v>0</v>
      </c>
      <c r="V957" s="229">
        <v>0</v>
      </c>
      <c r="W957" s="229">
        <v>0</v>
      </c>
      <c r="X957" s="229">
        <v>0</v>
      </c>
      <c r="Y957" s="229">
        <v>0</v>
      </c>
      <c r="Z957" s="229">
        <v>0</v>
      </c>
      <c r="AA957" s="229">
        <v>0</v>
      </c>
      <c r="AB957" s="229">
        <v>0</v>
      </c>
      <c r="AC957" s="12">
        <v>1</v>
      </c>
      <c r="AD957" s="14">
        <v>1</v>
      </c>
      <c r="AE957" s="14">
        <v>0</v>
      </c>
      <c r="AF957" s="26">
        <v>0</v>
      </c>
      <c r="AG957" s="12">
        <v>167</v>
      </c>
      <c r="AH957" s="14">
        <v>1</v>
      </c>
      <c r="AI957" s="209">
        <v>89</v>
      </c>
      <c r="AJ957" s="3"/>
      <c r="AK957" s="3"/>
      <c r="AL957" s="3"/>
      <c r="AM957" s="3"/>
      <c r="AN957" s="3"/>
      <c r="AO957" s="40"/>
      <c r="AP957" s="209"/>
      <c r="AQ957" s="3"/>
      <c r="AR957" s="40"/>
      <c r="AS957" s="238"/>
    </row>
    <row r="958" spans="1:45" s="229" customFormat="1">
      <c r="A958" s="83" t="s">
        <v>325</v>
      </c>
      <c r="B958" s="386">
        <v>32.218499999999999</v>
      </c>
      <c r="C958" s="24" t="s">
        <v>293</v>
      </c>
      <c r="D958" s="229" t="s">
        <v>629</v>
      </c>
      <c r="F958" s="229">
        <v>2918</v>
      </c>
      <c r="G958" s="40">
        <f>F958/1636</f>
        <v>1.7836185819070904</v>
      </c>
      <c r="H958" s="14">
        <v>0</v>
      </c>
      <c r="I958" s="229">
        <v>0</v>
      </c>
      <c r="J958" s="229">
        <v>0</v>
      </c>
      <c r="K958" s="26">
        <v>1</v>
      </c>
      <c r="L958" s="14">
        <v>0</v>
      </c>
      <c r="M958" s="229">
        <v>0</v>
      </c>
      <c r="N958" s="229">
        <v>0</v>
      </c>
      <c r="O958" s="229">
        <v>1</v>
      </c>
      <c r="P958" s="26">
        <v>1</v>
      </c>
      <c r="Q958" s="14">
        <v>2</v>
      </c>
      <c r="R958" s="229">
        <v>0</v>
      </c>
      <c r="S958" s="229">
        <v>0</v>
      </c>
      <c r="T958" s="229">
        <v>0</v>
      </c>
      <c r="U958" s="229">
        <v>0</v>
      </c>
      <c r="V958" s="229">
        <v>104</v>
      </c>
      <c r="W958" s="229">
        <v>214</v>
      </c>
      <c r="X958" s="229">
        <v>0</v>
      </c>
      <c r="Y958" s="229">
        <v>0</v>
      </c>
      <c r="Z958" s="229">
        <v>0</v>
      </c>
      <c r="AA958" s="229">
        <v>0</v>
      </c>
      <c r="AB958" s="229">
        <v>0</v>
      </c>
      <c r="AC958" s="12">
        <v>2</v>
      </c>
      <c r="AD958" s="14">
        <v>4</v>
      </c>
      <c r="AE958" s="14">
        <v>462</v>
      </c>
      <c r="AF958" s="26">
        <v>1502</v>
      </c>
      <c r="AG958" s="12">
        <v>158</v>
      </c>
      <c r="AH958" s="14">
        <v>0</v>
      </c>
      <c r="AI958" s="209"/>
      <c r="AJ958" s="3"/>
      <c r="AK958" s="3"/>
      <c r="AL958" s="3"/>
      <c r="AM958" s="3"/>
      <c r="AN958" s="3"/>
      <c r="AO958" s="40"/>
      <c r="AP958" s="209"/>
      <c r="AQ958" s="3"/>
      <c r="AR958" s="40"/>
      <c r="AS958" s="238"/>
    </row>
    <row r="959" spans="1:45" s="229" customFormat="1">
      <c r="A959" s="83" t="s">
        <v>325</v>
      </c>
      <c r="B959" s="386">
        <v>32.218499999999999</v>
      </c>
      <c r="C959" s="24" t="s">
        <v>293</v>
      </c>
      <c r="D959" s="229" t="s">
        <v>634</v>
      </c>
      <c r="F959" s="229">
        <v>2090</v>
      </c>
      <c r="G959" s="40">
        <f>F959/1631</f>
        <v>1.2814224402207235</v>
      </c>
      <c r="H959" s="14">
        <v>0</v>
      </c>
      <c r="I959" s="229">
        <v>0</v>
      </c>
      <c r="J959" s="229">
        <v>1</v>
      </c>
      <c r="K959" s="26">
        <v>0</v>
      </c>
      <c r="L959" s="14">
        <v>0</v>
      </c>
      <c r="M959" s="229">
        <v>0</v>
      </c>
      <c r="N959" s="229">
        <v>0</v>
      </c>
      <c r="O959" s="229">
        <v>1</v>
      </c>
      <c r="P959" s="26">
        <v>1</v>
      </c>
      <c r="Q959" s="14">
        <v>0</v>
      </c>
      <c r="R959" s="229">
        <v>0</v>
      </c>
      <c r="S959" s="229">
        <v>0</v>
      </c>
      <c r="T959" s="229">
        <v>0</v>
      </c>
      <c r="U959" s="229">
        <v>0</v>
      </c>
      <c r="V959" s="229">
        <v>0</v>
      </c>
      <c r="W959" s="229">
        <v>0</v>
      </c>
      <c r="X959" s="229">
        <v>0</v>
      </c>
      <c r="Y959" s="229">
        <v>0</v>
      </c>
      <c r="Z959" s="229">
        <v>0</v>
      </c>
      <c r="AA959" s="229">
        <v>0</v>
      </c>
      <c r="AB959" s="229">
        <v>0</v>
      </c>
      <c r="AC959" s="12">
        <v>1</v>
      </c>
      <c r="AD959" s="14">
        <v>1</v>
      </c>
      <c r="AE959" s="14">
        <v>0</v>
      </c>
      <c r="AF959" s="26">
        <v>0</v>
      </c>
      <c r="AG959" s="12">
        <v>130</v>
      </c>
      <c r="AH959" s="14">
        <v>0</v>
      </c>
      <c r="AI959" s="209"/>
      <c r="AJ959" s="3"/>
      <c r="AK959" s="3"/>
      <c r="AL959" s="3"/>
      <c r="AM959" s="3"/>
      <c r="AN959" s="3"/>
      <c r="AO959" s="40"/>
      <c r="AP959" s="209"/>
      <c r="AQ959" s="3"/>
      <c r="AR959" s="40"/>
      <c r="AS959" s="238"/>
    </row>
    <row r="960" spans="1:45" s="229" customFormat="1">
      <c r="A960" s="83" t="s">
        <v>325</v>
      </c>
      <c r="B960" s="386">
        <v>32.218499999999999</v>
      </c>
      <c r="C960" s="24" t="s">
        <v>293</v>
      </c>
      <c r="D960" s="229" t="s">
        <v>625</v>
      </c>
      <c r="F960" s="229">
        <v>778</v>
      </c>
      <c r="G960" s="40">
        <f>F960/495</f>
        <v>1.5717171717171716</v>
      </c>
      <c r="H960" s="14">
        <v>0</v>
      </c>
      <c r="I960" s="229">
        <v>0</v>
      </c>
      <c r="J960" s="229">
        <v>1</v>
      </c>
      <c r="K960" s="26">
        <v>0</v>
      </c>
      <c r="L960" s="14">
        <v>1</v>
      </c>
      <c r="M960" s="229">
        <v>0</v>
      </c>
      <c r="N960" s="229">
        <v>0</v>
      </c>
      <c r="O960" s="229">
        <v>0</v>
      </c>
      <c r="P960" s="26">
        <v>1</v>
      </c>
      <c r="Q960" s="14">
        <v>2</v>
      </c>
      <c r="R960" s="229">
        <v>18</v>
      </c>
      <c r="S960" s="229">
        <v>29</v>
      </c>
      <c r="T960" s="229">
        <v>0</v>
      </c>
      <c r="U960" s="229">
        <v>0</v>
      </c>
      <c r="V960" s="229">
        <v>28</v>
      </c>
      <c r="W960" s="229">
        <v>34</v>
      </c>
      <c r="X960" s="229">
        <v>0</v>
      </c>
      <c r="Y960" s="229">
        <v>0</v>
      </c>
      <c r="Z960" s="229">
        <v>0</v>
      </c>
      <c r="AA960" s="229">
        <v>0</v>
      </c>
      <c r="AB960" s="229">
        <v>0</v>
      </c>
      <c r="AC960" s="12">
        <v>1</v>
      </c>
      <c r="AD960" s="14">
        <v>1</v>
      </c>
      <c r="AE960" s="14">
        <v>0</v>
      </c>
      <c r="AF960" s="26">
        <v>0</v>
      </c>
      <c r="AG960" s="12">
        <v>100</v>
      </c>
      <c r="AH960" s="14">
        <v>0</v>
      </c>
      <c r="AI960" s="209">
        <v>86</v>
      </c>
      <c r="AJ960" s="3"/>
      <c r="AK960" s="3"/>
      <c r="AL960" s="3"/>
      <c r="AM960" s="3"/>
      <c r="AN960" s="3"/>
      <c r="AO960" s="40"/>
      <c r="AP960" s="209">
        <v>87</v>
      </c>
      <c r="AQ960" s="3"/>
      <c r="AR960" s="40"/>
      <c r="AS960" s="238"/>
    </row>
    <row r="961" spans="1:45" s="229" customFormat="1">
      <c r="A961" s="83" t="s">
        <v>325</v>
      </c>
      <c r="B961" s="386">
        <v>32.218499999999999</v>
      </c>
      <c r="C961" s="24" t="s">
        <v>293</v>
      </c>
      <c r="D961" s="229" t="s">
        <v>630</v>
      </c>
      <c r="F961" s="229">
        <v>3237</v>
      </c>
      <c r="G961" s="40">
        <f>F961/1790</f>
        <v>1.8083798882681563</v>
      </c>
      <c r="H961" s="14">
        <v>0</v>
      </c>
      <c r="I961" s="229">
        <v>0</v>
      </c>
      <c r="J961" s="229">
        <v>1</v>
      </c>
      <c r="K961" s="26">
        <v>0</v>
      </c>
      <c r="L961" s="14">
        <v>0</v>
      </c>
      <c r="M961" s="229">
        <v>0</v>
      </c>
      <c r="N961" s="229">
        <v>0</v>
      </c>
      <c r="O961" s="229">
        <v>1</v>
      </c>
      <c r="P961" s="26">
        <v>1</v>
      </c>
      <c r="Q961" s="14">
        <v>1</v>
      </c>
      <c r="R961" s="229">
        <v>51</v>
      </c>
      <c r="S961" s="229">
        <v>79</v>
      </c>
      <c r="T961" s="229">
        <v>0</v>
      </c>
      <c r="U961" s="229">
        <v>0</v>
      </c>
      <c r="V961" s="229">
        <v>0</v>
      </c>
      <c r="W961" s="229">
        <v>162</v>
      </c>
      <c r="X961" s="229">
        <v>0</v>
      </c>
      <c r="Y961" s="229">
        <v>0</v>
      </c>
      <c r="Z961" s="229">
        <v>0</v>
      </c>
      <c r="AA961" s="229">
        <v>0</v>
      </c>
      <c r="AB961" s="229">
        <v>0</v>
      </c>
      <c r="AC961" s="12">
        <v>1</v>
      </c>
      <c r="AD961" s="14">
        <v>1</v>
      </c>
      <c r="AE961" s="14">
        <v>0</v>
      </c>
      <c r="AF961" s="26">
        <v>0</v>
      </c>
      <c r="AG961" s="12">
        <v>147</v>
      </c>
      <c r="AH961" s="14">
        <v>0</v>
      </c>
      <c r="AI961" s="209">
        <v>86</v>
      </c>
      <c r="AJ961" s="3"/>
      <c r="AK961" s="3"/>
      <c r="AL961" s="3"/>
      <c r="AM961" s="3"/>
      <c r="AN961" s="3"/>
      <c r="AO961" s="40"/>
      <c r="AP961" s="209">
        <v>87</v>
      </c>
      <c r="AQ961" s="3"/>
      <c r="AR961" s="40"/>
      <c r="AS961" s="238"/>
    </row>
    <row r="962" spans="1:45" s="229" customFormat="1">
      <c r="A962" s="83" t="s">
        <v>325</v>
      </c>
      <c r="B962" s="386">
        <v>32.218499999999999</v>
      </c>
      <c r="C962" s="24" t="s">
        <v>293</v>
      </c>
      <c r="D962" s="229" t="s">
        <v>637</v>
      </c>
      <c r="F962" s="229">
        <v>890</v>
      </c>
      <c r="G962" s="40">
        <f>F962/702</f>
        <v>1.2678062678062678</v>
      </c>
      <c r="H962" s="14">
        <v>0</v>
      </c>
      <c r="I962" s="229">
        <v>0</v>
      </c>
      <c r="J962" s="229">
        <v>0</v>
      </c>
      <c r="K962" s="26">
        <v>1</v>
      </c>
      <c r="L962" s="14">
        <v>0</v>
      </c>
      <c r="M962" s="229">
        <v>0</v>
      </c>
      <c r="N962" s="229">
        <v>1</v>
      </c>
      <c r="O962" s="229">
        <v>0</v>
      </c>
      <c r="P962" s="26">
        <v>1</v>
      </c>
      <c r="Q962" s="14">
        <v>0</v>
      </c>
      <c r="R962" s="229">
        <v>0</v>
      </c>
      <c r="S962" s="229">
        <v>0</v>
      </c>
      <c r="T962" s="229">
        <v>0</v>
      </c>
      <c r="U962" s="229">
        <v>0</v>
      </c>
      <c r="V962" s="229">
        <v>0</v>
      </c>
      <c r="W962" s="229">
        <v>0</v>
      </c>
      <c r="X962" s="229">
        <v>0</v>
      </c>
      <c r="Y962" s="229">
        <v>0</v>
      </c>
      <c r="Z962" s="229">
        <v>0</v>
      </c>
      <c r="AA962" s="229">
        <v>0</v>
      </c>
      <c r="AB962" s="229">
        <v>0</v>
      </c>
      <c r="AC962" s="12">
        <v>1</v>
      </c>
      <c r="AD962" s="14">
        <v>1</v>
      </c>
      <c r="AE962" s="14">
        <v>0</v>
      </c>
      <c r="AF962" s="26">
        <v>0</v>
      </c>
      <c r="AG962" s="12">
        <v>105</v>
      </c>
      <c r="AH962" s="14">
        <v>0</v>
      </c>
      <c r="AI962" s="209">
        <v>87</v>
      </c>
      <c r="AJ962" s="3"/>
      <c r="AK962" s="3"/>
      <c r="AL962" s="3"/>
      <c r="AM962" s="3"/>
      <c r="AN962" s="3"/>
      <c r="AO962" s="40"/>
      <c r="AP962" s="209">
        <v>87</v>
      </c>
      <c r="AQ962" s="3"/>
      <c r="AR962" s="40"/>
      <c r="AS962" s="238"/>
    </row>
    <row r="963" spans="1:45" s="229" customFormat="1">
      <c r="A963" s="83" t="s">
        <v>325</v>
      </c>
      <c r="B963" s="386">
        <v>32.218499999999999</v>
      </c>
      <c r="C963" s="24" t="s">
        <v>293</v>
      </c>
      <c r="D963" s="229" t="s">
        <v>638</v>
      </c>
      <c r="F963" s="229">
        <v>612</v>
      </c>
      <c r="G963" s="40">
        <f>F963/430</f>
        <v>1.4232558139534883</v>
      </c>
      <c r="H963" s="14">
        <v>0</v>
      </c>
      <c r="I963" s="229">
        <v>0</v>
      </c>
      <c r="J963" s="229">
        <v>1</v>
      </c>
      <c r="K963" s="26">
        <v>0</v>
      </c>
      <c r="L963" s="14">
        <v>0</v>
      </c>
      <c r="M963" s="229">
        <v>0</v>
      </c>
      <c r="N963" s="229">
        <v>0</v>
      </c>
      <c r="O963" s="229">
        <v>1</v>
      </c>
      <c r="P963" s="26">
        <v>1</v>
      </c>
      <c r="Q963" s="14">
        <v>3</v>
      </c>
      <c r="R963" s="229">
        <v>0</v>
      </c>
      <c r="S963" s="229">
        <v>24</v>
      </c>
      <c r="T963" s="229">
        <v>0</v>
      </c>
      <c r="U963" s="229">
        <v>0</v>
      </c>
      <c r="V963" s="229">
        <v>0</v>
      </c>
      <c r="W963" s="229">
        <v>0</v>
      </c>
      <c r="X963" s="229">
        <v>0</v>
      </c>
      <c r="Y963" s="229">
        <v>0</v>
      </c>
      <c r="Z963" s="229">
        <v>46</v>
      </c>
      <c r="AA963" s="229">
        <v>82</v>
      </c>
      <c r="AB963" s="229">
        <v>0</v>
      </c>
      <c r="AC963" s="12">
        <v>1</v>
      </c>
      <c r="AD963" s="14">
        <v>1</v>
      </c>
      <c r="AE963" s="14">
        <v>0</v>
      </c>
      <c r="AF963" s="26">
        <v>0</v>
      </c>
      <c r="AG963" s="12">
        <v>130</v>
      </c>
      <c r="AH963" s="14">
        <v>0</v>
      </c>
      <c r="AI963" s="209"/>
      <c r="AJ963" s="3"/>
      <c r="AK963" s="3"/>
      <c r="AL963" s="3"/>
      <c r="AM963" s="3"/>
      <c r="AN963" s="3"/>
      <c r="AO963" s="40"/>
      <c r="AP963" s="209"/>
      <c r="AQ963" s="3"/>
      <c r="AR963" s="40"/>
      <c r="AS963" s="238"/>
    </row>
    <row r="964" spans="1:45" s="229" customFormat="1">
      <c r="A964" s="83" t="s">
        <v>325</v>
      </c>
      <c r="B964" s="386">
        <v>32.218499999999999</v>
      </c>
      <c r="C964" s="24" t="s">
        <v>293</v>
      </c>
      <c r="D964" s="229" t="s">
        <v>639</v>
      </c>
      <c r="F964" s="229">
        <v>1996</v>
      </c>
      <c r="G964" s="40">
        <f>F964/2014</f>
        <v>0.99106256206554122</v>
      </c>
      <c r="H964" s="14">
        <v>0</v>
      </c>
      <c r="I964" s="229">
        <v>0</v>
      </c>
      <c r="J964" s="229">
        <v>0</v>
      </c>
      <c r="K964" s="26">
        <v>1</v>
      </c>
      <c r="L964" s="14">
        <v>1</v>
      </c>
      <c r="M964" s="229">
        <v>0</v>
      </c>
      <c r="N964" s="229">
        <v>0</v>
      </c>
      <c r="O964" s="229">
        <v>0</v>
      </c>
      <c r="P964" s="26">
        <v>1</v>
      </c>
      <c r="Q964" s="14">
        <v>1</v>
      </c>
      <c r="R964" s="229">
        <v>0</v>
      </c>
      <c r="S964" s="229">
        <v>0</v>
      </c>
      <c r="T964" s="229">
        <v>0</v>
      </c>
      <c r="U964" s="229">
        <v>0</v>
      </c>
      <c r="V964" s="229">
        <v>0</v>
      </c>
      <c r="W964" s="229">
        <v>68</v>
      </c>
      <c r="X964" s="229">
        <v>0</v>
      </c>
      <c r="Y964" s="229">
        <v>0</v>
      </c>
      <c r="Z964" s="229">
        <v>0</v>
      </c>
      <c r="AA964" s="229">
        <v>0</v>
      </c>
      <c r="AB964" s="229">
        <v>0</v>
      </c>
      <c r="AC964" s="12">
        <v>1</v>
      </c>
      <c r="AD964" s="14">
        <v>1</v>
      </c>
      <c r="AE964" s="14">
        <v>0</v>
      </c>
      <c r="AF964" s="26">
        <v>0</v>
      </c>
      <c r="AG964" s="12">
        <v>125</v>
      </c>
      <c r="AH964" s="14">
        <v>1</v>
      </c>
      <c r="AI964" s="209">
        <v>89</v>
      </c>
      <c r="AJ964" s="3"/>
      <c r="AK964" s="3"/>
      <c r="AL964" s="3"/>
      <c r="AM964" s="3"/>
      <c r="AN964" s="3"/>
      <c r="AO964" s="40"/>
      <c r="AP964" s="209">
        <v>86</v>
      </c>
      <c r="AQ964" s="3"/>
      <c r="AR964" s="40"/>
      <c r="AS964" s="238"/>
    </row>
    <row r="965" spans="1:45" s="229" customFormat="1">
      <c r="A965" s="83" t="s">
        <v>325</v>
      </c>
      <c r="B965" s="386">
        <v>32.218499999999999</v>
      </c>
      <c r="C965" s="24" t="s">
        <v>293</v>
      </c>
      <c r="D965" s="229" t="s">
        <v>640</v>
      </c>
      <c r="E965" s="229" t="s">
        <v>0</v>
      </c>
      <c r="F965" s="229">
        <v>2088</v>
      </c>
      <c r="G965" s="40">
        <f>F965/918</f>
        <v>2.2745098039215685</v>
      </c>
      <c r="H965" s="14">
        <v>0</v>
      </c>
      <c r="I965" s="229">
        <v>0</v>
      </c>
      <c r="J965" s="229">
        <v>1</v>
      </c>
      <c r="K965" s="26">
        <v>0</v>
      </c>
      <c r="L965" s="14">
        <v>0</v>
      </c>
      <c r="M965" s="229">
        <v>0</v>
      </c>
      <c r="N965" s="229">
        <v>0</v>
      </c>
      <c r="O965" s="229">
        <v>1</v>
      </c>
      <c r="P965" s="26">
        <v>1</v>
      </c>
      <c r="Q965" s="14">
        <v>0</v>
      </c>
      <c r="R965" s="229">
        <v>0</v>
      </c>
      <c r="S965" s="229">
        <v>0</v>
      </c>
      <c r="T965" s="229">
        <v>0</v>
      </c>
      <c r="U965" s="229">
        <v>0</v>
      </c>
      <c r="V965" s="229">
        <v>0</v>
      </c>
      <c r="W965" s="229">
        <v>0</v>
      </c>
      <c r="X965" s="229">
        <v>0</v>
      </c>
      <c r="Y965" s="229">
        <v>0</v>
      </c>
      <c r="Z965" s="229">
        <v>0</v>
      </c>
      <c r="AA965" s="229">
        <v>0</v>
      </c>
      <c r="AB965" s="229">
        <v>0</v>
      </c>
      <c r="AC965" s="12">
        <v>1</v>
      </c>
      <c r="AD965" s="14">
        <v>1</v>
      </c>
      <c r="AE965" s="14">
        <v>0</v>
      </c>
      <c r="AF965" s="26">
        <v>0</v>
      </c>
      <c r="AG965" s="12">
        <v>142</v>
      </c>
      <c r="AH965" s="14">
        <v>0</v>
      </c>
      <c r="AI965" s="209"/>
      <c r="AJ965" s="3"/>
      <c r="AK965" s="3"/>
      <c r="AL965" s="3"/>
      <c r="AM965" s="3"/>
      <c r="AN965" s="3"/>
      <c r="AO965" s="40"/>
      <c r="AP965" s="209"/>
      <c r="AQ965" s="3"/>
      <c r="AR965" s="40"/>
      <c r="AS965" s="238"/>
    </row>
    <row r="966" spans="1:45" s="229" customFormat="1">
      <c r="A966" s="83" t="s">
        <v>325</v>
      </c>
      <c r="B966" s="386">
        <v>32.218499999999999</v>
      </c>
      <c r="C966" s="24" t="s">
        <v>293</v>
      </c>
      <c r="D966" s="229" t="s">
        <v>640</v>
      </c>
      <c r="E966" s="229" t="s">
        <v>1</v>
      </c>
      <c r="F966" s="229">
        <v>938</v>
      </c>
      <c r="G966" s="40">
        <f>F966/519</f>
        <v>1.8073217726396917</v>
      </c>
      <c r="H966" s="14">
        <v>0</v>
      </c>
      <c r="I966" s="229">
        <v>0</v>
      </c>
      <c r="J966" s="229">
        <v>1</v>
      </c>
      <c r="K966" s="26">
        <v>0</v>
      </c>
      <c r="L966" s="14">
        <v>0</v>
      </c>
      <c r="M966" s="229">
        <v>0</v>
      </c>
      <c r="N966" s="229">
        <v>0</v>
      </c>
      <c r="O966" s="229">
        <v>1</v>
      </c>
      <c r="P966" s="26">
        <v>1</v>
      </c>
      <c r="Q966" s="14">
        <v>0</v>
      </c>
      <c r="R966" s="229">
        <v>0</v>
      </c>
      <c r="S966" s="229">
        <v>0</v>
      </c>
      <c r="T966" s="229">
        <v>0</v>
      </c>
      <c r="U966" s="229">
        <v>0</v>
      </c>
      <c r="V966" s="229">
        <v>0</v>
      </c>
      <c r="W966" s="229">
        <v>0</v>
      </c>
      <c r="X966" s="229">
        <v>0</v>
      </c>
      <c r="Y966" s="229">
        <v>0</v>
      </c>
      <c r="Z966" s="229">
        <v>0</v>
      </c>
      <c r="AA966" s="229">
        <v>0</v>
      </c>
      <c r="AB966" s="229">
        <v>0</v>
      </c>
      <c r="AC966" s="12">
        <v>1</v>
      </c>
      <c r="AD966" s="14">
        <v>1</v>
      </c>
      <c r="AE966" s="14">
        <v>0</v>
      </c>
      <c r="AF966" s="26">
        <v>0</v>
      </c>
      <c r="AG966" s="12">
        <v>142</v>
      </c>
      <c r="AH966" s="14">
        <v>1</v>
      </c>
      <c r="AI966" s="209"/>
      <c r="AJ966" s="3"/>
      <c r="AK966" s="3"/>
      <c r="AL966" s="3"/>
      <c r="AM966" s="3"/>
      <c r="AN966" s="3"/>
      <c r="AO966" s="40"/>
      <c r="AP966" s="209"/>
      <c r="AQ966" s="3"/>
      <c r="AR966" s="40"/>
      <c r="AS966" s="238"/>
    </row>
    <row r="967" spans="1:45" s="229" customFormat="1">
      <c r="A967" s="83" t="s">
        <v>325</v>
      </c>
      <c r="B967" s="386">
        <v>32.218499999999999</v>
      </c>
      <c r="C967" s="24" t="s">
        <v>293</v>
      </c>
      <c r="D967" s="229" t="s">
        <v>640</v>
      </c>
      <c r="E967" s="229" t="s">
        <v>2</v>
      </c>
      <c r="F967" s="229">
        <v>532</v>
      </c>
      <c r="G967" s="40">
        <f>F967/490</f>
        <v>1.0857142857142856</v>
      </c>
      <c r="H967" s="14">
        <v>1</v>
      </c>
      <c r="I967" s="229">
        <v>0</v>
      </c>
      <c r="J967" s="229">
        <v>0</v>
      </c>
      <c r="K967" s="26">
        <v>0</v>
      </c>
      <c r="L967" s="14">
        <v>0</v>
      </c>
      <c r="M967" s="229">
        <v>0</v>
      </c>
      <c r="N967" s="229">
        <v>0</v>
      </c>
      <c r="O967" s="229">
        <v>1</v>
      </c>
      <c r="P967" s="26">
        <v>1</v>
      </c>
      <c r="Q967" s="14">
        <v>0</v>
      </c>
      <c r="R967" s="229">
        <v>0</v>
      </c>
      <c r="S967" s="229">
        <v>0</v>
      </c>
      <c r="T967" s="229">
        <v>0</v>
      </c>
      <c r="U967" s="229">
        <v>0</v>
      </c>
      <c r="V967" s="229">
        <v>0</v>
      </c>
      <c r="W967" s="229">
        <v>0</v>
      </c>
      <c r="X967" s="229">
        <v>0</v>
      </c>
      <c r="Y967" s="229">
        <v>0</v>
      </c>
      <c r="Z967" s="229">
        <v>0</v>
      </c>
      <c r="AA967" s="229">
        <v>0</v>
      </c>
      <c r="AB967" s="229">
        <v>0</v>
      </c>
      <c r="AC967" s="12">
        <v>1</v>
      </c>
      <c r="AD967" s="14">
        <v>1</v>
      </c>
      <c r="AE967" s="14">
        <v>0</v>
      </c>
      <c r="AF967" s="26">
        <v>0</v>
      </c>
      <c r="AG967" s="12">
        <v>142</v>
      </c>
      <c r="AH967" s="14">
        <v>0</v>
      </c>
      <c r="AI967" s="209"/>
      <c r="AJ967" s="3"/>
      <c r="AK967" s="3"/>
      <c r="AL967" s="3"/>
      <c r="AM967" s="3"/>
      <c r="AN967" s="3"/>
      <c r="AO967" s="40"/>
      <c r="AP967" s="209"/>
      <c r="AQ967" s="3"/>
      <c r="AR967" s="40"/>
      <c r="AS967" s="238"/>
    </row>
    <row r="968" spans="1:45" s="229" customFormat="1">
      <c r="A968" s="83" t="s">
        <v>325</v>
      </c>
      <c r="B968" s="386">
        <v>32.218499999999999</v>
      </c>
      <c r="C968" s="24" t="s">
        <v>293</v>
      </c>
      <c r="D968" s="229" t="s">
        <v>641</v>
      </c>
      <c r="F968" s="229">
        <v>1269</v>
      </c>
      <c r="G968" s="40">
        <f>F968/1978</f>
        <v>0.64155712841253787</v>
      </c>
      <c r="H968" s="14">
        <v>1</v>
      </c>
      <c r="I968" s="229">
        <v>0</v>
      </c>
      <c r="J968" s="229">
        <v>0</v>
      </c>
      <c r="K968" s="26">
        <v>1</v>
      </c>
      <c r="L968" s="14">
        <v>0</v>
      </c>
      <c r="M968" s="229">
        <v>0</v>
      </c>
      <c r="N968" s="229">
        <v>1</v>
      </c>
      <c r="O968" s="229">
        <v>0</v>
      </c>
      <c r="P968" s="26">
        <v>1</v>
      </c>
      <c r="Q968" s="14">
        <v>0</v>
      </c>
      <c r="R968" s="229">
        <v>0</v>
      </c>
      <c r="S968" s="229">
        <v>0</v>
      </c>
      <c r="T968" s="229">
        <v>0</v>
      </c>
      <c r="U968" s="229">
        <v>0</v>
      </c>
      <c r="V968" s="229">
        <v>0</v>
      </c>
      <c r="W968" s="229">
        <v>0</v>
      </c>
      <c r="X968" s="229">
        <v>0</v>
      </c>
      <c r="Y968" s="229">
        <v>0</v>
      </c>
      <c r="Z968" s="229">
        <v>0</v>
      </c>
      <c r="AA968" s="229">
        <v>0</v>
      </c>
      <c r="AB968" s="229">
        <v>0</v>
      </c>
      <c r="AC968" s="12">
        <v>2</v>
      </c>
      <c r="AD968" s="14">
        <v>2</v>
      </c>
      <c r="AE968" s="14">
        <v>686</v>
      </c>
      <c r="AF968" s="26">
        <v>1269</v>
      </c>
      <c r="AG968" s="12">
        <v>127</v>
      </c>
      <c r="AH968" s="14">
        <v>1</v>
      </c>
      <c r="AI968" s="209">
        <v>90</v>
      </c>
      <c r="AJ968" s="3"/>
      <c r="AK968" s="3"/>
      <c r="AL968" s="3"/>
      <c r="AM968" s="3"/>
      <c r="AN968" s="3"/>
      <c r="AO968" s="40"/>
      <c r="AP968" s="209">
        <v>87</v>
      </c>
      <c r="AQ968" s="3"/>
      <c r="AR968" s="40"/>
      <c r="AS968" s="238"/>
    </row>
    <row r="969" spans="1:45" s="229" customFormat="1">
      <c r="A969" s="83" t="s">
        <v>325</v>
      </c>
      <c r="B969" s="386">
        <v>32.218499999999999</v>
      </c>
      <c r="C969" s="24" t="s">
        <v>293</v>
      </c>
      <c r="D969" s="229" t="s">
        <v>647</v>
      </c>
      <c r="F969" s="229">
        <v>1122</v>
      </c>
      <c r="G969" s="40">
        <f>F969/902</f>
        <v>1.2439024390243902</v>
      </c>
      <c r="H969" s="14">
        <v>0</v>
      </c>
      <c r="I969" s="229">
        <v>0</v>
      </c>
      <c r="J969" s="229">
        <v>0</v>
      </c>
      <c r="K969" s="26">
        <v>1</v>
      </c>
      <c r="L969" s="14">
        <v>0</v>
      </c>
      <c r="M969" s="229">
        <v>0</v>
      </c>
      <c r="N969" s="229">
        <v>1</v>
      </c>
      <c r="O969" s="229">
        <v>0</v>
      </c>
      <c r="P969" s="26">
        <v>1</v>
      </c>
      <c r="Q969" s="14">
        <v>0</v>
      </c>
      <c r="R969" s="229">
        <v>0</v>
      </c>
      <c r="S969" s="229">
        <v>0</v>
      </c>
      <c r="T969" s="229">
        <v>0</v>
      </c>
      <c r="U969" s="229">
        <v>0</v>
      </c>
      <c r="V969" s="229">
        <v>0</v>
      </c>
      <c r="W969" s="229">
        <v>0</v>
      </c>
      <c r="X969" s="229">
        <v>0</v>
      </c>
      <c r="Y969" s="229">
        <v>0</v>
      </c>
      <c r="Z969" s="229">
        <v>0</v>
      </c>
      <c r="AA969" s="229">
        <v>0</v>
      </c>
      <c r="AB969" s="229">
        <v>0</v>
      </c>
      <c r="AC969" s="12">
        <v>1</v>
      </c>
      <c r="AD969" s="14">
        <v>1</v>
      </c>
      <c r="AE969" s="14">
        <v>0</v>
      </c>
      <c r="AF969" s="26">
        <v>0</v>
      </c>
      <c r="AG969" s="12">
        <v>123</v>
      </c>
      <c r="AH969" s="14">
        <v>0</v>
      </c>
      <c r="AI969" s="209"/>
      <c r="AJ969" s="3"/>
      <c r="AK969" s="3"/>
      <c r="AL969" s="3"/>
      <c r="AM969" s="3"/>
      <c r="AN969" s="3"/>
      <c r="AO969" s="40"/>
      <c r="AP969" s="209"/>
      <c r="AQ969" s="3"/>
      <c r="AR969" s="40"/>
      <c r="AS969" s="238"/>
    </row>
    <row r="970" spans="1:45" s="229" customFormat="1">
      <c r="A970" s="83" t="s">
        <v>325</v>
      </c>
      <c r="B970" s="386">
        <v>32.218499999999999</v>
      </c>
      <c r="C970" s="24" t="s">
        <v>293</v>
      </c>
      <c r="D970" s="229" t="s">
        <v>648</v>
      </c>
      <c r="F970" s="229">
        <v>5835</v>
      </c>
      <c r="G970" s="40">
        <f>F970/4229</f>
        <v>1.3797588082288956</v>
      </c>
      <c r="H970" s="14">
        <v>0</v>
      </c>
      <c r="I970" s="229">
        <v>0</v>
      </c>
      <c r="J970" s="229">
        <v>1</v>
      </c>
      <c r="K970" s="26">
        <v>0</v>
      </c>
      <c r="L970" s="14">
        <v>0</v>
      </c>
      <c r="M970" s="229">
        <v>0</v>
      </c>
      <c r="N970" s="229">
        <v>1</v>
      </c>
      <c r="O970" s="229">
        <v>0</v>
      </c>
      <c r="P970" s="26">
        <v>1</v>
      </c>
      <c r="Q970" s="14">
        <v>1</v>
      </c>
      <c r="R970" s="229">
        <v>0</v>
      </c>
      <c r="S970" s="229">
        <v>0</v>
      </c>
      <c r="T970" s="229">
        <v>0</v>
      </c>
      <c r="U970" s="229">
        <v>0</v>
      </c>
      <c r="V970" s="229">
        <v>0</v>
      </c>
      <c r="W970" s="229">
        <v>94</v>
      </c>
      <c r="X970" s="229">
        <v>0</v>
      </c>
      <c r="Y970" s="229">
        <v>0</v>
      </c>
      <c r="Z970" s="229">
        <v>0</v>
      </c>
      <c r="AA970" s="229">
        <v>0</v>
      </c>
      <c r="AB970" s="229">
        <v>0</v>
      </c>
      <c r="AC970" s="12">
        <v>1</v>
      </c>
      <c r="AD970" s="14">
        <v>1</v>
      </c>
      <c r="AE970" s="14">
        <v>0</v>
      </c>
      <c r="AF970" s="26">
        <v>0</v>
      </c>
      <c r="AG970" s="12">
        <v>167</v>
      </c>
      <c r="AH970" s="14">
        <v>1</v>
      </c>
      <c r="AI970" s="209"/>
      <c r="AJ970" s="3"/>
      <c r="AK970" s="3"/>
      <c r="AL970" s="3"/>
      <c r="AM970" s="3"/>
      <c r="AN970" s="3"/>
      <c r="AO970" s="40"/>
      <c r="AP970" s="209"/>
      <c r="AQ970" s="3"/>
      <c r="AR970" s="40"/>
      <c r="AS970" s="238"/>
    </row>
    <row r="971" spans="1:45" s="229" customFormat="1">
      <c r="A971" s="83" t="s">
        <v>325</v>
      </c>
      <c r="B971" s="386">
        <v>32.218499999999999</v>
      </c>
      <c r="C971" s="24" t="s">
        <v>293</v>
      </c>
      <c r="D971" s="229" t="s">
        <v>649</v>
      </c>
      <c r="F971" s="229">
        <v>3587</v>
      </c>
      <c r="G971" s="40">
        <f>F971/1629</f>
        <v>2.2019643953345609</v>
      </c>
      <c r="H971" s="14">
        <v>0</v>
      </c>
      <c r="I971" s="229">
        <v>0</v>
      </c>
      <c r="J971" s="229">
        <v>1</v>
      </c>
      <c r="K971" s="26">
        <v>0</v>
      </c>
      <c r="L971" s="14">
        <v>0</v>
      </c>
      <c r="M971" s="229">
        <v>0</v>
      </c>
      <c r="N971" s="229">
        <v>1</v>
      </c>
      <c r="O971" s="229">
        <v>0</v>
      </c>
      <c r="P971" s="26">
        <v>1</v>
      </c>
      <c r="Q971" s="14">
        <v>1</v>
      </c>
      <c r="R971" s="229">
        <v>0</v>
      </c>
      <c r="S971" s="229">
        <v>68</v>
      </c>
      <c r="T971" s="229">
        <v>0</v>
      </c>
      <c r="U971" s="229">
        <v>0</v>
      </c>
      <c r="V971" s="229">
        <v>0</v>
      </c>
      <c r="W971" s="229">
        <v>112</v>
      </c>
      <c r="X971" s="229">
        <v>0</v>
      </c>
      <c r="Y971" s="229">
        <v>0</v>
      </c>
      <c r="Z971" s="229">
        <v>0</v>
      </c>
      <c r="AA971" s="229">
        <v>0</v>
      </c>
      <c r="AB971" s="229">
        <v>0</v>
      </c>
      <c r="AC971" s="12">
        <v>1</v>
      </c>
      <c r="AD971" s="14">
        <v>1</v>
      </c>
      <c r="AE971" s="14">
        <v>0</v>
      </c>
      <c r="AF971" s="26">
        <v>0</v>
      </c>
      <c r="AG971" s="12">
        <v>154</v>
      </c>
      <c r="AH971" s="14">
        <v>1</v>
      </c>
      <c r="AI971" s="209"/>
      <c r="AJ971" s="3"/>
      <c r="AK971" s="3"/>
      <c r="AL971" s="3"/>
      <c r="AM971" s="3"/>
      <c r="AN971" s="3"/>
      <c r="AO971" s="40"/>
      <c r="AP971" s="209"/>
      <c r="AQ971" s="3"/>
      <c r="AR971" s="40"/>
      <c r="AS971" s="238"/>
    </row>
    <row r="972" spans="1:45" s="229" customFormat="1" ht="17" thickBot="1">
      <c r="A972" s="84" t="s">
        <v>325</v>
      </c>
      <c r="B972" s="385">
        <v>32.218499999999999</v>
      </c>
      <c r="C972" s="24" t="s">
        <v>293</v>
      </c>
      <c r="D972" s="229" t="s">
        <v>669</v>
      </c>
      <c r="F972" s="229">
        <v>4088</v>
      </c>
      <c r="G972" s="40">
        <f>F972/1301</f>
        <v>3.1421983089930823</v>
      </c>
      <c r="H972" s="14">
        <v>0</v>
      </c>
      <c r="I972" s="229">
        <v>0</v>
      </c>
      <c r="J972" s="229">
        <v>0</v>
      </c>
      <c r="K972" s="26">
        <v>1</v>
      </c>
      <c r="L972" s="14">
        <v>0</v>
      </c>
      <c r="M972" s="229">
        <v>0</v>
      </c>
      <c r="N972" s="229">
        <v>0</v>
      </c>
      <c r="O972" s="229">
        <v>0</v>
      </c>
      <c r="P972" s="26">
        <v>0</v>
      </c>
      <c r="Q972" s="14">
        <v>2</v>
      </c>
      <c r="R972" s="229">
        <v>0</v>
      </c>
      <c r="S972" s="229">
        <v>39</v>
      </c>
      <c r="T972" s="229">
        <v>0</v>
      </c>
      <c r="U972" s="229">
        <v>0</v>
      </c>
      <c r="V972" s="229">
        <v>0</v>
      </c>
      <c r="W972" s="229">
        <v>0</v>
      </c>
      <c r="X972" s="229">
        <v>0</v>
      </c>
      <c r="Y972" s="229">
        <v>0</v>
      </c>
      <c r="Z972" s="229">
        <v>274</v>
      </c>
      <c r="AA972" s="229">
        <v>542</v>
      </c>
      <c r="AB972" s="229">
        <v>0</v>
      </c>
      <c r="AC972" s="12">
        <v>2</v>
      </c>
      <c r="AD972" s="14">
        <v>2</v>
      </c>
      <c r="AE972" s="14">
        <v>1727</v>
      </c>
      <c r="AF972" s="26">
        <v>2408</v>
      </c>
      <c r="AG972" s="12">
        <v>158</v>
      </c>
      <c r="AH972" s="14">
        <v>1</v>
      </c>
      <c r="AI972" s="209">
        <v>88</v>
      </c>
      <c r="AJ972" s="3">
        <v>88</v>
      </c>
      <c r="AK972" s="3"/>
      <c r="AL972" s="3"/>
      <c r="AM972" s="3"/>
      <c r="AN972" s="3"/>
      <c r="AO972" s="40"/>
      <c r="AP972" s="209">
        <v>88</v>
      </c>
      <c r="AQ972" s="3">
        <v>88</v>
      </c>
      <c r="AR972" s="40"/>
      <c r="AS972" s="238"/>
    </row>
    <row r="973" spans="1:45" s="229" customFormat="1">
      <c r="A973" s="147" t="s">
        <v>325</v>
      </c>
      <c r="B973" s="384">
        <v>32.218499999999999</v>
      </c>
      <c r="C973" s="100" t="s">
        <v>294</v>
      </c>
      <c r="D973" s="8" t="s">
        <v>622</v>
      </c>
      <c r="E973" s="8"/>
      <c r="F973" s="8">
        <v>1908</v>
      </c>
      <c r="G973" s="10">
        <f>F973/1603</f>
        <v>1.190268247036806</v>
      </c>
      <c r="H973" s="11">
        <v>0</v>
      </c>
      <c r="I973" s="8">
        <v>0</v>
      </c>
      <c r="J973" s="8">
        <v>0</v>
      </c>
      <c r="K973" s="41">
        <v>1</v>
      </c>
      <c r="L973" s="11">
        <v>0</v>
      </c>
      <c r="M973" s="8">
        <v>0</v>
      </c>
      <c r="N973" s="8">
        <v>1</v>
      </c>
      <c r="O973" s="8">
        <v>0</v>
      </c>
      <c r="P973" s="41">
        <v>1</v>
      </c>
      <c r="Q973" s="11">
        <v>0</v>
      </c>
      <c r="R973" s="8">
        <v>0</v>
      </c>
      <c r="S973" s="8">
        <v>0</v>
      </c>
      <c r="T973" s="8">
        <v>0</v>
      </c>
      <c r="U973" s="8">
        <v>0</v>
      </c>
      <c r="V973" s="8">
        <v>0</v>
      </c>
      <c r="W973" s="8">
        <v>0</v>
      </c>
      <c r="X973" s="8">
        <v>0</v>
      </c>
      <c r="Y973" s="8">
        <v>0</v>
      </c>
      <c r="Z973" s="8">
        <v>0</v>
      </c>
      <c r="AA973" s="8">
        <v>0</v>
      </c>
      <c r="AB973" s="8">
        <v>0</v>
      </c>
      <c r="AC973" s="9">
        <v>2</v>
      </c>
      <c r="AD973" s="11">
        <v>2</v>
      </c>
      <c r="AE973" s="11">
        <v>1514</v>
      </c>
      <c r="AF973" s="41">
        <v>1603</v>
      </c>
      <c r="AG973" s="9">
        <v>126</v>
      </c>
      <c r="AH973" s="11">
        <v>0</v>
      </c>
      <c r="AI973" s="208"/>
      <c r="AJ973" s="54"/>
      <c r="AK973" s="54"/>
      <c r="AL973" s="54"/>
      <c r="AM973" s="54"/>
      <c r="AN973" s="54"/>
      <c r="AO973" s="10"/>
      <c r="AP973" s="208"/>
      <c r="AQ973" s="54"/>
      <c r="AR973" s="10"/>
      <c r="AS973" s="237"/>
    </row>
    <row r="974" spans="1:45" s="229" customFormat="1">
      <c r="A974" s="83" t="s">
        <v>325</v>
      </c>
      <c r="B974" s="386">
        <v>32.218499999999999</v>
      </c>
      <c r="C974" s="24" t="s">
        <v>294</v>
      </c>
      <c r="D974" s="229" t="s">
        <v>620</v>
      </c>
      <c r="F974" s="229">
        <v>3936</v>
      </c>
      <c r="G974" s="40">
        <f>F974/1851</f>
        <v>2.1264181523500811</v>
      </c>
      <c r="H974" s="14">
        <v>0</v>
      </c>
      <c r="I974" s="229">
        <v>0</v>
      </c>
      <c r="J974" s="229">
        <v>0</v>
      </c>
      <c r="K974" s="26">
        <v>1</v>
      </c>
      <c r="L974" s="14">
        <v>0</v>
      </c>
      <c r="M974" s="229">
        <v>0</v>
      </c>
      <c r="N974" s="229">
        <v>1</v>
      </c>
      <c r="O974" s="229">
        <v>0</v>
      </c>
      <c r="P974" s="26">
        <v>1</v>
      </c>
      <c r="Q974" s="14">
        <v>0</v>
      </c>
      <c r="R974" s="229">
        <v>0</v>
      </c>
      <c r="S974" s="229">
        <v>0</v>
      </c>
      <c r="T974" s="229">
        <v>0</v>
      </c>
      <c r="U974" s="229">
        <v>0</v>
      </c>
      <c r="V974" s="229">
        <v>0</v>
      </c>
      <c r="W974" s="229">
        <v>0</v>
      </c>
      <c r="X974" s="229">
        <v>0</v>
      </c>
      <c r="Y974" s="229">
        <v>0</v>
      </c>
      <c r="Z974" s="229">
        <v>0</v>
      </c>
      <c r="AA974" s="229">
        <v>0</v>
      </c>
      <c r="AB974" s="229">
        <v>0</v>
      </c>
      <c r="AC974" s="12">
        <v>1</v>
      </c>
      <c r="AD974" s="14">
        <v>1</v>
      </c>
      <c r="AE974" s="14">
        <v>0</v>
      </c>
      <c r="AF974" s="26">
        <v>0</v>
      </c>
      <c r="AG974" s="12">
        <v>133</v>
      </c>
      <c r="AH974" s="14">
        <v>1</v>
      </c>
      <c r="AI974" s="209">
        <v>89.472783178365404</v>
      </c>
      <c r="AJ974" s="3"/>
      <c r="AK974" s="3"/>
      <c r="AL974" s="3"/>
      <c r="AM974" s="3"/>
      <c r="AN974" s="3"/>
      <c r="AO974" s="40"/>
      <c r="AP974" s="209"/>
      <c r="AQ974" s="3"/>
      <c r="AR974" s="40"/>
      <c r="AS974" s="238"/>
    </row>
    <row r="975" spans="1:45" s="229" customFormat="1">
      <c r="A975" s="83" t="s">
        <v>325</v>
      </c>
      <c r="B975" s="386">
        <v>32.218499999999999</v>
      </c>
      <c r="C975" s="24" t="s">
        <v>294</v>
      </c>
      <c r="D975" s="229" t="s">
        <v>629</v>
      </c>
      <c r="F975" s="229">
        <v>1179</v>
      </c>
      <c r="G975" s="40">
        <f>F975/720</f>
        <v>1.6375</v>
      </c>
      <c r="H975" s="14">
        <v>0</v>
      </c>
      <c r="I975" s="229">
        <v>0</v>
      </c>
      <c r="J975" s="229">
        <v>1</v>
      </c>
      <c r="K975" s="26">
        <v>0</v>
      </c>
      <c r="L975" s="14">
        <v>0</v>
      </c>
      <c r="M975" s="229">
        <v>0</v>
      </c>
      <c r="N975" s="229">
        <v>1</v>
      </c>
      <c r="O975" s="229">
        <v>0</v>
      </c>
      <c r="P975" s="26">
        <v>1</v>
      </c>
      <c r="Q975" s="14">
        <v>0</v>
      </c>
      <c r="R975" s="229">
        <v>0</v>
      </c>
      <c r="S975" s="229">
        <v>0</v>
      </c>
      <c r="T975" s="229">
        <v>0</v>
      </c>
      <c r="U975" s="229">
        <v>0</v>
      </c>
      <c r="V975" s="229">
        <v>0</v>
      </c>
      <c r="W975" s="229">
        <v>0</v>
      </c>
      <c r="X975" s="229">
        <v>0</v>
      </c>
      <c r="Y975" s="229">
        <v>0</v>
      </c>
      <c r="Z975" s="229">
        <v>0</v>
      </c>
      <c r="AA975" s="229">
        <v>0</v>
      </c>
      <c r="AB975" s="229">
        <v>0</v>
      </c>
      <c r="AC975" s="12">
        <v>1</v>
      </c>
      <c r="AD975" s="14">
        <v>1</v>
      </c>
      <c r="AE975" s="14">
        <v>0</v>
      </c>
      <c r="AF975" s="26">
        <v>0</v>
      </c>
      <c r="AG975" s="12">
        <v>112</v>
      </c>
      <c r="AH975" s="14">
        <v>0</v>
      </c>
      <c r="AI975" s="209"/>
      <c r="AJ975" s="3"/>
      <c r="AK975" s="3"/>
      <c r="AL975" s="3"/>
      <c r="AM975" s="3"/>
      <c r="AN975" s="3"/>
      <c r="AO975" s="40"/>
      <c r="AP975" s="209"/>
      <c r="AQ975" s="3"/>
      <c r="AR975" s="40"/>
      <c r="AS975" s="238"/>
    </row>
    <row r="976" spans="1:45" s="229" customFormat="1">
      <c r="A976" s="83" t="s">
        <v>325</v>
      </c>
      <c r="B976" s="386">
        <v>32.218499999999999</v>
      </c>
      <c r="C976" s="24" t="s">
        <v>294</v>
      </c>
      <c r="D976" s="229" t="s">
        <v>634</v>
      </c>
      <c r="F976" s="229">
        <v>2120</v>
      </c>
      <c r="G976" s="40">
        <f>F976/1004</f>
        <v>2.1115537848605577</v>
      </c>
      <c r="H976" s="14">
        <v>0</v>
      </c>
      <c r="I976" s="229">
        <v>0</v>
      </c>
      <c r="J976" s="229">
        <v>0</v>
      </c>
      <c r="K976" s="26">
        <v>1</v>
      </c>
      <c r="L976" s="14">
        <v>0</v>
      </c>
      <c r="M976" s="229">
        <v>1</v>
      </c>
      <c r="N976" s="229">
        <v>1</v>
      </c>
      <c r="O976" s="229">
        <v>0</v>
      </c>
      <c r="P976" s="26">
        <v>2</v>
      </c>
      <c r="Q976" s="14">
        <v>0</v>
      </c>
      <c r="R976" s="229">
        <v>0</v>
      </c>
      <c r="S976" s="229">
        <v>0</v>
      </c>
      <c r="T976" s="229">
        <v>0</v>
      </c>
      <c r="U976" s="229">
        <v>0</v>
      </c>
      <c r="V976" s="229">
        <v>0</v>
      </c>
      <c r="W976" s="229">
        <v>0</v>
      </c>
      <c r="X976" s="229">
        <v>0</v>
      </c>
      <c r="Y976" s="229">
        <v>0</v>
      </c>
      <c r="Z976" s="229">
        <v>0</v>
      </c>
      <c r="AA976" s="229">
        <v>0</v>
      </c>
      <c r="AB976" s="229">
        <v>0</v>
      </c>
      <c r="AC976" s="12">
        <v>1</v>
      </c>
      <c r="AD976" s="14">
        <v>1</v>
      </c>
      <c r="AE976" s="14">
        <v>0</v>
      </c>
      <c r="AF976" s="26">
        <v>0</v>
      </c>
      <c r="AG976" s="12">
        <v>136</v>
      </c>
      <c r="AH976" s="14">
        <v>0</v>
      </c>
      <c r="AI976" s="209"/>
      <c r="AJ976" s="3"/>
      <c r="AK976" s="3"/>
      <c r="AL976" s="3"/>
      <c r="AM976" s="3"/>
      <c r="AN976" s="3"/>
      <c r="AO976" s="40"/>
      <c r="AP976" s="209"/>
      <c r="AQ976" s="3"/>
      <c r="AR976" s="40"/>
      <c r="AS976" s="238"/>
    </row>
    <row r="977" spans="1:45" s="229" customFormat="1">
      <c r="A977" s="83" t="s">
        <v>325</v>
      </c>
      <c r="B977" s="386">
        <v>32.218499999999999</v>
      </c>
      <c r="C977" s="24" t="s">
        <v>294</v>
      </c>
      <c r="D977" s="229" t="s">
        <v>625</v>
      </c>
      <c r="F977" s="229">
        <v>932</v>
      </c>
      <c r="G977" s="40">
        <f>F977/608</f>
        <v>1.5328947368421053</v>
      </c>
      <c r="H977" s="14">
        <v>0</v>
      </c>
      <c r="I977" s="229">
        <v>0</v>
      </c>
      <c r="J977" s="229">
        <v>0</v>
      </c>
      <c r="K977" s="26">
        <v>1</v>
      </c>
      <c r="L977" s="14">
        <v>0</v>
      </c>
      <c r="M977" s="229">
        <v>0</v>
      </c>
      <c r="N977" s="229">
        <v>0</v>
      </c>
      <c r="O977" s="229">
        <v>1</v>
      </c>
      <c r="P977" s="26">
        <v>1</v>
      </c>
      <c r="Q977" s="14">
        <v>1</v>
      </c>
      <c r="R977" s="229">
        <v>0</v>
      </c>
      <c r="S977" s="229">
        <v>0</v>
      </c>
      <c r="T977" s="229">
        <v>0</v>
      </c>
      <c r="U977" s="229">
        <v>0</v>
      </c>
      <c r="V977" s="229">
        <v>0</v>
      </c>
      <c r="W977" s="229">
        <v>0</v>
      </c>
      <c r="X977" s="229">
        <v>0</v>
      </c>
      <c r="Y977" s="229">
        <v>0</v>
      </c>
      <c r="Z977" s="229">
        <v>0</v>
      </c>
      <c r="AA977" s="229">
        <v>32</v>
      </c>
      <c r="AB977" s="229">
        <v>0</v>
      </c>
      <c r="AC977" s="12">
        <v>1</v>
      </c>
      <c r="AD977" s="14">
        <v>1</v>
      </c>
      <c r="AE977" s="14">
        <v>0</v>
      </c>
      <c r="AF977" s="26">
        <v>0</v>
      </c>
      <c r="AG977" s="12">
        <v>103</v>
      </c>
      <c r="AH977" s="14">
        <v>1</v>
      </c>
      <c r="AI977" s="209"/>
      <c r="AJ977" s="3"/>
      <c r="AK977" s="3"/>
      <c r="AL977" s="3"/>
      <c r="AM977" s="3"/>
      <c r="AN977" s="3"/>
      <c r="AO977" s="40"/>
      <c r="AP977" s="209"/>
      <c r="AQ977" s="3"/>
      <c r="AR977" s="40"/>
      <c r="AS977" s="238"/>
    </row>
    <row r="978" spans="1:45" s="229" customFormat="1">
      <c r="A978" s="83" t="s">
        <v>325</v>
      </c>
      <c r="B978" s="386">
        <v>32.218499999999999</v>
      </c>
      <c r="C978" s="24" t="s">
        <v>294</v>
      </c>
      <c r="D978" s="229" t="s">
        <v>630</v>
      </c>
      <c r="F978" s="229">
        <v>2899</v>
      </c>
      <c r="G978" s="40">
        <f>F978/2063</f>
        <v>1.40523509452254</v>
      </c>
      <c r="H978" s="14">
        <v>0</v>
      </c>
      <c r="I978" s="229">
        <v>1</v>
      </c>
      <c r="J978" s="229">
        <v>0</v>
      </c>
      <c r="K978" s="26">
        <v>0</v>
      </c>
      <c r="L978" s="14">
        <v>0</v>
      </c>
      <c r="M978" s="229">
        <v>0</v>
      </c>
      <c r="N978" s="229">
        <v>1</v>
      </c>
      <c r="O978" s="229">
        <v>0</v>
      </c>
      <c r="P978" s="26">
        <v>1</v>
      </c>
      <c r="Q978" s="14">
        <v>2</v>
      </c>
      <c r="R978" s="229">
        <v>0</v>
      </c>
      <c r="S978" s="229">
        <v>0</v>
      </c>
      <c r="T978" s="229">
        <v>0</v>
      </c>
      <c r="U978" s="229">
        <v>0</v>
      </c>
      <c r="V978" s="229">
        <v>0</v>
      </c>
      <c r="W978" s="229">
        <v>600</v>
      </c>
      <c r="X978" s="229">
        <v>0</v>
      </c>
      <c r="Y978" s="229">
        <v>0</v>
      </c>
      <c r="Z978" s="229">
        <v>0</v>
      </c>
      <c r="AA978" s="229">
        <v>0</v>
      </c>
      <c r="AB978" s="229">
        <v>0</v>
      </c>
      <c r="AC978" s="12">
        <v>1</v>
      </c>
      <c r="AD978" s="14">
        <v>1</v>
      </c>
      <c r="AE978" s="14">
        <v>0</v>
      </c>
      <c r="AF978" s="26">
        <v>0</v>
      </c>
      <c r="AG978" s="12">
        <v>124</v>
      </c>
      <c r="AH978" s="14">
        <v>1</v>
      </c>
      <c r="AI978" s="209"/>
      <c r="AJ978" s="3"/>
      <c r="AK978" s="3"/>
      <c r="AL978" s="3"/>
      <c r="AM978" s="3"/>
      <c r="AN978" s="3"/>
      <c r="AO978" s="40"/>
      <c r="AP978" s="209"/>
      <c r="AQ978" s="3"/>
      <c r="AR978" s="40"/>
      <c r="AS978" s="238"/>
    </row>
    <row r="979" spans="1:45" s="229" customFormat="1">
      <c r="A979" s="83" t="s">
        <v>325</v>
      </c>
      <c r="B979" s="386">
        <v>32.218499999999999</v>
      </c>
      <c r="C979" s="24" t="s">
        <v>294</v>
      </c>
      <c r="D979" s="229" t="s">
        <v>637</v>
      </c>
      <c r="F979" s="229">
        <v>1454</v>
      </c>
      <c r="G979" s="40">
        <f>F979/1065</f>
        <v>1.3652582159624413</v>
      </c>
      <c r="H979" s="14">
        <v>0</v>
      </c>
      <c r="I979" s="229">
        <v>0</v>
      </c>
      <c r="J979" s="229">
        <v>0</v>
      </c>
      <c r="K979" s="26">
        <v>1</v>
      </c>
      <c r="L979" s="14">
        <v>0</v>
      </c>
      <c r="M979" s="229">
        <v>1</v>
      </c>
      <c r="N979" s="229">
        <v>1</v>
      </c>
      <c r="O979" s="229">
        <v>0</v>
      </c>
      <c r="P979" s="26">
        <v>2</v>
      </c>
      <c r="Q979" s="14">
        <v>0</v>
      </c>
      <c r="R979" s="229">
        <v>0</v>
      </c>
      <c r="S979" s="229">
        <v>0</v>
      </c>
      <c r="T979" s="229">
        <v>0</v>
      </c>
      <c r="U979" s="229">
        <v>0</v>
      </c>
      <c r="V979" s="229">
        <v>0</v>
      </c>
      <c r="W979" s="229">
        <v>0</v>
      </c>
      <c r="X979" s="229">
        <v>0</v>
      </c>
      <c r="Y979" s="229">
        <v>0</v>
      </c>
      <c r="Z979" s="229">
        <v>0</v>
      </c>
      <c r="AA979" s="229">
        <v>0</v>
      </c>
      <c r="AB979" s="229">
        <v>0</v>
      </c>
      <c r="AC979" s="12">
        <v>1</v>
      </c>
      <c r="AD979" s="14">
        <v>1</v>
      </c>
      <c r="AE979" s="14">
        <v>0</v>
      </c>
      <c r="AF979" s="26">
        <v>0</v>
      </c>
      <c r="AG979" s="12">
        <v>138</v>
      </c>
      <c r="AH979" s="14">
        <v>1</v>
      </c>
      <c r="AI979" s="209">
        <v>87.331960110077617</v>
      </c>
      <c r="AJ979" s="3"/>
      <c r="AK979" s="3"/>
      <c r="AL979" s="3"/>
      <c r="AM979" s="3"/>
      <c r="AN979" s="3"/>
      <c r="AO979" s="40"/>
      <c r="AP979" s="209">
        <v>85.616537678301555</v>
      </c>
      <c r="AQ979" s="3"/>
      <c r="AR979" s="40"/>
      <c r="AS979" s="238"/>
    </row>
    <row r="980" spans="1:45" s="229" customFormat="1">
      <c r="A980" s="83" t="s">
        <v>325</v>
      </c>
      <c r="B980" s="386">
        <v>32.218499999999999</v>
      </c>
      <c r="C980" s="24" t="s">
        <v>294</v>
      </c>
      <c r="D980" s="229" t="s">
        <v>638</v>
      </c>
      <c r="F980" s="229">
        <v>867</v>
      </c>
      <c r="G980" s="40">
        <f>F980/704</f>
        <v>1.2315340909090908</v>
      </c>
      <c r="H980" s="14">
        <v>0</v>
      </c>
      <c r="I980" s="229">
        <v>0</v>
      </c>
      <c r="J980" s="229">
        <v>0</v>
      </c>
      <c r="K980" s="26">
        <v>1</v>
      </c>
      <c r="L980" s="14">
        <v>0</v>
      </c>
      <c r="M980" s="229">
        <v>0</v>
      </c>
      <c r="N980" s="229">
        <v>1</v>
      </c>
      <c r="O980" s="229">
        <v>0</v>
      </c>
      <c r="P980" s="26">
        <v>1</v>
      </c>
      <c r="Q980" s="14">
        <v>2</v>
      </c>
      <c r="R980" s="229">
        <v>0</v>
      </c>
      <c r="S980" s="229">
        <v>68</v>
      </c>
      <c r="T980" s="229">
        <v>0</v>
      </c>
      <c r="U980" s="229">
        <v>0</v>
      </c>
      <c r="V980" s="229">
        <v>0</v>
      </c>
      <c r="W980" s="229">
        <v>0</v>
      </c>
      <c r="X980" s="229">
        <v>0</v>
      </c>
      <c r="Y980" s="229">
        <v>0</v>
      </c>
      <c r="Z980" s="229">
        <v>0</v>
      </c>
      <c r="AA980" s="229">
        <v>0</v>
      </c>
      <c r="AB980" s="229">
        <v>0</v>
      </c>
      <c r="AC980" s="12">
        <v>2</v>
      </c>
      <c r="AD980" s="14">
        <v>2</v>
      </c>
      <c r="AE980" s="14">
        <v>562</v>
      </c>
      <c r="AF980" s="26">
        <v>635</v>
      </c>
      <c r="AG980" s="12">
        <v>131</v>
      </c>
      <c r="AH980" s="14">
        <v>1</v>
      </c>
      <c r="AI980" s="209"/>
      <c r="AJ980" s="3"/>
      <c r="AK980" s="3"/>
      <c r="AL980" s="3"/>
      <c r="AM980" s="3"/>
      <c r="AN980" s="3"/>
      <c r="AO980" s="40"/>
      <c r="AP980" s="209"/>
      <c r="AQ980" s="3"/>
      <c r="AR980" s="40"/>
      <c r="AS980" s="238"/>
    </row>
    <row r="981" spans="1:45" s="229" customFormat="1">
      <c r="A981" s="83" t="s">
        <v>325</v>
      </c>
      <c r="B981" s="386">
        <v>32.218499999999999</v>
      </c>
      <c r="C981" s="24" t="s">
        <v>294</v>
      </c>
      <c r="D981" s="229" t="s">
        <v>639</v>
      </c>
      <c r="F981" s="229">
        <v>2198</v>
      </c>
      <c r="G981" s="40">
        <f>F981/1755</f>
        <v>1.2524216524216525</v>
      </c>
      <c r="H981" s="14">
        <v>0</v>
      </c>
      <c r="I981" s="229">
        <v>0</v>
      </c>
      <c r="J981" s="229">
        <v>0</v>
      </c>
      <c r="K981" s="26">
        <v>1</v>
      </c>
      <c r="L981" s="14">
        <v>0</v>
      </c>
      <c r="M981" s="229">
        <v>0</v>
      </c>
      <c r="N981" s="229">
        <v>1</v>
      </c>
      <c r="O981" s="229">
        <v>0</v>
      </c>
      <c r="P981" s="26">
        <v>1</v>
      </c>
      <c r="Q981" s="14">
        <v>1</v>
      </c>
      <c r="R981" s="229">
        <v>0</v>
      </c>
      <c r="S981" s="229">
        <v>0</v>
      </c>
      <c r="T981" s="229">
        <v>0</v>
      </c>
      <c r="U981" s="229">
        <v>0</v>
      </c>
      <c r="V981" s="229">
        <v>0</v>
      </c>
      <c r="W981" s="229">
        <v>0</v>
      </c>
      <c r="X981" s="229">
        <v>0</v>
      </c>
      <c r="Y981" s="229">
        <v>0</v>
      </c>
      <c r="Z981" s="229">
        <v>13</v>
      </c>
      <c r="AA981" s="229">
        <v>32</v>
      </c>
      <c r="AB981" s="229">
        <v>0</v>
      </c>
      <c r="AC981" s="12">
        <v>2</v>
      </c>
      <c r="AD981" s="14">
        <v>2</v>
      </c>
      <c r="AE981" s="14">
        <v>683</v>
      </c>
      <c r="AF981" s="26">
        <v>2198</v>
      </c>
      <c r="AG981" s="12">
        <v>124</v>
      </c>
      <c r="AH981" s="14">
        <v>0</v>
      </c>
      <c r="AI981" s="209">
        <v>88.259068639172</v>
      </c>
      <c r="AJ981" s="3"/>
      <c r="AK981" s="3"/>
      <c r="AL981" s="3"/>
      <c r="AM981" s="3"/>
      <c r="AN981" s="3"/>
      <c r="AO981" s="40"/>
      <c r="AP981" s="209">
        <v>86.685793901386944</v>
      </c>
      <c r="AQ981" s="3"/>
      <c r="AR981" s="40"/>
      <c r="AS981" s="238"/>
    </row>
    <row r="982" spans="1:45" s="229" customFormat="1">
      <c r="A982" s="83" t="s">
        <v>325</v>
      </c>
      <c r="B982" s="386">
        <v>32.218499999999999</v>
      </c>
      <c r="C982" s="24" t="s">
        <v>294</v>
      </c>
      <c r="D982" s="229" t="s">
        <v>640</v>
      </c>
      <c r="F982" s="229">
        <v>2191</v>
      </c>
      <c r="G982" s="40">
        <f>F982/1357</f>
        <v>1.6145910095799558</v>
      </c>
      <c r="H982" s="14">
        <v>0</v>
      </c>
      <c r="I982" s="229">
        <v>0</v>
      </c>
      <c r="J982" s="229">
        <v>0</v>
      </c>
      <c r="K982" s="26">
        <v>1</v>
      </c>
      <c r="L982" s="14">
        <v>1</v>
      </c>
      <c r="M982" s="229">
        <v>0</v>
      </c>
      <c r="N982" s="229">
        <v>0</v>
      </c>
      <c r="O982" s="229">
        <v>0</v>
      </c>
      <c r="P982" s="26">
        <v>1</v>
      </c>
      <c r="Q982" s="14">
        <v>0</v>
      </c>
      <c r="R982" s="229">
        <v>0</v>
      </c>
      <c r="S982" s="229">
        <v>0</v>
      </c>
      <c r="T982" s="229">
        <v>0</v>
      </c>
      <c r="U982" s="229">
        <v>0</v>
      </c>
      <c r="V982" s="229">
        <v>0</v>
      </c>
      <c r="W982" s="229">
        <v>0</v>
      </c>
      <c r="X982" s="229">
        <v>0</v>
      </c>
      <c r="Y982" s="229">
        <v>0</v>
      </c>
      <c r="Z982" s="229">
        <v>0</v>
      </c>
      <c r="AA982" s="229">
        <v>0</v>
      </c>
      <c r="AB982" s="229">
        <v>0</v>
      </c>
      <c r="AC982" s="12">
        <v>2</v>
      </c>
      <c r="AD982" s="14">
        <v>2</v>
      </c>
      <c r="AE982" s="14">
        <v>1093</v>
      </c>
      <c r="AF982" s="26">
        <v>1357</v>
      </c>
      <c r="AG982" s="12">
        <v>120</v>
      </c>
      <c r="AH982" s="14">
        <v>1</v>
      </c>
      <c r="AI982" s="209"/>
      <c r="AJ982" s="3"/>
      <c r="AK982" s="3"/>
      <c r="AL982" s="3"/>
      <c r="AM982" s="3"/>
      <c r="AN982" s="3"/>
      <c r="AO982" s="40"/>
      <c r="AP982" s="209"/>
      <c r="AQ982" s="3"/>
      <c r="AR982" s="40"/>
      <c r="AS982" s="238"/>
    </row>
    <row r="983" spans="1:45" s="229" customFormat="1">
      <c r="A983" s="83" t="s">
        <v>325</v>
      </c>
      <c r="B983" s="386">
        <v>32.218499999999999</v>
      </c>
      <c r="C983" s="24" t="s">
        <v>294</v>
      </c>
      <c r="D983" s="229" t="s">
        <v>641</v>
      </c>
      <c r="F983" s="229">
        <v>740</v>
      </c>
      <c r="G983" s="40">
        <f>F983/546</f>
        <v>1.3553113553113554</v>
      </c>
      <c r="H983" s="14">
        <v>0</v>
      </c>
      <c r="I983" s="229">
        <v>0</v>
      </c>
      <c r="J983" s="229">
        <v>0</v>
      </c>
      <c r="K983" s="26">
        <v>1</v>
      </c>
      <c r="L983" s="14">
        <v>0</v>
      </c>
      <c r="M983" s="229">
        <v>0</v>
      </c>
      <c r="N983" s="229">
        <v>1</v>
      </c>
      <c r="O983" s="229">
        <v>0</v>
      </c>
      <c r="P983" s="26">
        <v>1</v>
      </c>
      <c r="Q983" s="14">
        <v>0</v>
      </c>
      <c r="R983" s="229">
        <v>0</v>
      </c>
      <c r="S983" s="229">
        <v>0</v>
      </c>
      <c r="T983" s="229">
        <v>0</v>
      </c>
      <c r="U983" s="229">
        <v>0</v>
      </c>
      <c r="V983" s="229">
        <v>0</v>
      </c>
      <c r="W983" s="229">
        <v>0</v>
      </c>
      <c r="X983" s="229">
        <v>0</v>
      </c>
      <c r="Y983" s="229">
        <v>0</v>
      </c>
      <c r="Z983" s="229">
        <v>0</v>
      </c>
      <c r="AA983" s="229">
        <v>0</v>
      </c>
      <c r="AB983" s="229">
        <v>0</v>
      </c>
      <c r="AC983" s="12">
        <v>1</v>
      </c>
      <c r="AD983" s="14">
        <v>1</v>
      </c>
      <c r="AE983" s="14">
        <v>0</v>
      </c>
      <c r="AF983" s="26">
        <v>0</v>
      </c>
      <c r="AG983" s="12">
        <v>128</v>
      </c>
      <c r="AH983" s="14">
        <v>0</v>
      </c>
      <c r="AI983" s="209"/>
      <c r="AJ983" s="3"/>
      <c r="AK983" s="3"/>
      <c r="AL983" s="3"/>
      <c r="AM983" s="3"/>
      <c r="AN983" s="3"/>
      <c r="AO983" s="40"/>
      <c r="AP983" s="209"/>
      <c r="AQ983" s="3"/>
      <c r="AR983" s="40"/>
      <c r="AS983" s="238"/>
    </row>
    <row r="984" spans="1:45" s="229" customFormat="1">
      <c r="A984" s="83" t="s">
        <v>325</v>
      </c>
      <c r="B984" s="386">
        <v>32.218499999999999</v>
      </c>
      <c r="C984" s="24" t="s">
        <v>294</v>
      </c>
      <c r="D984" s="229" t="s">
        <v>647</v>
      </c>
      <c r="E984" s="229" t="s">
        <v>0</v>
      </c>
      <c r="F984" s="229">
        <v>1538</v>
      </c>
      <c r="G984" s="40">
        <f>F984/848</f>
        <v>1.8136792452830188</v>
      </c>
      <c r="H984" s="14">
        <v>0</v>
      </c>
      <c r="I984" s="229">
        <v>0</v>
      </c>
      <c r="J984" s="229">
        <v>0</v>
      </c>
      <c r="K984" s="26">
        <v>1</v>
      </c>
      <c r="L984" s="14">
        <v>1</v>
      </c>
      <c r="M984" s="229">
        <v>0</v>
      </c>
      <c r="N984" s="229">
        <v>0</v>
      </c>
      <c r="O984" s="229">
        <v>0</v>
      </c>
      <c r="P984" s="26">
        <v>1</v>
      </c>
      <c r="Q984" s="14">
        <v>0</v>
      </c>
      <c r="R984" s="229">
        <v>0</v>
      </c>
      <c r="S984" s="229">
        <v>0</v>
      </c>
      <c r="T984" s="229">
        <v>0</v>
      </c>
      <c r="U984" s="229">
        <v>0</v>
      </c>
      <c r="V984" s="229">
        <v>0</v>
      </c>
      <c r="W984" s="229">
        <v>0</v>
      </c>
      <c r="X984" s="229">
        <v>0</v>
      </c>
      <c r="Y984" s="229">
        <v>0</v>
      </c>
      <c r="Z984" s="229">
        <v>0</v>
      </c>
      <c r="AA984" s="229">
        <v>0</v>
      </c>
      <c r="AB984" s="229">
        <v>0</v>
      </c>
      <c r="AC984" s="12">
        <v>2</v>
      </c>
      <c r="AD984" s="14">
        <v>2</v>
      </c>
      <c r="AE984" s="14">
        <v>656</v>
      </c>
      <c r="AF984" s="26">
        <v>1176</v>
      </c>
      <c r="AG984" s="12">
        <v>124</v>
      </c>
      <c r="AH984" s="14">
        <v>1</v>
      </c>
      <c r="AI984" s="209">
        <v>87.622848978021338</v>
      </c>
      <c r="AJ984" s="3"/>
      <c r="AK984" s="3"/>
      <c r="AL984" s="3"/>
      <c r="AM984" s="3"/>
      <c r="AN984" s="3"/>
      <c r="AO984" s="40"/>
      <c r="AP984" s="209">
        <v>85.317927617272261</v>
      </c>
      <c r="AQ984" s="3"/>
      <c r="AR984" s="40"/>
      <c r="AS984" s="238"/>
    </row>
    <row r="985" spans="1:45" s="229" customFormat="1">
      <c r="A985" s="83" t="s">
        <v>325</v>
      </c>
      <c r="B985" s="386">
        <v>32.218499999999999</v>
      </c>
      <c r="C985" s="24" t="s">
        <v>294</v>
      </c>
      <c r="D985" s="229" t="s">
        <v>647</v>
      </c>
      <c r="E985" s="229" t="s">
        <v>1</v>
      </c>
      <c r="F985" s="229">
        <v>1086</v>
      </c>
      <c r="G985" s="40">
        <f>F985/474</f>
        <v>2.2911392405063293</v>
      </c>
      <c r="H985" s="14">
        <v>0</v>
      </c>
      <c r="I985" s="229">
        <v>1</v>
      </c>
      <c r="J985" s="229">
        <v>0</v>
      </c>
      <c r="K985" s="26">
        <v>0</v>
      </c>
      <c r="L985" s="14">
        <v>0</v>
      </c>
      <c r="M985" s="229">
        <v>0</v>
      </c>
      <c r="N985" s="229">
        <v>1</v>
      </c>
      <c r="O985" s="229">
        <v>0</v>
      </c>
      <c r="P985" s="26">
        <v>1</v>
      </c>
      <c r="Q985" s="14">
        <v>0</v>
      </c>
      <c r="R985" s="229">
        <v>0</v>
      </c>
      <c r="S985" s="229">
        <v>0</v>
      </c>
      <c r="T985" s="229">
        <v>0</v>
      </c>
      <c r="U985" s="229">
        <v>0</v>
      </c>
      <c r="V985" s="229">
        <v>0</v>
      </c>
      <c r="W985" s="229">
        <v>0</v>
      </c>
      <c r="X985" s="229">
        <v>0</v>
      </c>
      <c r="Y985" s="229">
        <v>0</v>
      </c>
      <c r="Z985" s="229">
        <v>0</v>
      </c>
      <c r="AA985" s="229">
        <v>0</v>
      </c>
      <c r="AB985" s="229">
        <v>0</v>
      </c>
      <c r="AC985" s="12">
        <v>2</v>
      </c>
      <c r="AD985" s="14">
        <v>2</v>
      </c>
      <c r="AE985" s="14">
        <v>395</v>
      </c>
      <c r="AF985" s="26">
        <v>679</v>
      </c>
      <c r="AG985" s="12">
        <v>124</v>
      </c>
      <c r="AH985" s="14">
        <v>0</v>
      </c>
      <c r="AI985" s="209">
        <v>88.772591471358879</v>
      </c>
      <c r="AJ985" s="3"/>
      <c r="AK985" s="3"/>
      <c r="AL985" s="3"/>
      <c r="AM985" s="3"/>
      <c r="AN985" s="3"/>
      <c r="AO985" s="40"/>
      <c r="AP985" s="209">
        <v>86.293261710174718</v>
      </c>
      <c r="AQ985" s="3"/>
      <c r="AR985" s="40"/>
      <c r="AS985" s="238"/>
    </row>
    <row r="986" spans="1:45" s="229" customFormat="1">
      <c r="A986" s="83" t="s">
        <v>325</v>
      </c>
      <c r="B986" s="386">
        <v>32.218499999999999</v>
      </c>
      <c r="C986" s="24" t="s">
        <v>294</v>
      </c>
      <c r="D986" s="229" t="s">
        <v>648</v>
      </c>
      <c r="F986" s="229">
        <v>1101</v>
      </c>
      <c r="G986" s="40">
        <f>F986/1047</f>
        <v>1.0515759312320916</v>
      </c>
      <c r="H986" s="14">
        <v>0</v>
      </c>
      <c r="I986" s="229">
        <v>0</v>
      </c>
      <c r="J986" s="229">
        <v>1</v>
      </c>
      <c r="K986" s="26">
        <v>1</v>
      </c>
      <c r="L986" s="14">
        <v>0</v>
      </c>
      <c r="M986" s="229">
        <v>1</v>
      </c>
      <c r="N986" s="229">
        <v>1</v>
      </c>
      <c r="O986" s="229">
        <v>0</v>
      </c>
      <c r="P986" s="26">
        <v>2</v>
      </c>
      <c r="Q986" s="14">
        <v>1</v>
      </c>
      <c r="R986" s="229">
        <v>0</v>
      </c>
      <c r="S986" s="229">
        <v>0</v>
      </c>
      <c r="T986" s="229">
        <v>0</v>
      </c>
      <c r="U986" s="229">
        <v>49</v>
      </c>
      <c r="V986" s="229">
        <v>0</v>
      </c>
      <c r="W986" s="229">
        <v>0</v>
      </c>
      <c r="X986" s="229">
        <v>0</v>
      </c>
      <c r="Y986" s="229">
        <v>0</v>
      </c>
      <c r="Z986" s="229">
        <v>0</v>
      </c>
      <c r="AA986" s="229">
        <v>112</v>
      </c>
      <c r="AB986" s="229">
        <v>0</v>
      </c>
      <c r="AC986" s="12">
        <v>2</v>
      </c>
      <c r="AD986" s="14">
        <v>2</v>
      </c>
      <c r="AE986" s="14">
        <v>466</v>
      </c>
      <c r="AF986" s="26">
        <v>1047</v>
      </c>
      <c r="AG986" s="12">
        <v>102</v>
      </c>
      <c r="AH986" s="14">
        <v>0</v>
      </c>
      <c r="AI986" s="209"/>
      <c r="AJ986" s="3"/>
      <c r="AK986" s="3"/>
      <c r="AL986" s="3"/>
      <c r="AM986" s="3"/>
      <c r="AN986" s="3"/>
      <c r="AO986" s="40"/>
      <c r="AP986" s="209"/>
      <c r="AQ986" s="3"/>
      <c r="AR986" s="40"/>
      <c r="AS986" s="238"/>
    </row>
    <row r="987" spans="1:45" s="229" customFormat="1">
      <c r="A987" s="83" t="s">
        <v>325</v>
      </c>
      <c r="B987" s="386">
        <v>32.218499999999999</v>
      </c>
      <c r="C987" s="24" t="s">
        <v>294</v>
      </c>
      <c r="D987" s="229" t="s">
        <v>649</v>
      </c>
      <c r="F987" s="229">
        <v>4242</v>
      </c>
      <c r="G987" s="40">
        <f>F987/2837</f>
        <v>1.49524145223828</v>
      </c>
      <c r="H987" s="14">
        <v>0</v>
      </c>
      <c r="I987" s="229">
        <v>1</v>
      </c>
      <c r="J987" s="229">
        <v>0</v>
      </c>
      <c r="K987" s="26">
        <v>1</v>
      </c>
      <c r="L987" s="14">
        <v>0</v>
      </c>
      <c r="M987" s="229">
        <v>1</v>
      </c>
      <c r="N987" s="229">
        <v>1</v>
      </c>
      <c r="O987" s="229">
        <v>0</v>
      </c>
      <c r="P987" s="26">
        <v>2</v>
      </c>
      <c r="Q987" s="14">
        <v>2</v>
      </c>
      <c r="R987" s="229">
        <v>0</v>
      </c>
      <c r="S987" s="229">
        <v>0</v>
      </c>
      <c r="T987" s="229">
        <v>0</v>
      </c>
      <c r="U987" s="229">
        <v>0</v>
      </c>
      <c r="V987" s="229">
        <v>0</v>
      </c>
      <c r="W987" s="229">
        <v>0</v>
      </c>
      <c r="X987" s="229">
        <v>0</v>
      </c>
      <c r="Y987" s="229">
        <v>0</v>
      </c>
      <c r="Z987" s="229">
        <v>43</v>
      </c>
      <c r="AA987" s="229">
        <v>1018</v>
      </c>
      <c r="AB987" s="229">
        <v>0</v>
      </c>
      <c r="AC987" s="12">
        <v>2</v>
      </c>
      <c r="AD987" s="14">
        <v>2</v>
      </c>
      <c r="AE987" s="14">
        <v>805</v>
      </c>
      <c r="AF987" s="26">
        <v>4242</v>
      </c>
      <c r="AG987" s="12">
        <v>121</v>
      </c>
      <c r="AH987" s="14">
        <v>1</v>
      </c>
      <c r="AI987" s="209">
        <v>88.886018278354499</v>
      </c>
      <c r="AJ987" s="3"/>
      <c r="AK987" s="3"/>
      <c r="AL987" s="3"/>
      <c r="AM987" s="3"/>
      <c r="AN987" s="3"/>
      <c r="AO987" s="40"/>
      <c r="AP987" s="209">
        <v>85.975257210185987</v>
      </c>
      <c r="AQ987" s="3"/>
      <c r="AR987" s="40"/>
      <c r="AS987" s="238"/>
    </row>
    <row r="988" spans="1:45" s="229" customFormat="1">
      <c r="A988" s="83" t="s">
        <v>325</v>
      </c>
      <c r="B988" s="386">
        <v>32.218499999999999</v>
      </c>
      <c r="C988" s="24" t="s">
        <v>294</v>
      </c>
      <c r="D988" s="229" t="s">
        <v>669</v>
      </c>
      <c r="F988" s="229">
        <v>992</v>
      </c>
      <c r="G988" s="40">
        <f>F988/661</f>
        <v>1.5007564296520424</v>
      </c>
      <c r="H988" s="14">
        <v>0</v>
      </c>
      <c r="I988" s="229">
        <v>0</v>
      </c>
      <c r="J988" s="229">
        <v>0</v>
      </c>
      <c r="K988" s="26">
        <v>1</v>
      </c>
      <c r="L988" s="14">
        <v>0</v>
      </c>
      <c r="M988" s="229">
        <v>0</v>
      </c>
      <c r="N988" s="229">
        <v>1</v>
      </c>
      <c r="O988" s="229">
        <v>0</v>
      </c>
      <c r="P988" s="26">
        <v>1</v>
      </c>
      <c r="Q988" s="14">
        <v>0</v>
      </c>
      <c r="R988" s="229">
        <v>0</v>
      </c>
      <c r="S988" s="229">
        <v>0</v>
      </c>
      <c r="T988" s="229">
        <v>0</v>
      </c>
      <c r="U988" s="229">
        <v>0</v>
      </c>
      <c r="V988" s="229">
        <v>0</v>
      </c>
      <c r="W988" s="229">
        <v>0</v>
      </c>
      <c r="X988" s="229">
        <v>0</v>
      </c>
      <c r="Y988" s="229">
        <v>0</v>
      </c>
      <c r="Z988" s="229">
        <v>0</v>
      </c>
      <c r="AA988" s="229">
        <v>0</v>
      </c>
      <c r="AB988" s="229">
        <v>0</v>
      </c>
      <c r="AC988" s="12">
        <v>1</v>
      </c>
      <c r="AD988" s="14">
        <v>1</v>
      </c>
      <c r="AE988" s="14">
        <v>0</v>
      </c>
      <c r="AF988" s="26">
        <v>0</v>
      </c>
      <c r="AG988" s="12">
        <v>119</v>
      </c>
      <c r="AH988" s="14">
        <v>1</v>
      </c>
      <c r="AI988" s="209"/>
      <c r="AJ988" s="3"/>
      <c r="AK988" s="3"/>
      <c r="AL988" s="3"/>
      <c r="AM988" s="3"/>
      <c r="AN988" s="3"/>
      <c r="AO988" s="40"/>
      <c r="AP988" s="209"/>
      <c r="AQ988" s="3"/>
      <c r="AR988" s="40"/>
      <c r="AS988" s="238"/>
    </row>
    <row r="989" spans="1:45" s="229" customFormat="1">
      <c r="A989" s="83" t="s">
        <v>325</v>
      </c>
      <c r="B989" s="386">
        <v>32.218499999999999</v>
      </c>
      <c r="C989" s="24" t="s">
        <v>294</v>
      </c>
      <c r="D989" s="229" t="s">
        <v>670</v>
      </c>
      <c r="F989" s="229">
        <v>1565</v>
      </c>
      <c r="G989" s="40">
        <f>F989/787</f>
        <v>1.9885641677255401</v>
      </c>
      <c r="H989" s="14">
        <v>0</v>
      </c>
      <c r="I989" s="229">
        <v>0</v>
      </c>
      <c r="J989" s="229">
        <v>1</v>
      </c>
      <c r="K989" s="26">
        <v>0</v>
      </c>
      <c r="L989" s="14">
        <v>0</v>
      </c>
      <c r="M989" s="229">
        <v>0</v>
      </c>
      <c r="N989" s="229">
        <v>1</v>
      </c>
      <c r="O989" s="229">
        <v>0</v>
      </c>
      <c r="P989" s="26">
        <v>1</v>
      </c>
      <c r="Q989" s="14">
        <v>1</v>
      </c>
      <c r="R989" s="229">
        <v>0</v>
      </c>
      <c r="S989" s="229">
        <v>0</v>
      </c>
      <c r="T989" s="229">
        <v>0</v>
      </c>
      <c r="U989" s="229">
        <v>0</v>
      </c>
      <c r="V989" s="229">
        <v>24</v>
      </c>
      <c r="W989" s="229">
        <v>36</v>
      </c>
      <c r="X989" s="229">
        <v>0</v>
      </c>
      <c r="Y989" s="229">
        <v>0</v>
      </c>
      <c r="Z989" s="229">
        <v>0</v>
      </c>
      <c r="AA989" s="229">
        <v>0</v>
      </c>
      <c r="AB989" s="229">
        <v>0</v>
      </c>
      <c r="AC989" s="12">
        <v>1</v>
      </c>
      <c r="AD989" s="14">
        <v>1</v>
      </c>
      <c r="AE989" s="14">
        <v>0</v>
      </c>
      <c r="AF989" s="26">
        <v>0</v>
      </c>
      <c r="AG989" s="12">
        <v>133</v>
      </c>
      <c r="AH989" s="14">
        <v>0</v>
      </c>
      <c r="AI989" s="209"/>
      <c r="AJ989" s="3"/>
      <c r="AK989" s="3"/>
      <c r="AL989" s="3"/>
      <c r="AM989" s="3"/>
      <c r="AN989" s="3"/>
      <c r="AO989" s="40"/>
      <c r="AP989" s="209"/>
      <c r="AQ989" s="3"/>
      <c r="AR989" s="40"/>
      <c r="AS989" s="238"/>
    </row>
    <row r="990" spans="1:45" s="229" customFormat="1">
      <c r="A990" s="83" t="s">
        <v>325</v>
      </c>
      <c r="B990" s="386">
        <v>32.218499999999999</v>
      </c>
      <c r="C990" s="24" t="s">
        <v>294</v>
      </c>
      <c r="D990" s="229" t="s">
        <v>672</v>
      </c>
      <c r="F990" s="229">
        <v>983</v>
      </c>
      <c r="G990" s="40">
        <f>F990/982</f>
        <v>1.0010183299389002</v>
      </c>
      <c r="H990" s="14">
        <v>0</v>
      </c>
      <c r="I990" s="229">
        <v>0</v>
      </c>
      <c r="J990" s="229">
        <v>0</v>
      </c>
      <c r="K990" s="26">
        <v>1</v>
      </c>
      <c r="L990" s="14">
        <v>1</v>
      </c>
      <c r="M990" s="229">
        <v>0</v>
      </c>
      <c r="N990" s="229">
        <v>0</v>
      </c>
      <c r="O990" s="229">
        <v>0</v>
      </c>
      <c r="P990" s="26">
        <v>1</v>
      </c>
      <c r="Q990" s="14">
        <v>1</v>
      </c>
      <c r="R990" s="229">
        <v>8</v>
      </c>
      <c r="S990" s="229">
        <v>15</v>
      </c>
      <c r="T990" s="229">
        <v>0</v>
      </c>
      <c r="U990" s="229">
        <v>0</v>
      </c>
      <c r="V990" s="229">
        <v>0</v>
      </c>
      <c r="W990" s="229">
        <v>0</v>
      </c>
      <c r="X990" s="229">
        <v>0</v>
      </c>
      <c r="Y990" s="229">
        <v>0</v>
      </c>
      <c r="Z990" s="229">
        <v>0</v>
      </c>
      <c r="AA990" s="229">
        <v>0</v>
      </c>
      <c r="AB990" s="229">
        <v>0</v>
      </c>
      <c r="AC990" s="12">
        <v>1</v>
      </c>
      <c r="AD990" s="14">
        <v>1</v>
      </c>
      <c r="AE990" s="14">
        <v>0</v>
      </c>
      <c r="AF990" s="26">
        <v>0</v>
      </c>
      <c r="AG990" s="12">
        <v>114</v>
      </c>
      <c r="AH990" s="14">
        <v>0</v>
      </c>
      <c r="AI990" s="209"/>
      <c r="AJ990" s="3"/>
      <c r="AK990" s="3"/>
      <c r="AL990" s="3"/>
      <c r="AM990" s="3"/>
      <c r="AN990" s="3"/>
      <c r="AO990" s="40"/>
      <c r="AP990" s="209"/>
      <c r="AQ990" s="3"/>
      <c r="AR990" s="40"/>
      <c r="AS990" s="238"/>
    </row>
    <row r="991" spans="1:45" s="229" customFormat="1">
      <c r="A991" s="83" t="s">
        <v>325</v>
      </c>
      <c r="B991" s="386">
        <v>32.218499999999999</v>
      </c>
      <c r="C991" s="24" t="s">
        <v>294</v>
      </c>
      <c r="D991" s="229" t="s">
        <v>673</v>
      </c>
      <c r="F991" s="229">
        <v>2398</v>
      </c>
      <c r="G991" s="40">
        <f>F991/2081</f>
        <v>1.1523306102835176</v>
      </c>
      <c r="H991" s="14">
        <v>0</v>
      </c>
      <c r="I991" s="229">
        <v>0</v>
      </c>
      <c r="J991" s="229">
        <v>0</v>
      </c>
      <c r="K991" s="26">
        <v>1</v>
      </c>
      <c r="L991" s="14">
        <v>0</v>
      </c>
      <c r="M991" s="229">
        <v>1</v>
      </c>
      <c r="N991" s="229">
        <v>1</v>
      </c>
      <c r="O991" s="229">
        <v>0</v>
      </c>
      <c r="P991" s="26">
        <v>2</v>
      </c>
      <c r="Q991" s="14">
        <v>0</v>
      </c>
      <c r="R991" s="229">
        <v>0</v>
      </c>
      <c r="S991" s="229">
        <v>0</v>
      </c>
      <c r="T991" s="229">
        <v>0</v>
      </c>
      <c r="U991" s="229">
        <v>0</v>
      </c>
      <c r="V991" s="229">
        <v>0</v>
      </c>
      <c r="W991" s="229">
        <v>0</v>
      </c>
      <c r="X991" s="229">
        <v>0</v>
      </c>
      <c r="Y991" s="229">
        <v>0</v>
      </c>
      <c r="Z991" s="229">
        <v>0</v>
      </c>
      <c r="AA991" s="229">
        <v>0</v>
      </c>
      <c r="AB991" s="229">
        <v>0</v>
      </c>
      <c r="AC991" s="12">
        <v>1</v>
      </c>
      <c r="AD991" s="14">
        <v>1</v>
      </c>
      <c r="AE991" s="14">
        <v>0</v>
      </c>
      <c r="AF991" s="26">
        <v>0</v>
      </c>
      <c r="AG991" s="12">
        <v>129</v>
      </c>
      <c r="AH991" s="14">
        <v>0</v>
      </c>
      <c r="AI991" s="209"/>
      <c r="AJ991" s="3"/>
      <c r="AK991" s="3"/>
      <c r="AL991" s="3"/>
      <c r="AM991" s="3"/>
      <c r="AN991" s="3"/>
      <c r="AO991" s="40"/>
      <c r="AP991" s="209"/>
      <c r="AQ991" s="3"/>
      <c r="AR991" s="40"/>
      <c r="AS991" s="238"/>
    </row>
    <row r="992" spans="1:45" s="229" customFormat="1">
      <c r="A992" s="83" t="s">
        <v>325</v>
      </c>
      <c r="B992" s="386">
        <v>32.218499999999999</v>
      </c>
      <c r="C992" s="24" t="s">
        <v>294</v>
      </c>
      <c r="D992" s="229" t="s">
        <v>674</v>
      </c>
      <c r="F992" s="229">
        <v>2425</v>
      </c>
      <c r="G992" s="40">
        <f>F992/1456</f>
        <v>1.6655219780219781</v>
      </c>
      <c r="H992" s="14">
        <v>0</v>
      </c>
      <c r="I992" s="229">
        <v>0</v>
      </c>
      <c r="J992" s="229">
        <v>0</v>
      </c>
      <c r="K992" s="26">
        <v>1</v>
      </c>
      <c r="L992" s="14">
        <v>0</v>
      </c>
      <c r="M992" s="229">
        <v>0</v>
      </c>
      <c r="N992" s="229">
        <v>1</v>
      </c>
      <c r="O992" s="229">
        <v>0</v>
      </c>
      <c r="P992" s="26">
        <v>1</v>
      </c>
      <c r="Q992" s="14">
        <v>2</v>
      </c>
      <c r="R992" s="229">
        <v>0</v>
      </c>
      <c r="S992" s="229">
        <v>0</v>
      </c>
      <c r="T992" s="229">
        <v>0</v>
      </c>
      <c r="U992" s="229">
        <v>0</v>
      </c>
      <c r="V992" s="229">
        <v>0</v>
      </c>
      <c r="W992" s="229">
        <v>0</v>
      </c>
      <c r="X992" s="229">
        <v>0</v>
      </c>
      <c r="Y992" s="229">
        <v>0</v>
      </c>
      <c r="Z992" s="229">
        <v>0</v>
      </c>
      <c r="AA992" s="229">
        <v>216</v>
      </c>
      <c r="AB992" s="229">
        <v>0</v>
      </c>
      <c r="AC992" s="12">
        <v>1</v>
      </c>
      <c r="AD992" s="14">
        <v>1</v>
      </c>
      <c r="AE992" s="14">
        <v>0</v>
      </c>
      <c r="AF992" s="26">
        <v>0</v>
      </c>
      <c r="AG992" s="12">
        <v>133</v>
      </c>
      <c r="AH992" s="14">
        <v>0</v>
      </c>
      <c r="AI992" s="209"/>
      <c r="AJ992" s="3"/>
      <c r="AK992" s="3"/>
      <c r="AL992" s="3"/>
      <c r="AM992" s="3"/>
      <c r="AN992" s="3"/>
      <c r="AO992" s="40"/>
      <c r="AP992" s="209"/>
      <c r="AQ992" s="3"/>
      <c r="AR992" s="40"/>
      <c r="AS992" s="238"/>
    </row>
    <row r="993" spans="1:45" s="229" customFormat="1">
      <c r="A993" s="83" t="s">
        <v>325</v>
      </c>
      <c r="B993" s="386">
        <v>32.218499999999999</v>
      </c>
      <c r="C993" s="24" t="s">
        <v>294</v>
      </c>
      <c r="D993" s="229" t="s">
        <v>675</v>
      </c>
      <c r="F993" s="229">
        <v>2221</v>
      </c>
      <c r="G993" s="40">
        <f>F993/1489</f>
        <v>1.4916051040967091</v>
      </c>
      <c r="H993" s="14">
        <v>0</v>
      </c>
      <c r="I993" s="229">
        <v>0</v>
      </c>
      <c r="J993" s="229">
        <v>0</v>
      </c>
      <c r="K993" s="26">
        <v>1</v>
      </c>
      <c r="L993" s="14">
        <v>0</v>
      </c>
      <c r="M993" s="229">
        <v>0</v>
      </c>
      <c r="N993" s="229">
        <v>1</v>
      </c>
      <c r="O993" s="229">
        <v>0</v>
      </c>
      <c r="P993" s="26">
        <v>1</v>
      </c>
      <c r="Q993" s="14">
        <v>0</v>
      </c>
      <c r="R993" s="229">
        <v>0</v>
      </c>
      <c r="S993" s="229">
        <v>0</v>
      </c>
      <c r="T993" s="229">
        <v>0</v>
      </c>
      <c r="U993" s="229">
        <v>0</v>
      </c>
      <c r="V993" s="229">
        <v>0</v>
      </c>
      <c r="W993" s="229">
        <v>0</v>
      </c>
      <c r="X993" s="229">
        <v>0</v>
      </c>
      <c r="Y993" s="229">
        <v>0</v>
      </c>
      <c r="Z993" s="229">
        <v>0</v>
      </c>
      <c r="AA993" s="229">
        <v>0</v>
      </c>
      <c r="AB993" s="229">
        <v>0</v>
      </c>
      <c r="AC993" s="12">
        <v>1</v>
      </c>
      <c r="AD993" s="14">
        <v>1</v>
      </c>
      <c r="AE993" s="14">
        <v>0</v>
      </c>
      <c r="AF993" s="26">
        <v>0</v>
      </c>
      <c r="AG993" s="12">
        <v>126</v>
      </c>
      <c r="AH993" s="14">
        <v>0</v>
      </c>
      <c r="AI993" s="209"/>
      <c r="AJ993" s="3"/>
      <c r="AK993" s="3"/>
      <c r="AL993" s="3"/>
      <c r="AM993" s="3"/>
      <c r="AN993" s="3"/>
      <c r="AO993" s="40"/>
      <c r="AP993" s="209"/>
      <c r="AQ993" s="3"/>
      <c r="AR993" s="40"/>
      <c r="AS993" s="238"/>
    </row>
    <row r="994" spans="1:45" s="229" customFormat="1">
      <c r="A994" s="83" t="s">
        <v>325</v>
      </c>
      <c r="B994" s="386">
        <v>32.218499999999999</v>
      </c>
      <c r="C994" s="24" t="s">
        <v>294</v>
      </c>
      <c r="D994" s="229" t="s">
        <v>677</v>
      </c>
      <c r="F994" s="229">
        <v>3063</v>
      </c>
      <c r="G994" s="40">
        <f>F994/1337</f>
        <v>2.2909498878085266</v>
      </c>
      <c r="H994" s="14">
        <v>0</v>
      </c>
      <c r="I994" s="229">
        <v>0</v>
      </c>
      <c r="J994" s="229">
        <v>0</v>
      </c>
      <c r="K994" s="26">
        <v>1</v>
      </c>
      <c r="L994" s="14">
        <v>0</v>
      </c>
      <c r="M994" s="229">
        <v>0</v>
      </c>
      <c r="N994" s="229">
        <v>1</v>
      </c>
      <c r="O994" s="229">
        <v>0</v>
      </c>
      <c r="P994" s="26">
        <v>1</v>
      </c>
      <c r="Q994" s="14">
        <v>0</v>
      </c>
      <c r="R994" s="229">
        <v>0</v>
      </c>
      <c r="S994" s="229">
        <v>0</v>
      </c>
      <c r="T994" s="229">
        <v>0</v>
      </c>
      <c r="U994" s="229">
        <v>0</v>
      </c>
      <c r="V994" s="229">
        <v>0</v>
      </c>
      <c r="W994" s="229">
        <v>0</v>
      </c>
      <c r="X994" s="229">
        <v>0</v>
      </c>
      <c r="Y994" s="229">
        <v>0</v>
      </c>
      <c r="Z994" s="229">
        <v>0</v>
      </c>
      <c r="AA994" s="229">
        <v>0</v>
      </c>
      <c r="AB994" s="229">
        <v>0</v>
      </c>
      <c r="AC994" s="12">
        <v>2</v>
      </c>
      <c r="AD994" s="14">
        <v>3</v>
      </c>
      <c r="AE994" s="14">
        <v>427</v>
      </c>
      <c r="AF994" s="26">
        <v>1880</v>
      </c>
      <c r="AG994" s="12">
        <v>143</v>
      </c>
      <c r="AH994" s="14">
        <v>0</v>
      </c>
      <c r="AI994" s="209"/>
      <c r="AJ994" s="3"/>
      <c r="AK994" s="3"/>
      <c r="AL994" s="3"/>
      <c r="AM994" s="3"/>
      <c r="AN994" s="3"/>
      <c r="AO994" s="40"/>
      <c r="AP994" s="209"/>
      <c r="AQ994" s="3"/>
      <c r="AR994" s="40"/>
      <c r="AS994" s="238"/>
    </row>
    <row r="995" spans="1:45" s="229" customFormat="1">
      <c r="A995" s="83" t="s">
        <v>325</v>
      </c>
      <c r="B995" s="386">
        <v>32.218499999999999</v>
      </c>
      <c r="C995" s="24" t="s">
        <v>294</v>
      </c>
      <c r="D995" s="229" t="s">
        <v>713</v>
      </c>
      <c r="F995" s="229">
        <v>6930</v>
      </c>
      <c r="G995" s="40">
        <f>F995/4392</f>
        <v>1.5778688524590163</v>
      </c>
      <c r="H995" s="14">
        <v>0</v>
      </c>
      <c r="I995" s="229">
        <v>0</v>
      </c>
      <c r="J995" s="229">
        <v>1</v>
      </c>
      <c r="K995" s="26">
        <v>0</v>
      </c>
      <c r="L995" s="14">
        <v>0</v>
      </c>
      <c r="M995" s="229">
        <v>0</v>
      </c>
      <c r="N995" s="229">
        <v>1</v>
      </c>
      <c r="O995" s="229">
        <v>0</v>
      </c>
      <c r="P995" s="26">
        <v>1</v>
      </c>
      <c r="Q995" s="14">
        <v>2</v>
      </c>
      <c r="R995" s="229">
        <v>23</v>
      </c>
      <c r="S995" s="229">
        <v>318</v>
      </c>
      <c r="T995" s="229">
        <v>0</v>
      </c>
      <c r="U995" s="229">
        <v>0</v>
      </c>
      <c r="V995" s="229">
        <v>0</v>
      </c>
      <c r="W995" s="229">
        <v>0</v>
      </c>
      <c r="X995" s="229">
        <v>0</v>
      </c>
      <c r="Y995" s="229">
        <v>0</v>
      </c>
      <c r="Z995" s="229">
        <v>0</v>
      </c>
      <c r="AA995" s="229">
        <v>631</v>
      </c>
      <c r="AB995" s="229">
        <v>1</v>
      </c>
      <c r="AC995" s="12">
        <v>1</v>
      </c>
      <c r="AD995" s="14">
        <v>1</v>
      </c>
      <c r="AE995" s="14">
        <v>0</v>
      </c>
      <c r="AF995" s="26">
        <v>0</v>
      </c>
      <c r="AG995" s="12">
        <v>145</v>
      </c>
      <c r="AH995" s="14">
        <v>1</v>
      </c>
      <c r="AI995" s="209"/>
      <c r="AJ995" s="3"/>
      <c r="AK995" s="3"/>
      <c r="AL995" s="3"/>
      <c r="AM995" s="3"/>
      <c r="AN995" s="3"/>
      <c r="AO995" s="40"/>
      <c r="AP995" s="209"/>
      <c r="AQ995" s="3"/>
      <c r="AR995" s="40"/>
      <c r="AS995" s="238"/>
    </row>
    <row r="996" spans="1:45" s="229" customFormat="1">
      <c r="A996" s="83" t="s">
        <v>325</v>
      </c>
      <c r="B996" s="386">
        <v>32.218499999999999</v>
      </c>
      <c r="C996" s="24" t="s">
        <v>294</v>
      </c>
      <c r="D996" s="229" t="s">
        <v>678</v>
      </c>
      <c r="F996" s="229">
        <v>1569</v>
      </c>
      <c r="G996" s="40">
        <f>F996/1657</f>
        <v>0.94689197344598675</v>
      </c>
      <c r="H996" s="14">
        <v>0</v>
      </c>
      <c r="I996" s="229">
        <v>0</v>
      </c>
      <c r="J996" s="229">
        <v>0</v>
      </c>
      <c r="K996" s="26">
        <v>1</v>
      </c>
      <c r="L996" s="14">
        <v>0</v>
      </c>
      <c r="M996" s="229">
        <v>0</v>
      </c>
      <c r="N996" s="229">
        <v>1</v>
      </c>
      <c r="O996" s="229">
        <v>0</v>
      </c>
      <c r="P996" s="26">
        <v>1</v>
      </c>
      <c r="Q996" s="14">
        <v>1</v>
      </c>
      <c r="R996" s="229">
        <v>0</v>
      </c>
      <c r="S996" s="229">
        <v>0</v>
      </c>
      <c r="T996" s="229">
        <v>0</v>
      </c>
      <c r="U996" s="229">
        <v>0</v>
      </c>
      <c r="V996" s="229">
        <v>0</v>
      </c>
      <c r="W996" s="229">
        <v>54</v>
      </c>
      <c r="X996" s="229">
        <v>0</v>
      </c>
      <c r="Y996" s="229">
        <v>0</v>
      </c>
      <c r="Z996" s="229">
        <v>0</v>
      </c>
      <c r="AA996" s="229">
        <v>0</v>
      </c>
      <c r="AB996" s="229">
        <v>0</v>
      </c>
      <c r="AC996" s="12">
        <v>1</v>
      </c>
      <c r="AD996" s="14">
        <v>1</v>
      </c>
      <c r="AE996" s="14">
        <v>0</v>
      </c>
      <c r="AF996" s="26">
        <v>0</v>
      </c>
      <c r="AG996" s="12">
        <v>108</v>
      </c>
      <c r="AH996" s="14">
        <v>1</v>
      </c>
      <c r="AI996" s="209"/>
      <c r="AJ996" s="3"/>
      <c r="AK996" s="3"/>
      <c r="AL996" s="3"/>
      <c r="AM996" s="3"/>
      <c r="AN996" s="3"/>
      <c r="AO996" s="40"/>
      <c r="AP996" s="209"/>
      <c r="AQ996" s="3"/>
      <c r="AR996" s="40"/>
      <c r="AS996" s="238"/>
    </row>
    <row r="997" spans="1:45" s="229" customFormat="1">
      <c r="A997" s="83" t="s">
        <v>325</v>
      </c>
      <c r="B997" s="386">
        <v>32.218499999999999</v>
      </c>
      <c r="C997" s="24" t="s">
        <v>294</v>
      </c>
      <c r="D997" s="229" t="s">
        <v>680</v>
      </c>
      <c r="F997" s="229">
        <v>2919</v>
      </c>
      <c r="G997" s="40">
        <f>F997/1948</f>
        <v>1.4984599589322383</v>
      </c>
      <c r="H997" s="14">
        <v>0</v>
      </c>
      <c r="I997" s="229">
        <v>0</v>
      </c>
      <c r="J997" s="229">
        <v>0</v>
      </c>
      <c r="K997" s="26">
        <v>1</v>
      </c>
      <c r="L997" s="14">
        <v>0</v>
      </c>
      <c r="M997" s="229">
        <v>0</v>
      </c>
      <c r="N997" s="229">
        <v>1</v>
      </c>
      <c r="O997" s="229">
        <v>0</v>
      </c>
      <c r="P997" s="26">
        <v>1</v>
      </c>
      <c r="Q997" s="14">
        <v>0</v>
      </c>
      <c r="R997" s="229">
        <v>0</v>
      </c>
      <c r="S997" s="229">
        <v>0</v>
      </c>
      <c r="T997" s="229">
        <v>0</v>
      </c>
      <c r="U997" s="229">
        <v>0</v>
      </c>
      <c r="V997" s="229">
        <v>0</v>
      </c>
      <c r="W997" s="229">
        <v>0</v>
      </c>
      <c r="X997" s="229">
        <v>0</v>
      </c>
      <c r="Y997" s="229">
        <v>0</v>
      </c>
      <c r="Z997" s="229">
        <v>0</v>
      </c>
      <c r="AA997" s="229">
        <v>0</v>
      </c>
      <c r="AB997" s="229">
        <v>0</v>
      </c>
      <c r="AC997" s="12">
        <v>1</v>
      </c>
      <c r="AD997" s="14">
        <v>1</v>
      </c>
      <c r="AE997" s="14">
        <v>0</v>
      </c>
      <c r="AF997" s="26">
        <v>0</v>
      </c>
      <c r="AG997" s="12">
        <v>121</v>
      </c>
      <c r="AH997" s="14">
        <v>0</v>
      </c>
      <c r="AI997" s="209"/>
      <c r="AJ997" s="3"/>
      <c r="AK997" s="3"/>
      <c r="AL997" s="3"/>
      <c r="AM997" s="3"/>
      <c r="AN997" s="3"/>
      <c r="AO997" s="40"/>
      <c r="AP997" s="209"/>
      <c r="AQ997" s="3"/>
      <c r="AR997" s="40"/>
      <c r="AS997" s="238"/>
    </row>
    <row r="998" spans="1:45" s="229" customFormat="1">
      <c r="A998" s="83" t="s">
        <v>325</v>
      </c>
      <c r="B998" s="386">
        <v>32.218499999999999</v>
      </c>
      <c r="C998" s="24" t="s">
        <v>294</v>
      </c>
      <c r="D998" s="229" t="s">
        <v>681</v>
      </c>
      <c r="F998" s="229">
        <v>1932</v>
      </c>
      <c r="G998" s="40">
        <f>F998/1329</f>
        <v>1.4537246049661399</v>
      </c>
      <c r="H998" s="14">
        <v>0</v>
      </c>
      <c r="I998" s="229">
        <v>0</v>
      </c>
      <c r="J998" s="229">
        <v>1</v>
      </c>
      <c r="K998" s="26">
        <v>0</v>
      </c>
      <c r="L998" s="14">
        <v>0</v>
      </c>
      <c r="M998" s="229">
        <v>0</v>
      </c>
      <c r="N998" s="229">
        <v>0</v>
      </c>
      <c r="O998" s="229">
        <v>1</v>
      </c>
      <c r="P998" s="26">
        <v>1</v>
      </c>
      <c r="Q998" s="14">
        <v>2</v>
      </c>
      <c r="R998" s="229">
        <v>0</v>
      </c>
      <c r="S998" s="229">
        <v>0</v>
      </c>
      <c r="T998" s="229">
        <v>0</v>
      </c>
      <c r="U998" s="229">
        <v>0</v>
      </c>
      <c r="V998" s="229">
        <v>0</v>
      </c>
      <c r="W998" s="229">
        <v>0</v>
      </c>
      <c r="X998" s="229">
        <v>0</v>
      </c>
      <c r="Y998" s="229">
        <v>0</v>
      </c>
      <c r="Z998" s="229">
        <v>0</v>
      </c>
      <c r="AA998" s="229">
        <v>83</v>
      </c>
      <c r="AB998" s="229">
        <v>0</v>
      </c>
      <c r="AC998" s="12">
        <v>1</v>
      </c>
      <c r="AD998" s="14">
        <v>1</v>
      </c>
      <c r="AE998" s="14">
        <v>0</v>
      </c>
      <c r="AF998" s="26">
        <v>0</v>
      </c>
      <c r="AG998" s="12">
        <v>118</v>
      </c>
      <c r="AH998" s="14">
        <v>0</v>
      </c>
      <c r="AI998" s="209"/>
      <c r="AJ998" s="3"/>
      <c r="AK998" s="3"/>
      <c r="AL998" s="3"/>
      <c r="AM998" s="3"/>
      <c r="AN998" s="3"/>
      <c r="AO998" s="40"/>
      <c r="AP998" s="209"/>
      <c r="AQ998" s="3"/>
      <c r="AR998" s="40"/>
      <c r="AS998" s="238"/>
    </row>
    <row r="999" spans="1:45" s="229" customFormat="1">
      <c r="A999" s="83" t="s">
        <v>325</v>
      </c>
      <c r="B999" s="386">
        <v>32.218499999999999</v>
      </c>
      <c r="C999" s="24" t="s">
        <v>294</v>
      </c>
      <c r="D999" s="229" t="s">
        <v>682</v>
      </c>
      <c r="F999" s="229">
        <v>2164</v>
      </c>
      <c r="G999" s="40">
        <f>F999/1591</f>
        <v>1.3601508485229414</v>
      </c>
      <c r="H999" s="14">
        <v>0</v>
      </c>
      <c r="I999" s="229">
        <v>0</v>
      </c>
      <c r="J999" s="229">
        <v>0</v>
      </c>
      <c r="K999" s="26">
        <v>1</v>
      </c>
      <c r="L999" s="14">
        <v>0</v>
      </c>
      <c r="M999" s="229">
        <v>0</v>
      </c>
      <c r="N999" s="229">
        <v>1</v>
      </c>
      <c r="O999" s="229">
        <v>0</v>
      </c>
      <c r="P999" s="26">
        <v>1</v>
      </c>
      <c r="Q999" s="14">
        <v>1</v>
      </c>
      <c r="R999" s="229">
        <v>0</v>
      </c>
      <c r="S999" s="229">
        <v>30</v>
      </c>
      <c r="T999" s="229">
        <v>0</v>
      </c>
      <c r="U999" s="229">
        <v>0</v>
      </c>
      <c r="V999" s="229">
        <v>0</v>
      </c>
      <c r="W999" s="229">
        <v>0</v>
      </c>
      <c r="X999" s="229">
        <v>0</v>
      </c>
      <c r="Y999" s="229">
        <v>0</v>
      </c>
      <c r="Z999" s="229">
        <v>0</v>
      </c>
      <c r="AA999" s="229">
        <v>0</v>
      </c>
      <c r="AB999" s="229">
        <v>1</v>
      </c>
      <c r="AC999" s="12">
        <v>1</v>
      </c>
      <c r="AD999" s="14">
        <v>1</v>
      </c>
      <c r="AE999" s="14">
        <v>0</v>
      </c>
      <c r="AF999" s="26">
        <v>0</v>
      </c>
      <c r="AG999" s="12">
        <v>128</v>
      </c>
      <c r="AH999" s="14">
        <v>0</v>
      </c>
      <c r="AI999" s="209"/>
      <c r="AJ999" s="3"/>
      <c r="AK999" s="3"/>
      <c r="AL999" s="3"/>
      <c r="AM999" s="3"/>
      <c r="AN999" s="3"/>
      <c r="AO999" s="40"/>
      <c r="AP999" s="209"/>
      <c r="AQ999" s="3"/>
      <c r="AR999" s="40"/>
      <c r="AS999" s="238"/>
    </row>
    <row r="1000" spans="1:45" s="229" customFormat="1">
      <c r="A1000" s="83" t="s">
        <v>325</v>
      </c>
      <c r="B1000" s="386">
        <v>32.218499999999999</v>
      </c>
      <c r="C1000" s="24" t="s">
        <v>294</v>
      </c>
      <c r="D1000" s="229" t="s">
        <v>694</v>
      </c>
      <c r="F1000" s="229">
        <v>2455</v>
      </c>
      <c r="G1000" s="40">
        <f>F1000/1180</f>
        <v>2.0805084745762712</v>
      </c>
      <c r="H1000" s="14">
        <v>0</v>
      </c>
      <c r="I1000" s="229">
        <v>1</v>
      </c>
      <c r="J1000" s="229">
        <v>0</v>
      </c>
      <c r="K1000" s="26">
        <v>0</v>
      </c>
      <c r="L1000" s="14">
        <v>0</v>
      </c>
      <c r="M1000" s="229">
        <v>0</v>
      </c>
      <c r="N1000" s="229">
        <v>1</v>
      </c>
      <c r="O1000" s="229">
        <v>0</v>
      </c>
      <c r="P1000" s="26">
        <v>1</v>
      </c>
      <c r="Q1000" s="14">
        <v>0</v>
      </c>
      <c r="R1000" s="229">
        <v>0</v>
      </c>
      <c r="S1000" s="229">
        <v>0</v>
      </c>
      <c r="T1000" s="229">
        <v>0</v>
      </c>
      <c r="U1000" s="229">
        <v>0</v>
      </c>
      <c r="V1000" s="229">
        <v>0</v>
      </c>
      <c r="W1000" s="229">
        <v>0</v>
      </c>
      <c r="X1000" s="229">
        <v>0</v>
      </c>
      <c r="Y1000" s="229">
        <v>0</v>
      </c>
      <c r="Z1000" s="229">
        <v>0</v>
      </c>
      <c r="AA1000" s="229">
        <v>0</v>
      </c>
      <c r="AB1000" s="229">
        <v>0</v>
      </c>
      <c r="AC1000" s="12">
        <v>1</v>
      </c>
      <c r="AD1000" s="14">
        <v>1</v>
      </c>
      <c r="AE1000" s="14">
        <v>0</v>
      </c>
      <c r="AF1000" s="26">
        <v>0</v>
      </c>
      <c r="AG1000" s="12">
        <v>127</v>
      </c>
      <c r="AH1000" s="14">
        <v>1</v>
      </c>
      <c r="AI1000" s="209"/>
      <c r="AJ1000" s="3"/>
      <c r="AK1000" s="3"/>
      <c r="AL1000" s="3"/>
      <c r="AM1000" s="3"/>
      <c r="AN1000" s="3"/>
      <c r="AO1000" s="40"/>
      <c r="AP1000" s="209"/>
      <c r="AQ1000" s="3"/>
      <c r="AR1000" s="40"/>
      <c r="AS1000" s="238"/>
    </row>
    <row r="1001" spans="1:45" s="229" customFormat="1">
      <c r="A1001" s="83" t="s">
        <v>325</v>
      </c>
      <c r="B1001" s="386">
        <v>32.218499999999999</v>
      </c>
      <c r="C1001" s="24" t="s">
        <v>294</v>
      </c>
      <c r="D1001" s="229" t="s">
        <v>683</v>
      </c>
      <c r="F1001" s="229">
        <v>557</v>
      </c>
      <c r="G1001" s="40">
        <f>F1001/387</f>
        <v>1.4392764857881137</v>
      </c>
      <c r="H1001" s="14">
        <v>0</v>
      </c>
      <c r="I1001" s="229">
        <v>0</v>
      </c>
      <c r="J1001" s="229">
        <v>0</v>
      </c>
      <c r="K1001" s="26">
        <v>1</v>
      </c>
      <c r="L1001" s="14">
        <v>0</v>
      </c>
      <c r="M1001" s="229">
        <v>0</v>
      </c>
      <c r="N1001" s="229">
        <v>1</v>
      </c>
      <c r="O1001" s="229">
        <v>0</v>
      </c>
      <c r="P1001" s="26">
        <v>1</v>
      </c>
      <c r="Q1001" s="14">
        <v>0</v>
      </c>
      <c r="R1001" s="229">
        <v>0</v>
      </c>
      <c r="S1001" s="229">
        <v>0</v>
      </c>
      <c r="T1001" s="229">
        <v>0</v>
      </c>
      <c r="U1001" s="229">
        <v>0</v>
      </c>
      <c r="V1001" s="229">
        <v>0</v>
      </c>
      <c r="W1001" s="229">
        <v>0</v>
      </c>
      <c r="X1001" s="229">
        <v>0</v>
      </c>
      <c r="Y1001" s="229">
        <v>0</v>
      </c>
      <c r="Z1001" s="229">
        <v>0</v>
      </c>
      <c r="AA1001" s="229">
        <v>0</v>
      </c>
      <c r="AB1001" s="229">
        <v>0</v>
      </c>
      <c r="AC1001" s="12">
        <v>1</v>
      </c>
      <c r="AD1001" s="14">
        <v>1</v>
      </c>
      <c r="AE1001" s="14">
        <v>0</v>
      </c>
      <c r="AF1001" s="26">
        <v>0</v>
      </c>
      <c r="AG1001" s="12">
        <v>128</v>
      </c>
      <c r="AH1001" s="14">
        <v>0</v>
      </c>
      <c r="AI1001" s="209">
        <v>88.814378214849285</v>
      </c>
      <c r="AJ1001" s="3"/>
      <c r="AK1001" s="3"/>
      <c r="AL1001" s="3"/>
      <c r="AM1001" s="3"/>
      <c r="AN1001" s="3"/>
      <c r="AO1001" s="40"/>
      <c r="AP1001" s="209">
        <v>86.496847800753514</v>
      </c>
      <c r="AQ1001" s="3"/>
      <c r="AR1001" s="40"/>
      <c r="AS1001" s="238"/>
    </row>
    <row r="1002" spans="1:45" s="229" customFormat="1">
      <c r="A1002" s="83" t="s">
        <v>325</v>
      </c>
      <c r="B1002" s="386">
        <v>32.218499999999999</v>
      </c>
      <c r="C1002" s="24" t="s">
        <v>294</v>
      </c>
      <c r="D1002" s="229" t="s">
        <v>684</v>
      </c>
      <c r="F1002" s="229">
        <v>1888</v>
      </c>
      <c r="G1002" s="40">
        <f>F1002/1791</f>
        <v>1.0541596873255166</v>
      </c>
      <c r="H1002" s="14">
        <v>0</v>
      </c>
      <c r="I1002" s="229">
        <v>0</v>
      </c>
      <c r="J1002" s="229">
        <v>0</v>
      </c>
      <c r="K1002" s="26">
        <v>1</v>
      </c>
      <c r="L1002" s="14">
        <v>0</v>
      </c>
      <c r="M1002" s="229">
        <v>0</v>
      </c>
      <c r="N1002" s="229">
        <v>1</v>
      </c>
      <c r="O1002" s="229">
        <v>0</v>
      </c>
      <c r="P1002" s="26">
        <v>1</v>
      </c>
      <c r="Q1002" s="14">
        <v>0</v>
      </c>
      <c r="R1002" s="229">
        <v>0</v>
      </c>
      <c r="S1002" s="229">
        <v>0</v>
      </c>
      <c r="T1002" s="229">
        <v>0</v>
      </c>
      <c r="U1002" s="229">
        <v>0</v>
      </c>
      <c r="V1002" s="229">
        <v>0</v>
      </c>
      <c r="W1002" s="229">
        <v>0</v>
      </c>
      <c r="X1002" s="229">
        <v>0</v>
      </c>
      <c r="Y1002" s="229">
        <v>0</v>
      </c>
      <c r="Z1002" s="229">
        <v>0</v>
      </c>
      <c r="AA1002" s="229">
        <v>0</v>
      </c>
      <c r="AB1002" s="229">
        <v>0</v>
      </c>
      <c r="AC1002" s="12">
        <v>1</v>
      </c>
      <c r="AD1002" s="14">
        <v>1</v>
      </c>
      <c r="AE1002" s="14">
        <v>0</v>
      </c>
      <c r="AF1002" s="26">
        <v>0</v>
      </c>
      <c r="AG1002" s="12">
        <v>132</v>
      </c>
      <c r="AH1002" s="14">
        <v>0</v>
      </c>
      <c r="AI1002" s="209"/>
      <c r="AJ1002" s="3"/>
      <c r="AK1002" s="3"/>
      <c r="AL1002" s="3"/>
      <c r="AM1002" s="3"/>
      <c r="AN1002" s="3"/>
      <c r="AO1002" s="40"/>
      <c r="AP1002" s="209"/>
      <c r="AQ1002" s="3"/>
      <c r="AR1002" s="40"/>
      <c r="AS1002" s="238"/>
    </row>
    <row r="1003" spans="1:45" s="229" customFormat="1">
      <c r="A1003" s="83" t="s">
        <v>325</v>
      </c>
      <c r="B1003" s="386">
        <v>32.218499999999999</v>
      </c>
      <c r="C1003" s="24" t="s">
        <v>294</v>
      </c>
      <c r="D1003" s="229" t="s">
        <v>685</v>
      </c>
      <c r="F1003" s="229">
        <v>2457</v>
      </c>
      <c r="G1003" s="40">
        <f>F1003/1939</f>
        <v>1.2671480144404332</v>
      </c>
      <c r="H1003" s="14">
        <v>0</v>
      </c>
      <c r="I1003" s="229">
        <v>0</v>
      </c>
      <c r="J1003" s="229">
        <v>0</v>
      </c>
      <c r="K1003" s="26">
        <v>1</v>
      </c>
      <c r="L1003" s="14">
        <v>0</v>
      </c>
      <c r="M1003" s="229">
        <v>0</v>
      </c>
      <c r="N1003" s="229">
        <v>1</v>
      </c>
      <c r="O1003" s="229">
        <v>0</v>
      </c>
      <c r="P1003" s="26">
        <v>1</v>
      </c>
      <c r="Q1003" s="14">
        <v>0</v>
      </c>
      <c r="R1003" s="229">
        <v>0</v>
      </c>
      <c r="S1003" s="229">
        <v>0</v>
      </c>
      <c r="T1003" s="229">
        <v>0</v>
      </c>
      <c r="U1003" s="229">
        <v>0</v>
      </c>
      <c r="V1003" s="229">
        <v>0</v>
      </c>
      <c r="W1003" s="229">
        <v>0</v>
      </c>
      <c r="X1003" s="229">
        <v>0</v>
      </c>
      <c r="Y1003" s="229">
        <v>0</v>
      </c>
      <c r="Z1003" s="229">
        <v>0</v>
      </c>
      <c r="AA1003" s="229">
        <v>0</v>
      </c>
      <c r="AB1003" s="229">
        <v>0</v>
      </c>
      <c r="AC1003" s="12">
        <v>1</v>
      </c>
      <c r="AD1003" s="14">
        <v>1</v>
      </c>
      <c r="AE1003" s="14">
        <v>0</v>
      </c>
      <c r="AF1003" s="26">
        <v>0</v>
      </c>
      <c r="AG1003" s="12">
        <v>144</v>
      </c>
      <c r="AH1003" s="14">
        <v>1</v>
      </c>
      <c r="AI1003" s="209"/>
      <c r="AJ1003" s="3"/>
      <c r="AK1003" s="3"/>
      <c r="AL1003" s="3"/>
      <c r="AM1003" s="3"/>
      <c r="AN1003" s="3"/>
      <c r="AO1003" s="40"/>
      <c r="AP1003" s="209"/>
      <c r="AQ1003" s="3"/>
      <c r="AR1003" s="40"/>
      <c r="AS1003" s="238"/>
    </row>
    <row r="1004" spans="1:45" s="229" customFormat="1">
      <c r="A1004" s="83" t="s">
        <v>325</v>
      </c>
      <c r="B1004" s="386">
        <v>32.218499999999999</v>
      </c>
      <c r="C1004" s="24" t="s">
        <v>294</v>
      </c>
      <c r="D1004" s="229" t="s">
        <v>686</v>
      </c>
      <c r="F1004" s="229">
        <v>9138</v>
      </c>
      <c r="G1004" s="40">
        <f>F1004/5633</f>
        <v>1.6222261672288301</v>
      </c>
      <c r="H1004" s="14">
        <v>0</v>
      </c>
      <c r="I1004" s="229">
        <v>0</v>
      </c>
      <c r="J1004" s="229">
        <v>0</v>
      </c>
      <c r="K1004" s="26">
        <v>1</v>
      </c>
      <c r="L1004" s="14">
        <v>0</v>
      </c>
      <c r="M1004" s="229">
        <v>0</v>
      </c>
      <c r="N1004" s="229">
        <v>1</v>
      </c>
      <c r="O1004" s="229">
        <v>0</v>
      </c>
      <c r="P1004" s="26">
        <v>1</v>
      </c>
      <c r="Q1004" s="14">
        <v>1</v>
      </c>
      <c r="R1004" s="229">
        <v>0</v>
      </c>
      <c r="S1004" s="229">
        <v>86</v>
      </c>
      <c r="T1004" s="229">
        <v>0</v>
      </c>
      <c r="U1004" s="229">
        <v>0</v>
      </c>
      <c r="V1004" s="229">
        <v>0</v>
      </c>
      <c r="W1004" s="229">
        <v>0</v>
      </c>
      <c r="X1004" s="229">
        <v>0</v>
      </c>
      <c r="Y1004" s="229">
        <v>0</v>
      </c>
      <c r="Z1004" s="229">
        <v>0</v>
      </c>
      <c r="AA1004" s="229">
        <v>576</v>
      </c>
      <c r="AB1004" s="229">
        <v>0</v>
      </c>
      <c r="AC1004" s="12">
        <v>1</v>
      </c>
      <c r="AD1004" s="14">
        <v>1</v>
      </c>
      <c r="AE1004" s="14">
        <v>0</v>
      </c>
      <c r="AF1004" s="26">
        <v>0</v>
      </c>
      <c r="AG1004" s="12">
        <v>141</v>
      </c>
      <c r="AH1004" s="14">
        <v>1</v>
      </c>
      <c r="AI1004" s="209"/>
      <c r="AJ1004" s="3"/>
      <c r="AK1004" s="3"/>
      <c r="AL1004" s="3"/>
      <c r="AM1004" s="3"/>
      <c r="AN1004" s="3"/>
      <c r="AO1004" s="40"/>
      <c r="AP1004" s="209"/>
      <c r="AQ1004" s="3"/>
      <c r="AR1004" s="40"/>
      <c r="AS1004" s="238"/>
    </row>
    <row r="1005" spans="1:45" s="229" customFormat="1">
      <c r="A1005" s="83" t="s">
        <v>325</v>
      </c>
      <c r="B1005" s="386">
        <v>32.218499999999999</v>
      </c>
      <c r="C1005" s="24" t="s">
        <v>294</v>
      </c>
      <c r="D1005" s="229" t="s">
        <v>689</v>
      </c>
      <c r="F1005" s="229">
        <v>3591</v>
      </c>
      <c r="G1005" s="40">
        <f>F1005/2502</f>
        <v>1.435251798561151</v>
      </c>
      <c r="H1005" s="14">
        <v>0</v>
      </c>
      <c r="I1005" s="229">
        <v>1</v>
      </c>
      <c r="J1005" s="229">
        <v>1</v>
      </c>
      <c r="K1005" s="26">
        <v>1</v>
      </c>
      <c r="L1005" s="14">
        <v>0</v>
      </c>
      <c r="M1005" s="229">
        <v>0</v>
      </c>
      <c r="N1005" s="229">
        <v>0</v>
      </c>
      <c r="O1005" s="229">
        <v>0</v>
      </c>
      <c r="P1005" s="26">
        <v>0</v>
      </c>
      <c r="Q1005" s="14">
        <v>1</v>
      </c>
      <c r="R1005" s="229">
        <v>0</v>
      </c>
      <c r="S1005" s="229">
        <v>0</v>
      </c>
      <c r="T1005" s="229">
        <v>0</v>
      </c>
      <c r="U1005" s="229">
        <v>0</v>
      </c>
      <c r="V1005" s="229">
        <v>22</v>
      </c>
      <c r="W1005" s="229">
        <v>83</v>
      </c>
      <c r="X1005" s="229">
        <v>0</v>
      </c>
      <c r="Y1005" s="229">
        <v>0</v>
      </c>
      <c r="Z1005" s="229">
        <v>0</v>
      </c>
      <c r="AA1005" s="229">
        <v>0</v>
      </c>
      <c r="AB1005" s="229">
        <v>0</v>
      </c>
      <c r="AC1005" s="12">
        <v>2</v>
      </c>
      <c r="AD1005" s="14">
        <v>3</v>
      </c>
      <c r="AE1005" s="14">
        <v>933</v>
      </c>
      <c r="AF1005" s="26">
        <v>2665</v>
      </c>
      <c r="AG1005" s="12">
        <v>120</v>
      </c>
      <c r="AH1005" s="14">
        <v>0</v>
      </c>
      <c r="AI1005" s="209"/>
      <c r="AJ1005" s="3"/>
      <c r="AK1005" s="3"/>
      <c r="AL1005" s="3"/>
      <c r="AM1005" s="3"/>
      <c r="AN1005" s="3"/>
      <c r="AO1005" s="40"/>
      <c r="AP1005" s="209"/>
      <c r="AQ1005" s="3"/>
      <c r="AR1005" s="40"/>
      <c r="AS1005" s="238"/>
    </row>
    <row r="1006" spans="1:45" s="229" customFormat="1">
      <c r="A1006" s="83" t="s">
        <v>325</v>
      </c>
      <c r="B1006" s="386">
        <v>32.218499999999999</v>
      </c>
      <c r="C1006" s="24" t="s">
        <v>294</v>
      </c>
      <c r="D1006" s="229" t="s">
        <v>695</v>
      </c>
      <c r="F1006" s="229">
        <v>7082</v>
      </c>
      <c r="G1006" s="40">
        <f>F1006/5239</f>
        <v>1.351784691735064</v>
      </c>
      <c r="H1006" s="14">
        <v>0</v>
      </c>
      <c r="I1006" s="229">
        <v>1</v>
      </c>
      <c r="J1006" s="229">
        <v>0</v>
      </c>
      <c r="K1006" s="26">
        <v>0</v>
      </c>
      <c r="L1006" s="14">
        <v>0</v>
      </c>
      <c r="M1006" s="229">
        <v>0</v>
      </c>
      <c r="N1006" s="229">
        <v>1</v>
      </c>
      <c r="O1006" s="229">
        <v>0</v>
      </c>
      <c r="P1006" s="26">
        <v>1</v>
      </c>
      <c r="Q1006" s="14">
        <v>0</v>
      </c>
      <c r="R1006" s="229">
        <v>0</v>
      </c>
      <c r="S1006" s="229">
        <v>0</v>
      </c>
      <c r="T1006" s="229">
        <v>0</v>
      </c>
      <c r="U1006" s="229">
        <v>0</v>
      </c>
      <c r="V1006" s="229">
        <v>0</v>
      </c>
      <c r="W1006" s="229">
        <v>0</v>
      </c>
      <c r="X1006" s="229">
        <v>0</v>
      </c>
      <c r="Y1006" s="229">
        <v>0</v>
      </c>
      <c r="Z1006" s="229">
        <v>0</v>
      </c>
      <c r="AA1006" s="229">
        <v>0</v>
      </c>
      <c r="AB1006" s="229">
        <v>0</v>
      </c>
      <c r="AC1006" s="12">
        <v>1</v>
      </c>
      <c r="AD1006" s="14">
        <v>1</v>
      </c>
      <c r="AE1006" s="14">
        <v>0</v>
      </c>
      <c r="AF1006" s="26">
        <v>0</v>
      </c>
      <c r="AG1006" s="12">
        <v>129</v>
      </c>
      <c r="AH1006" s="14">
        <v>1</v>
      </c>
      <c r="AI1006" s="209"/>
      <c r="AJ1006" s="3"/>
      <c r="AK1006" s="3"/>
      <c r="AL1006" s="3"/>
      <c r="AM1006" s="3"/>
      <c r="AN1006" s="3"/>
      <c r="AO1006" s="40"/>
      <c r="AP1006" s="209"/>
      <c r="AQ1006" s="3"/>
      <c r="AR1006" s="40"/>
      <c r="AS1006" s="238"/>
    </row>
    <row r="1007" spans="1:45" s="229" customFormat="1">
      <c r="A1007" s="83" t="s">
        <v>325</v>
      </c>
      <c r="B1007" s="386">
        <v>32.218499999999999</v>
      </c>
      <c r="C1007" s="24" t="s">
        <v>294</v>
      </c>
      <c r="D1007" s="229" t="s">
        <v>696</v>
      </c>
      <c r="F1007" s="229">
        <v>4372</v>
      </c>
      <c r="G1007" s="40">
        <f>F1007/3336</f>
        <v>1.3105515587529977</v>
      </c>
      <c r="H1007" s="14">
        <v>0</v>
      </c>
      <c r="I1007" s="229">
        <v>0</v>
      </c>
      <c r="J1007" s="229">
        <v>0</v>
      </c>
      <c r="K1007" s="26">
        <v>1</v>
      </c>
      <c r="L1007" s="14">
        <v>0</v>
      </c>
      <c r="M1007" s="229">
        <v>0</v>
      </c>
      <c r="N1007" s="229">
        <v>1</v>
      </c>
      <c r="O1007" s="229">
        <v>0</v>
      </c>
      <c r="P1007" s="26">
        <v>1</v>
      </c>
      <c r="Q1007" s="14">
        <v>0</v>
      </c>
      <c r="R1007" s="229">
        <v>0</v>
      </c>
      <c r="S1007" s="229">
        <v>0</v>
      </c>
      <c r="T1007" s="229">
        <v>0</v>
      </c>
      <c r="U1007" s="229">
        <v>0</v>
      </c>
      <c r="V1007" s="229">
        <v>0</v>
      </c>
      <c r="W1007" s="229">
        <v>0</v>
      </c>
      <c r="X1007" s="229">
        <v>0</v>
      </c>
      <c r="Y1007" s="229">
        <v>0</v>
      </c>
      <c r="Z1007" s="229">
        <v>0</v>
      </c>
      <c r="AA1007" s="229">
        <v>0</v>
      </c>
      <c r="AB1007" s="229">
        <v>0</v>
      </c>
      <c r="AC1007" s="12">
        <v>1</v>
      </c>
      <c r="AD1007" s="14">
        <v>1</v>
      </c>
      <c r="AE1007" s="14">
        <v>0</v>
      </c>
      <c r="AF1007" s="26">
        <v>0</v>
      </c>
      <c r="AG1007" s="12">
        <v>128</v>
      </c>
      <c r="AH1007" s="14">
        <v>1</v>
      </c>
      <c r="AI1007" s="209"/>
      <c r="AJ1007" s="3"/>
      <c r="AK1007" s="3"/>
      <c r="AL1007" s="3"/>
      <c r="AM1007" s="3"/>
      <c r="AN1007" s="3"/>
      <c r="AO1007" s="40"/>
      <c r="AP1007" s="209"/>
      <c r="AQ1007" s="3"/>
      <c r="AR1007" s="40"/>
      <c r="AS1007" s="238"/>
    </row>
    <row r="1008" spans="1:45" s="229" customFormat="1">
      <c r="A1008" s="83" t="s">
        <v>325</v>
      </c>
      <c r="B1008" s="386">
        <v>32.218499999999999</v>
      </c>
      <c r="C1008" s="24" t="s">
        <v>294</v>
      </c>
      <c r="D1008" s="229" t="s">
        <v>697</v>
      </c>
      <c r="F1008" s="229">
        <v>3967</v>
      </c>
      <c r="G1008" s="40">
        <f>F1008/3068</f>
        <v>1.2930247718383312</v>
      </c>
      <c r="H1008" s="14">
        <v>0</v>
      </c>
      <c r="I1008" s="229">
        <v>1</v>
      </c>
      <c r="J1008" s="229">
        <v>0</v>
      </c>
      <c r="K1008" s="26">
        <v>1</v>
      </c>
      <c r="L1008" s="14">
        <v>0</v>
      </c>
      <c r="M1008" s="229">
        <v>0</v>
      </c>
      <c r="N1008" s="229">
        <v>1</v>
      </c>
      <c r="O1008" s="229">
        <v>0</v>
      </c>
      <c r="P1008" s="26">
        <v>1</v>
      </c>
      <c r="Q1008" s="14">
        <v>1</v>
      </c>
      <c r="R1008" s="229">
        <v>0</v>
      </c>
      <c r="S1008" s="229">
        <v>0</v>
      </c>
      <c r="T1008" s="229">
        <v>0</v>
      </c>
      <c r="U1008" s="229">
        <v>0</v>
      </c>
      <c r="V1008" s="229">
        <v>0</v>
      </c>
      <c r="W1008" s="229">
        <v>40</v>
      </c>
      <c r="X1008" s="229">
        <v>0</v>
      </c>
      <c r="Y1008" s="229">
        <v>0</v>
      </c>
      <c r="Z1008" s="229">
        <v>0</v>
      </c>
      <c r="AA1008" s="229">
        <v>0</v>
      </c>
      <c r="AB1008" s="229">
        <v>0</v>
      </c>
      <c r="AC1008" s="12">
        <v>2</v>
      </c>
      <c r="AD1008" s="14">
        <v>3</v>
      </c>
      <c r="AE1008" s="14">
        <v>795</v>
      </c>
      <c r="AF1008" s="26">
        <v>3068</v>
      </c>
      <c r="AG1008" s="12">
        <v>140</v>
      </c>
      <c r="AH1008" s="14">
        <v>1</v>
      </c>
      <c r="AI1008" s="209"/>
      <c r="AJ1008" s="3"/>
      <c r="AK1008" s="3"/>
      <c r="AL1008" s="3"/>
      <c r="AM1008" s="3"/>
      <c r="AN1008" s="3"/>
      <c r="AO1008" s="40"/>
      <c r="AP1008" s="209"/>
      <c r="AQ1008" s="3"/>
      <c r="AR1008" s="40"/>
      <c r="AS1008" s="238"/>
    </row>
    <row r="1009" spans="1:45" s="229" customFormat="1">
      <c r="A1009" s="83" t="s">
        <v>325</v>
      </c>
      <c r="B1009" s="386">
        <v>32.218499999999999</v>
      </c>
      <c r="C1009" s="24" t="s">
        <v>294</v>
      </c>
      <c r="D1009" s="229" t="s">
        <v>714</v>
      </c>
      <c r="F1009" s="229">
        <v>3199</v>
      </c>
      <c r="G1009" s="40">
        <f>F1009/1793</f>
        <v>1.7841606246514221</v>
      </c>
      <c r="H1009" s="14">
        <v>0</v>
      </c>
      <c r="I1009" s="229">
        <v>0</v>
      </c>
      <c r="J1009" s="229">
        <v>0</v>
      </c>
      <c r="K1009" s="26">
        <v>1</v>
      </c>
      <c r="L1009" s="14">
        <v>0</v>
      </c>
      <c r="M1009" s="229">
        <v>0</v>
      </c>
      <c r="N1009" s="229">
        <v>1</v>
      </c>
      <c r="O1009" s="229">
        <v>0</v>
      </c>
      <c r="P1009" s="26">
        <v>1</v>
      </c>
      <c r="Q1009" s="14">
        <v>0</v>
      </c>
      <c r="R1009" s="229">
        <v>0</v>
      </c>
      <c r="S1009" s="229">
        <v>0</v>
      </c>
      <c r="T1009" s="229">
        <v>0</v>
      </c>
      <c r="U1009" s="229">
        <v>0</v>
      </c>
      <c r="V1009" s="229">
        <v>0</v>
      </c>
      <c r="W1009" s="229">
        <v>0</v>
      </c>
      <c r="X1009" s="229">
        <v>0</v>
      </c>
      <c r="Y1009" s="229">
        <v>0</v>
      </c>
      <c r="Z1009" s="229">
        <v>0</v>
      </c>
      <c r="AA1009" s="229">
        <v>0</v>
      </c>
      <c r="AB1009" s="229">
        <v>0</v>
      </c>
      <c r="AC1009" s="12">
        <v>1</v>
      </c>
      <c r="AD1009" s="14">
        <v>1</v>
      </c>
      <c r="AE1009" s="14">
        <v>0</v>
      </c>
      <c r="AF1009" s="26">
        <v>0</v>
      </c>
      <c r="AG1009" s="12">
        <v>126</v>
      </c>
      <c r="AH1009" s="14">
        <v>1</v>
      </c>
      <c r="AI1009" s="209"/>
      <c r="AJ1009" s="3"/>
      <c r="AK1009" s="3"/>
      <c r="AL1009" s="3"/>
      <c r="AM1009" s="3"/>
      <c r="AN1009" s="3"/>
      <c r="AO1009" s="40"/>
      <c r="AP1009" s="209"/>
      <c r="AQ1009" s="3"/>
      <c r="AR1009" s="40"/>
      <c r="AS1009" s="238"/>
    </row>
    <row r="1010" spans="1:45" s="229" customFormat="1">
      <c r="A1010" s="83" t="s">
        <v>325</v>
      </c>
      <c r="B1010" s="386">
        <v>32.218499999999999</v>
      </c>
      <c r="C1010" s="24" t="s">
        <v>294</v>
      </c>
      <c r="D1010" s="229" t="s">
        <v>715</v>
      </c>
      <c r="F1010" s="229">
        <v>2462</v>
      </c>
      <c r="G1010" s="40">
        <f>F1010/1890</f>
        <v>1.3026455026455026</v>
      </c>
      <c r="H1010" s="14">
        <v>0</v>
      </c>
      <c r="I1010" s="229">
        <v>0</v>
      </c>
      <c r="J1010" s="229">
        <v>0</v>
      </c>
      <c r="K1010" s="26">
        <v>1</v>
      </c>
      <c r="L1010" s="14">
        <v>0</v>
      </c>
      <c r="M1010" s="229">
        <v>0</v>
      </c>
      <c r="N1010" s="229">
        <v>1</v>
      </c>
      <c r="O1010" s="229">
        <v>0</v>
      </c>
      <c r="P1010" s="26">
        <v>1</v>
      </c>
      <c r="Q1010" s="14">
        <v>0</v>
      </c>
      <c r="R1010" s="229">
        <v>0</v>
      </c>
      <c r="S1010" s="229">
        <v>0</v>
      </c>
      <c r="T1010" s="229">
        <v>0</v>
      </c>
      <c r="U1010" s="229">
        <v>0</v>
      </c>
      <c r="V1010" s="229">
        <v>0</v>
      </c>
      <c r="W1010" s="229">
        <v>0</v>
      </c>
      <c r="X1010" s="229">
        <v>0</v>
      </c>
      <c r="Y1010" s="229">
        <v>0</v>
      </c>
      <c r="Z1010" s="229">
        <v>0</v>
      </c>
      <c r="AA1010" s="229">
        <v>0</v>
      </c>
      <c r="AB1010" s="229">
        <v>0</v>
      </c>
      <c r="AC1010" s="12">
        <v>1</v>
      </c>
      <c r="AD1010" s="14">
        <v>1</v>
      </c>
      <c r="AE1010" s="14">
        <v>0</v>
      </c>
      <c r="AF1010" s="26">
        <v>0</v>
      </c>
      <c r="AG1010" s="12">
        <v>115</v>
      </c>
      <c r="AH1010" s="14">
        <v>1</v>
      </c>
      <c r="AI1010" s="209"/>
      <c r="AJ1010" s="3"/>
      <c r="AK1010" s="3"/>
      <c r="AL1010" s="3"/>
      <c r="AM1010" s="3"/>
      <c r="AN1010" s="3"/>
      <c r="AO1010" s="40"/>
      <c r="AP1010" s="209"/>
      <c r="AQ1010" s="3"/>
      <c r="AR1010" s="40"/>
      <c r="AS1010" s="238"/>
    </row>
    <row r="1011" spans="1:45" s="229" customFormat="1">
      <c r="A1011" s="83" t="s">
        <v>325</v>
      </c>
      <c r="B1011" s="386">
        <v>32.218499999999999</v>
      </c>
      <c r="C1011" s="24" t="s">
        <v>294</v>
      </c>
      <c r="D1011" s="229" t="s">
        <v>702</v>
      </c>
      <c r="F1011" s="229">
        <v>5191</v>
      </c>
      <c r="G1011" s="40">
        <f>F1011/4407</f>
        <v>1.1778987973678239</v>
      </c>
      <c r="H1011" s="14">
        <v>0</v>
      </c>
      <c r="I1011" s="229">
        <v>0</v>
      </c>
      <c r="J1011" s="229">
        <v>0</v>
      </c>
      <c r="K1011" s="26">
        <v>1</v>
      </c>
      <c r="L1011" s="14">
        <v>1</v>
      </c>
      <c r="M1011" s="229">
        <v>0</v>
      </c>
      <c r="N1011" s="229">
        <v>0</v>
      </c>
      <c r="O1011" s="229">
        <v>0</v>
      </c>
      <c r="P1011" s="26">
        <v>1</v>
      </c>
      <c r="Q1011" s="14">
        <v>0</v>
      </c>
      <c r="R1011" s="229">
        <v>0</v>
      </c>
      <c r="S1011" s="229">
        <v>0</v>
      </c>
      <c r="T1011" s="229">
        <v>0</v>
      </c>
      <c r="U1011" s="229">
        <v>0</v>
      </c>
      <c r="V1011" s="229">
        <v>0</v>
      </c>
      <c r="W1011" s="229">
        <v>0</v>
      </c>
      <c r="X1011" s="229">
        <v>0</v>
      </c>
      <c r="Y1011" s="229">
        <v>0</v>
      </c>
      <c r="Z1011" s="229">
        <v>0</v>
      </c>
      <c r="AA1011" s="229">
        <v>0</v>
      </c>
      <c r="AB1011" s="229">
        <v>0</v>
      </c>
      <c r="AC1011" s="12">
        <v>1</v>
      </c>
      <c r="AD1011" s="14">
        <v>1</v>
      </c>
      <c r="AE1011" s="14">
        <v>0</v>
      </c>
      <c r="AF1011" s="26">
        <v>0</v>
      </c>
      <c r="AG1011" s="12">
        <v>126</v>
      </c>
      <c r="AH1011" s="14">
        <v>1</v>
      </c>
      <c r="AI1011" s="209">
        <v>89.294845887559759</v>
      </c>
      <c r="AJ1011" s="3"/>
      <c r="AK1011" s="3"/>
      <c r="AL1011" s="3"/>
      <c r="AM1011" s="3"/>
      <c r="AN1011" s="3"/>
      <c r="AO1011" s="40"/>
      <c r="AP1011" s="209"/>
      <c r="AQ1011" s="3"/>
      <c r="AR1011" s="40"/>
      <c r="AS1011" s="238"/>
    </row>
    <row r="1012" spans="1:45" s="229" customFormat="1" ht="17" thickBot="1">
      <c r="A1012" s="84" t="s">
        <v>325</v>
      </c>
      <c r="B1012" s="385">
        <v>32.218499999999999</v>
      </c>
      <c r="C1012" s="103" t="s">
        <v>294</v>
      </c>
      <c r="D1012" s="36" t="s">
        <v>701</v>
      </c>
      <c r="E1012" s="36"/>
      <c r="F1012" s="36">
        <v>3725</v>
      </c>
      <c r="G1012" s="48">
        <f>F1012/1685</f>
        <v>2.2106824925816024</v>
      </c>
      <c r="H1012" s="34">
        <v>0</v>
      </c>
      <c r="I1012" s="36">
        <v>0</v>
      </c>
      <c r="J1012" s="36">
        <v>0</v>
      </c>
      <c r="K1012" s="35">
        <v>1</v>
      </c>
      <c r="L1012" s="34">
        <v>0</v>
      </c>
      <c r="M1012" s="36">
        <v>1</v>
      </c>
      <c r="N1012" s="36">
        <v>0</v>
      </c>
      <c r="O1012" s="36">
        <v>0</v>
      </c>
      <c r="P1012" s="35">
        <v>1</v>
      </c>
      <c r="Q1012" s="34">
        <v>0</v>
      </c>
      <c r="R1012" s="36">
        <v>0</v>
      </c>
      <c r="S1012" s="36">
        <v>0</v>
      </c>
      <c r="T1012" s="36">
        <v>0</v>
      </c>
      <c r="U1012" s="36">
        <v>0</v>
      </c>
      <c r="V1012" s="36">
        <v>0</v>
      </c>
      <c r="W1012" s="36">
        <v>0</v>
      </c>
      <c r="X1012" s="36">
        <v>0</v>
      </c>
      <c r="Y1012" s="36">
        <v>0</v>
      </c>
      <c r="Z1012" s="36">
        <v>0</v>
      </c>
      <c r="AA1012" s="36">
        <v>0</v>
      </c>
      <c r="AB1012" s="36">
        <v>0</v>
      </c>
      <c r="AC1012" s="33">
        <v>2</v>
      </c>
      <c r="AD1012" s="34">
        <v>3</v>
      </c>
      <c r="AE1012" s="34">
        <v>519</v>
      </c>
      <c r="AF1012" s="35">
        <v>3332</v>
      </c>
      <c r="AG1012" s="33">
        <v>121</v>
      </c>
      <c r="AH1012" s="34">
        <v>0</v>
      </c>
      <c r="AI1012" s="210">
        <v>87.161787151078272</v>
      </c>
      <c r="AJ1012" s="51"/>
      <c r="AK1012" s="51"/>
      <c r="AL1012" s="51"/>
      <c r="AM1012" s="51"/>
      <c r="AN1012" s="51"/>
      <c r="AO1012" s="48"/>
      <c r="AP1012" s="210">
        <v>87.146431916721056</v>
      </c>
      <c r="AQ1012" s="51"/>
      <c r="AR1012" s="48"/>
      <c r="AS1012" s="239"/>
    </row>
    <row r="1013" spans="1:45" s="229" customFormat="1">
      <c r="A1013" s="83" t="s">
        <v>325</v>
      </c>
      <c r="B1013" s="384">
        <v>31.509</v>
      </c>
      <c r="C1013" s="229" t="s">
        <v>139</v>
      </c>
      <c r="D1013" s="229" t="s">
        <v>423</v>
      </c>
      <c r="F1013" s="229">
        <v>224</v>
      </c>
      <c r="G1013" s="40">
        <f>F1013/150</f>
        <v>1.4933333333333334</v>
      </c>
      <c r="H1013" s="14">
        <v>0</v>
      </c>
      <c r="I1013" s="229">
        <v>0</v>
      </c>
      <c r="J1013" s="229">
        <v>0</v>
      </c>
      <c r="K1013" s="26">
        <v>1</v>
      </c>
      <c r="L1013" s="14">
        <v>0</v>
      </c>
      <c r="M1013" s="229">
        <v>0</v>
      </c>
      <c r="N1013" s="229">
        <v>0</v>
      </c>
      <c r="O1013" s="229">
        <v>0</v>
      </c>
      <c r="P1013" s="26">
        <v>0</v>
      </c>
      <c r="Q1013" s="14">
        <v>0</v>
      </c>
      <c r="R1013" s="229">
        <v>0</v>
      </c>
      <c r="S1013" s="229">
        <v>0</v>
      </c>
      <c r="T1013" s="229">
        <v>0</v>
      </c>
      <c r="U1013" s="229">
        <v>0</v>
      </c>
      <c r="V1013" s="229">
        <v>0</v>
      </c>
      <c r="W1013" s="229">
        <v>0</v>
      </c>
      <c r="X1013" s="229">
        <v>0</v>
      </c>
      <c r="Y1013" s="229">
        <v>0</v>
      </c>
      <c r="Z1013" s="229">
        <v>0</v>
      </c>
      <c r="AA1013" s="229">
        <v>0</v>
      </c>
      <c r="AC1013" s="12">
        <v>2</v>
      </c>
      <c r="AD1013" s="14">
        <v>2</v>
      </c>
      <c r="AE1013" s="14">
        <v>186</v>
      </c>
      <c r="AF1013" s="26">
        <v>223</v>
      </c>
      <c r="AG1013" s="12" t="s">
        <v>140</v>
      </c>
      <c r="AH1013" s="14">
        <v>0</v>
      </c>
      <c r="AI1013" s="209">
        <v>82.32598810022975</v>
      </c>
      <c r="AJ1013" s="3"/>
      <c r="AK1013" s="3"/>
      <c r="AL1013" s="3"/>
      <c r="AM1013" s="3"/>
      <c r="AN1013" s="3"/>
      <c r="AO1013" s="40"/>
      <c r="AP1013" s="209">
        <v>82.838181006846924</v>
      </c>
      <c r="AQ1013" s="3"/>
      <c r="AR1013" s="40"/>
      <c r="AS1013" s="238"/>
    </row>
    <row r="1014" spans="1:45" s="229" customFormat="1">
      <c r="A1014" s="83" t="s">
        <v>325</v>
      </c>
      <c r="B1014" s="386">
        <v>31.509</v>
      </c>
      <c r="C1014" s="229" t="s">
        <v>139</v>
      </c>
      <c r="D1014" s="229" t="s">
        <v>716</v>
      </c>
      <c r="F1014" s="229">
        <v>80</v>
      </c>
      <c r="G1014" s="40">
        <f>F1014/55</f>
        <v>1.4545454545454546</v>
      </c>
      <c r="H1014" s="14">
        <v>1</v>
      </c>
      <c r="I1014" s="229">
        <v>0</v>
      </c>
      <c r="J1014" s="229">
        <v>0</v>
      </c>
      <c r="K1014" s="26">
        <v>0</v>
      </c>
      <c r="L1014" s="14">
        <v>0</v>
      </c>
      <c r="M1014" s="229">
        <v>0</v>
      </c>
      <c r="N1014" s="229">
        <v>0</v>
      </c>
      <c r="O1014" s="229">
        <v>0</v>
      </c>
      <c r="P1014" s="26">
        <v>0</v>
      </c>
      <c r="Q1014" s="14">
        <v>0</v>
      </c>
      <c r="R1014" s="229">
        <v>0</v>
      </c>
      <c r="S1014" s="229">
        <v>0</v>
      </c>
      <c r="T1014" s="229">
        <v>0</v>
      </c>
      <c r="U1014" s="229">
        <v>0</v>
      </c>
      <c r="V1014" s="229">
        <v>0</v>
      </c>
      <c r="W1014" s="229">
        <v>0</v>
      </c>
      <c r="X1014" s="229">
        <v>0</v>
      </c>
      <c r="Y1014" s="229">
        <v>0</v>
      </c>
      <c r="Z1014" s="229">
        <v>0</v>
      </c>
      <c r="AA1014" s="229">
        <v>0</v>
      </c>
      <c r="AC1014" s="12">
        <v>1</v>
      </c>
      <c r="AD1014" s="14">
        <v>1</v>
      </c>
      <c r="AE1014" s="14">
        <v>0</v>
      </c>
      <c r="AF1014" s="26">
        <v>0</v>
      </c>
      <c r="AG1014" s="12" t="s">
        <v>140</v>
      </c>
      <c r="AH1014" s="14">
        <v>0</v>
      </c>
      <c r="AI1014" s="209"/>
      <c r="AJ1014" s="3"/>
      <c r="AK1014" s="3"/>
      <c r="AL1014" s="3"/>
      <c r="AM1014" s="3"/>
      <c r="AN1014" s="3"/>
      <c r="AO1014" s="40"/>
      <c r="AP1014" s="209"/>
      <c r="AQ1014" s="3"/>
      <c r="AR1014" s="40"/>
      <c r="AS1014" s="238"/>
    </row>
    <row r="1015" spans="1:45" s="229" customFormat="1">
      <c r="A1015" s="83" t="s">
        <v>325</v>
      </c>
      <c r="B1015" s="386">
        <v>31.509</v>
      </c>
      <c r="C1015" s="229" t="s">
        <v>141</v>
      </c>
      <c r="D1015" s="229" t="s">
        <v>423</v>
      </c>
      <c r="F1015" s="229">
        <v>279</v>
      </c>
      <c r="G1015" s="40">
        <f>F1015/238</f>
        <v>1.1722689075630253</v>
      </c>
      <c r="H1015" s="14">
        <v>0</v>
      </c>
      <c r="I1015" s="229">
        <v>0</v>
      </c>
      <c r="J1015" s="229">
        <v>0</v>
      </c>
      <c r="K1015" s="26">
        <v>1</v>
      </c>
      <c r="L1015" s="14">
        <v>1</v>
      </c>
      <c r="M1015" s="229">
        <v>0</v>
      </c>
      <c r="N1015" s="229">
        <v>0</v>
      </c>
      <c r="O1015" s="229">
        <v>0</v>
      </c>
      <c r="P1015" s="26">
        <v>1</v>
      </c>
      <c r="Q1015" s="14">
        <v>0</v>
      </c>
      <c r="R1015" s="229">
        <v>0</v>
      </c>
      <c r="S1015" s="229">
        <v>0</v>
      </c>
      <c r="T1015" s="229">
        <v>0</v>
      </c>
      <c r="U1015" s="229">
        <v>0</v>
      </c>
      <c r="V1015" s="229">
        <v>0</v>
      </c>
      <c r="W1015" s="229">
        <v>0</v>
      </c>
      <c r="X1015" s="229">
        <v>0</v>
      </c>
      <c r="Y1015" s="229">
        <v>0</v>
      </c>
      <c r="Z1015" s="229">
        <v>0</v>
      </c>
      <c r="AA1015" s="229">
        <v>0</v>
      </c>
      <c r="AC1015" s="12">
        <v>1</v>
      </c>
      <c r="AD1015" s="14">
        <v>1</v>
      </c>
      <c r="AE1015" s="14">
        <v>0</v>
      </c>
      <c r="AF1015" s="26">
        <v>0</v>
      </c>
      <c r="AG1015" s="12" t="s">
        <v>140</v>
      </c>
      <c r="AH1015" s="14">
        <v>0</v>
      </c>
      <c r="AI1015" s="209"/>
      <c r="AJ1015" s="3"/>
      <c r="AK1015" s="3"/>
      <c r="AL1015" s="3"/>
      <c r="AM1015" s="3"/>
      <c r="AN1015" s="3"/>
      <c r="AO1015" s="40"/>
      <c r="AP1015" s="209"/>
      <c r="AQ1015" s="3"/>
      <c r="AR1015" s="40"/>
      <c r="AS1015" s="238"/>
    </row>
    <row r="1016" spans="1:45" s="229" customFormat="1">
      <c r="A1016" s="83" t="s">
        <v>325</v>
      </c>
      <c r="B1016" s="386">
        <v>31.509</v>
      </c>
      <c r="C1016" s="229" t="s">
        <v>141</v>
      </c>
      <c r="D1016" s="229" t="s">
        <v>620</v>
      </c>
      <c r="E1016" s="229" t="s">
        <v>0</v>
      </c>
      <c r="F1016" s="229">
        <v>47</v>
      </c>
      <c r="G1016" s="40">
        <f>F1016/30</f>
        <v>1.5666666666666667</v>
      </c>
      <c r="H1016" s="14">
        <v>1</v>
      </c>
      <c r="I1016" s="229">
        <v>0</v>
      </c>
      <c r="J1016" s="229">
        <v>0</v>
      </c>
      <c r="K1016" s="26">
        <v>0</v>
      </c>
      <c r="L1016" s="14">
        <v>0</v>
      </c>
      <c r="M1016" s="229">
        <v>0</v>
      </c>
      <c r="N1016" s="229">
        <v>0</v>
      </c>
      <c r="O1016" s="229">
        <v>0</v>
      </c>
      <c r="P1016" s="26">
        <v>0</v>
      </c>
      <c r="Q1016" s="14">
        <v>5</v>
      </c>
      <c r="R1016" s="229">
        <v>0</v>
      </c>
      <c r="S1016" s="229">
        <v>4</v>
      </c>
      <c r="T1016" s="229">
        <v>0</v>
      </c>
      <c r="U1016" s="229">
        <v>0</v>
      </c>
      <c r="V1016" s="229">
        <v>0</v>
      </c>
      <c r="W1016" s="229">
        <v>0</v>
      </c>
      <c r="X1016" s="229">
        <v>0</v>
      </c>
      <c r="Y1016" s="229">
        <v>0</v>
      </c>
      <c r="Z1016" s="229">
        <v>0</v>
      </c>
      <c r="AA1016" s="229">
        <v>0</v>
      </c>
      <c r="AC1016" s="12">
        <v>1</v>
      </c>
      <c r="AD1016" s="14">
        <v>1</v>
      </c>
      <c r="AE1016" s="14">
        <v>0</v>
      </c>
      <c r="AF1016" s="26">
        <v>0</v>
      </c>
      <c r="AG1016" s="12" t="s">
        <v>140</v>
      </c>
      <c r="AH1016" s="14">
        <v>0</v>
      </c>
      <c r="AI1016" s="209"/>
      <c r="AJ1016" s="3"/>
      <c r="AK1016" s="3"/>
      <c r="AL1016" s="3"/>
      <c r="AM1016" s="3"/>
      <c r="AN1016" s="3"/>
      <c r="AO1016" s="40"/>
      <c r="AP1016" s="209"/>
      <c r="AQ1016" s="3"/>
      <c r="AR1016" s="40"/>
      <c r="AS1016" s="238"/>
    </row>
    <row r="1017" spans="1:45" s="229" customFormat="1">
      <c r="A1017" s="83" t="s">
        <v>325</v>
      </c>
      <c r="B1017" s="386">
        <v>31.509</v>
      </c>
      <c r="C1017" s="229" t="s">
        <v>141</v>
      </c>
      <c r="D1017" s="229" t="s">
        <v>620</v>
      </c>
      <c r="E1017" s="229" t="s">
        <v>1</v>
      </c>
      <c r="F1017" s="229">
        <v>219</v>
      </c>
      <c r="G1017" s="40">
        <f>F1017/76</f>
        <v>2.8815789473684212</v>
      </c>
      <c r="H1017" s="14">
        <v>1</v>
      </c>
      <c r="I1017" s="229">
        <v>0</v>
      </c>
      <c r="J1017" s="229">
        <v>0</v>
      </c>
      <c r="K1017" s="26">
        <v>0</v>
      </c>
      <c r="L1017" s="14">
        <v>0</v>
      </c>
      <c r="M1017" s="229">
        <v>0</v>
      </c>
      <c r="N1017" s="229">
        <v>0</v>
      </c>
      <c r="O1017" s="229">
        <v>0</v>
      </c>
      <c r="P1017" s="26">
        <v>0</v>
      </c>
      <c r="Q1017" s="14">
        <v>0</v>
      </c>
      <c r="R1017" s="229">
        <v>0</v>
      </c>
      <c r="S1017" s="229">
        <v>0</v>
      </c>
      <c r="T1017" s="229">
        <v>0</v>
      </c>
      <c r="U1017" s="229">
        <v>0</v>
      </c>
      <c r="V1017" s="229">
        <v>0</v>
      </c>
      <c r="W1017" s="229">
        <v>0</v>
      </c>
      <c r="X1017" s="229">
        <v>0</v>
      </c>
      <c r="Y1017" s="229">
        <v>0</v>
      </c>
      <c r="Z1017" s="229">
        <v>0</v>
      </c>
      <c r="AA1017" s="229">
        <v>0</v>
      </c>
      <c r="AC1017" s="12">
        <v>2</v>
      </c>
      <c r="AD1017" s="14">
        <v>4</v>
      </c>
      <c r="AE1017" s="14">
        <v>22</v>
      </c>
      <c r="AF1017" s="26">
        <v>184</v>
      </c>
      <c r="AG1017" s="12" t="s">
        <v>140</v>
      </c>
      <c r="AH1017" s="14">
        <v>0</v>
      </c>
      <c r="AI1017" s="209"/>
      <c r="AJ1017" s="3"/>
      <c r="AK1017" s="3"/>
      <c r="AL1017" s="3"/>
      <c r="AM1017" s="3"/>
      <c r="AN1017" s="3"/>
      <c r="AO1017" s="40"/>
      <c r="AP1017" s="209"/>
      <c r="AQ1017" s="3"/>
      <c r="AR1017" s="40"/>
      <c r="AS1017" s="238"/>
    </row>
    <row r="1018" spans="1:45" s="229" customFormat="1">
      <c r="A1018" s="83" t="s">
        <v>325</v>
      </c>
      <c r="B1018" s="386">
        <v>31.509</v>
      </c>
      <c r="C1018" s="229" t="s">
        <v>141</v>
      </c>
      <c r="D1018" s="229" t="s">
        <v>620</v>
      </c>
      <c r="E1018" s="229" t="s">
        <v>2</v>
      </c>
      <c r="F1018" s="229">
        <v>113</v>
      </c>
      <c r="G1018" s="40">
        <f>F1018/53</f>
        <v>2.1320754716981134</v>
      </c>
      <c r="H1018" s="14">
        <v>1</v>
      </c>
      <c r="I1018" s="229">
        <v>0</v>
      </c>
      <c r="J1018" s="229">
        <v>0</v>
      </c>
      <c r="K1018" s="26">
        <v>0</v>
      </c>
      <c r="L1018" s="14">
        <v>0</v>
      </c>
      <c r="M1018" s="229">
        <v>0</v>
      </c>
      <c r="N1018" s="229">
        <v>0</v>
      </c>
      <c r="O1018" s="229">
        <v>0</v>
      </c>
      <c r="P1018" s="26">
        <v>0</v>
      </c>
      <c r="Q1018" s="14">
        <v>0</v>
      </c>
      <c r="R1018" s="229">
        <v>0</v>
      </c>
      <c r="S1018" s="229">
        <v>0</v>
      </c>
      <c r="T1018" s="229">
        <v>0</v>
      </c>
      <c r="U1018" s="229">
        <v>0</v>
      </c>
      <c r="V1018" s="229">
        <v>0</v>
      </c>
      <c r="W1018" s="229">
        <v>0</v>
      </c>
      <c r="X1018" s="229">
        <v>0</v>
      </c>
      <c r="Y1018" s="229">
        <v>0</v>
      </c>
      <c r="Z1018" s="229">
        <v>0</v>
      </c>
      <c r="AA1018" s="229">
        <v>0</v>
      </c>
      <c r="AC1018" s="12">
        <v>2</v>
      </c>
      <c r="AD1018" s="14">
        <v>2</v>
      </c>
      <c r="AE1018" s="14">
        <v>56</v>
      </c>
      <c r="AF1018" s="26">
        <v>97</v>
      </c>
      <c r="AG1018" s="12" t="s">
        <v>140</v>
      </c>
      <c r="AH1018" s="14">
        <v>0</v>
      </c>
      <c r="AI1018" s="209"/>
      <c r="AJ1018" s="3"/>
      <c r="AK1018" s="3"/>
      <c r="AL1018" s="3"/>
      <c r="AM1018" s="3"/>
      <c r="AN1018" s="3"/>
      <c r="AO1018" s="40"/>
      <c r="AP1018" s="209"/>
      <c r="AQ1018" s="3"/>
      <c r="AR1018" s="40"/>
      <c r="AS1018" s="238"/>
    </row>
    <row r="1019" spans="1:45" s="229" customFormat="1" ht="17" thickBot="1">
      <c r="A1019" s="84" t="s">
        <v>325</v>
      </c>
      <c r="B1019" s="385">
        <v>31.509</v>
      </c>
      <c r="C1019" s="229" t="s">
        <v>141</v>
      </c>
      <c r="D1019" s="229" t="s">
        <v>620</v>
      </c>
      <c r="E1019" s="229" t="s">
        <v>3</v>
      </c>
      <c r="F1019" s="229">
        <v>38</v>
      </c>
      <c r="G1019" s="40">
        <f>F1019/31</f>
        <v>1.2258064516129032</v>
      </c>
      <c r="H1019" s="14">
        <v>1</v>
      </c>
      <c r="I1019" s="229">
        <v>0</v>
      </c>
      <c r="J1019" s="229">
        <v>0</v>
      </c>
      <c r="K1019" s="26">
        <v>0</v>
      </c>
      <c r="L1019" s="14">
        <v>0</v>
      </c>
      <c r="M1019" s="229">
        <v>0</v>
      </c>
      <c r="N1019" s="229">
        <v>0</v>
      </c>
      <c r="O1019" s="229">
        <v>0</v>
      </c>
      <c r="P1019" s="26">
        <v>0</v>
      </c>
      <c r="Q1019" s="14">
        <v>0</v>
      </c>
      <c r="R1019" s="229">
        <v>0</v>
      </c>
      <c r="S1019" s="229">
        <v>0</v>
      </c>
      <c r="T1019" s="229">
        <v>0</v>
      </c>
      <c r="U1019" s="229">
        <v>0</v>
      </c>
      <c r="V1019" s="229">
        <v>0</v>
      </c>
      <c r="W1019" s="229">
        <v>0</v>
      </c>
      <c r="X1019" s="229">
        <v>0</v>
      </c>
      <c r="Y1019" s="229">
        <v>0</v>
      </c>
      <c r="Z1019" s="229">
        <v>0</v>
      </c>
      <c r="AA1019" s="229">
        <v>0</v>
      </c>
      <c r="AC1019" s="12">
        <v>1</v>
      </c>
      <c r="AD1019" s="14">
        <v>1</v>
      </c>
      <c r="AE1019" s="14">
        <v>0</v>
      </c>
      <c r="AF1019" s="26">
        <v>0</v>
      </c>
      <c r="AG1019" s="12" t="s">
        <v>140</v>
      </c>
      <c r="AH1019" s="14">
        <v>0</v>
      </c>
      <c r="AI1019" s="209"/>
      <c r="AJ1019" s="3"/>
      <c r="AK1019" s="3"/>
      <c r="AL1019" s="3"/>
      <c r="AM1019" s="3"/>
      <c r="AN1019" s="3"/>
      <c r="AO1019" s="40"/>
      <c r="AP1019" s="209"/>
      <c r="AQ1019" s="3"/>
      <c r="AR1019" s="40"/>
      <c r="AS1019" s="238"/>
    </row>
    <row r="1020" spans="1:45" s="229" customFormat="1">
      <c r="A1020" s="83" t="s">
        <v>326</v>
      </c>
      <c r="B1020" s="384">
        <v>47.94166666666667</v>
      </c>
      <c r="C1020" s="8" t="s">
        <v>717</v>
      </c>
      <c r="D1020" s="8" t="s">
        <v>423</v>
      </c>
      <c r="E1020" s="8" t="s">
        <v>0</v>
      </c>
      <c r="F1020" s="8">
        <v>241</v>
      </c>
      <c r="G1020" s="10">
        <f>F1020/174</f>
        <v>1.3850574712643677</v>
      </c>
      <c r="H1020" s="11">
        <v>1</v>
      </c>
      <c r="I1020" s="8">
        <v>0</v>
      </c>
      <c r="J1020" s="8">
        <v>0</v>
      </c>
      <c r="K1020" s="41">
        <v>1</v>
      </c>
      <c r="L1020" s="11">
        <v>0</v>
      </c>
      <c r="M1020" s="8">
        <v>0</v>
      </c>
      <c r="N1020" s="8">
        <v>1</v>
      </c>
      <c r="O1020" s="8">
        <v>0</v>
      </c>
      <c r="P1020" s="41">
        <v>1</v>
      </c>
      <c r="Q1020" s="11">
        <v>1</v>
      </c>
      <c r="R1020" s="8">
        <v>0</v>
      </c>
      <c r="S1020" s="8">
        <v>0</v>
      </c>
      <c r="T1020" s="8">
        <v>0</v>
      </c>
      <c r="U1020" s="8">
        <v>0</v>
      </c>
      <c r="V1020" s="8">
        <v>0</v>
      </c>
      <c r="W1020" s="8">
        <v>0</v>
      </c>
      <c r="X1020" s="8">
        <v>0</v>
      </c>
      <c r="Y1020" s="8">
        <v>0</v>
      </c>
      <c r="Z1020" s="8">
        <v>0</v>
      </c>
      <c r="AA1020" s="8">
        <v>18</v>
      </c>
      <c r="AB1020" s="8">
        <v>0</v>
      </c>
      <c r="AC1020" s="9">
        <v>2</v>
      </c>
      <c r="AD1020" s="11">
        <v>2</v>
      </c>
      <c r="AE1020" s="11">
        <v>121</v>
      </c>
      <c r="AF1020" s="41">
        <v>241</v>
      </c>
      <c r="AG1020" s="9">
        <v>62</v>
      </c>
      <c r="AH1020" s="11">
        <v>1</v>
      </c>
      <c r="AI1020" s="208"/>
      <c r="AJ1020" s="54"/>
      <c r="AK1020" s="54"/>
      <c r="AL1020" s="54"/>
      <c r="AM1020" s="54"/>
      <c r="AN1020" s="54"/>
      <c r="AO1020" s="10"/>
      <c r="AP1020" s="208"/>
      <c r="AQ1020" s="54"/>
      <c r="AR1020" s="10"/>
      <c r="AS1020" s="237"/>
    </row>
    <row r="1021" spans="1:45" s="229" customFormat="1">
      <c r="A1021" s="83" t="s">
        <v>326</v>
      </c>
      <c r="B1021" s="386">
        <v>47.94166666666667</v>
      </c>
      <c r="C1021" s="229" t="s">
        <v>717</v>
      </c>
      <c r="D1021" s="229" t="s">
        <v>423</v>
      </c>
      <c r="E1021" s="229" t="s">
        <v>1</v>
      </c>
      <c r="F1021" s="229">
        <v>163</v>
      </c>
      <c r="G1021" s="40">
        <f>F1021/146</f>
        <v>1.1164383561643836</v>
      </c>
      <c r="H1021" s="14">
        <v>0</v>
      </c>
      <c r="I1021" s="229">
        <v>0</v>
      </c>
      <c r="J1021" s="229">
        <v>0</v>
      </c>
      <c r="K1021" s="26">
        <v>1</v>
      </c>
      <c r="L1021" s="14">
        <v>0</v>
      </c>
      <c r="M1021" s="229">
        <v>0</v>
      </c>
      <c r="N1021" s="229">
        <v>1</v>
      </c>
      <c r="O1021" s="229">
        <v>0</v>
      </c>
      <c r="P1021" s="26">
        <v>1</v>
      </c>
      <c r="Q1021" s="14">
        <v>1</v>
      </c>
      <c r="R1021" s="229">
        <v>0</v>
      </c>
      <c r="S1021" s="229">
        <v>0</v>
      </c>
      <c r="T1021" s="229">
        <v>0</v>
      </c>
      <c r="U1021" s="229">
        <v>0</v>
      </c>
      <c r="V1021" s="229">
        <v>0</v>
      </c>
      <c r="W1021" s="229">
        <v>16</v>
      </c>
      <c r="X1021" s="229">
        <v>0</v>
      </c>
      <c r="Y1021" s="229">
        <v>0</v>
      </c>
      <c r="Z1021" s="229">
        <v>0</v>
      </c>
      <c r="AA1021" s="229">
        <v>0</v>
      </c>
      <c r="AB1021" s="229">
        <v>0</v>
      </c>
      <c r="AC1021" s="12">
        <v>1</v>
      </c>
      <c r="AD1021" s="14">
        <v>1</v>
      </c>
      <c r="AE1021" s="14">
        <v>0</v>
      </c>
      <c r="AF1021" s="26">
        <v>0</v>
      </c>
      <c r="AG1021" s="12">
        <v>62</v>
      </c>
      <c r="AH1021" s="14">
        <v>1</v>
      </c>
      <c r="AI1021" s="209"/>
      <c r="AJ1021" s="3"/>
      <c r="AK1021" s="3"/>
      <c r="AL1021" s="3"/>
      <c r="AM1021" s="3"/>
      <c r="AN1021" s="3"/>
      <c r="AO1021" s="40"/>
      <c r="AP1021" s="209"/>
      <c r="AQ1021" s="3"/>
      <c r="AR1021" s="40"/>
      <c r="AS1021" s="238"/>
    </row>
    <row r="1022" spans="1:45" s="229" customFormat="1">
      <c r="A1022" s="83" t="s">
        <v>326</v>
      </c>
      <c r="B1022" s="386">
        <v>47.94166666666667</v>
      </c>
      <c r="C1022" s="229" t="s">
        <v>717</v>
      </c>
      <c r="D1022" s="229" t="s">
        <v>622</v>
      </c>
      <c r="F1022" s="229">
        <v>577</v>
      </c>
      <c r="G1022" s="40">
        <f>F1022/517</f>
        <v>1.11605415860735</v>
      </c>
      <c r="H1022" s="14">
        <v>0</v>
      </c>
      <c r="I1022" s="229">
        <v>0</v>
      </c>
      <c r="J1022" s="229">
        <v>0</v>
      </c>
      <c r="K1022" s="26">
        <v>1</v>
      </c>
      <c r="L1022" s="14">
        <v>0</v>
      </c>
      <c r="M1022" s="229">
        <v>0</v>
      </c>
      <c r="N1022" s="229">
        <v>1</v>
      </c>
      <c r="O1022" s="229">
        <v>0</v>
      </c>
      <c r="P1022" s="26">
        <v>1</v>
      </c>
      <c r="Q1022" s="14">
        <v>1</v>
      </c>
      <c r="R1022" s="229">
        <v>0</v>
      </c>
      <c r="S1022" s="229">
        <v>14</v>
      </c>
      <c r="T1022" s="229">
        <v>0</v>
      </c>
      <c r="U1022" s="229">
        <v>0</v>
      </c>
      <c r="V1022" s="229">
        <v>0</v>
      </c>
      <c r="W1022" s="229">
        <v>22</v>
      </c>
      <c r="X1022" s="229">
        <v>0</v>
      </c>
      <c r="Y1022" s="229">
        <v>0</v>
      </c>
      <c r="Z1022" s="229">
        <v>0</v>
      </c>
      <c r="AA1022" s="229">
        <v>0</v>
      </c>
      <c r="AB1022" s="229">
        <v>0</v>
      </c>
      <c r="AC1022" s="12">
        <v>2</v>
      </c>
      <c r="AD1022" s="14">
        <v>4</v>
      </c>
      <c r="AE1022" s="14">
        <v>149</v>
      </c>
      <c r="AF1022" s="26">
        <v>577</v>
      </c>
      <c r="AG1022" s="12">
        <v>85</v>
      </c>
      <c r="AH1022" s="14">
        <v>1</v>
      </c>
      <c r="AI1022" s="209"/>
      <c r="AJ1022" s="3"/>
      <c r="AK1022" s="3"/>
      <c r="AL1022" s="3"/>
      <c r="AM1022" s="3"/>
      <c r="AN1022" s="3"/>
      <c r="AO1022" s="40"/>
      <c r="AP1022" s="209"/>
      <c r="AQ1022" s="3"/>
      <c r="AR1022" s="40"/>
      <c r="AS1022" s="238"/>
    </row>
    <row r="1023" spans="1:45" s="229" customFormat="1">
      <c r="A1023" s="83" t="s">
        <v>326</v>
      </c>
      <c r="B1023" s="386">
        <v>47.94166666666667</v>
      </c>
      <c r="C1023" s="229" t="s">
        <v>717</v>
      </c>
      <c r="D1023" s="229" t="s">
        <v>620</v>
      </c>
      <c r="F1023" s="229">
        <v>481</v>
      </c>
      <c r="G1023" s="40">
        <f>F1023/426</f>
        <v>1.1291079812206573</v>
      </c>
      <c r="H1023" s="14">
        <v>0</v>
      </c>
      <c r="I1023" s="229">
        <v>0</v>
      </c>
      <c r="J1023" s="229">
        <v>1</v>
      </c>
      <c r="K1023" s="26">
        <v>1</v>
      </c>
      <c r="L1023" s="14">
        <v>0</v>
      </c>
      <c r="M1023" s="229">
        <v>0</v>
      </c>
      <c r="N1023" s="229">
        <v>1</v>
      </c>
      <c r="O1023" s="229">
        <v>0</v>
      </c>
      <c r="P1023" s="26">
        <v>1</v>
      </c>
      <c r="Q1023" s="14">
        <v>0</v>
      </c>
      <c r="R1023" s="229">
        <v>0</v>
      </c>
      <c r="S1023" s="229">
        <v>0</v>
      </c>
      <c r="T1023" s="229">
        <v>0</v>
      </c>
      <c r="U1023" s="229">
        <v>0</v>
      </c>
      <c r="V1023" s="229">
        <v>0</v>
      </c>
      <c r="W1023" s="229">
        <v>0</v>
      </c>
      <c r="X1023" s="229">
        <v>0</v>
      </c>
      <c r="Y1023" s="229">
        <v>0</v>
      </c>
      <c r="Z1023" s="229">
        <v>0</v>
      </c>
      <c r="AA1023" s="229">
        <v>0</v>
      </c>
      <c r="AB1023" s="229">
        <v>0</v>
      </c>
      <c r="AC1023" s="12">
        <v>2</v>
      </c>
      <c r="AD1023" s="14">
        <v>2</v>
      </c>
      <c r="AE1023" s="14">
        <v>424</v>
      </c>
      <c r="AF1023" s="26">
        <v>481</v>
      </c>
      <c r="AG1023" s="12">
        <v>80</v>
      </c>
      <c r="AH1023" s="14">
        <v>0</v>
      </c>
      <c r="AI1023" s="209">
        <v>88.795778289904177</v>
      </c>
      <c r="AJ1023" s="3">
        <v>88.606365928518798</v>
      </c>
      <c r="AK1023" s="3"/>
      <c r="AL1023" s="3"/>
      <c r="AM1023" s="3"/>
      <c r="AN1023" s="3"/>
      <c r="AO1023" s="40"/>
      <c r="AP1023" s="209">
        <v>87.550856039593313</v>
      </c>
      <c r="AQ1023" s="3">
        <v>87.759882281217187</v>
      </c>
      <c r="AR1023" s="40"/>
      <c r="AS1023" s="238"/>
    </row>
    <row r="1024" spans="1:45" s="229" customFormat="1">
      <c r="A1024" s="83" t="s">
        <v>326</v>
      </c>
      <c r="B1024" s="386">
        <v>47.94166666666667</v>
      </c>
      <c r="C1024" s="229" t="s">
        <v>717</v>
      </c>
      <c r="D1024" s="229" t="s">
        <v>630</v>
      </c>
      <c r="F1024" s="229">
        <v>650</v>
      </c>
      <c r="G1024" s="40">
        <f>F1024/565</f>
        <v>1.1504424778761062</v>
      </c>
      <c r="H1024" s="14">
        <v>0</v>
      </c>
      <c r="I1024" s="229">
        <v>0</v>
      </c>
      <c r="J1024" s="229">
        <v>1</v>
      </c>
      <c r="K1024" s="26">
        <v>1</v>
      </c>
      <c r="L1024" s="14">
        <v>0</v>
      </c>
      <c r="M1024" s="229">
        <v>0</v>
      </c>
      <c r="N1024" s="229">
        <v>1</v>
      </c>
      <c r="O1024" s="229">
        <v>0</v>
      </c>
      <c r="P1024" s="26">
        <v>1</v>
      </c>
      <c r="Q1024" s="14">
        <v>1</v>
      </c>
      <c r="R1024" s="229">
        <v>0</v>
      </c>
      <c r="S1024" s="229">
        <v>46</v>
      </c>
      <c r="T1024" s="229">
        <v>0</v>
      </c>
      <c r="U1024" s="229">
        <v>0</v>
      </c>
      <c r="V1024" s="229">
        <v>0</v>
      </c>
      <c r="W1024" s="229">
        <v>0</v>
      </c>
      <c r="X1024" s="229">
        <v>0</v>
      </c>
      <c r="Y1024" s="229">
        <v>0</v>
      </c>
      <c r="Z1024" s="229">
        <v>0</v>
      </c>
      <c r="AA1024" s="229">
        <v>0</v>
      </c>
      <c r="AB1024" s="229">
        <v>0</v>
      </c>
      <c r="AC1024" s="12">
        <v>2</v>
      </c>
      <c r="AD1024" s="14">
        <v>2</v>
      </c>
      <c r="AE1024" s="14">
        <v>344</v>
      </c>
      <c r="AF1024" s="26">
        <v>547</v>
      </c>
      <c r="AG1024" s="12">
        <v>113</v>
      </c>
      <c r="AH1024" s="14">
        <v>1</v>
      </c>
      <c r="AI1024" s="209"/>
      <c r="AJ1024" s="3"/>
      <c r="AK1024" s="3"/>
      <c r="AL1024" s="3"/>
      <c r="AM1024" s="3"/>
      <c r="AN1024" s="3"/>
      <c r="AO1024" s="40"/>
      <c r="AP1024" s="209"/>
      <c r="AQ1024" s="3"/>
      <c r="AR1024" s="40"/>
      <c r="AS1024" s="238"/>
    </row>
    <row r="1025" spans="1:45" s="229" customFormat="1">
      <c r="A1025" s="83" t="s">
        <v>326</v>
      </c>
      <c r="B1025" s="386">
        <v>47.94166666666667</v>
      </c>
      <c r="C1025" s="229" t="s">
        <v>717</v>
      </c>
      <c r="D1025" s="229" t="s">
        <v>640</v>
      </c>
      <c r="E1025" s="229" t="s">
        <v>0</v>
      </c>
      <c r="F1025" s="229">
        <v>614</v>
      </c>
      <c r="G1025" s="40">
        <f>F1025/350</f>
        <v>1.7542857142857142</v>
      </c>
      <c r="H1025" s="14">
        <v>0</v>
      </c>
      <c r="I1025" s="229">
        <v>0</v>
      </c>
      <c r="J1025" s="229">
        <v>1</v>
      </c>
      <c r="K1025" s="26">
        <v>0</v>
      </c>
      <c r="L1025" s="14">
        <v>0</v>
      </c>
      <c r="M1025" s="229">
        <v>0</v>
      </c>
      <c r="N1025" s="229">
        <v>1</v>
      </c>
      <c r="O1025" s="229">
        <v>0</v>
      </c>
      <c r="P1025" s="26">
        <v>1</v>
      </c>
      <c r="Q1025" s="14">
        <v>0</v>
      </c>
      <c r="R1025" s="229">
        <v>0</v>
      </c>
      <c r="S1025" s="229">
        <v>0</v>
      </c>
      <c r="T1025" s="229">
        <v>0</v>
      </c>
      <c r="U1025" s="229">
        <v>0</v>
      </c>
      <c r="V1025" s="229">
        <v>0</v>
      </c>
      <c r="W1025" s="229">
        <v>0</v>
      </c>
      <c r="X1025" s="229">
        <v>0</v>
      </c>
      <c r="Y1025" s="229">
        <v>0</v>
      </c>
      <c r="Z1025" s="229">
        <v>0</v>
      </c>
      <c r="AA1025" s="229">
        <v>0</v>
      </c>
      <c r="AB1025" s="229">
        <v>0</v>
      </c>
      <c r="AC1025" s="12">
        <v>1</v>
      </c>
      <c r="AD1025" s="14">
        <v>1</v>
      </c>
      <c r="AE1025" s="14">
        <v>0</v>
      </c>
      <c r="AF1025" s="26">
        <v>0</v>
      </c>
      <c r="AG1025" s="12">
        <v>83</v>
      </c>
      <c r="AH1025" s="14">
        <v>0</v>
      </c>
      <c r="AI1025" s="209"/>
      <c r="AJ1025" s="3"/>
      <c r="AK1025" s="3"/>
      <c r="AL1025" s="3"/>
      <c r="AM1025" s="3"/>
      <c r="AN1025" s="3"/>
      <c r="AO1025" s="40"/>
      <c r="AP1025" s="209"/>
      <c r="AQ1025" s="3"/>
      <c r="AR1025" s="40"/>
      <c r="AS1025" s="238"/>
    </row>
    <row r="1026" spans="1:45" s="229" customFormat="1">
      <c r="A1026" s="83" t="s">
        <v>326</v>
      </c>
      <c r="B1026" s="386">
        <v>47.94166666666667</v>
      </c>
      <c r="C1026" s="229" t="s">
        <v>717</v>
      </c>
      <c r="D1026" s="229" t="s">
        <v>640</v>
      </c>
      <c r="E1026" s="229" t="s">
        <v>1</v>
      </c>
      <c r="F1026" s="229">
        <v>636</v>
      </c>
      <c r="G1026" s="40">
        <f>F1026/417</f>
        <v>1.525179856115108</v>
      </c>
      <c r="H1026" s="14">
        <v>0</v>
      </c>
      <c r="I1026" s="229">
        <v>0</v>
      </c>
      <c r="J1026" s="229">
        <v>0</v>
      </c>
      <c r="K1026" s="26">
        <v>1</v>
      </c>
      <c r="L1026" s="14">
        <v>0</v>
      </c>
      <c r="M1026" s="229">
        <v>0</v>
      </c>
      <c r="N1026" s="229">
        <v>1</v>
      </c>
      <c r="O1026" s="229">
        <v>0</v>
      </c>
      <c r="P1026" s="26">
        <v>1</v>
      </c>
      <c r="Q1026" s="14">
        <v>1</v>
      </c>
      <c r="R1026" s="229">
        <v>0</v>
      </c>
      <c r="S1026" s="229">
        <v>0</v>
      </c>
      <c r="T1026" s="229">
        <v>0</v>
      </c>
      <c r="U1026" s="229">
        <v>0</v>
      </c>
      <c r="V1026" s="229">
        <v>27</v>
      </c>
      <c r="W1026" s="229">
        <v>33</v>
      </c>
      <c r="X1026" s="229">
        <v>0</v>
      </c>
      <c r="Y1026" s="229">
        <v>0</v>
      </c>
      <c r="Z1026" s="229">
        <v>0</v>
      </c>
      <c r="AA1026" s="229">
        <v>0</v>
      </c>
      <c r="AB1026" s="229">
        <v>0</v>
      </c>
      <c r="AC1026" s="12">
        <v>2</v>
      </c>
      <c r="AD1026" s="14">
        <v>2</v>
      </c>
      <c r="AE1026" s="14">
        <v>318</v>
      </c>
      <c r="AF1026" s="26">
        <v>461</v>
      </c>
      <c r="AG1026" s="12">
        <v>83</v>
      </c>
      <c r="AH1026" s="14">
        <v>0</v>
      </c>
      <c r="AI1026" s="209"/>
      <c r="AJ1026" s="3"/>
      <c r="AK1026" s="3"/>
      <c r="AL1026" s="3"/>
      <c r="AM1026" s="3"/>
      <c r="AN1026" s="3"/>
      <c r="AO1026" s="40"/>
      <c r="AP1026" s="209"/>
      <c r="AQ1026" s="3"/>
      <c r="AR1026" s="40"/>
      <c r="AS1026" s="238"/>
    </row>
    <row r="1027" spans="1:45" s="229" customFormat="1">
      <c r="A1027" s="83" t="s">
        <v>326</v>
      </c>
      <c r="B1027" s="386">
        <v>47.94166666666667</v>
      </c>
      <c r="C1027" s="229" t="s">
        <v>717</v>
      </c>
      <c r="D1027" s="229" t="s">
        <v>647</v>
      </c>
      <c r="F1027" s="229">
        <v>710</v>
      </c>
      <c r="G1027" s="40">
        <f>F1027/384</f>
        <v>1.8489583333333333</v>
      </c>
      <c r="H1027" s="14">
        <v>0</v>
      </c>
      <c r="I1027" s="229">
        <v>0</v>
      </c>
      <c r="J1027" s="229">
        <v>1</v>
      </c>
      <c r="K1027" s="26">
        <v>0</v>
      </c>
      <c r="L1027" s="14">
        <v>0</v>
      </c>
      <c r="M1027" s="229">
        <v>0</v>
      </c>
      <c r="N1027" s="229">
        <v>1</v>
      </c>
      <c r="O1027" s="229">
        <v>0</v>
      </c>
      <c r="P1027" s="26">
        <v>1</v>
      </c>
      <c r="Q1027" s="14">
        <v>15</v>
      </c>
      <c r="R1027" s="229">
        <v>0</v>
      </c>
      <c r="S1027" s="229">
        <v>21</v>
      </c>
      <c r="T1027" s="229">
        <v>0</v>
      </c>
      <c r="U1027" s="229">
        <v>0</v>
      </c>
      <c r="V1027" s="229">
        <v>79</v>
      </c>
      <c r="W1027" s="229">
        <v>200</v>
      </c>
      <c r="X1027" s="229">
        <v>0</v>
      </c>
      <c r="Y1027" s="229">
        <v>0</v>
      </c>
      <c r="Z1027" s="229">
        <v>0</v>
      </c>
      <c r="AA1027" s="229">
        <v>0</v>
      </c>
      <c r="AB1027" s="229">
        <v>0</v>
      </c>
      <c r="AC1027" s="12">
        <v>1</v>
      </c>
      <c r="AD1027" s="14">
        <v>1</v>
      </c>
      <c r="AE1027" s="14">
        <v>0</v>
      </c>
      <c r="AF1027" s="26">
        <v>0</v>
      </c>
      <c r="AG1027" s="12">
        <v>111</v>
      </c>
      <c r="AH1027" s="14">
        <v>1</v>
      </c>
      <c r="AI1027" s="209"/>
      <c r="AJ1027" s="3"/>
      <c r="AK1027" s="3"/>
      <c r="AL1027" s="3"/>
      <c r="AM1027" s="3"/>
      <c r="AN1027" s="3"/>
      <c r="AO1027" s="40"/>
      <c r="AP1027" s="209"/>
      <c r="AQ1027" s="3"/>
      <c r="AR1027" s="40"/>
      <c r="AS1027" s="238"/>
    </row>
    <row r="1028" spans="1:45" s="229" customFormat="1">
      <c r="A1028" s="83" t="s">
        <v>326</v>
      </c>
      <c r="B1028" s="386">
        <v>47.94166666666667</v>
      </c>
      <c r="C1028" s="229" t="s">
        <v>717</v>
      </c>
      <c r="D1028" s="229" t="s">
        <v>648</v>
      </c>
      <c r="E1028" s="229" t="s">
        <v>0</v>
      </c>
      <c r="F1028" s="229">
        <v>163</v>
      </c>
      <c r="G1028" s="40">
        <f>F1028/97</f>
        <v>1.6804123711340206</v>
      </c>
      <c r="H1028" s="14">
        <v>0</v>
      </c>
      <c r="I1028" s="229">
        <v>0</v>
      </c>
      <c r="J1028" s="229">
        <v>0</v>
      </c>
      <c r="K1028" s="26">
        <v>1</v>
      </c>
      <c r="L1028" s="14">
        <v>0</v>
      </c>
      <c r="M1028" s="229">
        <v>0</v>
      </c>
      <c r="N1028" s="229">
        <v>1</v>
      </c>
      <c r="O1028" s="229">
        <v>0</v>
      </c>
      <c r="P1028" s="26">
        <v>1</v>
      </c>
      <c r="Q1028" s="14">
        <v>0</v>
      </c>
      <c r="R1028" s="229">
        <v>0</v>
      </c>
      <c r="S1028" s="229">
        <v>0</v>
      </c>
      <c r="T1028" s="229">
        <v>0</v>
      </c>
      <c r="U1028" s="229">
        <v>0</v>
      </c>
      <c r="V1028" s="229">
        <v>0</v>
      </c>
      <c r="W1028" s="229">
        <v>0</v>
      </c>
      <c r="X1028" s="229">
        <v>0</v>
      </c>
      <c r="Y1028" s="229">
        <v>0</v>
      </c>
      <c r="Z1028" s="229">
        <v>0</v>
      </c>
      <c r="AA1028" s="229">
        <v>0</v>
      </c>
      <c r="AB1028" s="229">
        <v>0</v>
      </c>
      <c r="AC1028" s="12">
        <v>2</v>
      </c>
      <c r="AD1028" s="14">
        <v>2</v>
      </c>
      <c r="AE1028" s="14">
        <v>73</v>
      </c>
      <c r="AF1028" s="26">
        <v>97</v>
      </c>
      <c r="AG1028" s="12">
        <v>87</v>
      </c>
      <c r="AH1028" s="14">
        <v>0</v>
      </c>
      <c r="AI1028" s="209"/>
      <c r="AJ1028" s="3"/>
      <c r="AK1028" s="3"/>
      <c r="AL1028" s="3"/>
      <c r="AM1028" s="3"/>
      <c r="AN1028" s="3"/>
      <c r="AO1028" s="40"/>
      <c r="AP1028" s="209"/>
      <c r="AQ1028" s="3"/>
      <c r="AR1028" s="40"/>
      <c r="AS1028" s="238"/>
    </row>
    <row r="1029" spans="1:45" s="229" customFormat="1">
      <c r="A1029" s="83" t="s">
        <v>326</v>
      </c>
      <c r="B1029" s="386">
        <v>47.94166666666667</v>
      </c>
      <c r="C1029" s="229" t="s">
        <v>717</v>
      </c>
      <c r="D1029" s="229" t="s">
        <v>648</v>
      </c>
      <c r="E1029" s="229" t="s">
        <v>1</v>
      </c>
      <c r="F1029" s="229">
        <v>310</v>
      </c>
      <c r="G1029" s="40">
        <f>F1029/203</f>
        <v>1.5270935960591132</v>
      </c>
      <c r="H1029" s="14">
        <v>0</v>
      </c>
      <c r="I1029" s="229">
        <v>0</v>
      </c>
      <c r="J1029" s="229">
        <v>1</v>
      </c>
      <c r="K1029" s="26">
        <v>0</v>
      </c>
      <c r="L1029" s="14">
        <v>0</v>
      </c>
      <c r="M1029" s="229">
        <v>0</v>
      </c>
      <c r="N1029" s="229">
        <v>1</v>
      </c>
      <c r="O1029" s="229">
        <v>0</v>
      </c>
      <c r="P1029" s="26">
        <v>1</v>
      </c>
      <c r="Q1029" s="14">
        <v>3</v>
      </c>
      <c r="R1029" s="229">
        <v>4</v>
      </c>
      <c r="S1029" s="229">
        <v>16</v>
      </c>
      <c r="T1029" s="229">
        <v>0</v>
      </c>
      <c r="U1029" s="229">
        <v>0</v>
      </c>
      <c r="V1029" s="229">
        <v>0</v>
      </c>
      <c r="W1029" s="229">
        <v>23</v>
      </c>
      <c r="X1029" s="229">
        <v>0</v>
      </c>
      <c r="Y1029" s="229">
        <v>0</v>
      </c>
      <c r="Z1029" s="229">
        <v>0</v>
      </c>
      <c r="AA1029" s="229">
        <v>0</v>
      </c>
      <c r="AB1029" s="229">
        <v>0</v>
      </c>
      <c r="AC1029" s="12">
        <v>1</v>
      </c>
      <c r="AD1029" s="14">
        <v>1</v>
      </c>
      <c r="AE1029" s="14">
        <v>0</v>
      </c>
      <c r="AF1029" s="26">
        <v>0</v>
      </c>
      <c r="AG1029" s="12">
        <v>87</v>
      </c>
      <c r="AH1029" s="14">
        <v>1</v>
      </c>
      <c r="AI1029" s="209"/>
      <c r="AJ1029" s="3"/>
      <c r="AK1029" s="3"/>
      <c r="AL1029" s="3"/>
      <c r="AM1029" s="3"/>
      <c r="AN1029" s="3"/>
      <c r="AO1029" s="40"/>
      <c r="AP1029" s="209"/>
      <c r="AQ1029" s="3"/>
      <c r="AR1029" s="40"/>
      <c r="AS1029" s="238"/>
    </row>
    <row r="1030" spans="1:45" s="229" customFormat="1">
      <c r="A1030" s="83" t="s">
        <v>326</v>
      </c>
      <c r="B1030" s="386">
        <v>47.94166666666667</v>
      </c>
      <c r="C1030" s="229" t="s">
        <v>717</v>
      </c>
      <c r="D1030" s="229" t="s">
        <v>648</v>
      </c>
      <c r="E1030" s="229" t="s">
        <v>2</v>
      </c>
      <c r="F1030" s="229">
        <v>295</v>
      </c>
      <c r="G1030" s="40">
        <f>F1030/177</f>
        <v>1.6666666666666667</v>
      </c>
      <c r="H1030" s="14">
        <v>0</v>
      </c>
      <c r="I1030" s="229">
        <v>0</v>
      </c>
      <c r="J1030" s="229">
        <v>0</v>
      </c>
      <c r="K1030" s="26">
        <v>1</v>
      </c>
      <c r="L1030" s="14">
        <v>0</v>
      </c>
      <c r="M1030" s="229">
        <v>0</v>
      </c>
      <c r="N1030" s="229">
        <v>1</v>
      </c>
      <c r="O1030" s="229">
        <v>0</v>
      </c>
      <c r="P1030" s="26">
        <v>1</v>
      </c>
      <c r="Q1030" s="14">
        <v>1</v>
      </c>
      <c r="R1030" s="229">
        <v>0</v>
      </c>
      <c r="S1030" s="229">
        <v>0</v>
      </c>
      <c r="T1030" s="229">
        <v>0</v>
      </c>
      <c r="U1030" s="229">
        <v>0</v>
      </c>
      <c r="V1030" s="229">
        <v>0</v>
      </c>
      <c r="W1030" s="229">
        <v>24</v>
      </c>
      <c r="X1030" s="229">
        <v>0</v>
      </c>
      <c r="Y1030" s="229">
        <v>0</v>
      </c>
      <c r="Z1030" s="229">
        <v>0</v>
      </c>
      <c r="AA1030" s="229">
        <v>0</v>
      </c>
      <c r="AB1030" s="229">
        <v>0</v>
      </c>
      <c r="AC1030" s="12">
        <v>1</v>
      </c>
      <c r="AD1030" s="14">
        <v>1</v>
      </c>
      <c r="AE1030" s="14">
        <v>0</v>
      </c>
      <c r="AF1030" s="26">
        <v>0</v>
      </c>
      <c r="AG1030" s="12">
        <v>87</v>
      </c>
      <c r="AH1030" s="14">
        <v>0</v>
      </c>
      <c r="AI1030" s="209"/>
      <c r="AJ1030" s="3"/>
      <c r="AK1030" s="3"/>
      <c r="AL1030" s="3"/>
      <c r="AM1030" s="3"/>
      <c r="AN1030" s="3"/>
      <c r="AO1030" s="40"/>
      <c r="AP1030" s="209"/>
      <c r="AQ1030" s="3"/>
      <c r="AR1030" s="40"/>
      <c r="AS1030" s="238"/>
    </row>
    <row r="1031" spans="1:45" s="229" customFormat="1">
      <c r="A1031" s="83" t="s">
        <v>326</v>
      </c>
      <c r="B1031" s="386">
        <v>47.94166666666667</v>
      </c>
      <c r="C1031" s="229" t="s">
        <v>717</v>
      </c>
      <c r="D1031" s="229" t="s">
        <v>649</v>
      </c>
      <c r="E1031" s="229" t="s">
        <v>0</v>
      </c>
      <c r="F1031" s="229">
        <v>298</v>
      </c>
      <c r="G1031" s="40">
        <f>F1031/158</f>
        <v>1.8860759493670887</v>
      </c>
      <c r="H1031" s="14">
        <v>0</v>
      </c>
      <c r="I1031" s="229">
        <v>0</v>
      </c>
      <c r="J1031" s="229">
        <v>0</v>
      </c>
      <c r="K1031" s="26">
        <v>1</v>
      </c>
      <c r="L1031" s="14">
        <v>0</v>
      </c>
      <c r="M1031" s="229">
        <v>0</v>
      </c>
      <c r="N1031" s="229">
        <v>1</v>
      </c>
      <c r="O1031" s="229">
        <v>0</v>
      </c>
      <c r="P1031" s="26">
        <v>1</v>
      </c>
      <c r="Q1031" s="14">
        <v>5</v>
      </c>
      <c r="R1031" s="229">
        <v>0</v>
      </c>
      <c r="S1031" s="229">
        <v>0</v>
      </c>
      <c r="T1031" s="229">
        <v>0</v>
      </c>
      <c r="U1031" s="229">
        <v>0</v>
      </c>
      <c r="V1031" s="229">
        <v>0</v>
      </c>
      <c r="W1031" s="229">
        <v>0</v>
      </c>
      <c r="X1031" s="229">
        <v>0</v>
      </c>
      <c r="Y1031" s="229">
        <v>0</v>
      </c>
      <c r="Z1031" s="229">
        <v>0</v>
      </c>
      <c r="AA1031" s="229">
        <v>39</v>
      </c>
      <c r="AB1031" s="229">
        <v>9</v>
      </c>
      <c r="AC1031" s="12">
        <v>1</v>
      </c>
      <c r="AD1031" s="14">
        <v>1</v>
      </c>
      <c r="AE1031" s="14">
        <v>0</v>
      </c>
      <c r="AF1031" s="26">
        <v>0</v>
      </c>
      <c r="AG1031" s="12">
        <v>122</v>
      </c>
      <c r="AH1031" s="14">
        <v>1</v>
      </c>
      <c r="AI1031" s="209"/>
      <c r="AJ1031" s="3"/>
      <c r="AK1031" s="3"/>
      <c r="AL1031" s="3"/>
      <c r="AM1031" s="3"/>
      <c r="AN1031" s="3"/>
      <c r="AO1031" s="40"/>
      <c r="AP1031" s="209"/>
      <c r="AQ1031" s="3"/>
      <c r="AR1031" s="40"/>
      <c r="AS1031" s="238"/>
    </row>
    <row r="1032" spans="1:45" s="229" customFormat="1">
      <c r="A1032" s="83" t="s">
        <v>326</v>
      </c>
      <c r="B1032" s="386">
        <v>47.94166666666667</v>
      </c>
      <c r="C1032" s="229" t="s">
        <v>717</v>
      </c>
      <c r="D1032" s="229" t="s">
        <v>649</v>
      </c>
      <c r="E1032" s="229" t="s">
        <v>1</v>
      </c>
      <c r="F1032" s="229">
        <v>862</v>
      </c>
      <c r="G1032" s="40">
        <f>F1032/537</f>
        <v>1.6052141527001862</v>
      </c>
      <c r="H1032" s="14">
        <v>0</v>
      </c>
      <c r="I1032" s="229">
        <v>0</v>
      </c>
      <c r="J1032" s="229">
        <v>0</v>
      </c>
      <c r="K1032" s="26">
        <v>1</v>
      </c>
      <c r="L1032" s="14">
        <v>0</v>
      </c>
      <c r="M1032" s="229">
        <v>0</v>
      </c>
      <c r="N1032" s="229">
        <v>1</v>
      </c>
      <c r="O1032" s="229">
        <v>0</v>
      </c>
      <c r="P1032" s="26">
        <v>1</v>
      </c>
      <c r="Q1032" s="14">
        <v>5</v>
      </c>
      <c r="R1032" s="229">
        <v>0</v>
      </c>
      <c r="S1032" s="229">
        <v>0</v>
      </c>
      <c r="T1032" s="229">
        <v>0</v>
      </c>
      <c r="U1032" s="229">
        <v>0</v>
      </c>
      <c r="V1032" s="229">
        <v>0</v>
      </c>
      <c r="W1032" s="229">
        <v>0</v>
      </c>
      <c r="X1032" s="229">
        <v>0</v>
      </c>
      <c r="Y1032" s="229">
        <v>0</v>
      </c>
      <c r="Z1032" s="229">
        <v>0</v>
      </c>
      <c r="AA1032" s="229">
        <v>203</v>
      </c>
      <c r="AB1032" s="229">
        <v>0</v>
      </c>
      <c r="AC1032" s="12">
        <v>2</v>
      </c>
      <c r="AD1032" s="14">
        <v>3</v>
      </c>
      <c r="AE1032" s="14">
        <v>94</v>
      </c>
      <c r="AF1032" s="26">
        <v>862</v>
      </c>
      <c r="AG1032" s="12">
        <v>122</v>
      </c>
      <c r="AH1032" s="14">
        <v>1</v>
      </c>
      <c r="AI1032" s="209"/>
      <c r="AJ1032" s="3"/>
      <c r="AK1032" s="3"/>
      <c r="AL1032" s="3"/>
      <c r="AM1032" s="3"/>
      <c r="AN1032" s="3"/>
      <c r="AO1032" s="40"/>
      <c r="AP1032" s="209"/>
      <c r="AQ1032" s="3"/>
      <c r="AR1032" s="40"/>
      <c r="AS1032" s="238"/>
    </row>
    <row r="1033" spans="1:45" s="229" customFormat="1">
      <c r="A1033" s="83" t="s">
        <v>326</v>
      </c>
      <c r="B1033" s="386">
        <v>47.94166666666667</v>
      </c>
      <c r="C1033" s="229" t="s">
        <v>717</v>
      </c>
      <c r="D1033" s="229" t="s">
        <v>669</v>
      </c>
      <c r="F1033" s="229">
        <v>482</v>
      </c>
      <c r="G1033" s="40">
        <f>F1033/325</f>
        <v>1.4830769230769232</v>
      </c>
      <c r="H1033" s="14">
        <v>0</v>
      </c>
      <c r="I1033" s="229">
        <v>0</v>
      </c>
      <c r="J1033" s="229">
        <v>0</v>
      </c>
      <c r="K1033" s="26">
        <v>1</v>
      </c>
      <c r="L1033" s="14">
        <v>0</v>
      </c>
      <c r="M1033" s="229">
        <v>0</v>
      </c>
      <c r="N1033" s="229">
        <v>1</v>
      </c>
      <c r="O1033" s="229">
        <v>0</v>
      </c>
      <c r="P1033" s="26">
        <v>1</v>
      </c>
      <c r="Q1033" s="14">
        <v>1</v>
      </c>
      <c r="R1033" s="229">
        <v>0</v>
      </c>
      <c r="S1033" s="229">
        <v>0</v>
      </c>
      <c r="T1033" s="229">
        <v>0</v>
      </c>
      <c r="U1033" s="229">
        <v>0</v>
      </c>
      <c r="V1033" s="229">
        <v>0</v>
      </c>
      <c r="W1033" s="229">
        <v>18</v>
      </c>
      <c r="X1033" s="229">
        <v>0</v>
      </c>
      <c r="Y1033" s="229">
        <v>0</v>
      </c>
      <c r="Z1033" s="229">
        <v>0</v>
      </c>
      <c r="AA1033" s="229">
        <v>0</v>
      </c>
      <c r="AB1033" s="229">
        <v>0</v>
      </c>
      <c r="AC1033" s="12">
        <v>1</v>
      </c>
      <c r="AD1033" s="14">
        <v>1</v>
      </c>
      <c r="AE1033" s="14">
        <v>0</v>
      </c>
      <c r="AF1033" s="26">
        <v>0</v>
      </c>
      <c r="AG1033" s="12">
        <v>79</v>
      </c>
      <c r="AH1033" s="14">
        <v>0</v>
      </c>
      <c r="AI1033" s="209"/>
      <c r="AJ1033" s="3"/>
      <c r="AK1033" s="3"/>
      <c r="AL1033" s="3"/>
      <c r="AM1033" s="3"/>
      <c r="AN1033" s="3"/>
      <c r="AO1033" s="40"/>
      <c r="AP1033" s="209"/>
      <c r="AQ1033" s="3"/>
      <c r="AR1033" s="40"/>
      <c r="AS1033" s="238"/>
    </row>
    <row r="1034" spans="1:45" s="229" customFormat="1">
      <c r="A1034" s="83" t="s">
        <v>326</v>
      </c>
      <c r="B1034" s="386">
        <v>47.94166666666667</v>
      </c>
      <c r="C1034" s="229" t="s">
        <v>717</v>
      </c>
      <c r="D1034" s="229" t="s">
        <v>672</v>
      </c>
      <c r="F1034" s="229">
        <v>658</v>
      </c>
      <c r="G1034" s="40">
        <f>F1034/22</f>
        <v>29.90909090909091</v>
      </c>
      <c r="H1034" s="14">
        <v>1</v>
      </c>
      <c r="I1034" s="229">
        <v>0</v>
      </c>
      <c r="J1034" s="229">
        <v>0</v>
      </c>
      <c r="K1034" s="26">
        <v>0</v>
      </c>
      <c r="L1034" s="14">
        <v>0</v>
      </c>
      <c r="M1034" s="229">
        <v>0</v>
      </c>
      <c r="N1034" s="229">
        <v>1</v>
      </c>
      <c r="O1034" s="229">
        <v>0</v>
      </c>
      <c r="P1034" s="26">
        <v>1</v>
      </c>
      <c r="Q1034" s="14">
        <v>1</v>
      </c>
      <c r="R1034" s="229">
        <v>0</v>
      </c>
      <c r="S1034" s="229">
        <v>0</v>
      </c>
      <c r="T1034" s="229">
        <v>0</v>
      </c>
      <c r="U1034" s="229">
        <v>0</v>
      </c>
      <c r="V1034" s="229">
        <v>29</v>
      </c>
      <c r="W1034" s="229">
        <v>57</v>
      </c>
      <c r="X1034" s="229">
        <v>0</v>
      </c>
      <c r="Y1034" s="229">
        <v>0</v>
      </c>
      <c r="Z1034" s="229">
        <v>0</v>
      </c>
      <c r="AA1034" s="229">
        <v>0</v>
      </c>
      <c r="AB1034" s="229">
        <v>0</v>
      </c>
      <c r="AC1034" s="12">
        <v>1</v>
      </c>
      <c r="AD1034" s="14">
        <v>1</v>
      </c>
      <c r="AE1034" s="14">
        <v>0</v>
      </c>
      <c r="AF1034" s="26">
        <v>0</v>
      </c>
      <c r="AG1034" s="12">
        <v>99</v>
      </c>
      <c r="AH1034" s="14">
        <v>0</v>
      </c>
      <c r="AI1034" s="209">
        <v>88.486602137585464</v>
      </c>
      <c r="AJ1034" s="3"/>
      <c r="AK1034" s="3"/>
      <c r="AL1034" s="3"/>
      <c r="AM1034" s="3"/>
      <c r="AN1034" s="3"/>
      <c r="AO1034" s="40"/>
      <c r="AP1034" s="209">
        <v>87.778054183396137</v>
      </c>
      <c r="AQ1034" s="3"/>
      <c r="AR1034" s="40"/>
      <c r="AS1034" s="238"/>
    </row>
    <row r="1035" spans="1:45" s="229" customFormat="1">
      <c r="A1035" s="83" t="s">
        <v>326</v>
      </c>
      <c r="B1035" s="386">
        <v>47.94166666666667</v>
      </c>
      <c r="C1035" s="229" t="s">
        <v>717</v>
      </c>
      <c r="D1035" s="229" t="s">
        <v>673</v>
      </c>
      <c r="F1035" s="229">
        <v>467</v>
      </c>
      <c r="G1035" s="40">
        <f>F1035/238</f>
        <v>1.9621848739495797</v>
      </c>
      <c r="H1035" s="14">
        <v>0</v>
      </c>
      <c r="I1035" s="229">
        <v>0</v>
      </c>
      <c r="J1035" s="229">
        <v>0</v>
      </c>
      <c r="K1035" s="26">
        <v>1</v>
      </c>
      <c r="L1035" s="14">
        <v>0</v>
      </c>
      <c r="M1035" s="229">
        <v>0</v>
      </c>
      <c r="N1035" s="229">
        <v>1</v>
      </c>
      <c r="O1035" s="229">
        <v>0</v>
      </c>
      <c r="P1035" s="26">
        <v>1</v>
      </c>
      <c r="Q1035" s="14">
        <v>10</v>
      </c>
      <c r="R1035" s="229">
        <v>0</v>
      </c>
      <c r="S1035" s="229">
        <v>0</v>
      </c>
      <c r="T1035" s="229">
        <v>0</v>
      </c>
      <c r="U1035" s="229">
        <v>0</v>
      </c>
      <c r="V1035" s="229">
        <v>0</v>
      </c>
      <c r="W1035" s="229">
        <v>23</v>
      </c>
      <c r="X1035" s="229">
        <v>0</v>
      </c>
      <c r="Y1035" s="229">
        <v>0</v>
      </c>
      <c r="Z1035" s="229">
        <v>0</v>
      </c>
      <c r="AA1035" s="229">
        <v>241</v>
      </c>
      <c r="AB1035" s="229">
        <v>0</v>
      </c>
      <c r="AC1035" s="12">
        <v>1</v>
      </c>
      <c r="AD1035" s="14">
        <v>1</v>
      </c>
      <c r="AE1035" s="14">
        <v>0</v>
      </c>
      <c r="AF1035" s="26">
        <v>0</v>
      </c>
      <c r="AG1035" s="12">
        <v>88</v>
      </c>
      <c r="AH1035" s="14">
        <v>1</v>
      </c>
      <c r="AI1035" s="209"/>
      <c r="AJ1035" s="3"/>
      <c r="AK1035" s="3"/>
      <c r="AL1035" s="3"/>
      <c r="AM1035" s="3"/>
      <c r="AN1035" s="3"/>
      <c r="AO1035" s="40"/>
      <c r="AP1035" s="209"/>
      <c r="AQ1035" s="3"/>
      <c r="AR1035" s="40"/>
      <c r="AS1035" s="238"/>
    </row>
    <row r="1036" spans="1:45" s="229" customFormat="1">
      <c r="A1036" s="83" t="s">
        <v>326</v>
      </c>
      <c r="B1036" s="386">
        <v>47.94166666666667</v>
      </c>
      <c r="C1036" s="229" t="s">
        <v>717</v>
      </c>
      <c r="D1036" s="229" t="s">
        <v>674</v>
      </c>
      <c r="F1036" s="229">
        <v>400</v>
      </c>
      <c r="G1036" s="40">
        <f>F1036/398</f>
        <v>1.0050251256281406</v>
      </c>
      <c r="H1036" s="14">
        <v>1</v>
      </c>
      <c r="I1036" s="229">
        <v>0</v>
      </c>
      <c r="J1036" s="229">
        <v>0</v>
      </c>
      <c r="K1036" s="26">
        <v>0</v>
      </c>
      <c r="L1036" s="14">
        <v>0</v>
      </c>
      <c r="M1036" s="229">
        <v>0</v>
      </c>
      <c r="N1036" s="229">
        <v>1</v>
      </c>
      <c r="O1036" s="229">
        <v>0</v>
      </c>
      <c r="P1036" s="26">
        <v>1</v>
      </c>
      <c r="Q1036" s="14">
        <v>10</v>
      </c>
      <c r="R1036" s="229">
        <v>0</v>
      </c>
      <c r="S1036" s="229">
        <v>0</v>
      </c>
      <c r="T1036" s="229">
        <v>0</v>
      </c>
      <c r="U1036" s="229">
        <v>0</v>
      </c>
      <c r="V1036" s="229">
        <v>0</v>
      </c>
      <c r="W1036" s="229">
        <v>0</v>
      </c>
      <c r="X1036" s="229">
        <v>0</v>
      </c>
      <c r="Y1036" s="229">
        <v>0</v>
      </c>
      <c r="Z1036" s="229">
        <v>0</v>
      </c>
      <c r="AA1036" s="229">
        <v>149</v>
      </c>
      <c r="AB1036" s="229">
        <v>0</v>
      </c>
      <c r="AC1036" s="12">
        <v>1</v>
      </c>
      <c r="AD1036" s="14">
        <v>1</v>
      </c>
      <c r="AE1036" s="14">
        <v>0</v>
      </c>
      <c r="AF1036" s="26">
        <v>0</v>
      </c>
      <c r="AG1036" s="12">
        <v>80</v>
      </c>
      <c r="AH1036" s="14">
        <v>1</v>
      </c>
      <c r="AI1036" s="209"/>
      <c r="AJ1036" s="3"/>
      <c r="AK1036" s="3"/>
      <c r="AL1036" s="3"/>
      <c r="AM1036" s="3"/>
      <c r="AN1036" s="3"/>
      <c r="AO1036" s="40"/>
      <c r="AP1036" s="209"/>
      <c r="AQ1036" s="3"/>
      <c r="AR1036" s="40"/>
      <c r="AS1036" s="238"/>
    </row>
    <row r="1037" spans="1:45" s="229" customFormat="1">
      <c r="A1037" s="83" t="s">
        <v>326</v>
      </c>
      <c r="B1037" s="386">
        <v>47.94166666666667</v>
      </c>
      <c r="C1037" s="229" t="s">
        <v>717</v>
      </c>
      <c r="D1037" s="229" t="s">
        <v>675</v>
      </c>
      <c r="F1037" s="229">
        <v>447</v>
      </c>
      <c r="G1037" s="40">
        <f>F1037/361</f>
        <v>1.2382271468144044</v>
      </c>
      <c r="H1037" s="14">
        <v>0</v>
      </c>
      <c r="I1037" s="229">
        <v>0</v>
      </c>
      <c r="J1037" s="229">
        <v>1</v>
      </c>
      <c r="K1037" s="26">
        <v>1</v>
      </c>
      <c r="L1037" s="14">
        <v>0</v>
      </c>
      <c r="M1037" s="229">
        <v>0</v>
      </c>
      <c r="N1037" s="229">
        <v>1</v>
      </c>
      <c r="O1037" s="229">
        <v>0</v>
      </c>
      <c r="P1037" s="26">
        <v>1</v>
      </c>
      <c r="Q1037" s="14">
        <v>1</v>
      </c>
      <c r="R1037" s="229">
        <v>2</v>
      </c>
      <c r="S1037" s="229">
        <v>20</v>
      </c>
      <c r="T1037" s="229">
        <v>0</v>
      </c>
      <c r="U1037" s="229">
        <v>0</v>
      </c>
      <c r="V1037" s="229">
        <v>5</v>
      </c>
      <c r="W1037" s="229">
        <v>41</v>
      </c>
      <c r="X1037" s="229">
        <v>0</v>
      </c>
      <c r="Y1037" s="229">
        <v>0</v>
      </c>
      <c r="Z1037" s="229">
        <v>0</v>
      </c>
      <c r="AA1037" s="229">
        <v>0</v>
      </c>
      <c r="AB1037" s="229">
        <v>1</v>
      </c>
      <c r="AC1037" s="12">
        <v>2</v>
      </c>
      <c r="AD1037" s="14">
        <v>2</v>
      </c>
      <c r="AE1037" s="14">
        <v>179</v>
      </c>
      <c r="AF1037" s="26">
        <v>447</v>
      </c>
      <c r="AG1037" s="12">
        <v>74</v>
      </c>
      <c r="AH1037" s="14"/>
      <c r="AI1037" s="209"/>
      <c r="AJ1037" s="3"/>
      <c r="AK1037" s="3"/>
      <c r="AL1037" s="3"/>
      <c r="AM1037" s="3"/>
      <c r="AN1037" s="3"/>
      <c r="AO1037" s="40"/>
      <c r="AP1037" s="209"/>
      <c r="AQ1037" s="3"/>
      <c r="AR1037" s="40"/>
      <c r="AS1037" s="238"/>
    </row>
    <row r="1038" spans="1:45" s="229" customFormat="1">
      <c r="A1038" s="83" t="s">
        <v>326</v>
      </c>
      <c r="B1038" s="386">
        <v>47.94166666666667</v>
      </c>
      <c r="C1038" s="229" t="s">
        <v>717</v>
      </c>
      <c r="D1038" s="229" t="s">
        <v>678</v>
      </c>
      <c r="E1038" s="229" t="s">
        <v>0</v>
      </c>
      <c r="F1038" s="229">
        <v>438</v>
      </c>
      <c r="G1038" s="40">
        <f>F1038/327</f>
        <v>1.3394495412844036</v>
      </c>
      <c r="H1038" s="14">
        <v>0</v>
      </c>
      <c r="I1038" s="229">
        <v>0</v>
      </c>
      <c r="J1038" s="229">
        <v>1</v>
      </c>
      <c r="K1038" s="26">
        <v>0</v>
      </c>
      <c r="L1038" s="14">
        <v>0</v>
      </c>
      <c r="M1038" s="229">
        <v>0</v>
      </c>
      <c r="N1038" s="229">
        <v>1</v>
      </c>
      <c r="O1038" s="229">
        <v>0</v>
      </c>
      <c r="P1038" s="26">
        <v>1</v>
      </c>
      <c r="Q1038" s="14">
        <v>5</v>
      </c>
      <c r="R1038" s="229">
        <v>0</v>
      </c>
      <c r="S1038" s="229">
        <v>0</v>
      </c>
      <c r="T1038" s="229">
        <v>0</v>
      </c>
      <c r="U1038" s="229">
        <v>0</v>
      </c>
      <c r="V1038" s="229">
        <v>20</v>
      </c>
      <c r="W1038" s="229">
        <v>49</v>
      </c>
      <c r="X1038" s="229">
        <v>0</v>
      </c>
      <c r="Y1038" s="229">
        <v>0</v>
      </c>
      <c r="Z1038" s="229">
        <v>0</v>
      </c>
      <c r="AA1038" s="229">
        <v>0</v>
      </c>
      <c r="AB1038" s="229">
        <v>0</v>
      </c>
      <c r="AC1038" s="12">
        <v>1</v>
      </c>
      <c r="AD1038" s="14">
        <v>1</v>
      </c>
      <c r="AE1038" s="14">
        <v>0</v>
      </c>
      <c r="AF1038" s="26">
        <v>0</v>
      </c>
      <c r="AG1038" s="12">
        <v>68</v>
      </c>
      <c r="AH1038" s="14">
        <v>1</v>
      </c>
      <c r="AI1038" s="209"/>
      <c r="AJ1038" s="3"/>
      <c r="AK1038" s="3"/>
      <c r="AL1038" s="3"/>
      <c r="AM1038" s="3"/>
      <c r="AN1038" s="3"/>
      <c r="AO1038" s="40"/>
      <c r="AP1038" s="209"/>
      <c r="AQ1038" s="3"/>
      <c r="AR1038" s="40"/>
      <c r="AS1038" s="238"/>
    </row>
    <row r="1039" spans="1:45" s="229" customFormat="1">
      <c r="A1039" s="83" t="s">
        <v>326</v>
      </c>
      <c r="B1039" s="386">
        <v>47.94166666666667</v>
      </c>
      <c r="C1039" s="229" t="s">
        <v>717</v>
      </c>
      <c r="D1039" s="229" t="s">
        <v>678</v>
      </c>
      <c r="E1039" s="229" t="s">
        <v>1</v>
      </c>
      <c r="F1039" s="229">
        <v>578</v>
      </c>
      <c r="G1039" s="40">
        <f>F1039/396</f>
        <v>1.4595959595959596</v>
      </c>
      <c r="H1039" s="14">
        <v>0</v>
      </c>
      <c r="I1039" s="229">
        <v>0</v>
      </c>
      <c r="J1039" s="229">
        <v>1</v>
      </c>
      <c r="K1039" s="26">
        <v>0</v>
      </c>
      <c r="L1039" s="14">
        <v>0</v>
      </c>
      <c r="M1039" s="229">
        <v>0</v>
      </c>
      <c r="N1039" s="229">
        <v>1</v>
      </c>
      <c r="O1039" s="229">
        <v>0</v>
      </c>
      <c r="P1039" s="26">
        <v>1</v>
      </c>
      <c r="Q1039" s="14">
        <v>2</v>
      </c>
      <c r="R1039" s="229">
        <v>20</v>
      </c>
      <c r="S1039" s="229">
        <v>48</v>
      </c>
      <c r="T1039" s="229">
        <v>0</v>
      </c>
      <c r="U1039" s="229">
        <v>0</v>
      </c>
      <c r="V1039" s="229">
        <v>0</v>
      </c>
      <c r="W1039" s="229">
        <v>0</v>
      </c>
      <c r="X1039" s="229">
        <v>0</v>
      </c>
      <c r="Y1039" s="229">
        <v>0</v>
      </c>
      <c r="Z1039" s="229">
        <v>0</v>
      </c>
      <c r="AA1039" s="229">
        <v>65</v>
      </c>
      <c r="AB1039" s="229">
        <v>0</v>
      </c>
      <c r="AC1039" s="12">
        <v>1</v>
      </c>
      <c r="AD1039" s="14">
        <v>1</v>
      </c>
      <c r="AE1039" s="14">
        <v>0</v>
      </c>
      <c r="AF1039" s="26">
        <v>0</v>
      </c>
      <c r="AG1039" s="12">
        <v>68</v>
      </c>
      <c r="AH1039" s="14">
        <v>0</v>
      </c>
      <c r="AI1039" s="209"/>
      <c r="AJ1039" s="3"/>
      <c r="AK1039" s="3"/>
      <c r="AL1039" s="3"/>
      <c r="AM1039" s="3"/>
      <c r="AN1039" s="3"/>
      <c r="AO1039" s="40"/>
      <c r="AP1039" s="209"/>
      <c r="AQ1039" s="3"/>
      <c r="AR1039" s="40"/>
      <c r="AS1039" s="238"/>
    </row>
    <row r="1040" spans="1:45" s="229" customFormat="1">
      <c r="A1040" s="83" t="s">
        <v>326</v>
      </c>
      <c r="B1040" s="386">
        <v>47.94166666666667</v>
      </c>
      <c r="C1040" s="229" t="s">
        <v>717</v>
      </c>
      <c r="D1040" s="229" t="s">
        <v>680</v>
      </c>
      <c r="F1040" s="229">
        <v>584</v>
      </c>
      <c r="G1040" s="40">
        <f>F1040/486</f>
        <v>1.2016460905349795</v>
      </c>
      <c r="H1040" s="14">
        <v>0</v>
      </c>
      <c r="I1040" s="229">
        <v>0</v>
      </c>
      <c r="J1040" s="229">
        <v>1</v>
      </c>
      <c r="K1040" s="26">
        <v>1</v>
      </c>
      <c r="L1040" s="14">
        <v>0</v>
      </c>
      <c r="M1040" s="229">
        <v>0</v>
      </c>
      <c r="N1040" s="229">
        <v>1</v>
      </c>
      <c r="O1040" s="229">
        <v>0</v>
      </c>
      <c r="P1040" s="26">
        <v>1</v>
      </c>
      <c r="Q1040" s="14">
        <v>1</v>
      </c>
      <c r="R1040" s="229">
        <v>0</v>
      </c>
      <c r="S1040" s="229">
        <v>28</v>
      </c>
      <c r="T1040" s="229">
        <v>0</v>
      </c>
      <c r="U1040" s="229">
        <v>0</v>
      </c>
      <c r="V1040" s="229">
        <v>0</v>
      </c>
      <c r="W1040" s="229">
        <v>40</v>
      </c>
      <c r="X1040" s="229">
        <v>0</v>
      </c>
      <c r="Y1040" s="229">
        <v>0</v>
      </c>
      <c r="Z1040" s="229">
        <v>0</v>
      </c>
      <c r="AA1040" s="229">
        <v>0</v>
      </c>
      <c r="AB1040" s="229">
        <v>0</v>
      </c>
      <c r="AC1040" s="12">
        <v>2</v>
      </c>
      <c r="AD1040" s="14">
        <v>3</v>
      </c>
      <c r="AE1040" s="14">
        <v>100</v>
      </c>
      <c r="AF1040" s="26">
        <v>585</v>
      </c>
      <c r="AG1040" s="12">
        <v>74</v>
      </c>
      <c r="AH1040" s="14">
        <v>1</v>
      </c>
      <c r="AI1040" s="209"/>
      <c r="AJ1040" s="3"/>
      <c r="AK1040" s="3"/>
      <c r="AL1040" s="3"/>
      <c r="AM1040" s="3"/>
      <c r="AN1040" s="3"/>
      <c r="AO1040" s="40"/>
      <c r="AP1040" s="209"/>
      <c r="AQ1040" s="3"/>
      <c r="AR1040" s="40"/>
      <c r="AS1040" s="238"/>
    </row>
    <row r="1041" spans="1:45" s="229" customFormat="1">
      <c r="A1041" s="83" t="s">
        <v>326</v>
      </c>
      <c r="B1041" s="386">
        <v>47.94166666666667</v>
      </c>
      <c r="C1041" s="229" t="s">
        <v>717</v>
      </c>
      <c r="D1041" s="229" t="s">
        <v>682</v>
      </c>
      <c r="E1041" s="229" t="s">
        <v>0</v>
      </c>
      <c r="F1041" s="229">
        <v>509</v>
      </c>
      <c r="G1041" s="40">
        <f>F1041/271</f>
        <v>1.878228782287823</v>
      </c>
      <c r="H1041" s="14">
        <v>0</v>
      </c>
      <c r="I1041" s="229">
        <v>0</v>
      </c>
      <c r="J1041" s="229">
        <v>0</v>
      </c>
      <c r="K1041" s="26">
        <v>1</v>
      </c>
      <c r="L1041" s="14">
        <v>0</v>
      </c>
      <c r="M1041" s="229">
        <v>0</v>
      </c>
      <c r="N1041" s="229">
        <v>0</v>
      </c>
      <c r="O1041" s="229">
        <v>0</v>
      </c>
      <c r="P1041" s="26">
        <v>0</v>
      </c>
      <c r="Q1041" s="14">
        <v>1</v>
      </c>
      <c r="R1041" s="229">
        <v>0</v>
      </c>
      <c r="S1041" s="229">
        <v>27</v>
      </c>
      <c r="T1041" s="229">
        <v>0</v>
      </c>
      <c r="U1041" s="229">
        <v>0</v>
      </c>
      <c r="V1041" s="229">
        <v>0</v>
      </c>
      <c r="W1041" s="229">
        <v>0</v>
      </c>
      <c r="X1041" s="229">
        <v>0</v>
      </c>
      <c r="Y1041" s="229">
        <v>0</v>
      </c>
      <c r="Z1041" s="229">
        <v>0</v>
      </c>
      <c r="AA1041" s="229">
        <v>0</v>
      </c>
      <c r="AB1041" s="229">
        <v>0</v>
      </c>
      <c r="AC1041" s="12">
        <v>1</v>
      </c>
      <c r="AD1041" s="14">
        <v>1</v>
      </c>
      <c r="AE1041" s="14">
        <v>0</v>
      </c>
      <c r="AF1041" s="26">
        <v>0</v>
      </c>
      <c r="AG1041" s="12">
        <v>111</v>
      </c>
      <c r="AH1041" s="14">
        <v>1</v>
      </c>
      <c r="AI1041" s="209"/>
      <c r="AJ1041" s="3"/>
      <c r="AK1041" s="3"/>
      <c r="AL1041" s="3"/>
      <c r="AM1041" s="3"/>
      <c r="AN1041" s="3"/>
      <c r="AO1041" s="40"/>
      <c r="AP1041" s="209"/>
      <c r="AQ1041" s="3"/>
      <c r="AR1041" s="40"/>
      <c r="AS1041" s="238"/>
    </row>
    <row r="1042" spans="1:45" s="229" customFormat="1">
      <c r="A1042" s="83" t="s">
        <v>326</v>
      </c>
      <c r="B1042" s="386">
        <v>47.94166666666667</v>
      </c>
      <c r="C1042" s="229" t="s">
        <v>717</v>
      </c>
      <c r="D1042" s="229" t="s">
        <v>682</v>
      </c>
      <c r="E1042" s="229" t="s">
        <v>1</v>
      </c>
      <c r="F1042" s="229">
        <v>527</v>
      </c>
      <c r="G1042" s="40">
        <f>F1042/391</f>
        <v>1.3478260869565217</v>
      </c>
      <c r="H1042" s="14">
        <v>1</v>
      </c>
      <c r="I1042" s="229">
        <v>0</v>
      </c>
      <c r="J1042" s="229">
        <v>0</v>
      </c>
      <c r="K1042" s="26">
        <v>0</v>
      </c>
      <c r="L1042" s="14">
        <v>0</v>
      </c>
      <c r="M1042" s="229">
        <v>0</v>
      </c>
      <c r="N1042" s="229">
        <v>1</v>
      </c>
      <c r="O1042" s="229">
        <v>0</v>
      </c>
      <c r="P1042" s="26">
        <v>1</v>
      </c>
      <c r="Q1042" s="14">
        <v>1</v>
      </c>
      <c r="R1042" s="229">
        <v>0</v>
      </c>
      <c r="S1042" s="229">
        <v>0</v>
      </c>
      <c r="T1042" s="229">
        <v>0</v>
      </c>
      <c r="U1042" s="229">
        <v>0</v>
      </c>
      <c r="V1042" s="229">
        <v>0</v>
      </c>
      <c r="W1042" s="229">
        <v>86</v>
      </c>
      <c r="X1042" s="229">
        <v>0</v>
      </c>
      <c r="Y1042" s="229">
        <v>0</v>
      </c>
      <c r="Z1042" s="229">
        <v>0</v>
      </c>
      <c r="AA1042" s="229">
        <v>0</v>
      </c>
      <c r="AB1042" s="229">
        <v>0</v>
      </c>
      <c r="AC1042" s="12">
        <v>1</v>
      </c>
      <c r="AD1042" s="14">
        <v>1</v>
      </c>
      <c r="AE1042" s="14">
        <v>0</v>
      </c>
      <c r="AF1042" s="26">
        <v>0</v>
      </c>
      <c r="AG1042" s="12">
        <v>111</v>
      </c>
      <c r="AH1042" s="14">
        <v>0</v>
      </c>
      <c r="AI1042" s="209"/>
      <c r="AJ1042" s="3"/>
      <c r="AK1042" s="3"/>
      <c r="AL1042" s="3"/>
      <c r="AM1042" s="3"/>
      <c r="AN1042" s="3"/>
      <c r="AO1042" s="40"/>
      <c r="AP1042" s="209"/>
      <c r="AQ1042" s="3"/>
      <c r="AR1042" s="40"/>
      <c r="AS1042" s="238"/>
    </row>
    <row r="1043" spans="1:45" s="229" customFormat="1">
      <c r="A1043" s="83" t="s">
        <v>326</v>
      </c>
      <c r="B1043" s="386">
        <v>47.94166666666667</v>
      </c>
      <c r="C1043" s="229" t="s">
        <v>717</v>
      </c>
      <c r="D1043" s="229" t="s">
        <v>694</v>
      </c>
      <c r="E1043" s="229" t="s">
        <v>0</v>
      </c>
      <c r="F1043" s="229">
        <v>1607</v>
      </c>
      <c r="G1043" s="40">
        <f>F1043/939</f>
        <v>1.711395101171459</v>
      </c>
      <c r="H1043" s="14">
        <v>0</v>
      </c>
      <c r="I1043" s="229">
        <v>1</v>
      </c>
      <c r="J1043" s="229">
        <v>1</v>
      </c>
      <c r="K1043" s="26">
        <v>1</v>
      </c>
      <c r="L1043" s="14">
        <v>1</v>
      </c>
      <c r="M1043" s="229">
        <v>0</v>
      </c>
      <c r="N1043" s="229">
        <v>1</v>
      </c>
      <c r="O1043" s="229">
        <v>0</v>
      </c>
      <c r="P1043" s="26">
        <v>2</v>
      </c>
      <c r="Q1043" s="14">
        <v>5</v>
      </c>
      <c r="R1043" s="229">
        <v>9</v>
      </c>
      <c r="S1043" s="229">
        <v>32</v>
      </c>
      <c r="T1043" s="229">
        <v>0</v>
      </c>
      <c r="U1043" s="229">
        <v>0</v>
      </c>
      <c r="V1043" s="229">
        <v>5</v>
      </c>
      <c r="W1043" s="229">
        <v>46</v>
      </c>
      <c r="X1043" s="229">
        <v>0</v>
      </c>
      <c r="Y1043" s="229">
        <v>0</v>
      </c>
      <c r="Z1043" s="229">
        <v>216</v>
      </c>
      <c r="AA1043" s="229">
        <v>298</v>
      </c>
      <c r="AB1043" s="229">
        <v>0</v>
      </c>
      <c r="AC1043" s="12">
        <v>2</v>
      </c>
      <c r="AD1043" s="14">
        <v>14</v>
      </c>
      <c r="AE1043" s="14">
        <v>89</v>
      </c>
      <c r="AF1043" s="26">
        <v>1000</v>
      </c>
      <c r="AG1043" s="12">
        <v>109</v>
      </c>
      <c r="AH1043" s="14">
        <v>0</v>
      </c>
      <c r="AI1043" s="209"/>
      <c r="AJ1043" s="3"/>
      <c r="AK1043" s="3"/>
      <c r="AL1043" s="3"/>
      <c r="AM1043" s="3"/>
      <c r="AN1043" s="3"/>
      <c r="AO1043" s="40"/>
      <c r="AP1043" s="209"/>
      <c r="AQ1043" s="3"/>
      <c r="AR1043" s="40"/>
      <c r="AS1043" s="238"/>
    </row>
    <row r="1044" spans="1:45" s="229" customFormat="1">
      <c r="A1044" s="83" t="s">
        <v>326</v>
      </c>
      <c r="B1044" s="386">
        <v>47.94166666666667</v>
      </c>
      <c r="C1044" s="229" t="s">
        <v>717</v>
      </c>
      <c r="D1044" s="229" t="s">
        <v>694</v>
      </c>
      <c r="E1044" s="229" t="s">
        <v>1</v>
      </c>
      <c r="F1044" s="229">
        <v>475</v>
      </c>
      <c r="G1044" s="40">
        <f>F1044/241</f>
        <v>1.9709543568464731</v>
      </c>
      <c r="H1044" s="14">
        <v>0</v>
      </c>
      <c r="I1044" s="229">
        <v>0</v>
      </c>
      <c r="J1044" s="229">
        <v>0</v>
      </c>
      <c r="K1044" s="26">
        <v>1</v>
      </c>
      <c r="L1044" s="14">
        <v>0</v>
      </c>
      <c r="M1044" s="229">
        <v>0</v>
      </c>
      <c r="N1044" s="229">
        <v>0</v>
      </c>
      <c r="O1044" s="229">
        <v>0</v>
      </c>
      <c r="P1044" s="26">
        <v>0</v>
      </c>
      <c r="Q1044" s="14">
        <v>0</v>
      </c>
      <c r="R1044" s="229">
        <v>0</v>
      </c>
      <c r="S1044" s="229">
        <v>0</v>
      </c>
      <c r="T1044" s="229">
        <v>0</v>
      </c>
      <c r="U1044" s="229">
        <v>0</v>
      </c>
      <c r="V1044" s="229">
        <v>0</v>
      </c>
      <c r="W1044" s="229">
        <v>0</v>
      </c>
      <c r="X1044" s="229">
        <v>0</v>
      </c>
      <c r="Y1044" s="229">
        <v>0</v>
      </c>
      <c r="Z1044" s="229">
        <v>0</v>
      </c>
      <c r="AA1044" s="229">
        <v>0</v>
      </c>
      <c r="AB1044" s="229">
        <v>0</v>
      </c>
      <c r="AC1044" s="12">
        <v>1</v>
      </c>
      <c r="AD1044" s="14">
        <v>1</v>
      </c>
      <c r="AE1044" s="14">
        <v>0</v>
      </c>
      <c r="AF1044" s="26">
        <v>0</v>
      </c>
      <c r="AG1044" s="12">
        <v>109</v>
      </c>
      <c r="AH1044" s="14">
        <v>1</v>
      </c>
      <c r="AI1044" s="209">
        <v>88.715213508809654</v>
      </c>
      <c r="AJ1044" s="3"/>
      <c r="AK1044" s="3"/>
      <c r="AL1044" s="3"/>
      <c r="AM1044" s="3"/>
      <c r="AN1044" s="3"/>
      <c r="AO1044" s="40"/>
      <c r="AP1044" s="209">
        <v>88.14655919085456</v>
      </c>
      <c r="AQ1044" s="3"/>
      <c r="AR1044" s="40"/>
      <c r="AS1044" s="238"/>
    </row>
    <row r="1045" spans="1:45" s="229" customFormat="1">
      <c r="A1045" s="83" t="s">
        <v>326</v>
      </c>
      <c r="B1045" s="386">
        <v>47.94166666666667</v>
      </c>
      <c r="C1045" s="229" t="s">
        <v>717</v>
      </c>
      <c r="D1045" s="229" t="s">
        <v>683</v>
      </c>
      <c r="F1045" s="229">
        <v>885</v>
      </c>
      <c r="G1045" s="40">
        <f>F1045/415</f>
        <v>2.1325301204819276</v>
      </c>
      <c r="H1045" s="14">
        <v>0</v>
      </c>
      <c r="I1045" s="229">
        <v>0</v>
      </c>
      <c r="J1045" s="229">
        <v>1</v>
      </c>
      <c r="K1045" s="26">
        <v>1</v>
      </c>
      <c r="L1045" s="14">
        <v>0</v>
      </c>
      <c r="M1045" s="229">
        <v>0</v>
      </c>
      <c r="N1045" s="229">
        <v>1</v>
      </c>
      <c r="O1045" s="229">
        <v>0</v>
      </c>
      <c r="P1045" s="26">
        <v>1</v>
      </c>
      <c r="Q1045" s="14">
        <v>1</v>
      </c>
      <c r="R1045" s="229">
        <v>0</v>
      </c>
      <c r="S1045" s="229">
        <v>20</v>
      </c>
      <c r="T1045" s="229">
        <v>0</v>
      </c>
      <c r="U1045" s="229">
        <v>0</v>
      </c>
      <c r="V1045" s="229">
        <v>18</v>
      </c>
      <c r="W1045" s="229">
        <v>21</v>
      </c>
      <c r="X1045" s="229">
        <v>0</v>
      </c>
      <c r="Y1045" s="229">
        <v>0</v>
      </c>
      <c r="Z1045" s="229">
        <v>0</v>
      </c>
      <c r="AA1045" s="229">
        <v>117</v>
      </c>
      <c r="AB1045" s="229">
        <v>0</v>
      </c>
      <c r="AC1045" s="12">
        <v>2</v>
      </c>
      <c r="AD1045" s="14">
        <v>2</v>
      </c>
      <c r="AE1045" s="14">
        <v>570</v>
      </c>
      <c r="AF1045" s="26">
        <v>586</v>
      </c>
      <c r="AG1045" s="12">
        <v>94</v>
      </c>
      <c r="AH1045" s="14">
        <v>1</v>
      </c>
      <c r="AI1045" s="209"/>
      <c r="AJ1045" s="3"/>
      <c r="AK1045" s="3"/>
      <c r="AL1045" s="3"/>
      <c r="AM1045" s="3"/>
      <c r="AN1045" s="3"/>
      <c r="AO1045" s="40"/>
      <c r="AP1045" s="209"/>
      <c r="AQ1045" s="3"/>
      <c r="AR1045" s="40"/>
      <c r="AS1045" s="238"/>
    </row>
    <row r="1046" spans="1:45" s="229" customFormat="1">
      <c r="A1046" s="83" t="s">
        <v>326</v>
      </c>
      <c r="B1046" s="386">
        <v>47.94166666666667</v>
      </c>
      <c r="C1046" s="229" t="s">
        <v>717</v>
      </c>
      <c r="D1046" s="229" t="s">
        <v>695</v>
      </c>
      <c r="F1046" s="229">
        <v>734</v>
      </c>
      <c r="G1046" s="40">
        <f>F1046/477</f>
        <v>1.5387840670859538</v>
      </c>
      <c r="H1046" s="14">
        <v>1</v>
      </c>
      <c r="I1046" s="229">
        <v>0</v>
      </c>
      <c r="J1046" s="229">
        <v>0</v>
      </c>
      <c r="K1046" s="26">
        <v>0</v>
      </c>
      <c r="L1046" s="14">
        <v>0</v>
      </c>
      <c r="M1046" s="229">
        <v>0</v>
      </c>
      <c r="N1046" s="229">
        <v>1</v>
      </c>
      <c r="O1046" s="229">
        <v>0</v>
      </c>
      <c r="P1046" s="26">
        <v>1</v>
      </c>
      <c r="Q1046" s="14">
        <v>0</v>
      </c>
      <c r="R1046" s="229">
        <v>0</v>
      </c>
      <c r="S1046" s="229">
        <v>0</v>
      </c>
      <c r="T1046" s="229">
        <v>0</v>
      </c>
      <c r="U1046" s="229">
        <v>0</v>
      </c>
      <c r="V1046" s="229">
        <v>0</v>
      </c>
      <c r="W1046" s="229">
        <v>0</v>
      </c>
      <c r="X1046" s="229">
        <v>0</v>
      </c>
      <c r="Y1046" s="229">
        <v>0</v>
      </c>
      <c r="Z1046" s="229">
        <v>0</v>
      </c>
      <c r="AA1046" s="229">
        <v>0</v>
      </c>
      <c r="AB1046" s="229">
        <v>0</v>
      </c>
      <c r="AC1046" s="12">
        <v>1</v>
      </c>
      <c r="AD1046" s="14">
        <v>1</v>
      </c>
      <c r="AE1046" s="14">
        <v>0</v>
      </c>
      <c r="AF1046" s="26">
        <v>0</v>
      </c>
      <c r="AG1046" s="12">
        <v>104</v>
      </c>
      <c r="AH1046" s="14">
        <v>1</v>
      </c>
      <c r="AI1046" s="209">
        <v>88.785235248653834</v>
      </c>
      <c r="AJ1046" s="3"/>
      <c r="AK1046" s="3"/>
      <c r="AL1046" s="3"/>
      <c r="AM1046" s="3"/>
      <c r="AN1046" s="3"/>
      <c r="AO1046" s="40"/>
      <c r="AP1046" s="212">
        <v>87.6</v>
      </c>
      <c r="AQ1046" s="3"/>
      <c r="AR1046" s="40"/>
      <c r="AS1046" s="238"/>
    </row>
    <row r="1047" spans="1:45" s="229" customFormat="1">
      <c r="A1047" s="83" t="s">
        <v>326</v>
      </c>
      <c r="B1047" s="386">
        <v>47.94166666666667</v>
      </c>
      <c r="C1047" s="229" t="s">
        <v>717</v>
      </c>
      <c r="D1047" s="229" t="s">
        <v>696</v>
      </c>
      <c r="E1047" s="229" t="s">
        <v>0</v>
      </c>
      <c r="F1047" s="229">
        <v>260</v>
      </c>
      <c r="G1047" s="40">
        <f>F1047/174</f>
        <v>1.4942528735632183</v>
      </c>
      <c r="H1047" s="14">
        <v>0</v>
      </c>
      <c r="I1047" s="229">
        <v>0</v>
      </c>
      <c r="J1047" s="229">
        <v>0</v>
      </c>
      <c r="K1047" s="26">
        <v>1</v>
      </c>
      <c r="L1047" s="14">
        <v>0</v>
      </c>
      <c r="M1047" s="229">
        <v>0</v>
      </c>
      <c r="N1047" s="229">
        <v>0</v>
      </c>
      <c r="O1047" s="229">
        <v>0</v>
      </c>
      <c r="P1047" s="26">
        <v>0</v>
      </c>
      <c r="Q1047" s="14">
        <v>0</v>
      </c>
      <c r="R1047" s="229">
        <v>0</v>
      </c>
      <c r="S1047" s="229">
        <v>0</v>
      </c>
      <c r="T1047" s="229">
        <v>0</v>
      </c>
      <c r="U1047" s="229">
        <v>0</v>
      </c>
      <c r="V1047" s="229">
        <v>0</v>
      </c>
      <c r="W1047" s="229">
        <v>0</v>
      </c>
      <c r="X1047" s="229">
        <v>0</v>
      </c>
      <c r="Y1047" s="229">
        <v>0</v>
      </c>
      <c r="Z1047" s="229">
        <v>0</v>
      </c>
      <c r="AA1047" s="229">
        <v>0</v>
      </c>
      <c r="AB1047" s="229">
        <v>0</v>
      </c>
      <c r="AC1047" s="12">
        <v>2</v>
      </c>
      <c r="AD1047" s="14">
        <v>6</v>
      </c>
      <c r="AE1047" s="14">
        <v>48</v>
      </c>
      <c r="AF1047" s="26">
        <v>166</v>
      </c>
      <c r="AG1047" s="12">
        <v>113</v>
      </c>
      <c r="AH1047" s="14">
        <v>1</v>
      </c>
      <c r="AI1047" s="209"/>
      <c r="AJ1047" s="3"/>
      <c r="AK1047" s="3"/>
      <c r="AL1047" s="3"/>
      <c r="AM1047" s="3"/>
      <c r="AN1047" s="3"/>
      <c r="AO1047" s="40"/>
      <c r="AP1047" s="209"/>
      <c r="AQ1047" s="3"/>
      <c r="AR1047" s="40"/>
      <c r="AS1047" s="238"/>
    </row>
    <row r="1048" spans="1:45" s="229" customFormat="1">
      <c r="A1048" s="83" t="s">
        <v>326</v>
      </c>
      <c r="B1048" s="386">
        <v>47.94166666666667</v>
      </c>
      <c r="C1048" s="229" t="s">
        <v>717</v>
      </c>
      <c r="D1048" s="229" t="s">
        <v>696</v>
      </c>
      <c r="E1048" s="229" t="s">
        <v>1</v>
      </c>
      <c r="F1048" s="229">
        <v>496</v>
      </c>
      <c r="G1048" s="40">
        <f>F1048/323</f>
        <v>1.5356037151702786</v>
      </c>
      <c r="H1048" s="14">
        <v>0</v>
      </c>
      <c r="I1048" s="229">
        <v>0</v>
      </c>
      <c r="J1048" s="229">
        <v>0</v>
      </c>
      <c r="K1048" s="26">
        <v>1</v>
      </c>
      <c r="L1048" s="14">
        <v>0</v>
      </c>
      <c r="M1048" s="229">
        <v>0</v>
      </c>
      <c r="N1048" s="229">
        <v>1</v>
      </c>
      <c r="O1048" s="229">
        <v>0</v>
      </c>
      <c r="P1048" s="26">
        <v>1</v>
      </c>
      <c r="Q1048" s="14">
        <v>1</v>
      </c>
      <c r="R1048" s="229">
        <v>0</v>
      </c>
      <c r="S1048" s="229">
        <v>0</v>
      </c>
      <c r="T1048" s="229">
        <v>0</v>
      </c>
      <c r="U1048" s="229">
        <v>0</v>
      </c>
      <c r="V1048" s="229">
        <v>0</v>
      </c>
      <c r="W1048" s="229">
        <v>0</v>
      </c>
      <c r="X1048" s="229">
        <v>0</v>
      </c>
      <c r="Y1048" s="229">
        <v>0</v>
      </c>
      <c r="Z1048" s="229">
        <v>10</v>
      </c>
      <c r="AA1048" s="229">
        <v>25</v>
      </c>
      <c r="AB1048" s="229">
        <v>0</v>
      </c>
      <c r="AC1048" s="12">
        <v>2</v>
      </c>
      <c r="AD1048" s="14">
        <v>4</v>
      </c>
      <c r="AE1048" s="14">
        <v>53</v>
      </c>
      <c r="AF1048" s="26">
        <v>362</v>
      </c>
      <c r="AG1048" s="12">
        <v>113</v>
      </c>
      <c r="AH1048" s="14">
        <v>1</v>
      </c>
      <c r="AI1048" s="209"/>
      <c r="AJ1048" s="3"/>
      <c r="AK1048" s="3"/>
      <c r="AL1048" s="3"/>
      <c r="AM1048" s="3"/>
      <c r="AN1048" s="3"/>
      <c r="AO1048" s="40"/>
      <c r="AP1048" s="209"/>
      <c r="AQ1048" s="3"/>
      <c r="AR1048" s="40"/>
      <c r="AS1048" s="238"/>
    </row>
    <row r="1049" spans="1:45" s="229" customFormat="1">
      <c r="A1049" s="83" t="s">
        <v>326</v>
      </c>
      <c r="B1049" s="386">
        <v>47.94166666666667</v>
      </c>
      <c r="C1049" s="229" t="s">
        <v>717</v>
      </c>
      <c r="D1049" s="229" t="s">
        <v>697</v>
      </c>
      <c r="E1049" s="229" t="s">
        <v>0</v>
      </c>
      <c r="F1049" s="229">
        <v>565</v>
      </c>
      <c r="G1049" s="40">
        <f>F1049/597</f>
        <v>0.94639865996649919</v>
      </c>
      <c r="H1049" s="14">
        <v>0</v>
      </c>
      <c r="I1049" s="229">
        <v>0</v>
      </c>
      <c r="J1049" s="229">
        <v>1</v>
      </c>
      <c r="K1049" s="26">
        <v>1</v>
      </c>
      <c r="L1049" s="14">
        <v>0</v>
      </c>
      <c r="M1049" s="229">
        <v>0</v>
      </c>
      <c r="N1049" s="229">
        <v>0</v>
      </c>
      <c r="O1049" s="229">
        <v>0</v>
      </c>
      <c r="P1049" s="26">
        <v>0</v>
      </c>
      <c r="Q1049" s="14">
        <v>5</v>
      </c>
      <c r="R1049" s="229">
        <v>0</v>
      </c>
      <c r="S1049" s="229">
        <v>0</v>
      </c>
      <c r="T1049" s="229">
        <v>0</v>
      </c>
      <c r="U1049" s="229">
        <v>0</v>
      </c>
      <c r="V1049" s="229">
        <v>14</v>
      </c>
      <c r="W1049" s="229">
        <v>21</v>
      </c>
      <c r="X1049" s="229">
        <v>0</v>
      </c>
      <c r="Y1049" s="229">
        <v>0</v>
      </c>
      <c r="Z1049" s="229">
        <v>73</v>
      </c>
      <c r="AA1049" s="229">
        <v>80</v>
      </c>
      <c r="AB1049" s="229">
        <v>0</v>
      </c>
      <c r="AC1049" s="12">
        <v>2</v>
      </c>
      <c r="AD1049" s="14">
        <v>2</v>
      </c>
      <c r="AE1049" s="14">
        <v>180</v>
      </c>
      <c r="AF1049" s="26">
        <v>565</v>
      </c>
      <c r="AG1049" s="12">
        <v>98</v>
      </c>
      <c r="AH1049" s="14">
        <v>0</v>
      </c>
      <c r="AI1049" s="209">
        <v>88.400829623269061</v>
      </c>
      <c r="AJ1049" s="3"/>
      <c r="AK1049" s="3"/>
      <c r="AL1049" s="3"/>
      <c r="AM1049" s="3"/>
      <c r="AN1049" s="3"/>
      <c r="AO1049" s="40"/>
      <c r="AP1049" s="209">
        <v>87.755007005141337</v>
      </c>
      <c r="AQ1049" s="3"/>
      <c r="AR1049" s="40"/>
      <c r="AS1049" s="238"/>
    </row>
    <row r="1050" spans="1:45" s="229" customFormat="1">
      <c r="A1050" s="83" t="s">
        <v>326</v>
      </c>
      <c r="B1050" s="386">
        <v>47.94166666666667</v>
      </c>
      <c r="C1050" s="229" t="s">
        <v>717</v>
      </c>
      <c r="D1050" s="229" t="s">
        <v>697</v>
      </c>
      <c r="E1050" s="229" t="s">
        <v>1</v>
      </c>
      <c r="F1050" s="229">
        <v>496</v>
      </c>
      <c r="G1050" s="40">
        <f>F1050/249</f>
        <v>1.9919678714859437</v>
      </c>
      <c r="H1050" s="14">
        <v>1</v>
      </c>
      <c r="I1050" s="229">
        <v>0</v>
      </c>
      <c r="J1050" s="229">
        <v>1</v>
      </c>
      <c r="K1050" s="26">
        <v>0</v>
      </c>
      <c r="L1050" s="14">
        <v>0</v>
      </c>
      <c r="M1050" s="229">
        <v>0</v>
      </c>
      <c r="N1050" s="229">
        <v>1</v>
      </c>
      <c r="O1050" s="229">
        <v>0</v>
      </c>
      <c r="P1050" s="26">
        <v>1</v>
      </c>
      <c r="Q1050" s="14">
        <v>0</v>
      </c>
      <c r="R1050" s="229">
        <v>0</v>
      </c>
      <c r="S1050" s="229">
        <v>0</v>
      </c>
      <c r="T1050" s="229">
        <v>0</v>
      </c>
      <c r="U1050" s="229">
        <v>0</v>
      </c>
      <c r="V1050" s="229">
        <v>0</v>
      </c>
      <c r="W1050" s="229">
        <v>0</v>
      </c>
      <c r="X1050" s="229">
        <v>0</v>
      </c>
      <c r="Y1050" s="229">
        <v>0</v>
      </c>
      <c r="Z1050" s="229">
        <v>0</v>
      </c>
      <c r="AA1050" s="229">
        <v>0</v>
      </c>
      <c r="AB1050" s="229">
        <v>0</v>
      </c>
      <c r="AC1050" s="12">
        <v>2</v>
      </c>
      <c r="AD1050" s="14">
        <v>9</v>
      </c>
      <c r="AE1050" s="14">
        <v>46</v>
      </c>
      <c r="AF1050" s="26">
        <v>216</v>
      </c>
      <c r="AG1050" s="12">
        <v>98</v>
      </c>
      <c r="AH1050" s="14">
        <v>1</v>
      </c>
      <c r="AI1050" s="209">
        <v>88.049794716107172</v>
      </c>
      <c r="AJ1050" s="3">
        <v>87.979189666132541</v>
      </c>
      <c r="AK1050" s="3">
        <v>87.689088404582904</v>
      </c>
      <c r="AL1050" s="3">
        <v>87.625335972325061</v>
      </c>
      <c r="AM1050" s="3"/>
      <c r="AN1050" s="3"/>
      <c r="AO1050" s="40"/>
      <c r="AP1050" s="209">
        <v>88.021932283310363</v>
      </c>
      <c r="AQ1050" s="3"/>
      <c r="AR1050" s="40"/>
      <c r="AS1050" s="238"/>
    </row>
    <row r="1051" spans="1:45" s="229" customFormat="1">
      <c r="A1051" s="83" t="s">
        <v>326</v>
      </c>
      <c r="B1051" s="386">
        <v>47.94166666666667</v>
      </c>
      <c r="C1051" s="229" t="s">
        <v>717</v>
      </c>
      <c r="D1051" s="229" t="s">
        <v>698</v>
      </c>
      <c r="E1051" s="229" t="s">
        <v>0</v>
      </c>
      <c r="F1051" s="229">
        <v>288</v>
      </c>
      <c r="G1051" s="40">
        <f>F1051/199</f>
        <v>1.4472361809045227</v>
      </c>
      <c r="H1051" s="14">
        <v>0</v>
      </c>
      <c r="I1051" s="229">
        <v>0</v>
      </c>
      <c r="J1051" s="229">
        <v>0</v>
      </c>
      <c r="K1051" s="26">
        <v>1</v>
      </c>
      <c r="L1051" s="14">
        <v>0</v>
      </c>
      <c r="M1051" s="229">
        <v>0</v>
      </c>
      <c r="N1051" s="229">
        <v>1</v>
      </c>
      <c r="O1051" s="229">
        <v>0</v>
      </c>
      <c r="P1051" s="26">
        <v>1</v>
      </c>
      <c r="Q1051" s="14">
        <v>0</v>
      </c>
      <c r="R1051" s="229">
        <v>0</v>
      </c>
      <c r="S1051" s="229">
        <v>0</v>
      </c>
      <c r="T1051" s="229">
        <v>0</v>
      </c>
      <c r="U1051" s="229">
        <v>0</v>
      </c>
      <c r="V1051" s="229">
        <v>0</v>
      </c>
      <c r="W1051" s="229">
        <v>0</v>
      </c>
      <c r="X1051" s="229">
        <v>0</v>
      </c>
      <c r="Y1051" s="229">
        <v>0</v>
      </c>
      <c r="Z1051" s="229">
        <v>0</v>
      </c>
      <c r="AA1051" s="229">
        <v>0</v>
      </c>
      <c r="AB1051" s="229">
        <v>0</v>
      </c>
      <c r="AC1051" s="12">
        <v>1</v>
      </c>
      <c r="AD1051" s="14">
        <v>1</v>
      </c>
      <c r="AE1051" s="14">
        <v>0</v>
      </c>
      <c r="AF1051" s="26">
        <v>0</v>
      </c>
      <c r="AG1051" s="12">
        <v>117</v>
      </c>
      <c r="AH1051" s="14">
        <v>0</v>
      </c>
      <c r="AI1051" s="209"/>
      <c r="AJ1051" s="3"/>
      <c r="AK1051" s="3"/>
      <c r="AL1051" s="3"/>
      <c r="AM1051" s="3"/>
      <c r="AN1051" s="3"/>
      <c r="AO1051" s="40"/>
      <c r="AP1051" s="209"/>
      <c r="AQ1051" s="3"/>
      <c r="AR1051" s="40"/>
      <c r="AS1051" s="238"/>
    </row>
    <row r="1052" spans="1:45" s="229" customFormat="1">
      <c r="A1052" s="83" t="s">
        <v>326</v>
      </c>
      <c r="B1052" s="386">
        <v>47.94166666666667</v>
      </c>
      <c r="C1052" s="229" t="s">
        <v>717</v>
      </c>
      <c r="D1052" s="229" t="s">
        <v>698</v>
      </c>
      <c r="E1052" s="229" t="s">
        <v>1</v>
      </c>
      <c r="F1052" s="229">
        <v>125</v>
      </c>
      <c r="G1052" s="40">
        <f>F1052/89</f>
        <v>1.404494382022472</v>
      </c>
      <c r="H1052" s="14">
        <v>0</v>
      </c>
      <c r="I1052" s="229">
        <v>0</v>
      </c>
      <c r="J1052" s="229">
        <v>0</v>
      </c>
      <c r="K1052" s="26">
        <v>1</v>
      </c>
      <c r="L1052" s="14">
        <v>0</v>
      </c>
      <c r="M1052" s="229">
        <v>0</v>
      </c>
      <c r="N1052" s="229">
        <v>0</v>
      </c>
      <c r="O1052" s="229">
        <v>0</v>
      </c>
      <c r="P1052" s="26">
        <v>0</v>
      </c>
      <c r="Q1052" s="14">
        <v>0</v>
      </c>
      <c r="R1052" s="229">
        <v>0</v>
      </c>
      <c r="S1052" s="229">
        <v>0</v>
      </c>
      <c r="T1052" s="229">
        <v>0</v>
      </c>
      <c r="U1052" s="229">
        <v>0</v>
      </c>
      <c r="V1052" s="229">
        <v>0</v>
      </c>
      <c r="W1052" s="229">
        <v>0</v>
      </c>
      <c r="X1052" s="229">
        <v>0</v>
      </c>
      <c r="Y1052" s="229">
        <v>0</v>
      </c>
      <c r="Z1052" s="229">
        <v>0</v>
      </c>
      <c r="AA1052" s="229">
        <v>0</v>
      </c>
      <c r="AB1052" s="229">
        <v>0</v>
      </c>
      <c r="AC1052" s="12">
        <v>1</v>
      </c>
      <c r="AD1052" s="14">
        <v>1</v>
      </c>
      <c r="AE1052" s="14">
        <v>0</v>
      </c>
      <c r="AF1052" s="26">
        <v>0</v>
      </c>
      <c r="AG1052" s="12">
        <v>117</v>
      </c>
      <c r="AH1052" s="14">
        <v>1</v>
      </c>
      <c r="AI1052" s="209"/>
      <c r="AJ1052" s="3"/>
      <c r="AK1052" s="3"/>
      <c r="AL1052" s="3"/>
      <c r="AM1052" s="3"/>
      <c r="AN1052" s="3"/>
      <c r="AO1052" s="40"/>
      <c r="AP1052" s="209"/>
      <c r="AQ1052" s="3"/>
      <c r="AR1052" s="40"/>
      <c r="AS1052" s="238"/>
    </row>
    <row r="1053" spans="1:45" s="229" customFormat="1">
      <c r="A1053" s="83" t="s">
        <v>326</v>
      </c>
      <c r="B1053" s="386">
        <v>47.94166666666667</v>
      </c>
      <c r="C1053" s="229" t="s">
        <v>717</v>
      </c>
      <c r="D1053" s="229" t="s">
        <v>698</v>
      </c>
      <c r="E1053" s="229" t="s">
        <v>2</v>
      </c>
      <c r="F1053" s="229">
        <v>543</v>
      </c>
      <c r="G1053" s="40">
        <f>F1053/279</f>
        <v>1.946236559139785</v>
      </c>
      <c r="H1053" s="14">
        <v>0</v>
      </c>
      <c r="I1053" s="229">
        <v>0</v>
      </c>
      <c r="J1053" s="229">
        <v>0</v>
      </c>
      <c r="K1053" s="26">
        <v>1</v>
      </c>
      <c r="L1053" s="14">
        <v>0</v>
      </c>
      <c r="M1053" s="229">
        <v>0</v>
      </c>
      <c r="N1053" s="229">
        <v>1</v>
      </c>
      <c r="O1053" s="229">
        <v>0</v>
      </c>
      <c r="P1053" s="26">
        <v>1</v>
      </c>
      <c r="Q1053" s="14">
        <v>1</v>
      </c>
      <c r="R1053" s="229">
        <v>0</v>
      </c>
      <c r="S1053" s="229">
        <v>19</v>
      </c>
      <c r="T1053" s="229">
        <v>0</v>
      </c>
      <c r="U1053" s="229">
        <v>0</v>
      </c>
      <c r="V1053" s="229">
        <v>7</v>
      </c>
      <c r="W1053" s="229">
        <v>16</v>
      </c>
      <c r="X1053" s="229">
        <v>0</v>
      </c>
      <c r="Y1053" s="229">
        <v>0</v>
      </c>
      <c r="Z1053" s="229">
        <v>0</v>
      </c>
      <c r="AA1053" s="229">
        <v>29</v>
      </c>
      <c r="AB1053" s="229">
        <v>0</v>
      </c>
      <c r="AC1053" s="12">
        <v>2</v>
      </c>
      <c r="AD1053" s="14">
        <v>3</v>
      </c>
      <c r="AE1053" s="14">
        <v>125</v>
      </c>
      <c r="AF1053" s="26">
        <v>314</v>
      </c>
      <c r="AG1053" s="12">
        <v>117</v>
      </c>
      <c r="AH1053" s="14">
        <v>1</v>
      </c>
      <c r="AI1053" s="209"/>
      <c r="AJ1053" s="3"/>
      <c r="AK1053" s="3"/>
      <c r="AL1053" s="3"/>
      <c r="AM1053" s="3"/>
      <c r="AN1053" s="3"/>
      <c r="AO1053" s="40"/>
      <c r="AP1053" s="209"/>
      <c r="AQ1053" s="3"/>
      <c r="AR1053" s="40"/>
      <c r="AS1053" s="238"/>
    </row>
    <row r="1054" spans="1:45" s="229" customFormat="1">
      <c r="A1054" s="83" t="s">
        <v>326</v>
      </c>
      <c r="B1054" s="386">
        <v>47.94166666666667</v>
      </c>
      <c r="C1054" s="229" t="s">
        <v>717</v>
      </c>
      <c r="D1054" s="229" t="s">
        <v>699</v>
      </c>
      <c r="E1054" s="229" t="s">
        <v>0</v>
      </c>
      <c r="F1054" s="229">
        <v>506</v>
      </c>
      <c r="G1054" s="40">
        <f>F1054/476</f>
        <v>1.0630252100840336</v>
      </c>
      <c r="H1054" s="14">
        <v>0</v>
      </c>
      <c r="I1054" s="229">
        <v>0</v>
      </c>
      <c r="J1054" s="229">
        <v>0</v>
      </c>
      <c r="K1054" s="26">
        <v>1</v>
      </c>
      <c r="L1054" s="14">
        <v>0</v>
      </c>
      <c r="M1054" s="229">
        <v>0</v>
      </c>
      <c r="N1054" s="229">
        <v>1</v>
      </c>
      <c r="O1054" s="229">
        <v>0</v>
      </c>
      <c r="P1054" s="26">
        <v>1</v>
      </c>
      <c r="Q1054" s="14">
        <v>0</v>
      </c>
      <c r="R1054" s="229">
        <v>0</v>
      </c>
      <c r="S1054" s="229">
        <v>0</v>
      </c>
      <c r="T1054" s="229">
        <v>0</v>
      </c>
      <c r="U1054" s="229">
        <v>0</v>
      </c>
      <c r="V1054" s="229">
        <v>0</v>
      </c>
      <c r="W1054" s="229">
        <v>0</v>
      </c>
      <c r="X1054" s="229">
        <v>0</v>
      </c>
      <c r="Y1054" s="229">
        <v>0</v>
      </c>
      <c r="Z1054" s="229">
        <v>0</v>
      </c>
      <c r="AA1054" s="229">
        <v>0</v>
      </c>
      <c r="AB1054" s="229">
        <v>0</v>
      </c>
      <c r="AC1054" s="12">
        <v>2</v>
      </c>
      <c r="AD1054" s="14">
        <v>3</v>
      </c>
      <c r="AE1054" s="14">
        <v>105</v>
      </c>
      <c r="AF1054" s="26">
        <v>506</v>
      </c>
      <c r="AG1054" s="12">
        <v>112</v>
      </c>
      <c r="AH1054" s="14">
        <v>1</v>
      </c>
      <c r="AI1054" s="209">
        <v>88.11038169520792</v>
      </c>
      <c r="AJ1054" s="3"/>
      <c r="AK1054" s="3"/>
      <c r="AL1054" s="3"/>
      <c r="AM1054" s="3"/>
      <c r="AN1054" s="3"/>
      <c r="AO1054" s="40"/>
      <c r="AP1054" s="209">
        <v>87.793752651032108</v>
      </c>
      <c r="AQ1054" s="3"/>
      <c r="AR1054" s="40"/>
      <c r="AS1054" s="238"/>
    </row>
    <row r="1055" spans="1:45" s="229" customFormat="1">
      <c r="A1055" s="83" t="s">
        <v>326</v>
      </c>
      <c r="B1055" s="386">
        <v>47.94166666666667</v>
      </c>
      <c r="C1055" s="229" t="s">
        <v>717</v>
      </c>
      <c r="D1055" s="229" t="s">
        <v>699</v>
      </c>
      <c r="E1055" s="229" t="s">
        <v>1</v>
      </c>
      <c r="F1055" s="229">
        <v>304</v>
      </c>
      <c r="G1055" s="40">
        <f>F1055/269</f>
        <v>1.1301115241635689</v>
      </c>
      <c r="H1055" s="14">
        <v>0</v>
      </c>
      <c r="I1055" s="229">
        <v>0</v>
      </c>
      <c r="J1055" s="229">
        <v>0</v>
      </c>
      <c r="K1055" s="26">
        <v>1</v>
      </c>
      <c r="L1055" s="14">
        <v>0</v>
      </c>
      <c r="M1055" s="229">
        <v>0</v>
      </c>
      <c r="N1055" s="229">
        <v>1</v>
      </c>
      <c r="O1055" s="229">
        <v>0</v>
      </c>
      <c r="P1055" s="26">
        <v>1</v>
      </c>
      <c r="Q1055" s="14">
        <v>0</v>
      </c>
      <c r="R1055" s="229">
        <v>0</v>
      </c>
      <c r="S1055" s="229">
        <v>0</v>
      </c>
      <c r="T1055" s="229">
        <v>0</v>
      </c>
      <c r="U1055" s="229">
        <v>0</v>
      </c>
      <c r="V1055" s="229">
        <v>0</v>
      </c>
      <c r="W1055" s="229">
        <v>0</v>
      </c>
      <c r="X1055" s="229">
        <v>0</v>
      </c>
      <c r="Y1055" s="229">
        <v>0</v>
      </c>
      <c r="Z1055" s="229">
        <v>0</v>
      </c>
      <c r="AA1055" s="229">
        <v>0</v>
      </c>
      <c r="AB1055" s="229">
        <v>0</v>
      </c>
      <c r="AC1055" s="12">
        <v>2</v>
      </c>
      <c r="AD1055" s="14">
        <v>3</v>
      </c>
      <c r="AE1055" s="14">
        <v>91</v>
      </c>
      <c r="AF1055" s="26">
        <v>229</v>
      </c>
      <c r="AG1055" s="12">
        <v>112</v>
      </c>
      <c r="AH1055" s="14">
        <v>1</v>
      </c>
      <c r="AI1055" s="209">
        <v>88.383861322538294</v>
      </c>
      <c r="AJ1055" s="3">
        <v>88.371279327570988</v>
      </c>
      <c r="AK1055" s="3"/>
      <c r="AL1055" s="3"/>
      <c r="AM1055" s="3"/>
      <c r="AN1055" s="3"/>
      <c r="AO1055" s="40"/>
      <c r="AP1055" s="209">
        <v>88.395195043171327</v>
      </c>
      <c r="AQ1055" s="3">
        <v>88.124162563085235</v>
      </c>
      <c r="AR1055" s="40"/>
      <c r="AS1055" s="238"/>
    </row>
    <row r="1056" spans="1:45" s="229" customFormat="1">
      <c r="A1056" s="83" t="s">
        <v>326</v>
      </c>
      <c r="B1056" s="386">
        <v>47.94166666666667</v>
      </c>
      <c r="C1056" s="229" t="s">
        <v>717</v>
      </c>
      <c r="D1056" s="229" t="s">
        <v>700</v>
      </c>
      <c r="E1056" s="229" t="s">
        <v>0</v>
      </c>
      <c r="F1056" s="229">
        <v>268</v>
      </c>
      <c r="G1056" s="40">
        <f>F1056/134</f>
        <v>2</v>
      </c>
      <c r="H1056" s="14">
        <v>0</v>
      </c>
      <c r="I1056" s="229">
        <v>0</v>
      </c>
      <c r="J1056" s="229">
        <v>0</v>
      </c>
      <c r="K1056" s="26">
        <v>1</v>
      </c>
      <c r="L1056" s="14">
        <v>0</v>
      </c>
      <c r="M1056" s="229">
        <v>0</v>
      </c>
      <c r="N1056" s="229">
        <v>1</v>
      </c>
      <c r="O1056" s="229">
        <v>0</v>
      </c>
      <c r="P1056" s="26">
        <v>1</v>
      </c>
      <c r="Q1056" s="14">
        <v>0</v>
      </c>
      <c r="R1056" s="229">
        <v>0</v>
      </c>
      <c r="S1056" s="229">
        <v>0</v>
      </c>
      <c r="T1056" s="229">
        <v>0</v>
      </c>
      <c r="U1056" s="229">
        <v>0</v>
      </c>
      <c r="V1056" s="229">
        <v>0</v>
      </c>
      <c r="W1056" s="229">
        <v>0</v>
      </c>
      <c r="X1056" s="229">
        <v>0</v>
      </c>
      <c r="Y1056" s="229">
        <v>0</v>
      </c>
      <c r="Z1056" s="229">
        <v>0</v>
      </c>
      <c r="AA1056" s="229">
        <v>0</v>
      </c>
      <c r="AB1056" s="229">
        <v>0</v>
      </c>
      <c r="AC1056" s="12">
        <v>2</v>
      </c>
      <c r="AD1056" s="14">
        <v>2</v>
      </c>
      <c r="AE1056" s="14">
        <v>77</v>
      </c>
      <c r="AF1056" s="26">
        <v>206</v>
      </c>
      <c r="AG1056" s="12">
        <v>110</v>
      </c>
      <c r="AH1056" s="14">
        <v>1</v>
      </c>
      <c r="AI1056" s="209"/>
      <c r="AJ1056" s="3"/>
      <c r="AK1056" s="3"/>
      <c r="AL1056" s="3"/>
      <c r="AM1056" s="3"/>
      <c r="AN1056" s="3"/>
      <c r="AO1056" s="40"/>
      <c r="AP1056" s="209"/>
      <c r="AQ1056" s="3"/>
      <c r="AR1056" s="40"/>
      <c r="AS1056" s="238"/>
    </row>
    <row r="1057" spans="1:45" s="229" customFormat="1" ht="17" thickBot="1">
      <c r="A1057" s="83" t="s">
        <v>326</v>
      </c>
      <c r="B1057" s="385">
        <v>47.94166666666667</v>
      </c>
      <c r="C1057" s="36" t="s">
        <v>717</v>
      </c>
      <c r="D1057" s="36" t="s">
        <v>700</v>
      </c>
      <c r="E1057" s="36" t="s">
        <v>1</v>
      </c>
      <c r="F1057" s="36">
        <v>514</v>
      </c>
      <c r="G1057" s="48">
        <f>F1057/363</f>
        <v>1.415977961432507</v>
      </c>
      <c r="H1057" s="34">
        <v>0</v>
      </c>
      <c r="I1057" s="36">
        <v>0</v>
      </c>
      <c r="J1057" s="36">
        <v>0</v>
      </c>
      <c r="K1057" s="35">
        <v>1</v>
      </c>
      <c r="L1057" s="34">
        <v>0</v>
      </c>
      <c r="M1057" s="36">
        <v>0</v>
      </c>
      <c r="N1057" s="36">
        <v>1</v>
      </c>
      <c r="O1057" s="36">
        <v>0</v>
      </c>
      <c r="P1057" s="35">
        <v>1</v>
      </c>
      <c r="Q1057" s="34">
        <v>1</v>
      </c>
      <c r="R1057" s="36">
        <v>0</v>
      </c>
      <c r="S1057" s="36">
        <v>9</v>
      </c>
      <c r="T1057" s="36">
        <v>0</v>
      </c>
      <c r="U1057" s="36">
        <v>0</v>
      </c>
      <c r="V1057" s="36">
        <v>0</v>
      </c>
      <c r="W1057" s="36">
        <v>0</v>
      </c>
      <c r="X1057" s="36">
        <v>0</v>
      </c>
      <c r="Y1057" s="36">
        <v>0</v>
      </c>
      <c r="Z1057" s="36">
        <v>0</v>
      </c>
      <c r="AA1057" s="36">
        <v>0</v>
      </c>
      <c r="AB1057" s="36">
        <v>0</v>
      </c>
      <c r="AC1057" s="33">
        <v>2</v>
      </c>
      <c r="AD1057" s="34">
        <v>2</v>
      </c>
      <c r="AE1057" s="34">
        <v>120</v>
      </c>
      <c r="AF1057" s="35">
        <v>514</v>
      </c>
      <c r="AG1057" s="33">
        <v>110</v>
      </c>
      <c r="AH1057" s="34">
        <v>1</v>
      </c>
      <c r="AI1057" s="210"/>
      <c r="AJ1057" s="51"/>
      <c r="AK1057" s="51"/>
      <c r="AL1057" s="51"/>
      <c r="AM1057" s="51"/>
      <c r="AN1057" s="51"/>
      <c r="AO1057" s="48"/>
      <c r="AP1057" s="210"/>
      <c r="AQ1057" s="51"/>
      <c r="AR1057" s="48"/>
      <c r="AS1057" s="239"/>
    </row>
    <row r="1058" spans="1:45" s="229" customFormat="1">
      <c r="A1058" s="147" t="s">
        <v>326</v>
      </c>
      <c r="B1058" s="384">
        <v>47.94166666666667</v>
      </c>
      <c r="C1058" s="24" t="s">
        <v>718</v>
      </c>
      <c r="D1058" s="229" t="s">
        <v>621</v>
      </c>
      <c r="F1058" s="229">
        <v>524</v>
      </c>
      <c r="G1058" s="40">
        <f>F1058/315</f>
        <v>1.6634920634920636</v>
      </c>
      <c r="H1058" s="14">
        <v>0</v>
      </c>
      <c r="I1058" s="229">
        <v>0</v>
      </c>
      <c r="J1058" s="229">
        <v>0</v>
      </c>
      <c r="K1058" s="26">
        <v>1</v>
      </c>
      <c r="L1058" s="14">
        <v>0</v>
      </c>
      <c r="M1058" s="229">
        <v>0</v>
      </c>
      <c r="N1058" s="229">
        <v>0</v>
      </c>
      <c r="O1058" s="229">
        <v>0</v>
      </c>
      <c r="P1058" s="26">
        <v>0</v>
      </c>
      <c r="Q1058" s="14">
        <v>1</v>
      </c>
      <c r="R1058" s="229">
        <v>0</v>
      </c>
      <c r="S1058" s="229">
        <v>0</v>
      </c>
      <c r="T1058" s="229">
        <v>0</v>
      </c>
      <c r="U1058" s="229">
        <v>0</v>
      </c>
      <c r="V1058" s="229">
        <v>0</v>
      </c>
      <c r="W1058" s="229">
        <v>19</v>
      </c>
      <c r="X1058" s="229">
        <v>0</v>
      </c>
      <c r="Y1058" s="229">
        <v>0</v>
      </c>
      <c r="Z1058" s="229">
        <v>0</v>
      </c>
      <c r="AA1058" s="229">
        <v>0</v>
      </c>
      <c r="AB1058" s="229">
        <v>1</v>
      </c>
      <c r="AC1058" s="12">
        <v>2</v>
      </c>
      <c r="AD1058" s="14">
        <v>5</v>
      </c>
      <c r="AE1058" s="14">
        <v>61</v>
      </c>
      <c r="AF1058" s="26">
        <v>311</v>
      </c>
      <c r="AG1058" s="12">
        <v>146</v>
      </c>
      <c r="AH1058" s="14">
        <v>1</v>
      </c>
      <c r="AI1058" s="209"/>
      <c r="AJ1058" s="3"/>
      <c r="AK1058" s="3"/>
      <c r="AL1058" s="3"/>
      <c r="AM1058" s="3"/>
      <c r="AN1058" s="3"/>
      <c r="AO1058" s="40"/>
      <c r="AP1058" s="209"/>
      <c r="AQ1058" s="3"/>
      <c r="AR1058" s="40"/>
      <c r="AS1058" s="238"/>
    </row>
    <row r="1059" spans="1:45" s="229" customFormat="1">
      <c r="A1059" s="83" t="s">
        <v>326</v>
      </c>
      <c r="B1059" s="386">
        <v>47.94166666666667</v>
      </c>
      <c r="C1059" s="24" t="s">
        <v>718</v>
      </c>
      <c r="D1059" s="229" t="s">
        <v>623</v>
      </c>
      <c r="E1059" s="229" t="s">
        <v>0</v>
      </c>
      <c r="F1059" s="229">
        <v>456</v>
      </c>
      <c r="G1059" s="40">
        <f>F1059/291</f>
        <v>1.5670103092783505</v>
      </c>
      <c r="H1059" s="14">
        <v>1</v>
      </c>
      <c r="I1059" s="229">
        <v>0</v>
      </c>
      <c r="J1059" s="229">
        <v>0</v>
      </c>
      <c r="K1059" s="26">
        <v>1</v>
      </c>
      <c r="L1059" s="14">
        <v>0</v>
      </c>
      <c r="M1059" s="229">
        <v>0</v>
      </c>
      <c r="N1059" s="229">
        <v>0</v>
      </c>
      <c r="O1059" s="229">
        <v>0</v>
      </c>
      <c r="P1059" s="26">
        <v>0</v>
      </c>
      <c r="Q1059" s="14">
        <v>6</v>
      </c>
      <c r="R1059" s="229">
        <v>0</v>
      </c>
      <c r="S1059" s="229">
        <v>49</v>
      </c>
      <c r="T1059" s="229">
        <v>0</v>
      </c>
      <c r="U1059" s="229">
        <v>0</v>
      </c>
      <c r="V1059" s="229">
        <v>11</v>
      </c>
      <c r="W1059" s="229">
        <v>33</v>
      </c>
      <c r="X1059" s="229">
        <v>0</v>
      </c>
      <c r="Y1059" s="229">
        <v>0</v>
      </c>
      <c r="Z1059" s="229">
        <v>0</v>
      </c>
      <c r="AA1059" s="229">
        <v>0</v>
      </c>
      <c r="AB1059" s="229">
        <v>1</v>
      </c>
      <c r="AC1059" s="12">
        <v>2</v>
      </c>
      <c r="AD1059" s="14">
        <v>3</v>
      </c>
      <c r="AE1059" s="14">
        <v>98</v>
      </c>
      <c r="AF1059" s="26">
        <v>370</v>
      </c>
      <c r="AG1059" s="12">
        <v>86</v>
      </c>
      <c r="AH1059" s="14">
        <v>1</v>
      </c>
      <c r="AI1059" s="209"/>
      <c r="AJ1059" s="3"/>
      <c r="AK1059" s="3"/>
      <c r="AL1059" s="3"/>
      <c r="AM1059" s="3"/>
      <c r="AN1059" s="3"/>
      <c r="AO1059" s="40"/>
      <c r="AP1059" s="209"/>
      <c r="AQ1059" s="3"/>
      <c r="AR1059" s="40"/>
      <c r="AS1059" s="238"/>
    </row>
    <row r="1060" spans="1:45" s="229" customFormat="1">
      <c r="A1060" s="83" t="s">
        <v>326</v>
      </c>
      <c r="B1060" s="386">
        <v>47.94166666666667</v>
      </c>
      <c r="C1060" s="24" t="s">
        <v>718</v>
      </c>
      <c r="D1060" s="229" t="s">
        <v>623</v>
      </c>
      <c r="E1060" s="229" t="s">
        <v>1</v>
      </c>
      <c r="F1060" s="229">
        <v>100</v>
      </c>
      <c r="G1060" s="40">
        <f>F1060/61</f>
        <v>1.639344262295082</v>
      </c>
      <c r="H1060" s="14">
        <v>0</v>
      </c>
      <c r="I1060" s="229">
        <v>0</v>
      </c>
      <c r="J1060" s="229">
        <v>0</v>
      </c>
      <c r="K1060" s="26">
        <v>1</v>
      </c>
      <c r="L1060" s="14">
        <v>0</v>
      </c>
      <c r="M1060" s="229">
        <v>0</v>
      </c>
      <c r="N1060" s="229">
        <v>0</v>
      </c>
      <c r="O1060" s="229">
        <v>0</v>
      </c>
      <c r="P1060" s="26">
        <v>0</v>
      </c>
      <c r="Q1060" s="14">
        <v>0</v>
      </c>
      <c r="R1060" s="229">
        <v>0</v>
      </c>
      <c r="S1060" s="229">
        <v>0</v>
      </c>
      <c r="T1060" s="229">
        <v>0</v>
      </c>
      <c r="U1060" s="229">
        <v>0</v>
      </c>
      <c r="V1060" s="229">
        <v>0</v>
      </c>
      <c r="W1060" s="229">
        <v>0</v>
      </c>
      <c r="X1060" s="229">
        <v>0</v>
      </c>
      <c r="Y1060" s="229">
        <v>0</v>
      </c>
      <c r="Z1060" s="229">
        <v>0</v>
      </c>
      <c r="AA1060" s="229">
        <v>0</v>
      </c>
      <c r="AB1060" s="229">
        <v>0</v>
      </c>
      <c r="AC1060" s="12">
        <v>2</v>
      </c>
      <c r="AD1060" s="14">
        <v>2</v>
      </c>
      <c r="AE1060" s="14">
        <v>57</v>
      </c>
      <c r="AF1060" s="26">
        <v>61</v>
      </c>
      <c r="AG1060" s="12">
        <v>86</v>
      </c>
      <c r="AH1060" s="14">
        <v>1</v>
      </c>
      <c r="AI1060" s="209"/>
      <c r="AJ1060" s="3"/>
      <c r="AK1060" s="3"/>
      <c r="AL1060" s="3"/>
      <c r="AM1060" s="3"/>
      <c r="AN1060" s="3"/>
      <c r="AO1060" s="40"/>
      <c r="AP1060" s="209"/>
      <c r="AQ1060" s="3"/>
      <c r="AR1060" s="40"/>
      <c r="AS1060" s="238"/>
    </row>
    <row r="1061" spans="1:45" s="229" customFormat="1">
      <c r="A1061" s="83" t="s">
        <v>326</v>
      </c>
      <c r="B1061" s="386">
        <v>47.94166666666667</v>
      </c>
      <c r="C1061" s="24" t="s">
        <v>718</v>
      </c>
      <c r="D1061" s="229" t="s">
        <v>626</v>
      </c>
      <c r="E1061" s="229" t="s">
        <v>0</v>
      </c>
      <c r="F1061" s="229">
        <v>284</v>
      </c>
      <c r="G1061" s="40">
        <f>F1061/138</f>
        <v>2.0579710144927534</v>
      </c>
      <c r="H1061" s="14">
        <v>1</v>
      </c>
      <c r="I1061" s="229">
        <v>0</v>
      </c>
      <c r="J1061" s="229">
        <v>0</v>
      </c>
      <c r="K1061" s="26">
        <v>0</v>
      </c>
      <c r="L1061" s="14">
        <v>0</v>
      </c>
      <c r="M1061" s="229">
        <v>0</v>
      </c>
      <c r="N1061" s="229">
        <v>0</v>
      </c>
      <c r="O1061" s="229">
        <v>0</v>
      </c>
      <c r="P1061" s="26">
        <v>0</v>
      </c>
      <c r="Q1061" s="14">
        <v>5</v>
      </c>
      <c r="R1061" s="229">
        <v>0</v>
      </c>
      <c r="S1061" s="229">
        <v>0</v>
      </c>
      <c r="T1061" s="229">
        <v>0</v>
      </c>
      <c r="U1061" s="229">
        <v>0</v>
      </c>
      <c r="V1061" s="229">
        <v>0</v>
      </c>
      <c r="W1061" s="229">
        <v>44</v>
      </c>
      <c r="X1061" s="229">
        <v>0</v>
      </c>
      <c r="Y1061" s="229">
        <v>0</v>
      </c>
      <c r="Z1061" s="229">
        <v>0</v>
      </c>
      <c r="AA1061" s="229">
        <v>0</v>
      </c>
      <c r="AB1061" s="229">
        <v>0</v>
      </c>
      <c r="AC1061" s="12">
        <v>1</v>
      </c>
      <c r="AD1061" s="14">
        <v>1</v>
      </c>
      <c r="AE1061" s="14">
        <v>0</v>
      </c>
      <c r="AF1061" s="26">
        <v>0</v>
      </c>
      <c r="AG1061" s="12">
        <v>69</v>
      </c>
      <c r="AH1061" s="14">
        <v>1</v>
      </c>
      <c r="AI1061" s="209"/>
      <c r="AJ1061" s="3"/>
      <c r="AK1061" s="3"/>
      <c r="AL1061" s="3"/>
      <c r="AM1061" s="3"/>
      <c r="AN1061" s="3"/>
      <c r="AO1061" s="40"/>
      <c r="AP1061" s="209"/>
      <c r="AQ1061" s="3"/>
      <c r="AR1061" s="40"/>
      <c r="AS1061" s="238"/>
    </row>
    <row r="1062" spans="1:45" s="229" customFormat="1">
      <c r="A1062" s="83" t="s">
        <v>326</v>
      </c>
      <c r="B1062" s="386">
        <v>47.94166666666667</v>
      </c>
      <c r="C1062" s="24" t="s">
        <v>718</v>
      </c>
      <c r="D1062" s="229" t="s">
        <v>626</v>
      </c>
      <c r="E1062" s="229" t="s">
        <v>1</v>
      </c>
      <c r="F1062" s="229">
        <v>407</v>
      </c>
      <c r="G1062" s="40">
        <f>F1062/379</f>
        <v>1.0738786279683377</v>
      </c>
      <c r="H1062" s="14">
        <v>0</v>
      </c>
      <c r="I1062" s="229">
        <v>0</v>
      </c>
      <c r="J1062" s="229">
        <v>0</v>
      </c>
      <c r="K1062" s="26">
        <v>1</v>
      </c>
      <c r="L1062" s="14">
        <v>0</v>
      </c>
      <c r="M1062" s="229">
        <v>0</v>
      </c>
      <c r="N1062" s="229">
        <v>0</v>
      </c>
      <c r="O1062" s="229">
        <v>0</v>
      </c>
      <c r="P1062" s="26">
        <v>0</v>
      </c>
      <c r="Q1062" s="14">
        <v>5</v>
      </c>
      <c r="R1062" s="229">
        <v>23</v>
      </c>
      <c r="S1062" s="229">
        <v>79</v>
      </c>
      <c r="T1062" s="229">
        <v>0</v>
      </c>
      <c r="U1062" s="229">
        <v>0</v>
      </c>
      <c r="V1062" s="229">
        <v>0</v>
      </c>
      <c r="W1062" s="229">
        <v>0</v>
      </c>
      <c r="X1062" s="229">
        <v>0</v>
      </c>
      <c r="Y1062" s="229">
        <v>0</v>
      </c>
      <c r="Z1062" s="229">
        <v>0</v>
      </c>
      <c r="AA1062" s="229">
        <v>0</v>
      </c>
      <c r="AB1062" s="229">
        <v>0</v>
      </c>
      <c r="AC1062" s="12">
        <v>2</v>
      </c>
      <c r="AD1062" s="14">
        <v>3</v>
      </c>
      <c r="AE1062" s="14">
        <v>165</v>
      </c>
      <c r="AF1062" s="26">
        <v>380</v>
      </c>
      <c r="AG1062" s="12">
        <v>69</v>
      </c>
      <c r="AH1062" s="14">
        <v>1</v>
      </c>
      <c r="AI1062" s="209"/>
      <c r="AJ1062" s="3"/>
      <c r="AK1062" s="3"/>
      <c r="AL1062" s="3"/>
      <c r="AM1062" s="3"/>
      <c r="AN1062" s="3"/>
      <c r="AO1062" s="40"/>
      <c r="AP1062" s="209"/>
      <c r="AQ1062" s="3"/>
      <c r="AR1062" s="40"/>
      <c r="AS1062" s="238"/>
    </row>
    <row r="1063" spans="1:45" s="229" customFormat="1">
      <c r="A1063" s="83" t="s">
        <v>326</v>
      </c>
      <c r="B1063" s="386">
        <v>47.94166666666667</v>
      </c>
      <c r="C1063" s="24" t="s">
        <v>718</v>
      </c>
      <c r="D1063" s="229" t="s">
        <v>626</v>
      </c>
      <c r="E1063" s="229" t="s">
        <v>2</v>
      </c>
      <c r="F1063" s="229">
        <v>252</v>
      </c>
      <c r="G1063" s="40">
        <f>F1063/219</f>
        <v>1.1506849315068493</v>
      </c>
      <c r="H1063" s="14">
        <v>0</v>
      </c>
      <c r="I1063" s="229">
        <v>1</v>
      </c>
      <c r="J1063" s="229">
        <v>1</v>
      </c>
      <c r="K1063" s="26">
        <v>0</v>
      </c>
      <c r="L1063" s="14">
        <v>0</v>
      </c>
      <c r="M1063" s="229">
        <v>0</v>
      </c>
      <c r="N1063" s="229">
        <v>0</v>
      </c>
      <c r="O1063" s="229">
        <v>0</v>
      </c>
      <c r="P1063" s="26">
        <v>0</v>
      </c>
      <c r="Q1063" s="14">
        <v>1</v>
      </c>
      <c r="R1063" s="229">
        <v>0</v>
      </c>
      <c r="S1063" s="229">
        <v>0</v>
      </c>
      <c r="T1063" s="229">
        <v>0</v>
      </c>
      <c r="U1063" s="229">
        <v>0</v>
      </c>
      <c r="V1063" s="229">
        <v>0</v>
      </c>
      <c r="W1063" s="229">
        <v>5</v>
      </c>
      <c r="X1063" s="229">
        <v>0</v>
      </c>
      <c r="Y1063" s="229">
        <v>0</v>
      </c>
      <c r="Z1063" s="229">
        <v>0</v>
      </c>
      <c r="AA1063" s="229">
        <v>0</v>
      </c>
      <c r="AB1063" s="229">
        <v>1</v>
      </c>
      <c r="AC1063" s="12">
        <v>2</v>
      </c>
      <c r="AD1063" s="14">
        <v>2</v>
      </c>
      <c r="AE1063" s="14">
        <v>40</v>
      </c>
      <c r="AF1063" s="26">
        <v>252</v>
      </c>
      <c r="AG1063" s="12">
        <v>69</v>
      </c>
      <c r="AH1063" s="14">
        <v>1</v>
      </c>
      <c r="AI1063" s="209"/>
      <c r="AJ1063" s="3"/>
      <c r="AK1063" s="3"/>
      <c r="AL1063" s="3"/>
      <c r="AM1063" s="3"/>
      <c r="AN1063" s="3"/>
      <c r="AO1063" s="40"/>
      <c r="AP1063" s="209"/>
      <c r="AQ1063" s="3"/>
      <c r="AR1063" s="40"/>
      <c r="AS1063" s="238"/>
    </row>
    <row r="1064" spans="1:45" s="229" customFormat="1">
      <c r="A1064" s="83" t="s">
        <v>326</v>
      </c>
      <c r="B1064" s="386">
        <v>47.94166666666667</v>
      </c>
      <c r="C1064" s="24" t="s">
        <v>718</v>
      </c>
      <c r="D1064" s="229" t="s">
        <v>719</v>
      </c>
      <c r="F1064" s="229">
        <v>569</v>
      </c>
      <c r="G1064" s="40">
        <f>F1064/297</f>
        <v>1.9158249158249159</v>
      </c>
      <c r="H1064" s="14">
        <v>0</v>
      </c>
      <c r="I1064" s="229">
        <v>0</v>
      </c>
      <c r="J1064" s="229">
        <v>1</v>
      </c>
      <c r="K1064" s="26">
        <v>0</v>
      </c>
      <c r="L1064" s="14">
        <v>0</v>
      </c>
      <c r="M1064" s="229">
        <v>0</v>
      </c>
      <c r="N1064" s="229">
        <v>0</v>
      </c>
      <c r="O1064" s="229">
        <v>0</v>
      </c>
      <c r="P1064" s="26">
        <v>0</v>
      </c>
      <c r="Q1064" s="14">
        <v>1</v>
      </c>
      <c r="R1064" s="229">
        <v>0</v>
      </c>
      <c r="S1064" s="229">
        <v>0</v>
      </c>
      <c r="T1064" s="229">
        <v>0</v>
      </c>
      <c r="U1064" s="229">
        <v>0</v>
      </c>
      <c r="V1064" s="229">
        <v>0</v>
      </c>
      <c r="W1064" s="229">
        <v>21</v>
      </c>
      <c r="X1064" s="229">
        <v>0</v>
      </c>
      <c r="Y1064" s="229">
        <v>0</v>
      </c>
      <c r="Z1064" s="229">
        <v>0</v>
      </c>
      <c r="AA1064" s="229">
        <v>0</v>
      </c>
      <c r="AB1064" s="229">
        <v>0</v>
      </c>
      <c r="AC1064" s="12">
        <v>1</v>
      </c>
      <c r="AD1064" s="14">
        <v>1</v>
      </c>
      <c r="AE1064" s="14">
        <v>0</v>
      </c>
      <c r="AF1064" s="26">
        <v>0</v>
      </c>
      <c r="AG1064" s="12">
        <v>91</v>
      </c>
      <c r="AH1064" s="14">
        <v>0</v>
      </c>
      <c r="AI1064" s="209">
        <v>87.541667010797767</v>
      </c>
      <c r="AJ1064" s="3"/>
      <c r="AK1064" s="3"/>
      <c r="AL1064" s="3"/>
      <c r="AM1064" s="3"/>
      <c r="AN1064" s="3"/>
      <c r="AO1064" s="40"/>
      <c r="AP1064" s="209">
        <v>87.255870025601084</v>
      </c>
      <c r="AQ1064" s="3"/>
      <c r="AR1064" s="40"/>
      <c r="AS1064" s="238"/>
    </row>
    <row r="1065" spans="1:45" s="229" customFormat="1">
      <c r="A1065" s="83" t="s">
        <v>326</v>
      </c>
      <c r="B1065" s="386">
        <v>47.94166666666667</v>
      </c>
      <c r="C1065" s="24" t="s">
        <v>718</v>
      </c>
      <c r="D1065" s="229" t="s">
        <v>707</v>
      </c>
      <c r="E1065" s="229" t="s">
        <v>0</v>
      </c>
      <c r="F1065" s="229">
        <v>180</v>
      </c>
      <c r="G1065" s="40">
        <f>F1065/160</f>
        <v>1.125</v>
      </c>
      <c r="H1065" s="14">
        <v>1</v>
      </c>
      <c r="I1065" s="229">
        <v>0</v>
      </c>
      <c r="J1065" s="229">
        <v>0</v>
      </c>
      <c r="K1065" s="26">
        <v>1</v>
      </c>
      <c r="L1065" s="14">
        <v>0</v>
      </c>
      <c r="M1065" s="229">
        <v>0</v>
      </c>
      <c r="N1065" s="229">
        <v>1</v>
      </c>
      <c r="O1065" s="229">
        <v>0</v>
      </c>
      <c r="P1065" s="26">
        <v>1</v>
      </c>
      <c r="Q1065" s="14">
        <v>0</v>
      </c>
      <c r="R1065" s="229">
        <v>0</v>
      </c>
      <c r="S1065" s="229">
        <v>0</v>
      </c>
      <c r="T1065" s="229">
        <v>0</v>
      </c>
      <c r="U1065" s="229">
        <v>0</v>
      </c>
      <c r="V1065" s="229">
        <v>0</v>
      </c>
      <c r="W1065" s="229">
        <v>0</v>
      </c>
      <c r="X1065" s="229">
        <v>0</v>
      </c>
      <c r="Y1065" s="229">
        <v>0</v>
      </c>
      <c r="Z1065" s="229">
        <v>0</v>
      </c>
      <c r="AA1065" s="229">
        <v>0</v>
      </c>
      <c r="AB1065" s="229">
        <v>0</v>
      </c>
      <c r="AC1065" s="12">
        <v>2</v>
      </c>
      <c r="AD1065" s="14">
        <v>5</v>
      </c>
      <c r="AE1065" s="14">
        <v>24</v>
      </c>
      <c r="AF1065" s="26">
        <v>130</v>
      </c>
      <c r="AG1065" s="12">
        <v>53</v>
      </c>
      <c r="AH1065" s="14">
        <v>1</v>
      </c>
      <c r="AI1065" s="209"/>
      <c r="AJ1065" s="3"/>
      <c r="AK1065" s="3"/>
      <c r="AL1065" s="3"/>
      <c r="AM1065" s="3"/>
      <c r="AN1065" s="3"/>
      <c r="AO1065" s="40"/>
      <c r="AP1065" s="209"/>
      <c r="AQ1065" s="3"/>
      <c r="AR1065" s="40"/>
      <c r="AS1065" s="238"/>
    </row>
    <row r="1066" spans="1:45" s="229" customFormat="1">
      <c r="A1066" s="83" t="s">
        <v>326</v>
      </c>
      <c r="B1066" s="386">
        <v>47.94166666666667</v>
      </c>
      <c r="C1066" s="24" t="s">
        <v>718</v>
      </c>
      <c r="D1066" s="229" t="s">
        <v>707</v>
      </c>
      <c r="E1066" s="229" t="s">
        <v>1</v>
      </c>
      <c r="F1066" s="229">
        <v>254</v>
      </c>
      <c r="G1066" s="40">
        <f>F1066/101</f>
        <v>2.5148514851485149</v>
      </c>
      <c r="H1066" s="14">
        <v>1</v>
      </c>
      <c r="I1066" s="229">
        <v>0</v>
      </c>
      <c r="J1066" s="229">
        <v>0</v>
      </c>
      <c r="K1066" s="26">
        <v>0</v>
      </c>
      <c r="L1066" s="14">
        <v>0</v>
      </c>
      <c r="M1066" s="229">
        <v>0</v>
      </c>
      <c r="N1066" s="229">
        <v>0</v>
      </c>
      <c r="O1066" s="229">
        <v>0</v>
      </c>
      <c r="P1066" s="26">
        <v>0</v>
      </c>
      <c r="Q1066" s="14">
        <v>0</v>
      </c>
      <c r="R1066" s="229">
        <v>0</v>
      </c>
      <c r="S1066" s="229">
        <v>0</v>
      </c>
      <c r="T1066" s="229">
        <v>0</v>
      </c>
      <c r="U1066" s="229">
        <v>0</v>
      </c>
      <c r="V1066" s="229">
        <v>0</v>
      </c>
      <c r="W1066" s="229">
        <v>0</v>
      </c>
      <c r="X1066" s="229">
        <v>0</v>
      </c>
      <c r="Y1066" s="229">
        <v>0</v>
      </c>
      <c r="Z1066" s="229">
        <v>0</v>
      </c>
      <c r="AA1066" s="229">
        <v>0</v>
      </c>
      <c r="AB1066" s="229">
        <v>0</v>
      </c>
      <c r="AC1066" s="12">
        <v>2</v>
      </c>
      <c r="AD1066" s="14">
        <v>2</v>
      </c>
      <c r="AE1066" s="14">
        <v>114</v>
      </c>
      <c r="AF1066" s="26">
        <v>138</v>
      </c>
      <c r="AG1066" s="12">
        <v>53</v>
      </c>
      <c r="AH1066" s="14">
        <v>1</v>
      </c>
      <c r="AI1066" s="209"/>
      <c r="AJ1066" s="3"/>
      <c r="AK1066" s="3"/>
      <c r="AL1066" s="3"/>
      <c r="AM1066" s="3"/>
      <c r="AN1066" s="3"/>
      <c r="AO1066" s="40"/>
      <c r="AP1066" s="209"/>
      <c r="AQ1066" s="3"/>
      <c r="AR1066" s="40"/>
      <c r="AS1066" s="238"/>
    </row>
    <row r="1067" spans="1:45" s="229" customFormat="1">
      <c r="A1067" s="83" t="s">
        <v>326</v>
      </c>
      <c r="B1067" s="386">
        <v>47.94166666666667</v>
      </c>
      <c r="C1067" s="24" t="s">
        <v>718</v>
      </c>
      <c r="D1067" s="229" t="s">
        <v>720</v>
      </c>
      <c r="E1067" s="229" t="s">
        <v>0</v>
      </c>
      <c r="F1067" s="229">
        <v>521</v>
      </c>
      <c r="G1067" s="40">
        <f>F1067/343</f>
        <v>1.5189504373177842</v>
      </c>
      <c r="H1067" s="14">
        <v>1</v>
      </c>
      <c r="I1067" s="229">
        <v>0</v>
      </c>
      <c r="J1067" s="229">
        <v>0</v>
      </c>
      <c r="K1067" s="26">
        <v>0</v>
      </c>
      <c r="L1067" s="14">
        <v>0</v>
      </c>
      <c r="M1067" s="229">
        <v>0</v>
      </c>
      <c r="N1067" s="229">
        <v>0</v>
      </c>
      <c r="O1067" s="229">
        <v>0</v>
      </c>
      <c r="P1067" s="26">
        <v>0</v>
      </c>
      <c r="Q1067" s="14">
        <v>0</v>
      </c>
      <c r="R1067" s="229">
        <v>0</v>
      </c>
      <c r="S1067" s="229">
        <v>0</v>
      </c>
      <c r="T1067" s="229">
        <v>0</v>
      </c>
      <c r="U1067" s="229">
        <v>0</v>
      </c>
      <c r="V1067" s="229">
        <v>0</v>
      </c>
      <c r="W1067" s="229">
        <v>0</v>
      </c>
      <c r="X1067" s="229">
        <v>0</v>
      </c>
      <c r="Y1067" s="229">
        <v>0</v>
      </c>
      <c r="Z1067" s="229">
        <v>0</v>
      </c>
      <c r="AA1067" s="229">
        <v>0</v>
      </c>
      <c r="AB1067" s="229">
        <v>0</v>
      </c>
      <c r="AC1067" s="12">
        <v>2</v>
      </c>
      <c r="AD1067" s="14">
        <v>2</v>
      </c>
      <c r="AE1067" s="14">
        <v>231</v>
      </c>
      <c r="AF1067" s="26">
        <v>376</v>
      </c>
      <c r="AG1067" s="12">
        <v>194</v>
      </c>
      <c r="AH1067" s="14">
        <v>0</v>
      </c>
      <c r="AI1067" s="209"/>
      <c r="AJ1067" s="3"/>
      <c r="AK1067" s="3"/>
      <c r="AL1067" s="3"/>
      <c r="AM1067" s="3"/>
      <c r="AN1067" s="3"/>
      <c r="AO1067" s="40"/>
      <c r="AP1067" s="209"/>
      <c r="AQ1067" s="3"/>
      <c r="AR1067" s="40"/>
      <c r="AS1067" s="238"/>
    </row>
    <row r="1068" spans="1:45" s="229" customFormat="1">
      <c r="A1068" s="83" t="s">
        <v>326</v>
      </c>
      <c r="B1068" s="386">
        <v>47.94166666666667</v>
      </c>
      <c r="C1068" s="24" t="s">
        <v>718</v>
      </c>
      <c r="D1068" s="229" t="s">
        <v>720</v>
      </c>
      <c r="E1068" s="229" t="s">
        <v>1</v>
      </c>
      <c r="F1068" s="229">
        <v>739</v>
      </c>
      <c r="G1068" s="40">
        <f>F1068/431</f>
        <v>1.7146171693735499</v>
      </c>
      <c r="H1068" s="14">
        <v>1</v>
      </c>
      <c r="I1068" s="229">
        <v>0</v>
      </c>
      <c r="J1068" s="229">
        <v>0</v>
      </c>
      <c r="K1068" s="26">
        <v>0</v>
      </c>
      <c r="L1068" s="14">
        <v>0</v>
      </c>
      <c r="M1068" s="229">
        <v>0</v>
      </c>
      <c r="N1068" s="229">
        <v>0</v>
      </c>
      <c r="O1068" s="229">
        <v>0</v>
      </c>
      <c r="P1068" s="26">
        <v>0</v>
      </c>
      <c r="Q1068" s="14">
        <v>2</v>
      </c>
      <c r="R1068" s="229">
        <v>0</v>
      </c>
      <c r="S1068" s="229">
        <v>0</v>
      </c>
      <c r="T1068" s="229">
        <v>0</v>
      </c>
      <c r="U1068" s="229">
        <v>0</v>
      </c>
      <c r="V1068" s="229">
        <v>0</v>
      </c>
      <c r="W1068" s="229">
        <v>194</v>
      </c>
      <c r="X1068" s="229">
        <v>0</v>
      </c>
      <c r="Y1068" s="229">
        <v>0</v>
      </c>
      <c r="Z1068" s="229">
        <v>0</v>
      </c>
      <c r="AA1068" s="229">
        <v>0</v>
      </c>
      <c r="AB1068" s="229">
        <v>0</v>
      </c>
      <c r="AC1068" s="12">
        <v>1</v>
      </c>
      <c r="AD1068" s="14">
        <v>1</v>
      </c>
      <c r="AE1068" s="14">
        <v>0</v>
      </c>
      <c r="AF1068" s="26">
        <v>0</v>
      </c>
      <c r="AG1068" s="12">
        <v>194</v>
      </c>
      <c r="AH1068" s="14">
        <v>1</v>
      </c>
      <c r="AI1068" s="209"/>
      <c r="AJ1068" s="3"/>
      <c r="AK1068" s="3"/>
      <c r="AL1068" s="3"/>
      <c r="AM1068" s="3"/>
      <c r="AN1068" s="3"/>
      <c r="AO1068" s="40"/>
      <c r="AP1068" s="209"/>
      <c r="AQ1068" s="3"/>
      <c r="AR1068" s="40"/>
      <c r="AS1068" s="238"/>
    </row>
    <row r="1069" spans="1:45" s="229" customFormat="1">
      <c r="A1069" s="83" t="s">
        <v>326</v>
      </c>
      <c r="B1069" s="386">
        <v>47.94166666666667</v>
      </c>
      <c r="C1069" s="24" t="s">
        <v>718</v>
      </c>
      <c r="D1069" s="229" t="s">
        <v>720</v>
      </c>
      <c r="E1069" s="229" t="s">
        <v>2</v>
      </c>
      <c r="F1069" s="229">
        <v>1068</v>
      </c>
      <c r="G1069" s="40">
        <f>F1069/1009</f>
        <v>1.0584737363726462</v>
      </c>
      <c r="H1069" s="14">
        <v>1</v>
      </c>
      <c r="I1069" s="229">
        <v>0</v>
      </c>
      <c r="J1069" s="229">
        <v>0</v>
      </c>
      <c r="K1069" s="26">
        <v>1</v>
      </c>
      <c r="L1069" s="14">
        <v>0</v>
      </c>
      <c r="M1069" s="229">
        <v>0</v>
      </c>
      <c r="N1069" s="229">
        <v>0</v>
      </c>
      <c r="O1069" s="229">
        <v>0</v>
      </c>
      <c r="P1069" s="26">
        <v>0</v>
      </c>
      <c r="Q1069" s="14">
        <v>2</v>
      </c>
      <c r="R1069" s="229">
        <v>0</v>
      </c>
      <c r="S1069" s="229">
        <v>0</v>
      </c>
      <c r="T1069" s="229">
        <v>0</v>
      </c>
      <c r="U1069" s="229">
        <v>0</v>
      </c>
      <c r="V1069" s="229">
        <v>0</v>
      </c>
      <c r="W1069" s="229">
        <v>168</v>
      </c>
      <c r="X1069" s="229">
        <v>0</v>
      </c>
      <c r="Y1069" s="229">
        <v>0</v>
      </c>
      <c r="Z1069" s="229">
        <v>0</v>
      </c>
      <c r="AA1069" s="229">
        <v>0</v>
      </c>
      <c r="AB1069" s="229">
        <v>0</v>
      </c>
      <c r="AC1069" s="12">
        <v>2</v>
      </c>
      <c r="AD1069" s="14">
        <v>2</v>
      </c>
      <c r="AE1069" s="14">
        <v>552</v>
      </c>
      <c r="AF1069" s="26">
        <v>1068</v>
      </c>
      <c r="AG1069" s="12">
        <v>194</v>
      </c>
      <c r="AH1069" s="14">
        <v>1</v>
      </c>
      <c r="AI1069" s="209"/>
      <c r="AJ1069" s="3"/>
      <c r="AK1069" s="3"/>
      <c r="AL1069" s="3"/>
      <c r="AM1069" s="3"/>
      <c r="AN1069" s="3"/>
      <c r="AO1069" s="40"/>
      <c r="AP1069" s="209"/>
      <c r="AQ1069" s="3"/>
      <c r="AR1069" s="40"/>
      <c r="AS1069" s="238"/>
    </row>
    <row r="1070" spans="1:45" s="229" customFormat="1">
      <c r="A1070" s="83" t="s">
        <v>326</v>
      </c>
      <c r="B1070" s="386">
        <v>47.94166666666667</v>
      </c>
      <c r="C1070" s="24" t="s">
        <v>718</v>
      </c>
      <c r="D1070" s="229" t="s">
        <v>721</v>
      </c>
      <c r="F1070" s="229">
        <v>949</v>
      </c>
      <c r="G1070" s="40">
        <f>F1070/491</f>
        <v>1.9327902240325865</v>
      </c>
      <c r="H1070" s="14">
        <v>1</v>
      </c>
      <c r="I1070" s="229">
        <v>0</v>
      </c>
      <c r="J1070" s="229">
        <v>1</v>
      </c>
      <c r="K1070" s="26">
        <v>0</v>
      </c>
      <c r="L1070" s="14">
        <v>0</v>
      </c>
      <c r="M1070" s="229">
        <v>0</v>
      </c>
      <c r="N1070" s="229">
        <v>0</v>
      </c>
      <c r="O1070" s="229">
        <v>0</v>
      </c>
      <c r="P1070" s="26">
        <v>0</v>
      </c>
      <c r="Q1070" s="14">
        <v>2</v>
      </c>
      <c r="R1070" s="229">
        <v>26</v>
      </c>
      <c r="S1070" s="229">
        <v>47</v>
      </c>
      <c r="T1070" s="229">
        <v>0</v>
      </c>
      <c r="U1070" s="229">
        <v>0</v>
      </c>
      <c r="V1070" s="229">
        <v>0</v>
      </c>
      <c r="W1070" s="229">
        <v>0</v>
      </c>
      <c r="X1070" s="229">
        <v>0</v>
      </c>
      <c r="Y1070" s="229">
        <v>0</v>
      </c>
      <c r="Z1070" s="229">
        <v>0</v>
      </c>
      <c r="AA1070" s="229">
        <v>0</v>
      </c>
      <c r="AB1070" s="229">
        <v>1</v>
      </c>
      <c r="AC1070" s="12">
        <v>2</v>
      </c>
      <c r="AD1070" s="14">
        <v>2</v>
      </c>
      <c r="AE1070" s="14">
        <v>144</v>
      </c>
      <c r="AF1070" s="26">
        <v>804</v>
      </c>
      <c r="AG1070" s="12">
        <v>97</v>
      </c>
      <c r="AH1070" s="14">
        <v>1</v>
      </c>
      <c r="AI1070" s="209">
        <v>87.57145582553926</v>
      </c>
      <c r="AJ1070" s="3"/>
      <c r="AK1070" s="3"/>
      <c r="AL1070" s="3"/>
      <c r="AM1070" s="3"/>
      <c r="AN1070" s="3"/>
      <c r="AO1070" s="40"/>
      <c r="AP1070" s="209">
        <v>87.476634384857007</v>
      </c>
      <c r="AQ1070" s="3"/>
      <c r="AR1070" s="40"/>
      <c r="AS1070" s="238"/>
    </row>
    <row r="1071" spans="1:45" s="229" customFormat="1">
      <c r="A1071" s="83" t="s">
        <v>326</v>
      </c>
      <c r="B1071" s="386">
        <v>47.94166666666667</v>
      </c>
      <c r="C1071" s="24" t="s">
        <v>718</v>
      </c>
      <c r="D1071" s="229" t="s">
        <v>722</v>
      </c>
      <c r="E1071" s="229" t="s">
        <v>0</v>
      </c>
      <c r="F1071" s="229">
        <v>128</v>
      </c>
      <c r="G1071" s="40">
        <f>F1071/101</f>
        <v>1.2673267326732673</v>
      </c>
      <c r="H1071" s="14">
        <v>1</v>
      </c>
      <c r="I1071" s="229">
        <v>0</v>
      </c>
      <c r="J1071" s="229">
        <v>0</v>
      </c>
      <c r="K1071" s="26">
        <v>0</v>
      </c>
      <c r="L1071" s="14">
        <v>0</v>
      </c>
      <c r="M1071" s="229">
        <v>0</v>
      </c>
      <c r="N1071" s="229">
        <v>0</v>
      </c>
      <c r="O1071" s="229">
        <v>1</v>
      </c>
      <c r="P1071" s="26">
        <v>1</v>
      </c>
      <c r="Q1071" s="14">
        <v>5</v>
      </c>
      <c r="R1071" s="229">
        <v>0</v>
      </c>
      <c r="S1071" s="229">
        <v>19</v>
      </c>
      <c r="T1071" s="229">
        <v>0</v>
      </c>
      <c r="U1071" s="229">
        <v>0</v>
      </c>
      <c r="V1071" s="229">
        <v>0</v>
      </c>
      <c r="W1071" s="229">
        <v>0</v>
      </c>
      <c r="X1071" s="229">
        <v>0</v>
      </c>
      <c r="Y1071" s="229">
        <v>0</v>
      </c>
      <c r="Z1071" s="229">
        <v>0</v>
      </c>
      <c r="AA1071" s="229">
        <v>0</v>
      </c>
      <c r="AB1071" s="229">
        <v>1</v>
      </c>
      <c r="AC1071" s="12">
        <v>1</v>
      </c>
      <c r="AD1071" s="14">
        <v>1</v>
      </c>
      <c r="AE1071" s="14">
        <v>0</v>
      </c>
      <c r="AF1071" s="26">
        <v>0</v>
      </c>
      <c r="AG1071" s="12">
        <v>120</v>
      </c>
      <c r="AH1071" s="14">
        <v>0</v>
      </c>
      <c r="AI1071" s="209"/>
      <c r="AJ1071" s="3"/>
      <c r="AK1071" s="3"/>
      <c r="AL1071" s="3"/>
      <c r="AM1071" s="3"/>
      <c r="AN1071" s="3"/>
      <c r="AO1071" s="40"/>
      <c r="AP1071" s="209"/>
      <c r="AQ1071" s="3"/>
      <c r="AR1071" s="40"/>
      <c r="AS1071" s="238"/>
    </row>
    <row r="1072" spans="1:45" s="229" customFormat="1">
      <c r="A1072" s="83" t="s">
        <v>326</v>
      </c>
      <c r="B1072" s="386">
        <v>47.94166666666667</v>
      </c>
      <c r="C1072" s="24" t="s">
        <v>718</v>
      </c>
      <c r="D1072" s="229" t="s">
        <v>722</v>
      </c>
      <c r="E1072" s="229" t="s">
        <v>1</v>
      </c>
      <c r="F1072" s="229">
        <v>331</v>
      </c>
      <c r="G1072" s="40">
        <f>F1072/275</f>
        <v>1.2036363636363636</v>
      </c>
      <c r="H1072" s="14">
        <v>1</v>
      </c>
      <c r="I1072" s="229">
        <v>0</v>
      </c>
      <c r="J1072" s="229">
        <v>0</v>
      </c>
      <c r="K1072" s="26">
        <v>1</v>
      </c>
      <c r="L1072" s="14">
        <v>0</v>
      </c>
      <c r="M1072" s="229">
        <v>0</v>
      </c>
      <c r="N1072" s="229">
        <v>0</v>
      </c>
      <c r="O1072" s="229">
        <v>0</v>
      </c>
      <c r="P1072" s="26">
        <v>0</v>
      </c>
      <c r="Q1072" s="14">
        <v>0</v>
      </c>
      <c r="R1072" s="229">
        <v>0</v>
      </c>
      <c r="S1072" s="229">
        <v>0</v>
      </c>
      <c r="T1072" s="229">
        <v>0</v>
      </c>
      <c r="U1072" s="229">
        <v>0</v>
      </c>
      <c r="V1072" s="229">
        <v>0</v>
      </c>
      <c r="W1072" s="229">
        <v>0</v>
      </c>
      <c r="X1072" s="229">
        <v>0</v>
      </c>
      <c r="Y1072" s="229">
        <v>0</v>
      </c>
      <c r="Z1072" s="229">
        <v>0</v>
      </c>
      <c r="AA1072" s="229">
        <v>0</v>
      </c>
      <c r="AB1072" s="229">
        <v>0</v>
      </c>
      <c r="AC1072" s="12">
        <v>2</v>
      </c>
      <c r="AD1072" s="14">
        <v>5</v>
      </c>
      <c r="AE1072" s="14">
        <v>62</v>
      </c>
      <c r="AF1072" s="26">
        <v>240</v>
      </c>
      <c r="AG1072" s="12">
        <v>120</v>
      </c>
      <c r="AH1072" s="14">
        <v>1</v>
      </c>
      <c r="AI1072" s="209"/>
      <c r="AJ1072" s="3"/>
      <c r="AK1072" s="3"/>
      <c r="AL1072" s="3"/>
      <c r="AM1072" s="3"/>
      <c r="AN1072" s="3"/>
      <c r="AO1072" s="40"/>
      <c r="AP1072" s="209"/>
      <c r="AQ1072" s="3"/>
      <c r="AR1072" s="40"/>
      <c r="AS1072" s="238"/>
    </row>
    <row r="1073" spans="1:45" s="229" customFormat="1">
      <c r="A1073" s="83" t="s">
        <v>326</v>
      </c>
      <c r="B1073" s="386">
        <v>47.94166666666667</v>
      </c>
      <c r="C1073" s="24" t="s">
        <v>718</v>
      </c>
      <c r="D1073" s="229" t="s">
        <v>722</v>
      </c>
      <c r="E1073" s="229" t="s">
        <v>2</v>
      </c>
      <c r="F1073" s="229">
        <v>754</v>
      </c>
      <c r="G1073" s="40">
        <f>F1073/717</f>
        <v>1.0516039051603905</v>
      </c>
      <c r="H1073" s="14">
        <v>1</v>
      </c>
      <c r="I1073" s="229">
        <v>0</v>
      </c>
      <c r="J1073" s="229">
        <v>0</v>
      </c>
      <c r="K1073" s="26">
        <v>1</v>
      </c>
      <c r="L1073" s="14">
        <v>0</v>
      </c>
      <c r="M1073" s="229">
        <v>0</v>
      </c>
      <c r="N1073" s="229">
        <v>0</v>
      </c>
      <c r="O1073" s="229">
        <v>0</v>
      </c>
      <c r="P1073" s="26">
        <v>0</v>
      </c>
      <c r="Q1073" s="14">
        <v>1</v>
      </c>
      <c r="R1073" s="229">
        <v>0</v>
      </c>
      <c r="S1073" s="229">
        <v>18</v>
      </c>
      <c r="T1073" s="229">
        <v>0</v>
      </c>
      <c r="U1073" s="229">
        <v>0</v>
      </c>
      <c r="V1073" s="229">
        <v>0</v>
      </c>
      <c r="W1073" s="229">
        <v>0</v>
      </c>
      <c r="X1073" s="229">
        <v>0</v>
      </c>
      <c r="Y1073" s="229">
        <v>0</v>
      </c>
      <c r="Z1073" s="229">
        <v>0</v>
      </c>
      <c r="AA1073" s="229">
        <v>0</v>
      </c>
      <c r="AB1073" s="229">
        <v>1</v>
      </c>
      <c r="AC1073" s="12">
        <v>2</v>
      </c>
      <c r="AD1073" s="14">
        <v>17</v>
      </c>
      <c r="AE1073" s="14">
        <v>24</v>
      </c>
      <c r="AF1073" s="26">
        <v>532</v>
      </c>
      <c r="AG1073" s="12">
        <v>120</v>
      </c>
      <c r="AH1073" s="14">
        <v>1</v>
      </c>
      <c r="AI1073" s="209"/>
      <c r="AJ1073" s="3"/>
      <c r="AK1073" s="3"/>
      <c r="AL1073" s="3"/>
      <c r="AM1073" s="3"/>
      <c r="AN1073" s="3"/>
      <c r="AO1073" s="40"/>
      <c r="AP1073" s="209"/>
      <c r="AQ1073" s="3"/>
      <c r="AR1073" s="40"/>
      <c r="AS1073" s="238"/>
    </row>
    <row r="1074" spans="1:45" s="229" customFormat="1">
      <c r="A1074" s="83" t="s">
        <v>326</v>
      </c>
      <c r="B1074" s="386">
        <v>47.94166666666667</v>
      </c>
      <c r="C1074" s="24" t="s">
        <v>718</v>
      </c>
      <c r="D1074" s="229" t="s">
        <v>722</v>
      </c>
      <c r="E1074" s="229" t="s">
        <v>3</v>
      </c>
      <c r="F1074" s="229">
        <v>597</v>
      </c>
      <c r="G1074" s="40">
        <f>F1074/289</f>
        <v>2.0657439446366781</v>
      </c>
      <c r="H1074" s="14">
        <v>1</v>
      </c>
      <c r="I1074" s="229">
        <v>0</v>
      </c>
      <c r="J1074" s="229">
        <v>0</v>
      </c>
      <c r="K1074" s="26">
        <v>1</v>
      </c>
      <c r="L1074" s="14">
        <v>0</v>
      </c>
      <c r="M1074" s="229">
        <v>0</v>
      </c>
      <c r="N1074" s="229">
        <v>0</v>
      </c>
      <c r="O1074" s="229">
        <v>0</v>
      </c>
      <c r="P1074" s="26">
        <v>0</v>
      </c>
      <c r="Q1074" s="14">
        <v>2</v>
      </c>
      <c r="R1074" s="229">
        <v>19</v>
      </c>
      <c r="S1074" s="229">
        <v>26</v>
      </c>
      <c r="T1074" s="229">
        <v>0</v>
      </c>
      <c r="U1074" s="229">
        <v>0</v>
      </c>
      <c r="V1074" s="229">
        <v>0</v>
      </c>
      <c r="W1074" s="229">
        <v>0</v>
      </c>
      <c r="X1074" s="229">
        <v>0</v>
      </c>
      <c r="Y1074" s="229">
        <v>0</v>
      </c>
      <c r="Z1074" s="229">
        <v>0</v>
      </c>
      <c r="AA1074" s="229">
        <v>0</v>
      </c>
      <c r="AB1074" s="229">
        <v>1</v>
      </c>
      <c r="AC1074" s="12">
        <v>2</v>
      </c>
      <c r="AD1074" s="14">
        <v>11</v>
      </c>
      <c r="AE1074" s="14">
        <v>41</v>
      </c>
      <c r="AF1074" s="26">
        <v>309</v>
      </c>
      <c r="AG1074" s="12">
        <v>120</v>
      </c>
      <c r="AH1074" s="14">
        <v>1</v>
      </c>
      <c r="AI1074" s="209"/>
      <c r="AJ1074" s="3"/>
      <c r="AK1074" s="3"/>
      <c r="AL1074" s="3"/>
      <c r="AM1074" s="3"/>
      <c r="AN1074" s="3"/>
      <c r="AO1074" s="40"/>
      <c r="AP1074" s="209"/>
      <c r="AQ1074" s="3"/>
      <c r="AR1074" s="40"/>
      <c r="AS1074" s="238"/>
    </row>
    <row r="1075" spans="1:45" s="229" customFormat="1">
      <c r="A1075" s="83" t="s">
        <v>326</v>
      </c>
      <c r="B1075" s="386">
        <v>47.94166666666667</v>
      </c>
      <c r="C1075" s="24" t="s">
        <v>718</v>
      </c>
      <c r="D1075" s="229" t="s">
        <v>722</v>
      </c>
      <c r="E1075" s="229" t="s">
        <v>4</v>
      </c>
      <c r="F1075" s="229">
        <v>338</v>
      </c>
      <c r="G1075" s="40">
        <f>F1075/180</f>
        <v>1.8777777777777778</v>
      </c>
      <c r="H1075" s="14">
        <v>0</v>
      </c>
      <c r="I1075" s="229">
        <v>0</v>
      </c>
      <c r="J1075" s="229">
        <v>1</v>
      </c>
      <c r="K1075" s="26">
        <v>1</v>
      </c>
      <c r="L1075" s="14">
        <v>0</v>
      </c>
      <c r="M1075" s="229">
        <v>0</v>
      </c>
      <c r="N1075" s="229">
        <v>0</v>
      </c>
      <c r="O1075" s="229">
        <v>0</v>
      </c>
      <c r="P1075" s="26">
        <v>0</v>
      </c>
      <c r="Q1075" s="14">
        <v>0</v>
      </c>
      <c r="R1075" s="229">
        <v>0</v>
      </c>
      <c r="S1075" s="229">
        <v>0</v>
      </c>
      <c r="T1075" s="229">
        <v>0</v>
      </c>
      <c r="U1075" s="229">
        <v>0</v>
      </c>
      <c r="V1075" s="229">
        <v>0</v>
      </c>
      <c r="W1075" s="229">
        <v>0</v>
      </c>
      <c r="X1075" s="229">
        <v>0</v>
      </c>
      <c r="Y1075" s="229">
        <v>0</v>
      </c>
      <c r="Z1075" s="229">
        <v>0</v>
      </c>
      <c r="AA1075" s="229">
        <v>0</v>
      </c>
      <c r="AB1075" s="229">
        <v>0</v>
      </c>
      <c r="AC1075" s="12">
        <v>2</v>
      </c>
      <c r="AD1075" s="14">
        <v>4</v>
      </c>
      <c r="AE1075" s="14">
        <v>60</v>
      </c>
      <c r="AF1075" s="26">
        <v>180</v>
      </c>
      <c r="AG1075" s="12">
        <v>120</v>
      </c>
      <c r="AH1075" s="14">
        <v>1</v>
      </c>
      <c r="AI1075" s="209"/>
      <c r="AJ1075" s="3"/>
      <c r="AK1075" s="3"/>
      <c r="AL1075" s="3"/>
      <c r="AM1075" s="3"/>
      <c r="AN1075" s="3"/>
      <c r="AO1075" s="40"/>
      <c r="AP1075" s="209"/>
      <c r="AQ1075" s="3"/>
      <c r="AR1075" s="40"/>
      <c r="AS1075" s="238"/>
    </row>
    <row r="1076" spans="1:45" s="229" customFormat="1">
      <c r="A1076" s="83" t="s">
        <v>326</v>
      </c>
      <c r="B1076" s="386">
        <v>47.94166666666667</v>
      </c>
      <c r="C1076" s="24" t="s">
        <v>718</v>
      </c>
      <c r="D1076" s="229" t="s">
        <v>723</v>
      </c>
      <c r="E1076" s="229" t="s">
        <v>0</v>
      </c>
      <c r="F1076" s="229">
        <v>275</v>
      </c>
      <c r="G1076" s="40">
        <f>F1076/139</f>
        <v>1.9784172661870503</v>
      </c>
      <c r="H1076" s="14">
        <v>0</v>
      </c>
      <c r="I1076" s="229">
        <v>0</v>
      </c>
      <c r="J1076" s="229">
        <v>0</v>
      </c>
      <c r="K1076" s="26">
        <v>1</v>
      </c>
      <c r="L1076" s="14">
        <v>0</v>
      </c>
      <c r="M1076" s="229">
        <v>0</v>
      </c>
      <c r="N1076" s="229">
        <v>0</v>
      </c>
      <c r="O1076" s="229">
        <v>0</v>
      </c>
      <c r="P1076" s="26">
        <v>0</v>
      </c>
      <c r="Q1076" s="14">
        <v>1</v>
      </c>
      <c r="R1076" s="229">
        <v>0</v>
      </c>
      <c r="S1076" s="229">
        <v>8</v>
      </c>
      <c r="T1076" s="229">
        <v>0</v>
      </c>
      <c r="U1076" s="229">
        <v>0</v>
      </c>
      <c r="V1076" s="229">
        <v>0</v>
      </c>
      <c r="W1076" s="229">
        <v>11</v>
      </c>
      <c r="X1076" s="229">
        <v>0</v>
      </c>
      <c r="Y1076" s="229">
        <v>0</v>
      </c>
      <c r="Z1076" s="229">
        <v>0</v>
      </c>
      <c r="AA1076" s="229">
        <v>0</v>
      </c>
      <c r="AB1076" s="229">
        <v>1</v>
      </c>
      <c r="AC1076" s="12">
        <v>2</v>
      </c>
      <c r="AD1076" s="14">
        <v>2</v>
      </c>
      <c r="AE1076" s="14">
        <v>116</v>
      </c>
      <c r="AF1076" s="26">
        <v>152</v>
      </c>
      <c r="AG1076" s="12">
        <v>93</v>
      </c>
      <c r="AH1076" s="14">
        <v>1</v>
      </c>
      <c r="AI1076" s="209"/>
      <c r="AJ1076" s="3"/>
      <c r="AK1076" s="3"/>
      <c r="AL1076" s="3"/>
      <c r="AM1076" s="3"/>
      <c r="AN1076" s="3"/>
      <c r="AO1076" s="40"/>
      <c r="AP1076" s="209"/>
      <c r="AQ1076" s="3"/>
      <c r="AR1076" s="40"/>
      <c r="AS1076" s="238"/>
    </row>
    <row r="1077" spans="1:45" s="229" customFormat="1">
      <c r="A1077" s="83" t="s">
        <v>326</v>
      </c>
      <c r="B1077" s="386">
        <v>47.94166666666667</v>
      </c>
      <c r="C1077" s="24" t="s">
        <v>718</v>
      </c>
      <c r="D1077" s="229" t="s">
        <v>723</v>
      </c>
      <c r="E1077" s="229" t="s">
        <v>1</v>
      </c>
      <c r="F1077" s="229">
        <v>376</v>
      </c>
      <c r="G1077" s="40">
        <f>F1077/135</f>
        <v>2.7851851851851852</v>
      </c>
      <c r="H1077" s="14">
        <v>1</v>
      </c>
      <c r="I1077" s="229">
        <v>0</v>
      </c>
      <c r="J1077" s="229">
        <v>0</v>
      </c>
      <c r="K1077" s="26">
        <v>1</v>
      </c>
      <c r="L1077" s="14">
        <v>0</v>
      </c>
      <c r="M1077" s="229">
        <v>0</v>
      </c>
      <c r="N1077" s="229">
        <v>0</v>
      </c>
      <c r="O1077" s="229">
        <v>0</v>
      </c>
      <c r="P1077" s="26">
        <v>0</v>
      </c>
      <c r="Q1077" s="14">
        <v>0</v>
      </c>
      <c r="R1077" s="229">
        <v>0</v>
      </c>
      <c r="S1077" s="229">
        <v>0</v>
      </c>
      <c r="T1077" s="229">
        <v>0</v>
      </c>
      <c r="U1077" s="229">
        <v>0</v>
      </c>
      <c r="V1077" s="229">
        <v>0</v>
      </c>
      <c r="W1077" s="229">
        <v>0</v>
      </c>
      <c r="X1077" s="229">
        <v>0</v>
      </c>
      <c r="Y1077" s="229">
        <v>0</v>
      </c>
      <c r="Z1077" s="229">
        <v>0</v>
      </c>
      <c r="AA1077" s="229">
        <v>0</v>
      </c>
      <c r="AB1077" s="229">
        <v>0</v>
      </c>
      <c r="AC1077" s="12">
        <v>2</v>
      </c>
      <c r="AD1077" s="14">
        <v>5</v>
      </c>
      <c r="AE1077" s="14">
        <v>41</v>
      </c>
      <c r="AF1077" s="26">
        <v>223</v>
      </c>
      <c r="AG1077" s="12">
        <v>93</v>
      </c>
      <c r="AH1077" s="14">
        <v>1</v>
      </c>
      <c r="AI1077" s="209"/>
      <c r="AJ1077" s="3"/>
      <c r="AK1077" s="3"/>
      <c r="AL1077" s="3"/>
      <c r="AM1077" s="3"/>
      <c r="AN1077" s="3"/>
      <c r="AO1077" s="40"/>
      <c r="AP1077" s="209"/>
      <c r="AQ1077" s="3"/>
      <c r="AR1077" s="40"/>
      <c r="AS1077" s="238"/>
    </row>
    <row r="1078" spans="1:45" s="229" customFormat="1">
      <c r="A1078" s="83" t="s">
        <v>326</v>
      </c>
      <c r="B1078" s="386">
        <v>47.94166666666667</v>
      </c>
      <c r="C1078" s="24" t="s">
        <v>718</v>
      </c>
      <c r="D1078" s="229" t="s">
        <v>723</v>
      </c>
      <c r="E1078" s="229" t="s">
        <v>2</v>
      </c>
      <c r="F1078" s="229">
        <v>104</v>
      </c>
      <c r="G1078" s="40">
        <f>F1078/100</f>
        <v>1.04</v>
      </c>
      <c r="H1078" s="14">
        <v>0</v>
      </c>
      <c r="I1078" s="229">
        <v>1</v>
      </c>
      <c r="J1078" s="229">
        <v>0</v>
      </c>
      <c r="K1078" s="26">
        <v>0</v>
      </c>
      <c r="L1078" s="14">
        <v>0</v>
      </c>
      <c r="M1078" s="229">
        <v>1</v>
      </c>
      <c r="N1078" s="229">
        <v>0</v>
      </c>
      <c r="O1078" s="229">
        <v>0</v>
      </c>
      <c r="P1078" s="26">
        <v>1</v>
      </c>
      <c r="Q1078" s="14">
        <v>0</v>
      </c>
      <c r="R1078" s="229">
        <v>0</v>
      </c>
      <c r="S1078" s="229">
        <v>0</v>
      </c>
      <c r="T1078" s="229">
        <v>0</v>
      </c>
      <c r="U1078" s="229">
        <v>0</v>
      </c>
      <c r="V1078" s="229">
        <v>0</v>
      </c>
      <c r="W1078" s="229">
        <v>0</v>
      </c>
      <c r="X1078" s="229">
        <v>0</v>
      </c>
      <c r="Y1078" s="229">
        <v>0</v>
      </c>
      <c r="Z1078" s="229">
        <v>0</v>
      </c>
      <c r="AA1078" s="229">
        <v>0</v>
      </c>
      <c r="AB1078" s="229">
        <v>0</v>
      </c>
      <c r="AC1078" s="12">
        <v>1</v>
      </c>
      <c r="AD1078" s="14">
        <v>1</v>
      </c>
      <c r="AE1078" s="14">
        <v>0</v>
      </c>
      <c r="AF1078" s="26">
        <v>0</v>
      </c>
      <c r="AG1078" s="12">
        <v>93</v>
      </c>
      <c r="AH1078" s="14">
        <v>0</v>
      </c>
      <c r="AI1078" s="209"/>
      <c r="AJ1078" s="3"/>
      <c r="AK1078" s="3"/>
      <c r="AL1078" s="3"/>
      <c r="AM1078" s="3"/>
      <c r="AN1078" s="3"/>
      <c r="AO1078" s="40"/>
      <c r="AP1078" s="209"/>
      <c r="AQ1078" s="3"/>
      <c r="AR1078" s="40"/>
      <c r="AS1078" s="238"/>
    </row>
    <row r="1079" spans="1:45" s="229" customFormat="1">
      <c r="A1079" s="83" t="s">
        <v>326</v>
      </c>
      <c r="B1079" s="386">
        <v>47.94166666666667</v>
      </c>
      <c r="C1079" s="24" t="s">
        <v>718</v>
      </c>
      <c r="D1079" s="229" t="s">
        <v>723</v>
      </c>
      <c r="E1079" s="229" t="s">
        <v>3</v>
      </c>
      <c r="F1079" s="229">
        <v>184</v>
      </c>
      <c r="G1079" s="40">
        <f>F1079/160</f>
        <v>1.1499999999999999</v>
      </c>
      <c r="H1079" s="14">
        <v>0</v>
      </c>
      <c r="I1079" s="229">
        <v>0</v>
      </c>
      <c r="J1079" s="229">
        <v>0</v>
      </c>
      <c r="K1079" s="26">
        <v>1</v>
      </c>
      <c r="L1079" s="14">
        <v>0</v>
      </c>
      <c r="M1079" s="229">
        <v>0</v>
      </c>
      <c r="N1079" s="229">
        <v>0</v>
      </c>
      <c r="O1079" s="229">
        <v>0</v>
      </c>
      <c r="P1079" s="26">
        <v>0</v>
      </c>
      <c r="Q1079" s="14">
        <v>1</v>
      </c>
      <c r="R1079" s="229">
        <v>0</v>
      </c>
      <c r="S1079" s="229">
        <v>0</v>
      </c>
      <c r="T1079" s="229">
        <v>0</v>
      </c>
      <c r="U1079" s="229">
        <v>0</v>
      </c>
      <c r="V1079" s="229">
        <v>0</v>
      </c>
      <c r="W1079" s="229">
        <v>10</v>
      </c>
      <c r="X1079" s="229">
        <v>0</v>
      </c>
      <c r="Y1079" s="229">
        <v>0</v>
      </c>
      <c r="Z1079" s="229">
        <v>0</v>
      </c>
      <c r="AA1079" s="229">
        <v>0</v>
      </c>
      <c r="AB1079" s="229">
        <v>0</v>
      </c>
      <c r="AC1079" s="12">
        <v>1</v>
      </c>
      <c r="AD1079" s="14">
        <v>1</v>
      </c>
      <c r="AE1079" s="14">
        <v>0</v>
      </c>
      <c r="AF1079" s="26">
        <v>0</v>
      </c>
      <c r="AG1079" s="12">
        <v>93</v>
      </c>
      <c r="AH1079" s="14">
        <v>1</v>
      </c>
      <c r="AI1079" s="209"/>
      <c r="AJ1079" s="3"/>
      <c r="AK1079" s="3"/>
      <c r="AL1079" s="3"/>
      <c r="AM1079" s="3"/>
      <c r="AN1079" s="3"/>
      <c r="AO1079" s="40"/>
      <c r="AP1079" s="209"/>
      <c r="AQ1079" s="3"/>
      <c r="AR1079" s="40"/>
      <c r="AS1079" s="238"/>
    </row>
    <row r="1080" spans="1:45" s="229" customFormat="1">
      <c r="A1080" s="83" t="s">
        <v>326</v>
      </c>
      <c r="B1080" s="386">
        <v>47.94166666666667</v>
      </c>
      <c r="C1080" s="24" t="s">
        <v>718</v>
      </c>
      <c r="D1080" s="229" t="s">
        <v>723</v>
      </c>
      <c r="E1080" s="229" t="s">
        <v>4</v>
      </c>
      <c r="F1080" s="229">
        <v>134</v>
      </c>
      <c r="G1080" s="40">
        <f>F1080/125</f>
        <v>1.0720000000000001</v>
      </c>
      <c r="H1080" s="14">
        <v>0</v>
      </c>
      <c r="I1080" s="229">
        <v>0</v>
      </c>
      <c r="J1080" s="229">
        <v>0</v>
      </c>
      <c r="K1080" s="26">
        <v>1</v>
      </c>
      <c r="L1080" s="14">
        <v>0</v>
      </c>
      <c r="M1080" s="229">
        <v>0</v>
      </c>
      <c r="N1080" s="229">
        <v>0</v>
      </c>
      <c r="O1080" s="229">
        <v>0</v>
      </c>
      <c r="P1080" s="26">
        <v>0</v>
      </c>
      <c r="Q1080" s="14">
        <v>0</v>
      </c>
      <c r="R1080" s="229">
        <v>0</v>
      </c>
      <c r="S1080" s="229">
        <v>0</v>
      </c>
      <c r="T1080" s="229">
        <v>0</v>
      </c>
      <c r="U1080" s="229">
        <v>0</v>
      </c>
      <c r="V1080" s="229">
        <v>0</v>
      </c>
      <c r="W1080" s="229">
        <v>0</v>
      </c>
      <c r="X1080" s="229">
        <v>0</v>
      </c>
      <c r="Y1080" s="229">
        <v>0</v>
      </c>
      <c r="Z1080" s="229">
        <v>0</v>
      </c>
      <c r="AA1080" s="229">
        <v>0</v>
      </c>
      <c r="AB1080" s="229">
        <v>0</v>
      </c>
      <c r="AC1080" s="12">
        <v>1</v>
      </c>
      <c r="AD1080" s="14">
        <v>1</v>
      </c>
      <c r="AE1080" s="14">
        <v>0</v>
      </c>
      <c r="AF1080" s="26">
        <v>0</v>
      </c>
      <c r="AG1080" s="12">
        <v>93</v>
      </c>
      <c r="AH1080" s="14">
        <v>0</v>
      </c>
      <c r="AI1080" s="209"/>
      <c r="AJ1080" s="3"/>
      <c r="AK1080" s="3"/>
      <c r="AL1080" s="3"/>
      <c r="AM1080" s="3"/>
      <c r="AN1080" s="3"/>
      <c r="AO1080" s="40"/>
      <c r="AP1080" s="209"/>
      <c r="AQ1080" s="3"/>
      <c r="AR1080" s="40"/>
      <c r="AS1080" s="238"/>
    </row>
    <row r="1081" spans="1:45" s="229" customFormat="1">
      <c r="A1081" s="83" t="s">
        <v>326</v>
      </c>
      <c r="B1081" s="386">
        <v>47.94166666666667</v>
      </c>
      <c r="C1081" s="24" t="s">
        <v>718</v>
      </c>
      <c r="D1081" s="229" t="s">
        <v>723</v>
      </c>
      <c r="E1081" s="229" t="s">
        <v>5</v>
      </c>
      <c r="F1081" s="229">
        <v>308</v>
      </c>
      <c r="G1081" s="40">
        <f>F1081/205</f>
        <v>1.5024390243902439</v>
      </c>
      <c r="H1081" s="14">
        <v>0</v>
      </c>
      <c r="I1081" s="229">
        <v>0</v>
      </c>
      <c r="J1081" s="229">
        <v>1</v>
      </c>
      <c r="K1081" s="26">
        <v>1</v>
      </c>
      <c r="L1081" s="14">
        <v>0</v>
      </c>
      <c r="M1081" s="229">
        <v>0</v>
      </c>
      <c r="N1081" s="229">
        <v>1</v>
      </c>
      <c r="O1081" s="229">
        <v>0</v>
      </c>
      <c r="P1081" s="26">
        <v>1</v>
      </c>
      <c r="Q1081" s="14">
        <v>0</v>
      </c>
      <c r="R1081" s="229">
        <v>0</v>
      </c>
      <c r="S1081" s="229">
        <v>0</v>
      </c>
      <c r="T1081" s="229">
        <v>0</v>
      </c>
      <c r="U1081" s="229">
        <v>0</v>
      </c>
      <c r="V1081" s="229">
        <v>0</v>
      </c>
      <c r="W1081" s="229">
        <v>0</v>
      </c>
      <c r="X1081" s="229">
        <v>0</v>
      </c>
      <c r="Y1081" s="229">
        <v>0</v>
      </c>
      <c r="Z1081" s="229">
        <v>0</v>
      </c>
      <c r="AA1081" s="229">
        <v>0</v>
      </c>
      <c r="AB1081" s="229">
        <v>0</v>
      </c>
      <c r="AC1081" s="12">
        <v>2</v>
      </c>
      <c r="AD1081" s="14">
        <v>3</v>
      </c>
      <c r="AE1081" s="14">
        <v>129</v>
      </c>
      <c r="AF1081" s="26">
        <v>205</v>
      </c>
      <c r="AG1081" s="12">
        <v>93</v>
      </c>
      <c r="AH1081" s="14">
        <v>1</v>
      </c>
      <c r="AI1081" s="209"/>
      <c r="AJ1081" s="3"/>
      <c r="AK1081" s="3"/>
      <c r="AL1081" s="3"/>
      <c r="AM1081" s="3"/>
      <c r="AN1081" s="3"/>
      <c r="AO1081" s="40"/>
      <c r="AP1081" s="209"/>
      <c r="AQ1081" s="3"/>
      <c r="AR1081" s="40"/>
      <c r="AS1081" s="238"/>
    </row>
    <row r="1082" spans="1:45" s="229" customFormat="1">
      <c r="A1082" s="83" t="s">
        <v>326</v>
      </c>
      <c r="B1082" s="386">
        <v>47.94166666666667</v>
      </c>
      <c r="C1082" s="24" t="s">
        <v>718</v>
      </c>
      <c r="D1082" s="229" t="s">
        <v>724</v>
      </c>
      <c r="E1082" s="229" t="s">
        <v>0</v>
      </c>
      <c r="F1082" s="229">
        <v>849</v>
      </c>
      <c r="G1082" s="40">
        <f>F1082/435</f>
        <v>1.9517241379310344</v>
      </c>
      <c r="H1082" s="14">
        <v>1</v>
      </c>
      <c r="I1082" s="229">
        <v>0</v>
      </c>
      <c r="J1082" s="229">
        <v>0</v>
      </c>
      <c r="K1082" s="26">
        <v>1</v>
      </c>
      <c r="L1082" s="14">
        <v>0</v>
      </c>
      <c r="M1082" s="229">
        <v>0</v>
      </c>
      <c r="N1082" s="229">
        <v>0</v>
      </c>
      <c r="O1082" s="229">
        <v>0</v>
      </c>
      <c r="P1082" s="26">
        <v>0</v>
      </c>
      <c r="Q1082" s="14">
        <v>1</v>
      </c>
      <c r="R1082" s="229">
        <v>0</v>
      </c>
      <c r="S1082" s="229">
        <v>0</v>
      </c>
      <c r="T1082" s="229">
        <v>0</v>
      </c>
      <c r="U1082" s="229">
        <v>0</v>
      </c>
      <c r="V1082" s="229">
        <v>0</v>
      </c>
      <c r="W1082" s="229">
        <v>19</v>
      </c>
      <c r="X1082" s="229">
        <v>0</v>
      </c>
      <c r="Y1082" s="229">
        <v>0</v>
      </c>
      <c r="Z1082" s="229">
        <v>0</v>
      </c>
      <c r="AA1082" s="229">
        <v>0</v>
      </c>
      <c r="AB1082" s="229">
        <v>1</v>
      </c>
      <c r="AC1082" s="12">
        <v>2</v>
      </c>
      <c r="AD1082" s="14">
        <v>8</v>
      </c>
      <c r="AE1082" s="14">
        <v>95</v>
      </c>
      <c r="AF1082" s="26">
        <v>468</v>
      </c>
      <c r="AG1082" s="12">
        <v>80</v>
      </c>
      <c r="AH1082" s="14">
        <v>1</v>
      </c>
      <c r="AI1082" s="209"/>
      <c r="AJ1082" s="3"/>
      <c r="AK1082" s="3"/>
      <c r="AL1082" s="3"/>
      <c r="AM1082" s="3"/>
      <c r="AN1082" s="3"/>
      <c r="AO1082" s="40"/>
      <c r="AP1082" s="209"/>
      <c r="AQ1082" s="3"/>
      <c r="AR1082" s="40"/>
      <c r="AS1082" s="238"/>
    </row>
    <row r="1083" spans="1:45" s="229" customFormat="1">
      <c r="A1083" s="83" t="s">
        <v>326</v>
      </c>
      <c r="B1083" s="386">
        <v>47.94166666666667</v>
      </c>
      <c r="C1083" s="24" t="s">
        <v>718</v>
      </c>
      <c r="D1083" s="229" t="s">
        <v>724</v>
      </c>
      <c r="E1083" s="229" t="s">
        <v>1</v>
      </c>
      <c r="F1083" s="229">
        <v>187</v>
      </c>
      <c r="G1083" s="40">
        <f>F1083/129</f>
        <v>1.4496124031007751</v>
      </c>
      <c r="H1083" s="14">
        <v>1</v>
      </c>
      <c r="I1083" s="229">
        <v>0</v>
      </c>
      <c r="J1083" s="229">
        <v>0</v>
      </c>
      <c r="K1083" s="26">
        <v>0</v>
      </c>
      <c r="L1083" s="14">
        <v>0</v>
      </c>
      <c r="M1083" s="229">
        <v>0</v>
      </c>
      <c r="N1083" s="229">
        <v>0</v>
      </c>
      <c r="O1083" s="229">
        <v>0</v>
      </c>
      <c r="P1083" s="26">
        <v>0</v>
      </c>
      <c r="Q1083" s="14">
        <v>0</v>
      </c>
      <c r="R1083" s="229">
        <v>0</v>
      </c>
      <c r="S1083" s="229">
        <v>0</v>
      </c>
      <c r="T1083" s="229">
        <v>0</v>
      </c>
      <c r="U1083" s="229">
        <v>0</v>
      </c>
      <c r="V1083" s="229">
        <v>0</v>
      </c>
      <c r="W1083" s="229">
        <v>0</v>
      </c>
      <c r="X1083" s="229">
        <v>0</v>
      </c>
      <c r="Y1083" s="229">
        <v>0</v>
      </c>
      <c r="Z1083" s="229">
        <v>0</v>
      </c>
      <c r="AA1083" s="229">
        <v>0</v>
      </c>
      <c r="AB1083" s="229">
        <v>0</v>
      </c>
      <c r="AC1083" s="12">
        <v>2</v>
      </c>
      <c r="AD1083" s="14">
        <v>2</v>
      </c>
      <c r="AE1083" s="14">
        <v>85</v>
      </c>
      <c r="AF1083" s="26">
        <v>129</v>
      </c>
      <c r="AG1083" s="12">
        <v>80</v>
      </c>
      <c r="AH1083" s="14">
        <v>1</v>
      </c>
      <c r="AI1083" s="209"/>
      <c r="AJ1083" s="3"/>
      <c r="AK1083" s="3"/>
      <c r="AL1083" s="3"/>
      <c r="AM1083" s="3"/>
      <c r="AN1083" s="3"/>
      <c r="AO1083" s="40"/>
      <c r="AP1083" s="209"/>
      <c r="AQ1083" s="3"/>
      <c r="AR1083" s="40"/>
      <c r="AS1083" s="238"/>
    </row>
    <row r="1084" spans="1:45" s="229" customFormat="1">
      <c r="A1084" s="83" t="s">
        <v>326</v>
      </c>
      <c r="B1084" s="386">
        <v>47.94166666666667</v>
      </c>
      <c r="C1084" s="24" t="s">
        <v>718</v>
      </c>
      <c r="D1084" s="229" t="s">
        <v>724</v>
      </c>
      <c r="E1084" s="229" t="s">
        <v>2</v>
      </c>
      <c r="F1084" s="229">
        <v>183</v>
      </c>
      <c r="G1084" s="40">
        <f>F1084/133</f>
        <v>1.3759398496240602</v>
      </c>
      <c r="H1084" s="14">
        <v>1</v>
      </c>
      <c r="I1084" s="229">
        <v>0</v>
      </c>
      <c r="J1084" s="229">
        <v>0</v>
      </c>
      <c r="K1084" s="26">
        <v>0</v>
      </c>
      <c r="L1084" s="14">
        <v>0</v>
      </c>
      <c r="M1084" s="229">
        <v>0</v>
      </c>
      <c r="N1084" s="229">
        <v>0</v>
      </c>
      <c r="O1084" s="229">
        <v>0</v>
      </c>
      <c r="P1084" s="26">
        <v>0</v>
      </c>
      <c r="Q1084" s="14">
        <v>0</v>
      </c>
      <c r="R1084" s="229">
        <v>0</v>
      </c>
      <c r="S1084" s="229">
        <v>0</v>
      </c>
      <c r="T1084" s="229">
        <v>0</v>
      </c>
      <c r="U1084" s="229">
        <v>0</v>
      </c>
      <c r="V1084" s="229">
        <v>0</v>
      </c>
      <c r="W1084" s="229">
        <v>0</v>
      </c>
      <c r="X1084" s="229">
        <v>0</v>
      </c>
      <c r="Y1084" s="229">
        <v>0</v>
      </c>
      <c r="Z1084" s="229">
        <v>0</v>
      </c>
      <c r="AA1084" s="229">
        <v>0</v>
      </c>
      <c r="AB1084" s="229">
        <v>0</v>
      </c>
      <c r="AC1084" s="12">
        <v>1</v>
      </c>
      <c r="AD1084" s="14">
        <v>1</v>
      </c>
      <c r="AE1084" s="14">
        <v>0</v>
      </c>
      <c r="AF1084" s="26">
        <v>0</v>
      </c>
      <c r="AG1084" s="12">
        <v>80</v>
      </c>
      <c r="AH1084" s="14">
        <v>0</v>
      </c>
      <c r="AI1084" s="209"/>
      <c r="AJ1084" s="3"/>
      <c r="AK1084" s="3"/>
      <c r="AL1084" s="3"/>
      <c r="AM1084" s="3"/>
      <c r="AN1084" s="3"/>
      <c r="AO1084" s="40"/>
      <c r="AP1084" s="209"/>
      <c r="AQ1084" s="3"/>
      <c r="AR1084" s="40"/>
      <c r="AS1084" s="238"/>
    </row>
    <row r="1085" spans="1:45" s="229" customFormat="1">
      <c r="A1085" s="83" t="s">
        <v>326</v>
      </c>
      <c r="B1085" s="386">
        <v>47.94166666666667</v>
      </c>
      <c r="C1085" s="24" t="s">
        <v>718</v>
      </c>
      <c r="D1085" s="229" t="s">
        <v>724</v>
      </c>
      <c r="E1085" s="229" t="s">
        <v>3</v>
      </c>
      <c r="F1085" s="229">
        <v>267</v>
      </c>
      <c r="G1085" s="40">
        <f>F1085/170</f>
        <v>1.5705882352941176</v>
      </c>
      <c r="H1085" s="14">
        <v>0</v>
      </c>
      <c r="I1085" s="229">
        <v>0</v>
      </c>
      <c r="J1085" s="229">
        <v>1</v>
      </c>
      <c r="K1085" s="26">
        <v>0</v>
      </c>
      <c r="L1085" s="14">
        <v>0</v>
      </c>
      <c r="M1085" s="229">
        <v>0</v>
      </c>
      <c r="N1085" s="229">
        <v>0</v>
      </c>
      <c r="O1085" s="229">
        <v>0</v>
      </c>
      <c r="P1085" s="26">
        <v>0</v>
      </c>
      <c r="Q1085" s="14">
        <v>0</v>
      </c>
      <c r="R1085" s="229">
        <v>0</v>
      </c>
      <c r="S1085" s="229">
        <v>0</v>
      </c>
      <c r="T1085" s="229">
        <v>0</v>
      </c>
      <c r="U1085" s="229">
        <v>0</v>
      </c>
      <c r="V1085" s="229">
        <v>0</v>
      </c>
      <c r="W1085" s="229">
        <v>0</v>
      </c>
      <c r="X1085" s="229">
        <v>0</v>
      </c>
      <c r="Y1085" s="229">
        <v>0</v>
      </c>
      <c r="Z1085" s="229">
        <v>0</v>
      </c>
      <c r="AA1085" s="229">
        <v>0</v>
      </c>
      <c r="AB1085" s="229">
        <v>0</v>
      </c>
      <c r="AC1085" s="12">
        <v>1</v>
      </c>
      <c r="AD1085" s="14">
        <v>1</v>
      </c>
      <c r="AE1085" s="14">
        <v>0</v>
      </c>
      <c r="AF1085" s="26">
        <v>0</v>
      </c>
      <c r="AG1085" s="12">
        <v>80</v>
      </c>
      <c r="AH1085" s="14">
        <v>1</v>
      </c>
      <c r="AI1085" s="209"/>
      <c r="AJ1085" s="3"/>
      <c r="AK1085" s="3"/>
      <c r="AL1085" s="3"/>
      <c r="AM1085" s="3"/>
      <c r="AN1085" s="3"/>
      <c r="AO1085" s="40"/>
      <c r="AP1085" s="209"/>
      <c r="AQ1085" s="3"/>
      <c r="AR1085" s="40"/>
      <c r="AS1085" s="238"/>
    </row>
    <row r="1086" spans="1:45" s="229" customFormat="1">
      <c r="A1086" s="83" t="s">
        <v>326</v>
      </c>
      <c r="B1086" s="386">
        <v>47.94166666666667</v>
      </c>
      <c r="C1086" s="24" t="s">
        <v>718</v>
      </c>
      <c r="D1086" s="229" t="s">
        <v>725</v>
      </c>
      <c r="E1086" s="229" t="s">
        <v>0</v>
      </c>
      <c r="F1086" s="229">
        <v>739</v>
      </c>
      <c r="G1086" s="40">
        <f>F1086/258</f>
        <v>2.864341085271318</v>
      </c>
      <c r="H1086" s="14">
        <v>0</v>
      </c>
      <c r="I1086" s="229">
        <v>0</v>
      </c>
      <c r="J1086" s="229">
        <v>0</v>
      </c>
      <c r="K1086" s="26">
        <v>1</v>
      </c>
      <c r="L1086" s="14">
        <v>0</v>
      </c>
      <c r="M1086" s="229">
        <v>0</v>
      </c>
      <c r="N1086" s="229">
        <v>0</v>
      </c>
      <c r="O1086" s="229">
        <v>0</v>
      </c>
      <c r="P1086" s="26">
        <v>0</v>
      </c>
      <c r="Q1086" s="14">
        <v>8</v>
      </c>
      <c r="R1086" s="229">
        <v>0</v>
      </c>
      <c r="S1086" s="229">
        <v>0</v>
      </c>
      <c r="T1086" s="229">
        <v>0</v>
      </c>
      <c r="U1086" s="229">
        <v>0</v>
      </c>
      <c r="V1086" s="229">
        <v>0</v>
      </c>
      <c r="W1086" s="229">
        <v>111</v>
      </c>
      <c r="X1086" s="229">
        <v>0</v>
      </c>
      <c r="Y1086" s="229">
        <v>0</v>
      </c>
      <c r="Z1086" s="229">
        <v>0</v>
      </c>
      <c r="AA1086" s="229">
        <v>0</v>
      </c>
      <c r="AB1086" s="229">
        <v>0</v>
      </c>
      <c r="AC1086" s="12">
        <v>2</v>
      </c>
      <c r="AD1086" s="14">
        <v>2</v>
      </c>
      <c r="AE1086" s="14">
        <v>90</v>
      </c>
      <c r="AF1086" s="26">
        <v>669</v>
      </c>
      <c r="AG1086" s="12">
        <v>79</v>
      </c>
      <c r="AH1086" s="14">
        <v>0</v>
      </c>
      <c r="AI1086" s="209"/>
      <c r="AJ1086" s="3"/>
      <c r="AK1086" s="3"/>
      <c r="AL1086" s="3"/>
      <c r="AM1086" s="3"/>
      <c r="AN1086" s="3"/>
      <c r="AO1086" s="40"/>
      <c r="AP1086" s="209"/>
      <c r="AQ1086" s="3"/>
      <c r="AR1086" s="40"/>
      <c r="AS1086" s="238"/>
    </row>
    <row r="1087" spans="1:45" s="229" customFormat="1">
      <c r="A1087" s="83" t="s">
        <v>326</v>
      </c>
      <c r="B1087" s="386">
        <v>47.94166666666667</v>
      </c>
      <c r="C1087" s="24" t="s">
        <v>718</v>
      </c>
      <c r="D1087" s="229" t="s">
        <v>725</v>
      </c>
      <c r="E1087" s="229" t="s">
        <v>1</v>
      </c>
      <c r="F1087" s="229">
        <v>360</v>
      </c>
      <c r="G1087" s="40">
        <f>F1087/271</f>
        <v>1.3284132841328413</v>
      </c>
      <c r="H1087" s="14">
        <v>0</v>
      </c>
      <c r="I1087" s="229">
        <v>0</v>
      </c>
      <c r="J1087" s="229">
        <v>0</v>
      </c>
      <c r="K1087" s="26">
        <v>1</v>
      </c>
      <c r="L1087" s="14">
        <v>0</v>
      </c>
      <c r="M1087" s="229">
        <v>0</v>
      </c>
      <c r="N1087" s="229">
        <v>0</v>
      </c>
      <c r="O1087" s="229">
        <v>0</v>
      </c>
      <c r="P1087" s="26">
        <v>0</v>
      </c>
      <c r="Q1087" s="14">
        <v>0</v>
      </c>
      <c r="R1087" s="229">
        <v>0</v>
      </c>
      <c r="S1087" s="229">
        <v>0</v>
      </c>
      <c r="T1087" s="229">
        <v>0</v>
      </c>
      <c r="U1087" s="229">
        <v>0</v>
      </c>
      <c r="V1087" s="229">
        <v>0</v>
      </c>
      <c r="W1087" s="229">
        <v>0</v>
      </c>
      <c r="X1087" s="229">
        <v>0</v>
      </c>
      <c r="Y1087" s="229">
        <v>0</v>
      </c>
      <c r="Z1087" s="229">
        <v>0</v>
      </c>
      <c r="AA1087" s="229">
        <v>0</v>
      </c>
      <c r="AB1087" s="229">
        <v>0</v>
      </c>
      <c r="AC1087" s="12">
        <v>2</v>
      </c>
      <c r="AD1087" s="14">
        <v>6</v>
      </c>
      <c r="AE1087" s="14">
        <v>34</v>
      </c>
      <c r="AF1087" s="26">
        <v>202</v>
      </c>
      <c r="AG1087" s="12">
        <v>79</v>
      </c>
      <c r="AH1087" s="14">
        <v>1</v>
      </c>
      <c r="AI1087" s="209"/>
      <c r="AJ1087" s="3"/>
      <c r="AK1087" s="3"/>
      <c r="AL1087" s="3"/>
      <c r="AM1087" s="3"/>
      <c r="AN1087" s="3"/>
      <c r="AO1087" s="40"/>
      <c r="AP1087" s="209"/>
      <c r="AQ1087" s="3"/>
      <c r="AR1087" s="40"/>
      <c r="AS1087" s="238"/>
    </row>
    <row r="1088" spans="1:45" s="229" customFormat="1">
      <c r="A1088" s="83" t="s">
        <v>326</v>
      </c>
      <c r="B1088" s="386">
        <v>47.94166666666667</v>
      </c>
      <c r="C1088" s="24" t="s">
        <v>718</v>
      </c>
      <c r="D1088" s="229" t="s">
        <v>725</v>
      </c>
      <c r="E1088" s="229" t="s">
        <v>2</v>
      </c>
      <c r="F1088" s="229">
        <v>228</v>
      </c>
      <c r="G1088" s="40">
        <f>F1088/142</f>
        <v>1.6056338028169015</v>
      </c>
      <c r="H1088" s="14">
        <v>1</v>
      </c>
      <c r="I1088" s="229">
        <v>0</v>
      </c>
      <c r="J1088" s="229">
        <v>0</v>
      </c>
      <c r="K1088" s="26">
        <v>0</v>
      </c>
      <c r="L1088" s="14">
        <v>0</v>
      </c>
      <c r="M1088" s="229">
        <v>0</v>
      </c>
      <c r="N1088" s="229">
        <v>0</v>
      </c>
      <c r="O1088" s="229">
        <v>0</v>
      </c>
      <c r="P1088" s="26">
        <v>0</v>
      </c>
      <c r="Q1088" s="14">
        <v>0</v>
      </c>
      <c r="R1088" s="229">
        <v>0</v>
      </c>
      <c r="S1088" s="229">
        <v>0</v>
      </c>
      <c r="T1088" s="229">
        <v>0</v>
      </c>
      <c r="U1088" s="229">
        <v>0</v>
      </c>
      <c r="V1088" s="229">
        <v>0</v>
      </c>
      <c r="W1088" s="229">
        <v>0</v>
      </c>
      <c r="X1088" s="229">
        <v>0</v>
      </c>
      <c r="Y1088" s="229">
        <v>0</v>
      </c>
      <c r="Z1088" s="229">
        <v>0</v>
      </c>
      <c r="AA1088" s="229">
        <v>0</v>
      </c>
      <c r="AB1088" s="229">
        <v>0</v>
      </c>
      <c r="AC1088" s="12">
        <v>1</v>
      </c>
      <c r="AD1088" s="14">
        <v>1</v>
      </c>
      <c r="AE1088" s="14">
        <v>0</v>
      </c>
      <c r="AF1088" s="26">
        <v>0</v>
      </c>
      <c r="AG1088" s="12">
        <v>79</v>
      </c>
      <c r="AH1088" s="14">
        <v>0</v>
      </c>
      <c r="AI1088" s="209"/>
      <c r="AJ1088" s="3"/>
      <c r="AK1088" s="3"/>
      <c r="AL1088" s="3"/>
      <c r="AM1088" s="3"/>
      <c r="AN1088" s="3"/>
      <c r="AO1088" s="40"/>
      <c r="AP1088" s="209"/>
      <c r="AQ1088" s="3"/>
      <c r="AR1088" s="40"/>
      <c r="AS1088" s="238"/>
    </row>
    <row r="1089" spans="1:45" s="229" customFormat="1">
      <c r="A1089" s="83" t="s">
        <v>326</v>
      </c>
      <c r="B1089" s="386">
        <v>47.94166666666667</v>
      </c>
      <c r="C1089" s="24" t="s">
        <v>718</v>
      </c>
      <c r="D1089" s="229" t="s">
        <v>726</v>
      </c>
      <c r="E1089" s="229" t="s">
        <v>0</v>
      </c>
      <c r="F1089" s="229">
        <v>345</v>
      </c>
      <c r="G1089" s="40">
        <f>F1089/191</f>
        <v>1.8062827225130891</v>
      </c>
      <c r="H1089" s="14">
        <v>0</v>
      </c>
      <c r="I1089" s="229">
        <v>0</v>
      </c>
      <c r="J1089" s="229">
        <v>0</v>
      </c>
      <c r="K1089" s="26">
        <v>1</v>
      </c>
      <c r="L1089" s="14">
        <v>0</v>
      </c>
      <c r="M1089" s="229">
        <v>0</v>
      </c>
      <c r="N1089" s="229">
        <v>0</v>
      </c>
      <c r="O1089" s="229">
        <v>0</v>
      </c>
      <c r="P1089" s="26">
        <v>0</v>
      </c>
      <c r="Q1089" s="14">
        <v>1</v>
      </c>
      <c r="R1089" s="229">
        <v>0</v>
      </c>
      <c r="S1089" s="229">
        <v>6</v>
      </c>
      <c r="T1089" s="229">
        <v>0</v>
      </c>
      <c r="U1089" s="229">
        <v>0</v>
      </c>
      <c r="V1089" s="229">
        <v>0</v>
      </c>
      <c r="W1089" s="229">
        <v>12</v>
      </c>
      <c r="X1089" s="229">
        <v>0</v>
      </c>
      <c r="Y1089" s="229">
        <v>0</v>
      </c>
      <c r="Z1089" s="229">
        <v>0</v>
      </c>
      <c r="AA1089" s="229">
        <v>0</v>
      </c>
      <c r="AB1089" s="229">
        <v>1</v>
      </c>
      <c r="AC1089" s="12">
        <v>2</v>
      </c>
      <c r="AD1089" s="14">
        <v>3</v>
      </c>
      <c r="AE1089" s="14">
        <v>74</v>
      </c>
      <c r="AF1089" s="26">
        <v>272</v>
      </c>
      <c r="AG1089" s="12">
        <v>27</v>
      </c>
      <c r="AH1089" s="14">
        <v>1</v>
      </c>
      <c r="AI1089" s="209">
        <v>87.552933279153478</v>
      </c>
      <c r="AJ1089" s="3"/>
      <c r="AK1089" s="3"/>
      <c r="AL1089" s="3"/>
      <c r="AM1089" s="3"/>
      <c r="AN1089" s="3"/>
      <c r="AO1089" s="40"/>
      <c r="AP1089" s="209">
        <v>87.658962945764529</v>
      </c>
      <c r="AQ1089" s="3"/>
      <c r="AR1089" s="40"/>
      <c r="AS1089" s="238"/>
    </row>
    <row r="1090" spans="1:45" s="229" customFormat="1">
      <c r="A1090" s="83" t="s">
        <v>326</v>
      </c>
      <c r="B1090" s="386">
        <v>47.94166666666667</v>
      </c>
      <c r="C1090" s="24" t="s">
        <v>718</v>
      </c>
      <c r="D1090" s="229" t="s">
        <v>726</v>
      </c>
      <c r="E1090" s="229" t="s">
        <v>1</v>
      </c>
      <c r="F1090" s="229">
        <v>150</v>
      </c>
      <c r="G1090" s="40">
        <f>F1090/126</f>
        <v>1.1904761904761905</v>
      </c>
      <c r="H1090" s="14">
        <v>0</v>
      </c>
      <c r="I1090" s="229">
        <v>0</v>
      </c>
      <c r="J1090" s="229">
        <v>0</v>
      </c>
      <c r="K1090" s="26">
        <v>1</v>
      </c>
      <c r="L1090" s="14">
        <v>0</v>
      </c>
      <c r="M1090" s="229">
        <v>0</v>
      </c>
      <c r="N1090" s="229">
        <v>0</v>
      </c>
      <c r="O1090" s="229">
        <v>0</v>
      </c>
      <c r="P1090" s="26">
        <v>0</v>
      </c>
      <c r="Q1090" s="14">
        <v>0</v>
      </c>
      <c r="R1090" s="229">
        <v>0</v>
      </c>
      <c r="S1090" s="229">
        <v>0</v>
      </c>
      <c r="T1090" s="229">
        <v>0</v>
      </c>
      <c r="U1090" s="229">
        <v>0</v>
      </c>
      <c r="V1090" s="229">
        <v>0</v>
      </c>
      <c r="W1090" s="229">
        <v>0</v>
      </c>
      <c r="X1090" s="229">
        <v>0</v>
      </c>
      <c r="Y1090" s="229">
        <v>0</v>
      </c>
      <c r="Z1090" s="229">
        <v>0</v>
      </c>
      <c r="AA1090" s="229">
        <v>0</v>
      </c>
      <c r="AB1090" s="229">
        <v>0</v>
      </c>
      <c r="AC1090" s="12">
        <v>1</v>
      </c>
      <c r="AD1090" s="14">
        <v>1</v>
      </c>
      <c r="AE1090" s="14">
        <v>0</v>
      </c>
      <c r="AF1090" s="26">
        <v>0</v>
      </c>
      <c r="AG1090" s="12">
        <v>27</v>
      </c>
      <c r="AH1090" s="14">
        <v>0</v>
      </c>
      <c r="AI1090" s="209"/>
      <c r="AJ1090" s="3"/>
      <c r="AK1090" s="3"/>
      <c r="AL1090" s="3"/>
      <c r="AM1090" s="3"/>
      <c r="AN1090" s="3"/>
      <c r="AO1090" s="40"/>
      <c r="AP1090" s="209"/>
      <c r="AQ1090" s="3"/>
      <c r="AR1090" s="40"/>
      <c r="AS1090" s="238"/>
    </row>
    <row r="1091" spans="1:45" s="229" customFormat="1">
      <c r="A1091" s="83" t="s">
        <v>326</v>
      </c>
      <c r="B1091" s="386">
        <v>47.94166666666667</v>
      </c>
      <c r="C1091" s="24" t="s">
        <v>718</v>
      </c>
      <c r="D1091" s="229" t="s">
        <v>726</v>
      </c>
      <c r="E1091" s="229" t="s">
        <v>2</v>
      </c>
      <c r="F1091" s="229">
        <v>409</v>
      </c>
      <c r="G1091" s="40">
        <f>F1091/308</f>
        <v>1.3279220779220779</v>
      </c>
      <c r="H1091" s="14">
        <v>0</v>
      </c>
      <c r="I1091" s="229">
        <v>0</v>
      </c>
      <c r="J1091" s="229">
        <v>1</v>
      </c>
      <c r="K1091" s="26">
        <v>1</v>
      </c>
      <c r="L1091" s="14">
        <v>0</v>
      </c>
      <c r="M1091" s="229">
        <v>0</v>
      </c>
      <c r="N1091" s="229">
        <v>0</v>
      </c>
      <c r="O1091" s="229">
        <v>0</v>
      </c>
      <c r="P1091" s="26">
        <v>0</v>
      </c>
      <c r="Q1091" s="14">
        <v>15</v>
      </c>
      <c r="R1091" s="229">
        <v>0</v>
      </c>
      <c r="S1091" s="229">
        <v>0</v>
      </c>
      <c r="T1091" s="229">
        <v>0</v>
      </c>
      <c r="U1091" s="229">
        <v>0</v>
      </c>
      <c r="V1091" s="229">
        <v>91</v>
      </c>
      <c r="W1091" s="229">
        <v>190</v>
      </c>
      <c r="X1091" s="229">
        <v>0</v>
      </c>
      <c r="Y1091" s="229">
        <v>14</v>
      </c>
      <c r="Z1091" s="229">
        <v>0</v>
      </c>
      <c r="AA1091" s="229">
        <v>0</v>
      </c>
      <c r="AB1091" s="229">
        <v>0</v>
      </c>
      <c r="AC1091" s="12">
        <v>2</v>
      </c>
      <c r="AD1091" s="14">
        <v>4</v>
      </c>
      <c r="AE1091" s="14">
        <v>74</v>
      </c>
      <c r="AF1091" s="26">
        <v>345</v>
      </c>
      <c r="AG1091" s="12">
        <v>27</v>
      </c>
      <c r="AH1091" s="14">
        <v>1</v>
      </c>
      <c r="AI1091" s="209">
        <v>87.698151155052855</v>
      </c>
      <c r="AJ1091" s="3">
        <v>87.608664329761837</v>
      </c>
      <c r="AK1091" s="3"/>
      <c r="AL1091" s="3"/>
      <c r="AM1091" s="3"/>
      <c r="AN1091" s="3"/>
      <c r="AO1091" s="40"/>
      <c r="AP1091" s="209"/>
      <c r="AQ1091" s="3"/>
      <c r="AR1091" s="40"/>
      <c r="AS1091" s="238"/>
    </row>
    <row r="1092" spans="1:45" s="229" customFormat="1">
      <c r="A1092" s="83" t="s">
        <v>326</v>
      </c>
      <c r="B1092" s="386">
        <v>47.94166666666667</v>
      </c>
      <c r="C1092" s="24" t="s">
        <v>718</v>
      </c>
      <c r="D1092" s="229" t="s">
        <v>727</v>
      </c>
      <c r="E1092" s="229" t="s">
        <v>0</v>
      </c>
      <c r="F1092" s="229">
        <v>972</v>
      </c>
      <c r="G1092" s="40">
        <f>F1092/281</f>
        <v>3.4590747330960854</v>
      </c>
      <c r="H1092" s="14">
        <v>1</v>
      </c>
      <c r="I1092" s="229">
        <v>0</v>
      </c>
      <c r="J1092" s="229">
        <v>0</v>
      </c>
      <c r="K1092" s="26">
        <v>1</v>
      </c>
      <c r="L1092" s="14">
        <v>0</v>
      </c>
      <c r="M1092" s="229">
        <v>0</v>
      </c>
      <c r="N1092" s="229">
        <v>0</v>
      </c>
      <c r="O1092" s="229">
        <v>0</v>
      </c>
      <c r="P1092" s="26">
        <v>0</v>
      </c>
      <c r="Q1092" s="14">
        <v>1</v>
      </c>
      <c r="R1092" s="229">
        <v>7</v>
      </c>
      <c r="S1092" s="229">
        <v>0</v>
      </c>
      <c r="T1092" s="229">
        <v>0</v>
      </c>
      <c r="U1092" s="229">
        <v>0</v>
      </c>
      <c r="V1092" s="229">
        <v>0</v>
      </c>
      <c r="W1092" s="229">
        <v>0</v>
      </c>
      <c r="X1092" s="229">
        <v>0</v>
      </c>
      <c r="Y1092" s="229">
        <v>0</v>
      </c>
      <c r="Z1092" s="229">
        <v>0</v>
      </c>
      <c r="AA1092" s="229">
        <v>0</v>
      </c>
      <c r="AB1092" s="229">
        <v>1</v>
      </c>
      <c r="AC1092" s="12">
        <v>2</v>
      </c>
      <c r="AD1092" s="14">
        <v>9</v>
      </c>
      <c r="AE1092" s="14">
        <v>41</v>
      </c>
      <c r="AF1092" s="26">
        <v>426</v>
      </c>
      <c r="AG1092" s="12">
        <v>42</v>
      </c>
      <c r="AH1092" s="14">
        <v>1</v>
      </c>
      <c r="AI1092" s="209">
        <v>87.408766785725334</v>
      </c>
      <c r="AJ1092" s="3">
        <v>87.52985594109866</v>
      </c>
      <c r="AK1092" s="3">
        <v>87.428736730634014</v>
      </c>
      <c r="AL1092" s="3"/>
      <c r="AM1092" s="3"/>
      <c r="AN1092" s="3"/>
      <c r="AO1092" s="40"/>
      <c r="AP1092" s="209">
        <v>87.482450056224508</v>
      </c>
      <c r="AQ1092" s="3"/>
      <c r="AR1092" s="40"/>
      <c r="AS1092" s="238"/>
    </row>
    <row r="1093" spans="1:45" s="229" customFormat="1">
      <c r="A1093" s="83" t="s">
        <v>326</v>
      </c>
      <c r="B1093" s="386">
        <v>47.94166666666667</v>
      </c>
      <c r="C1093" s="24" t="s">
        <v>718</v>
      </c>
      <c r="D1093" s="229" t="s">
        <v>727</v>
      </c>
      <c r="E1093" s="229" t="s">
        <v>1</v>
      </c>
      <c r="F1093" s="229">
        <v>439</v>
      </c>
      <c r="G1093" s="40">
        <f>F1093/177</f>
        <v>2.4802259887005649</v>
      </c>
      <c r="H1093" s="14">
        <v>0</v>
      </c>
      <c r="I1093" s="229">
        <v>0</v>
      </c>
      <c r="J1093" s="229">
        <v>0</v>
      </c>
      <c r="K1093" s="26">
        <v>1</v>
      </c>
      <c r="L1093" s="14">
        <v>0</v>
      </c>
      <c r="M1093" s="229">
        <v>0</v>
      </c>
      <c r="N1093" s="229">
        <v>0</v>
      </c>
      <c r="O1093" s="229">
        <v>0</v>
      </c>
      <c r="P1093" s="26">
        <v>0</v>
      </c>
      <c r="Q1093" s="14">
        <v>3</v>
      </c>
      <c r="R1093" s="229">
        <v>0</v>
      </c>
      <c r="S1093" s="229">
        <v>21</v>
      </c>
      <c r="T1093" s="229">
        <v>0</v>
      </c>
      <c r="U1093" s="229">
        <v>0</v>
      </c>
      <c r="V1093" s="229">
        <v>0</v>
      </c>
      <c r="W1093" s="229">
        <v>1</v>
      </c>
      <c r="X1093" s="229">
        <v>0</v>
      </c>
      <c r="Y1093" s="229">
        <v>0</v>
      </c>
      <c r="Z1093" s="229">
        <v>0</v>
      </c>
      <c r="AA1093" s="229">
        <v>0</v>
      </c>
      <c r="AB1093" s="229">
        <v>1</v>
      </c>
      <c r="AC1093" s="12">
        <v>2</v>
      </c>
      <c r="AD1093" s="14">
        <v>3</v>
      </c>
      <c r="AE1093" s="14">
        <v>142</v>
      </c>
      <c r="AF1093" s="26">
        <v>240</v>
      </c>
      <c r="AG1093" s="12">
        <v>42</v>
      </c>
      <c r="AH1093" s="14">
        <v>1</v>
      </c>
      <c r="AI1093" s="209"/>
      <c r="AJ1093" s="3"/>
      <c r="AK1093" s="3"/>
      <c r="AL1093" s="3"/>
      <c r="AM1093" s="3"/>
      <c r="AN1093" s="3"/>
      <c r="AO1093" s="40"/>
      <c r="AP1093" s="209"/>
      <c r="AQ1093" s="3"/>
      <c r="AR1093" s="40"/>
      <c r="AS1093" s="238"/>
    </row>
    <row r="1094" spans="1:45" s="229" customFormat="1">
      <c r="A1094" s="83" t="s">
        <v>326</v>
      </c>
      <c r="B1094" s="386">
        <v>47.94166666666667</v>
      </c>
      <c r="C1094" s="24" t="s">
        <v>718</v>
      </c>
      <c r="D1094" s="229" t="s">
        <v>727</v>
      </c>
      <c r="E1094" s="229" t="s">
        <v>2</v>
      </c>
      <c r="F1094" s="229">
        <v>174</v>
      </c>
      <c r="G1094" s="40">
        <f>F1094/108</f>
        <v>1.6111111111111112</v>
      </c>
      <c r="H1094" s="14">
        <v>0</v>
      </c>
      <c r="I1094" s="229">
        <v>0</v>
      </c>
      <c r="J1094" s="229">
        <v>0</v>
      </c>
      <c r="K1094" s="26">
        <v>1</v>
      </c>
      <c r="L1094" s="14">
        <v>0</v>
      </c>
      <c r="M1094" s="229">
        <v>0</v>
      </c>
      <c r="N1094" s="229">
        <v>1</v>
      </c>
      <c r="O1094" s="229">
        <v>0</v>
      </c>
      <c r="P1094" s="26">
        <v>1</v>
      </c>
      <c r="Q1094" s="14">
        <v>0</v>
      </c>
      <c r="R1094" s="229">
        <v>0</v>
      </c>
      <c r="S1094" s="229">
        <v>0</v>
      </c>
      <c r="T1094" s="229">
        <v>0</v>
      </c>
      <c r="U1094" s="229">
        <v>0</v>
      </c>
      <c r="V1094" s="229">
        <v>0</v>
      </c>
      <c r="W1094" s="229">
        <v>0</v>
      </c>
      <c r="X1094" s="229">
        <v>0</v>
      </c>
      <c r="Y1094" s="229">
        <v>0</v>
      </c>
      <c r="Z1094" s="229">
        <v>0</v>
      </c>
      <c r="AA1094" s="229">
        <v>0</v>
      </c>
      <c r="AB1094" s="229">
        <v>0</v>
      </c>
      <c r="AC1094" s="12">
        <v>1</v>
      </c>
      <c r="AD1094" s="14">
        <v>1</v>
      </c>
      <c r="AE1094" s="14">
        <v>0</v>
      </c>
      <c r="AF1094" s="26">
        <v>0</v>
      </c>
      <c r="AG1094" s="12">
        <v>42</v>
      </c>
      <c r="AH1094" s="14">
        <v>1</v>
      </c>
      <c r="AI1094" s="209"/>
      <c r="AJ1094" s="3"/>
      <c r="AK1094" s="3"/>
      <c r="AL1094" s="3"/>
      <c r="AM1094" s="3"/>
      <c r="AN1094" s="3"/>
      <c r="AO1094" s="40"/>
      <c r="AP1094" s="209"/>
      <c r="AQ1094" s="3"/>
      <c r="AR1094" s="40"/>
      <c r="AS1094" s="238"/>
    </row>
    <row r="1095" spans="1:45" s="229" customFormat="1">
      <c r="A1095" s="83" t="s">
        <v>326</v>
      </c>
      <c r="B1095" s="386">
        <v>47.94166666666667</v>
      </c>
      <c r="C1095" s="24" t="s">
        <v>718</v>
      </c>
      <c r="D1095" s="229" t="s">
        <v>727</v>
      </c>
      <c r="E1095" s="229" t="s">
        <v>3</v>
      </c>
      <c r="F1095" s="229">
        <v>103</v>
      </c>
      <c r="G1095" s="40">
        <f>F1095/90</f>
        <v>1.1444444444444444</v>
      </c>
      <c r="H1095" s="14">
        <v>1</v>
      </c>
      <c r="I1095" s="229">
        <v>0</v>
      </c>
      <c r="J1095" s="229">
        <v>0</v>
      </c>
      <c r="K1095" s="26">
        <v>0</v>
      </c>
      <c r="L1095" s="14">
        <v>0</v>
      </c>
      <c r="M1095" s="229">
        <v>0</v>
      </c>
      <c r="N1095" s="229">
        <v>0</v>
      </c>
      <c r="O1095" s="229">
        <v>1</v>
      </c>
      <c r="P1095" s="26">
        <v>1</v>
      </c>
      <c r="Q1095" s="14">
        <v>0</v>
      </c>
      <c r="R1095" s="229">
        <v>0</v>
      </c>
      <c r="S1095" s="229">
        <v>0</v>
      </c>
      <c r="T1095" s="229">
        <v>0</v>
      </c>
      <c r="U1095" s="229">
        <v>0</v>
      </c>
      <c r="V1095" s="229">
        <v>0</v>
      </c>
      <c r="W1095" s="229">
        <v>0</v>
      </c>
      <c r="X1095" s="229">
        <v>0</v>
      </c>
      <c r="Y1095" s="229">
        <v>0</v>
      </c>
      <c r="Z1095" s="229">
        <v>0</v>
      </c>
      <c r="AA1095" s="229">
        <v>0</v>
      </c>
      <c r="AB1095" s="229">
        <v>0</v>
      </c>
      <c r="AC1095" s="12">
        <v>1</v>
      </c>
      <c r="AD1095" s="14">
        <v>1</v>
      </c>
      <c r="AE1095" s="14">
        <v>0</v>
      </c>
      <c r="AF1095" s="26">
        <v>0</v>
      </c>
      <c r="AG1095" s="12">
        <v>42</v>
      </c>
      <c r="AH1095" s="14">
        <v>0</v>
      </c>
      <c r="AI1095" s="209"/>
      <c r="AJ1095" s="3"/>
      <c r="AK1095" s="3"/>
      <c r="AL1095" s="3"/>
      <c r="AM1095" s="3"/>
      <c r="AN1095" s="3"/>
      <c r="AO1095" s="40"/>
      <c r="AP1095" s="209"/>
      <c r="AQ1095" s="3"/>
      <c r="AR1095" s="40"/>
      <c r="AS1095" s="238"/>
    </row>
    <row r="1096" spans="1:45" s="229" customFormat="1">
      <c r="A1096" s="83" t="s">
        <v>326</v>
      </c>
      <c r="B1096" s="386">
        <v>47.94166666666667</v>
      </c>
      <c r="C1096" s="24" t="s">
        <v>718</v>
      </c>
      <c r="D1096" s="229" t="s">
        <v>727</v>
      </c>
      <c r="E1096" s="229" t="s">
        <v>4</v>
      </c>
      <c r="F1096" s="229">
        <v>543</v>
      </c>
      <c r="G1096" s="40">
        <f>F1096/287</f>
        <v>1.89198606271777</v>
      </c>
      <c r="H1096" s="14">
        <v>1</v>
      </c>
      <c r="I1096" s="229">
        <v>0</v>
      </c>
      <c r="J1096" s="229">
        <v>0</v>
      </c>
      <c r="K1096" s="26">
        <v>1</v>
      </c>
      <c r="L1096" s="14">
        <v>0</v>
      </c>
      <c r="M1096" s="229">
        <v>0</v>
      </c>
      <c r="N1096" s="229">
        <v>0</v>
      </c>
      <c r="O1096" s="229">
        <v>0</v>
      </c>
      <c r="P1096" s="26">
        <v>0</v>
      </c>
      <c r="Q1096" s="14">
        <v>1</v>
      </c>
      <c r="R1096" s="229">
        <v>9</v>
      </c>
      <c r="S1096" s="229">
        <v>14</v>
      </c>
      <c r="T1096" s="229">
        <v>0</v>
      </c>
      <c r="U1096" s="229">
        <v>0</v>
      </c>
      <c r="V1096" s="229">
        <v>0</v>
      </c>
      <c r="W1096" s="229">
        <v>0</v>
      </c>
      <c r="X1096" s="229">
        <v>0</v>
      </c>
      <c r="Y1096" s="229">
        <v>0</v>
      </c>
      <c r="Z1096" s="229">
        <v>0</v>
      </c>
      <c r="AA1096" s="229">
        <v>0</v>
      </c>
      <c r="AB1096" s="229">
        <v>1</v>
      </c>
      <c r="AC1096" s="12">
        <v>2</v>
      </c>
      <c r="AD1096" s="14">
        <v>9</v>
      </c>
      <c r="AE1096" s="14">
        <v>39</v>
      </c>
      <c r="AF1096" s="26">
        <v>229</v>
      </c>
      <c r="AG1096" s="12">
        <v>42</v>
      </c>
      <c r="AH1096" s="14">
        <v>1</v>
      </c>
      <c r="AI1096" s="209">
        <v>87.440714854376807</v>
      </c>
      <c r="AJ1096" s="3">
        <v>87.535234663478079</v>
      </c>
      <c r="AK1096" s="3"/>
      <c r="AL1096" s="3"/>
      <c r="AM1096" s="3"/>
      <c r="AN1096" s="3"/>
      <c r="AO1096" s="40"/>
      <c r="AP1096" s="209">
        <v>87.249091431009575</v>
      </c>
      <c r="AQ1096" s="3"/>
      <c r="AR1096" s="40"/>
      <c r="AS1096" s="238"/>
    </row>
    <row r="1097" spans="1:45" s="229" customFormat="1">
      <c r="A1097" s="83" t="s">
        <v>326</v>
      </c>
      <c r="B1097" s="386">
        <v>47.94166666666667</v>
      </c>
      <c r="C1097" s="24" t="s">
        <v>718</v>
      </c>
      <c r="D1097" s="229" t="s">
        <v>728</v>
      </c>
      <c r="E1097" s="229" t="s">
        <v>0</v>
      </c>
      <c r="F1097" s="229">
        <v>1508</v>
      </c>
      <c r="G1097" s="40">
        <f>F1097/505</f>
        <v>2.9861386138613861</v>
      </c>
      <c r="H1097" s="14">
        <v>1</v>
      </c>
      <c r="I1097" s="229">
        <v>0</v>
      </c>
      <c r="J1097" s="229">
        <v>1</v>
      </c>
      <c r="K1097" s="26">
        <v>1</v>
      </c>
      <c r="L1097" s="14">
        <v>0</v>
      </c>
      <c r="M1097" s="229">
        <v>0</v>
      </c>
      <c r="N1097" s="229">
        <v>0</v>
      </c>
      <c r="O1097" s="229">
        <v>0</v>
      </c>
      <c r="P1097" s="26">
        <v>0</v>
      </c>
      <c r="Q1097" s="14">
        <v>2</v>
      </c>
      <c r="R1097" s="229">
        <v>0</v>
      </c>
      <c r="S1097" s="229">
        <v>9</v>
      </c>
      <c r="T1097" s="229">
        <v>0</v>
      </c>
      <c r="U1097" s="229">
        <v>0</v>
      </c>
      <c r="V1097" s="229">
        <v>0</v>
      </c>
      <c r="W1097" s="229">
        <v>24</v>
      </c>
      <c r="X1097" s="229">
        <v>0</v>
      </c>
      <c r="Y1097" s="229">
        <v>0</v>
      </c>
      <c r="Z1097" s="229">
        <v>0</v>
      </c>
      <c r="AA1097" s="229">
        <v>0</v>
      </c>
      <c r="AB1097" s="229">
        <v>0</v>
      </c>
      <c r="AC1097" s="12">
        <v>2</v>
      </c>
      <c r="AD1097" s="14">
        <v>8</v>
      </c>
      <c r="AE1097" s="14">
        <v>91</v>
      </c>
      <c r="AF1097" s="26">
        <v>631</v>
      </c>
      <c r="AG1097" s="12">
        <v>115</v>
      </c>
      <c r="AH1097" s="14">
        <v>1</v>
      </c>
      <c r="AI1097" s="209"/>
      <c r="AJ1097" s="3"/>
      <c r="AK1097" s="3"/>
      <c r="AL1097" s="3"/>
      <c r="AM1097" s="3"/>
      <c r="AN1097" s="3"/>
      <c r="AO1097" s="40"/>
      <c r="AP1097" s="209"/>
      <c r="AQ1097" s="3"/>
      <c r="AR1097" s="40"/>
      <c r="AS1097" s="238"/>
    </row>
    <row r="1098" spans="1:45" s="229" customFormat="1">
      <c r="A1098" s="83" t="s">
        <v>326</v>
      </c>
      <c r="B1098" s="386">
        <v>47.94166666666667</v>
      </c>
      <c r="C1098" s="24" t="s">
        <v>718</v>
      </c>
      <c r="D1098" s="229" t="s">
        <v>728</v>
      </c>
      <c r="E1098" s="229" t="s">
        <v>1</v>
      </c>
      <c r="F1098" s="229">
        <v>141</v>
      </c>
      <c r="G1098" s="40">
        <f>F1098/92</f>
        <v>1.5326086956521738</v>
      </c>
      <c r="H1098" s="14">
        <v>0</v>
      </c>
      <c r="I1098" s="229">
        <v>0</v>
      </c>
      <c r="J1098" s="229">
        <v>1</v>
      </c>
      <c r="K1098" s="26">
        <v>0</v>
      </c>
      <c r="L1098" s="14">
        <v>0</v>
      </c>
      <c r="M1098" s="229">
        <v>0</v>
      </c>
      <c r="N1098" s="229">
        <v>0</v>
      </c>
      <c r="O1098" s="229">
        <v>0</v>
      </c>
      <c r="P1098" s="26">
        <v>0</v>
      </c>
      <c r="Q1098" s="14">
        <v>0</v>
      </c>
      <c r="R1098" s="229">
        <v>0</v>
      </c>
      <c r="S1098" s="229">
        <v>0</v>
      </c>
      <c r="T1098" s="229">
        <v>0</v>
      </c>
      <c r="U1098" s="229">
        <v>0</v>
      </c>
      <c r="V1098" s="229">
        <v>0</v>
      </c>
      <c r="W1098" s="229">
        <v>0</v>
      </c>
      <c r="X1098" s="229">
        <v>0</v>
      </c>
      <c r="Y1098" s="229">
        <v>0</v>
      </c>
      <c r="Z1098" s="229">
        <v>0</v>
      </c>
      <c r="AA1098" s="229">
        <v>0</v>
      </c>
      <c r="AB1098" s="229">
        <v>0</v>
      </c>
      <c r="AC1098" s="12">
        <v>1</v>
      </c>
      <c r="AD1098" s="14">
        <v>1</v>
      </c>
      <c r="AE1098" s="14">
        <v>0</v>
      </c>
      <c r="AF1098" s="26">
        <v>0</v>
      </c>
      <c r="AG1098" s="12">
        <v>115</v>
      </c>
      <c r="AH1098" s="14">
        <v>0</v>
      </c>
      <c r="AI1098" s="209"/>
      <c r="AJ1098" s="3"/>
      <c r="AK1098" s="3"/>
      <c r="AL1098" s="3"/>
      <c r="AM1098" s="3"/>
      <c r="AN1098" s="3"/>
      <c r="AO1098" s="40"/>
      <c r="AP1098" s="209"/>
      <c r="AQ1098" s="3"/>
      <c r="AR1098" s="40"/>
      <c r="AS1098" s="238"/>
    </row>
    <row r="1099" spans="1:45" s="229" customFormat="1">
      <c r="A1099" s="83" t="s">
        <v>326</v>
      </c>
      <c r="B1099" s="386">
        <v>47.94166666666667</v>
      </c>
      <c r="C1099" s="24" t="s">
        <v>718</v>
      </c>
      <c r="D1099" s="229" t="s">
        <v>728</v>
      </c>
      <c r="E1099" s="229" t="s">
        <v>2</v>
      </c>
      <c r="F1099" s="229">
        <v>116</v>
      </c>
      <c r="G1099" s="40">
        <f>F1099/116</f>
        <v>1</v>
      </c>
      <c r="H1099" s="14">
        <v>1</v>
      </c>
      <c r="I1099" s="229">
        <v>0</v>
      </c>
      <c r="J1099" s="229">
        <v>0</v>
      </c>
      <c r="K1099" s="26">
        <v>0</v>
      </c>
      <c r="L1099" s="14">
        <v>0</v>
      </c>
      <c r="M1099" s="229">
        <v>0</v>
      </c>
      <c r="N1099" s="229">
        <v>0</v>
      </c>
      <c r="O1099" s="229">
        <v>0</v>
      </c>
      <c r="P1099" s="26">
        <v>0</v>
      </c>
      <c r="Q1099" s="14">
        <v>0</v>
      </c>
      <c r="R1099" s="229">
        <v>0</v>
      </c>
      <c r="S1099" s="229">
        <v>0</v>
      </c>
      <c r="T1099" s="229">
        <v>0</v>
      </c>
      <c r="U1099" s="229">
        <v>0</v>
      </c>
      <c r="V1099" s="229">
        <v>0</v>
      </c>
      <c r="W1099" s="229">
        <v>0</v>
      </c>
      <c r="X1099" s="229">
        <v>0</v>
      </c>
      <c r="Y1099" s="229">
        <v>0</v>
      </c>
      <c r="Z1099" s="229">
        <v>0</v>
      </c>
      <c r="AA1099" s="229">
        <v>0</v>
      </c>
      <c r="AB1099" s="229">
        <v>0</v>
      </c>
      <c r="AC1099" s="12">
        <v>1</v>
      </c>
      <c r="AD1099" s="14">
        <v>1</v>
      </c>
      <c r="AE1099" s="14">
        <v>0</v>
      </c>
      <c r="AF1099" s="26">
        <v>0</v>
      </c>
      <c r="AG1099" s="12">
        <v>115</v>
      </c>
      <c r="AH1099" s="14">
        <v>0</v>
      </c>
      <c r="AI1099" s="209"/>
      <c r="AJ1099" s="3"/>
      <c r="AK1099" s="3"/>
      <c r="AL1099" s="3"/>
      <c r="AM1099" s="3"/>
      <c r="AN1099" s="3"/>
      <c r="AO1099" s="40"/>
      <c r="AP1099" s="209"/>
      <c r="AQ1099" s="3"/>
      <c r="AR1099" s="40"/>
      <c r="AS1099" s="238"/>
    </row>
    <row r="1100" spans="1:45" s="229" customFormat="1">
      <c r="A1100" s="83" t="s">
        <v>326</v>
      </c>
      <c r="B1100" s="386">
        <v>47.94166666666667</v>
      </c>
      <c r="C1100" s="24" t="s">
        <v>718</v>
      </c>
      <c r="D1100" s="229" t="s">
        <v>728</v>
      </c>
      <c r="E1100" s="229" t="s">
        <v>3</v>
      </c>
      <c r="F1100" s="229">
        <v>285</v>
      </c>
      <c r="G1100" s="40">
        <f>F1100/203</f>
        <v>1.4039408866995073</v>
      </c>
      <c r="H1100" s="14">
        <v>0</v>
      </c>
      <c r="I1100" s="229">
        <v>0</v>
      </c>
      <c r="J1100" s="229">
        <v>0</v>
      </c>
      <c r="K1100" s="26">
        <v>1</v>
      </c>
      <c r="L1100" s="14">
        <v>0</v>
      </c>
      <c r="M1100" s="229">
        <v>0</v>
      </c>
      <c r="N1100" s="229">
        <v>0</v>
      </c>
      <c r="O1100" s="229">
        <v>0</v>
      </c>
      <c r="P1100" s="26">
        <v>0</v>
      </c>
      <c r="Q1100" s="14">
        <v>0</v>
      </c>
      <c r="R1100" s="229">
        <v>0</v>
      </c>
      <c r="S1100" s="229">
        <v>0</v>
      </c>
      <c r="T1100" s="229">
        <v>0</v>
      </c>
      <c r="U1100" s="229">
        <v>0</v>
      </c>
      <c r="V1100" s="229">
        <v>0</v>
      </c>
      <c r="W1100" s="229">
        <v>0</v>
      </c>
      <c r="X1100" s="229">
        <v>0</v>
      </c>
      <c r="Y1100" s="229">
        <v>0</v>
      </c>
      <c r="Z1100" s="229">
        <v>0</v>
      </c>
      <c r="AA1100" s="229">
        <v>0</v>
      </c>
      <c r="AB1100" s="229">
        <v>0</v>
      </c>
      <c r="AC1100" s="12">
        <v>1</v>
      </c>
      <c r="AD1100" s="14">
        <v>1</v>
      </c>
      <c r="AE1100" s="14">
        <v>0</v>
      </c>
      <c r="AF1100" s="26">
        <v>0</v>
      </c>
      <c r="AG1100" s="12">
        <v>115</v>
      </c>
      <c r="AH1100" s="14">
        <v>0</v>
      </c>
      <c r="AI1100" s="209"/>
      <c r="AJ1100" s="3"/>
      <c r="AK1100" s="3"/>
      <c r="AL1100" s="3"/>
      <c r="AM1100" s="3"/>
      <c r="AN1100" s="3"/>
      <c r="AO1100" s="40"/>
      <c r="AP1100" s="209"/>
      <c r="AQ1100" s="3"/>
      <c r="AR1100" s="40"/>
      <c r="AS1100" s="238"/>
    </row>
    <row r="1101" spans="1:45" s="229" customFormat="1">
      <c r="A1101" s="83" t="s">
        <v>326</v>
      </c>
      <c r="B1101" s="386">
        <v>47.94166666666667</v>
      </c>
      <c r="C1101" s="24" t="s">
        <v>718</v>
      </c>
      <c r="D1101" s="229" t="s">
        <v>729</v>
      </c>
      <c r="E1101" s="229" t="s">
        <v>0</v>
      </c>
      <c r="F1101" s="229">
        <v>146</v>
      </c>
      <c r="G1101" s="40">
        <f>F1101/110</f>
        <v>1.3272727272727274</v>
      </c>
      <c r="H1101" s="14">
        <v>1</v>
      </c>
      <c r="I1101" s="229">
        <v>0</v>
      </c>
      <c r="J1101" s="229">
        <v>0</v>
      </c>
      <c r="K1101" s="26">
        <v>0</v>
      </c>
      <c r="L1101" s="14">
        <v>0</v>
      </c>
      <c r="M1101" s="229">
        <v>0</v>
      </c>
      <c r="N1101" s="229">
        <v>0</v>
      </c>
      <c r="O1101" s="229">
        <v>0</v>
      </c>
      <c r="P1101" s="26">
        <v>0</v>
      </c>
      <c r="Q1101" s="14">
        <v>2</v>
      </c>
      <c r="R1101" s="229">
        <v>0</v>
      </c>
      <c r="S1101" s="229">
        <v>11</v>
      </c>
      <c r="T1101" s="229">
        <v>0</v>
      </c>
      <c r="U1101" s="229">
        <v>0</v>
      </c>
      <c r="V1101" s="229">
        <v>0</v>
      </c>
      <c r="W1101" s="229">
        <v>0</v>
      </c>
      <c r="X1101" s="229">
        <v>0</v>
      </c>
      <c r="Y1101" s="229">
        <v>0</v>
      </c>
      <c r="Z1101" s="229">
        <v>0</v>
      </c>
      <c r="AA1101" s="229">
        <v>0</v>
      </c>
      <c r="AB1101" s="229">
        <v>1</v>
      </c>
      <c r="AC1101" s="12">
        <v>1</v>
      </c>
      <c r="AD1101" s="14">
        <v>1</v>
      </c>
      <c r="AE1101" s="14">
        <v>0</v>
      </c>
      <c r="AF1101" s="26">
        <v>0</v>
      </c>
      <c r="AG1101" s="12">
        <v>113</v>
      </c>
      <c r="AH1101" s="14">
        <v>1</v>
      </c>
      <c r="AI1101" s="209"/>
      <c r="AJ1101" s="3"/>
      <c r="AK1101" s="3"/>
      <c r="AL1101" s="3"/>
      <c r="AM1101" s="3"/>
      <c r="AN1101" s="3"/>
      <c r="AO1101" s="40"/>
      <c r="AP1101" s="209"/>
      <c r="AQ1101" s="3"/>
      <c r="AR1101" s="40"/>
      <c r="AS1101" s="238"/>
    </row>
    <row r="1102" spans="1:45" s="229" customFormat="1">
      <c r="A1102" s="83" t="s">
        <v>326</v>
      </c>
      <c r="B1102" s="386">
        <v>47.94166666666667</v>
      </c>
      <c r="C1102" s="24" t="s">
        <v>718</v>
      </c>
      <c r="D1102" s="229" t="s">
        <v>729</v>
      </c>
      <c r="E1102" s="229" t="s">
        <v>1</v>
      </c>
      <c r="F1102" s="229">
        <v>186</v>
      </c>
      <c r="G1102" s="40">
        <f>F1102/120</f>
        <v>1.55</v>
      </c>
      <c r="H1102" s="14">
        <v>1</v>
      </c>
      <c r="I1102" s="229">
        <v>0</v>
      </c>
      <c r="J1102" s="229">
        <v>0</v>
      </c>
      <c r="K1102" s="26">
        <v>0</v>
      </c>
      <c r="L1102" s="14">
        <v>0</v>
      </c>
      <c r="M1102" s="229">
        <v>0</v>
      </c>
      <c r="N1102" s="229">
        <v>0</v>
      </c>
      <c r="O1102" s="229">
        <v>0</v>
      </c>
      <c r="P1102" s="26">
        <v>0</v>
      </c>
      <c r="Q1102" s="14">
        <v>0</v>
      </c>
      <c r="R1102" s="229">
        <v>0</v>
      </c>
      <c r="S1102" s="229">
        <v>0</v>
      </c>
      <c r="T1102" s="229">
        <v>0</v>
      </c>
      <c r="U1102" s="229">
        <v>0</v>
      </c>
      <c r="V1102" s="229">
        <v>0</v>
      </c>
      <c r="W1102" s="229">
        <v>0</v>
      </c>
      <c r="X1102" s="229">
        <v>0</v>
      </c>
      <c r="Y1102" s="229">
        <v>0</v>
      </c>
      <c r="Z1102" s="229">
        <v>0</v>
      </c>
      <c r="AA1102" s="229">
        <v>0</v>
      </c>
      <c r="AB1102" s="229">
        <v>0</v>
      </c>
      <c r="AC1102" s="12">
        <v>1</v>
      </c>
      <c r="AD1102" s="14">
        <v>1</v>
      </c>
      <c r="AE1102" s="14">
        <v>0</v>
      </c>
      <c r="AF1102" s="26">
        <v>0</v>
      </c>
      <c r="AG1102" s="12">
        <v>113</v>
      </c>
      <c r="AH1102" s="14">
        <v>1</v>
      </c>
      <c r="AI1102" s="209"/>
      <c r="AJ1102" s="3"/>
      <c r="AK1102" s="3"/>
      <c r="AL1102" s="3"/>
      <c r="AM1102" s="3"/>
      <c r="AN1102" s="3"/>
      <c r="AO1102" s="40"/>
      <c r="AP1102" s="209"/>
      <c r="AQ1102" s="3"/>
      <c r="AR1102" s="40"/>
      <c r="AS1102" s="238"/>
    </row>
    <row r="1103" spans="1:45" s="229" customFormat="1">
      <c r="A1103" s="83" t="s">
        <v>326</v>
      </c>
      <c r="B1103" s="386">
        <v>47.94166666666667</v>
      </c>
      <c r="C1103" s="24" t="s">
        <v>718</v>
      </c>
      <c r="D1103" s="229" t="s">
        <v>729</v>
      </c>
      <c r="E1103" s="229" t="s">
        <v>2</v>
      </c>
      <c r="F1103" s="229">
        <v>366</v>
      </c>
      <c r="G1103" s="40">
        <f>F1103/219</f>
        <v>1.6712328767123288</v>
      </c>
      <c r="H1103" s="14">
        <v>1</v>
      </c>
      <c r="I1103" s="229">
        <v>0</v>
      </c>
      <c r="J1103" s="229">
        <v>0</v>
      </c>
      <c r="K1103" s="26">
        <v>1</v>
      </c>
      <c r="L1103" s="14">
        <v>0</v>
      </c>
      <c r="M1103" s="229">
        <v>0</v>
      </c>
      <c r="N1103" s="229">
        <v>0</v>
      </c>
      <c r="O1103" s="229">
        <v>0</v>
      </c>
      <c r="P1103" s="26">
        <v>0</v>
      </c>
      <c r="Q1103" s="14">
        <v>0</v>
      </c>
      <c r="R1103" s="229">
        <v>0</v>
      </c>
      <c r="S1103" s="229">
        <v>0</v>
      </c>
      <c r="T1103" s="229">
        <v>0</v>
      </c>
      <c r="U1103" s="229">
        <v>0</v>
      </c>
      <c r="V1103" s="229">
        <v>0</v>
      </c>
      <c r="W1103" s="229">
        <v>0</v>
      </c>
      <c r="X1103" s="229">
        <v>0</v>
      </c>
      <c r="Y1103" s="229">
        <v>0</v>
      </c>
      <c r="Z1103" s="229">
        <v>0</v>
      </c>
      <c r="AA1103" s="229">
        <v>0</v>
      </c>
      <c r="AB1103" s="229">
        <v>0</v>
      </c>
      <c r="AC1103" s="12">
        <v>2</v>
      </c>
      <c r="AD1103" s="14">
        <v>5</v>
      </c>
      <c r="AE1103" s="14">
        <v>84</v>
      </c>
      <c r="AF1103" s="26">
        <v>310</v>
      </c>
      <c r="AG1103" s="12">
        <v>113</v>
      </c>
      <c r="AH1103" s="14">
        <v>1</v>
      </c>
      <c r="AI1103" s="209"/>
      <c r="AJ1103" s="3"/>
      <c r="AK1103" s="3"/>
      <c r="AL1103" s="3"/>
      <c r="AM1103" s="3"/>
      <c r="AN1103" s="3"/>
      <c r="AO1103" s="40"/>
      <c r="AP1103" s="209"/>
      <c r="AQ1103" s="3"/>
      <c r="AR1103" s="40"/>
      <c r="AS1103" s="238"/>
    </row>
    <row r="1104" spans="1:45" s="229" customFormat="1">
      <c r="A1104" s="83" t="s">
        <v>326</v>
      </c>
      <c r="B1104" s="386">
        <v>47.94166666666667</v>
      </c>
      <c r="C1104" s="24" t="s">
        <v>718</v>
      </c>
      <c r="D1104" s="229" t="s">
        <v>729</v>
      </c>
      <c r="E1104" s="229" t="s">
        <v>3</v>
      </c>
      <c r="F1104" s="229">
        <v>179</v>
      </c>
      <c r="G1104" s="40">
        <f>F1104/158</f>
        <v>1.1329113924050633</v>
      </c>
      <c r="H1104" s="14">
        <v>0</v>
      </c>
      <c r="I1104" s="229">
        <v>0</v>
      </c>
      <c r="J1104" s="229">
        <v>0</v>
      </c>
      <c r="K1104" s="26">
        <v>1</v>
      </c>
      <c r="L1104" s="14">
        <v>0</v>
      </c>
      <c r="M1104" s="229">
        <v>0</v>
      </c>
      <c r="N1104" s="229">
        <v>1</v>
      </c>
      <c r="O1104" s="229">
        <v>0</v>
      </c>
      <c r="P1104" s="26">
        <v>1</v>
      </c>
      <c r="Q1104" s="14">
        <v>0</v>
      </c>
      <c r="R1104" s="229">
        <v>0</v>
      </c>
      <c r="S1104" s="229">
        <v>0</v>
      </c>
      <c r="T1104" s="229">
        <v>0</v>
      </c>
      <c r="U1104" s="229">
        <v>0</v>
      </c>
      <c r="V1104" s="229">
        <v>0</v>
      </c>
      <c r="W1104" s="229">
        <v>0</v>
      </c>
      <c r="X1104" s="229">
        <v>0</v>
      </c>
      <c r="Y1104" s="229">
        <v>0</v>
      </c>
      <c r="Z1104" s="229">
        <v>0</v>
      </c>
      <c r="AA1104" s="229">
        <v>0</v>
      </c>
      <c r="AB1104" s="229">
        <v>0</v>
      </c>
      <c r="AC1104" s="12">
        <v>2</v>
      </c>
      <c r="AD1104" s="14">
        <v>2</v>
      </c>
      <c r="AE1104" s="14">
        <v>98</v>
      </c>
      <c r="AF1104" s="26">
        <v>158</v>
      </c>
      <c r="AG1104" s="12">
        <v>113</v>
      </c>
      <c r="AH1104" s="14">
        <v>1</v>
      </c>
      <c r="AI1104" s="209"/>
      <c r="AJ1104" s="3"/>
      <c r="AK1104" s="3"/>
      <c r="AL1104" s="3"/>
      <c r="AM1104" s="3"/>
      <c r="AN1104" s="3"/>
      <c r="AO1104" s="40"/>
      <c r="AP1104" s="209"/>
      <c r="AQ1104" s="3"/>
      <c r="AR1104" s="40"/>
      <c r="AS1104" s="238"/>
    </row>
    <row r="1105" spans="1:45" s="229" customFormat="1">
      <c r="A1105" s="83" t="s">
        <v>326</v>
      </c>
      <c r="B1105" s="386">
        <v>47.94166666666667</v>
      </c>
      <c r="C1105" s="24" t="s">
        <v>718</v>
      </c>
      <c r="D1105" s="229" t="s">
        <v>729</v>
      </c>
      <c r="E1105" s="229" t="s">
        <v>4</v>
      </c>
      <c r="F1105" s="229">
        <v>773</v>
      </c>
      <c r="G1105" s="40">
        <f>F1105/459</f>
        <v>1.6840958605664489</v>
      </c>
      <c r="H1105" s="14">
        <v>0</v>
      </c>
      <c r="I1105" s="229">
        <v>0</v>
      </c>
      <c r="J1105" s="229">
        <v>1</v>
      </c>
      <c r="K1105" s="26">
        <v>0</v>
      </c>
      <c r="L1105" s="14">
        <v>0</v>
      </c>
      <c r="M1105" s="229">
        <v>0</v>
      </c>
      <c r="N1105" s="229">
        <v>0</v>
      </c>
      <c r="O1105" s="229">
        <v>0</v>
      </c>
      <c r="P1105" s="26">
        <v>0</v>
      </c>
      <c r="Q1105" s="14">
        <v>3</v>
      </c>
      <c r="R1105" s="229">
        <v>0</v>
      </c>
      <c r="S1105" s="229">
        <v>0</v>
      </c>
      <c r="T1105" s="229">
        <v>0</v>
      </c>
      <c r="U1105" s="229">
        <v>0</v>
      </c>
      <c r="V1105" s="229">
        <v>22</v>
      </c>
      <c r="W1105" s="229">
        <v>53</v>
      </c>
      <c r="X1105" s="229">
        <v>0</v>
      </c>
      <c r="Y1105" s="229">
        <v>0</v>
      </c>
      <c r="Z1105" s="229">
        <v>0</v>
      </c>
      <c r="AA1105" s="229">
        <v>0</v>
      </c>
      <c r="AB1105" s="229">
        <v>0</v>
      </c>
      <c r="AC1105" s="12">
        <v>1</v>
      </c>
      <c r="AD1105" s="14">
        <v>1</v>
      </c>
      <c r="AE1105" s="14">
        <v>0</v>
      </c>
      <c r="AF1105" s="26">
        <v>0</v>
      </c>
      <c r="AG1105" s="12">
        <v>113</v>
      </c>
      <c r="AH1105" s="14">
        <v>1</v>
      </c>
      <c r="AI1105" s="209"/>
      <c r="AJ1105" s="3"/>
      <c r="AK1105" s="3"/>
      <c r="AL1105" s="3"/>
      <c r="AM1105" s="3"/>
      <c r="AN1105" s="3"/>
      <c r="AO1105" s="40"/>
      <c r="AP1105" s="209"/>
      <c r="AQ1105" s="3"/>
      <c r="AR1105" s="40"/>
      <c r="AS1105" s="238"/>
    </row>
    <row r="1106" spans="1:45" s="229" customFormat="1">
      <c r="A1106" s="83" t="s">
        <v>326</v>
      </c>
      <c r="B1106" s="386">
        <v>47.94166666666667</v>
      </c>
      <c r="C1106" s="24" t="s">
        <v>718</v>
      </c>
      <c r="D1106" s="229" t="s">
        <v>730</v>
      </c>
      <c r="E1106" s="229" t="s">
        <v>0</v>
      </c>
      <c r="F1106" s="229">
        <v>339</v>
      </c>
      <c r="G1106" s="40">
        <f>F1106/315</f>
        <v>1.0761904761904761</v>
      </c>
      <c r="H1106" s="14">
        <v>0</v>
      </c>
      <c r="I1106" s="229">
        <v>0</v>
      </c>
      <c r="J1106" s="229">
        <v>1</v>
      </c>
      <c r="K1106" s="26">
        <v>0</v>
      </c>
      <c r="L1106" s="14">
        <v>0</v>
      </c>
      <c r="M1106" s="229">
        <v>0</v>
      </c>
      <c r="N1106" s="229">
        <v>1</v>
      </c>
      <c r="O1106" s="229">
        <v>0</v>
      </c>
      <c r="P1106" s="26">
        <v>1</v>
      </c>
      <c r="Q1106" s="14">
        <v>3</v>
      </c>
      <c r="R1106" s="229">
        <v>0</v>
      </c>
      <c r="S1106" s="229">
        <v>0</v>
      </c>
      <c r="T1106" s="229">
        <v>0</v>
      </c>
      <c r="U1106" s="229">
        <v>0</v>
      </c>
      <c r="V1106" s="229">
        <v>0</v>
      </c>
      <c r="W1106" s="229">
        <v>53</v>
      </c>
      <c r="X1106" s="229">
        <v>0</v>
      </c>
      <c r="Y1106" s="229">
        <v>0</v>
      </c>
      <c r="Z1106" s="229">
        <v>0</v>
      </c>
      <c r="AA1106" s="229">
        <v>41</v>
      </c>
      <c r="AB1106" s="229">
        <v>0</v>
      </c>
      <c r="AC1106" s="12">
        <v>2</v>
      </c>
      <c r="AD1106" s="14">
        <v>2</v>
      </c>
      <c r="AE1106" s="14">
        <v>193</v>
      </c>
      <c r="AF1106" s="26">
        <v>316</v>
      </c>
      <c r="AG1106" s="12">
        <v>94</v>
      </c>
      <c r="AH1106" s="14">
        <v>1</v>
      </c>
      <c r="AI1106" s="209"/>
      <c r="AJ1106" s="3"/>
      <c r="AK1106" s="3"/>
      <c r="AL1106" s="3"/>
      <c r="AM1106" s="3"/>
      <c r="AN1106" s="3"/>
      <c r="AO1106" s="40"/>
      <c r="AP1106" s="209"/>
      <c r="AQ1106" s="3"/>
      <c r="AR1106" s="40"/>
      <c r="AS1106" s="238"/>
    </row>
    <row r="1107" spans="1:45" s="229" customFormat="1">
      <c r="A1107" s="83" t="s">
        <v>326</v>
      </c>
      <c r="B1107" s="386">
        <v>47.94166666666667</v>
      </c>
      <c r="C1107" s="24" t="s">
        <v>718</v>
      </c>
      <c r="D1107" s="229" t="s">
        <v>730</v>
      </c>
      <c r="E1107" s="229" t="s">
        <v>1</v>
      </c>
      <c r="F1107" s="229">
        <v>603</v>
      </c>
      <c r="G1107" s="40">
        <f>F1107/485</f>
        <v>1.243298969072165</v>
      </c>
      <c r="H1107" s="14">
        <v>0</v>
      </c>
      <c r="I1107" s="229">
        <v>0</v>
      </c>
      <c r="J1107" s="229">
        <v>1</v>
      </c>
      <c r="K1107" s="26">
        <v>0</v>
      </c>
      <c r="L1107" s="14">
        <v>0</v>
      </c>
      <c r="M1107" s="229">
        <v>0</v>
      </c>
      <c r="N1107" s="229">
        <v>1</v>
      </c>
      <c r="O1107" s="229">
        <v>0</v>
      </c>
      <c r="P1107" s="26">
        <v>1</v>
      </c>
      <c r="Q1107" s="14">
        <v>5</v>
      </c>
      <c r="R1107" s="229">
        <v>0</v>
      </c>
      <c r="S1107" s="229">
        <v>0</v>
      </c>
      <c r="T1107" s="229">
        <v>0</v>
      </c>
      <c r="U1107" s="229">
        <v>0</v>
      </c>
      <c r="V1107" s="229">
        <v>0</v>
      </c>
      <c r="W1107" s="229">
        <v>142</v>
      </c>
      <c r="X1107" s="229">
        <v>0</v>
      </c>
      <c r="Y1107" s="229">
        <v>0</v>
      </c>
      <c r="Z1107" s="229">
        <v>0</v>
      </c>
      <c r="AA1107" s="229">
        <v>0</v>
      </c>
      <c r="AB1107" s="229">
        <v>0</v>
      </c>
      <c r="AC1107" s="12">
        <v>1</v>
      </c>
      <c r="AD1107" s="14">
        <v>1</v>
      </c>
      <c r="AE1107" s="14">
        <v>0</v>
      </c>
      <c r="AF1107" s="26">
        <v>0</v>
      </c>
      <c r="AG1107" s="12">
        <v>94</v>
      </c>
      <c r="AH1107" s="14">
        <v>0</v>
      </c>
      <c r="AI1107" s="209"/>
      <c r="AJ1107" s="3"/>
      <c r="AK1107" s="3"/>
      <c r="AL1107" s="3"/>
      <c r="AM1107" s="3"/>
      <c r="AN1107" s="3"/>
      <c r="AO1107" s="40"/>
      <c r="AP1107" s="209"/>
      <c r="AQ1107" s="3"/>
      <c r="AR1107" s="40"/>
      <c r="AS1107" s="238"/>
    </row>
    <row r="1108" spans="1:45" s="229" customFormat="1">
      <c r="A1108" s="83" t="s">
        <v>326</v>
      </c>
      <c r="B1108" s="386">
        <v>47.94166666666667</v>
      </c>
      <c r="C1108" s="24" t="s">
        <v>718</v>
      </c>
      <c r="D1108" s="229" t="s">
        <v>731</v>
      </c>
      <c r="F1108" s="229">
        <v>409</v>
      </c>
      <c r="G1108" s="40">
        <f>F1108/233</f>
        <v>1.7553648068669527</v>
      </c>
      <c r="H1108" s="14">
        <v>1</v>
      </c>
      <c r="I1108" s="229">
        <v>0</v>
      </c>
      <c r="J1108" s="229">
        <v>0</v>
      </c>
      <c r="K1108" s="26">
        <v>0</v>
      </c>
      <c r="L1108" s="14">
        <v>0</v>
      </c>
      <c r="M1108" s="229">
        <v>0</v>
      </c>
      <c r="N1108" s="229">
        <v>1</v>
      </c>
      <c r="O1108" s="229">
        <v>0</v>
      </c>
      <c r="P1108" s="26">
        <v>1</v>
      </c>
      <c r="Q1108" s="14">
        <v>0</v>
      </c>
      <c r="R1108" s="229">
        <v>0</v>
      </c>
      <c r="S1108" s="229">
        <v>0</v>
      </c>
      <c r="T1108" s="229">
        <v>0</v>
      </c>
      <c r="U1108" s="229">
        <v>0</v>
      </c>
      <c r="V1108" s="229">
        <v>0</v>
      </c>
      <c r="W1108" s="229">
        <v>0</v>
      </c>
      <c r="X1108" s="229">
        <v>0</v>
      </c>
      <c r="Y1108" s="229">
        <v>0</v>
      </c>
      <c r="Z1108" s="229">
        <v>0</v>
      </c>
      <c r="AA1108" s="229">
        <v>0</v>
      </c>
      <c r="AB1108" s="229">
        <v>0</v>
      </c>
      <c r="AC1108" s="12">
        <v>1</v>
      </c>
      <c r="AD1108" s="14">
        <v>1</v>
      </c>
      <c r="AE1108" s="14">
        <v>0</v>
      </c>
      <c r="AF1108" s="26">
        <v>0</v>
      </c>
      <c r="AG1108" s="12">
        <v>51</v>
      </c>
      <c r="AH1108" s="14">
        <v>0</v>
      </c>
      <c r="AI1108" s="209"/>
      <c r="AJ1108" s="3"/>
      <c r="AK1108" s="3"/>
      <c r="AL1108" s="3"/>
      <c r="AM1108" s="3"/>
      <c r="AN1108" s="3"/>
      <c r="AO1108" s="40"/>
      <c r="AP1108" s="209"/>
      <c r="AQ1108" s="3"/>
      <c r="AR1108" s="40"/>
      <c r="AS1108" s="238"/>
    </row>
    <row r="1109" spans="1:45" s="229" customFormat="1">
      <c r="A1109" s="83" t="s">
        <v>326</v>
      </c>
      <c r="B1109" s="386">
        <v>47.94166666666667</v>
      </c>
      <c r="C1109" s="24" t="s">
        <v>718</v>
      </c>
      <c r="D1109" s="229" t="s">
        <v>732</v>
      </c>
      <c r="F1109" s="229">
        <v>279</v>
      </c>
      <c r="G1109" s="40">
        <f>F1109/184</f>
        <v>1.5163043478260869</v>
      </c>
      <c r="H1109" s="14">
        <v>0</v>
      </c>
      <c r="I1109" s="229">
        <v>0</v>
      </c>
      <c r="J1109" s="229">
        <v>0</v>
      </c>
      <c r="K1109" s="26">
        <v>1</v>
      </c>
      <c r="L1109" s="14">
        <v>0</v>
      </c>
      <c r="M1109" s="229">
        <v>0</v>
      </c>
      <c r="N1109" s="229">
        <v>1</v>
      </c>
      <c r="O1109" s="229">
        <v>0</v>
      </c>
      <c r="P1109" s="26">
        <v>1</v>
      </c>
      <c r="Q1109" s="14">
        <v>0</v>
      </c>
      <c r="R1109" s="229">
        <v>0</v>
      </c>
      <c r="S1109" s="229">
        <v>0</v>
      </c>
      <c r="T1109" s="229">
        <v>0</v>
      </c>
      <c r="U1109" s="229">
        <v>0</v>
      </c>
      <c r="V1109" s="229">
        <v>0</v>
      </c>
      <c r="W1109" s="229">
        <v>0</v>
      </c>
      <c r="X1109" s="229">
        <v>0</v>
      </c>
      <c r="Y1109" s="229">
        <v>0</v>
      </c>
      <c r="Z1109" s="229">
        <v>0</v>
      </c>
      <c r="AA1109" s="229">
        <v>0</v>
      </c>
      <c r="AB1109" s="229">
        <v>0</v>
      </c>
      <c r="AC1109" s="12">
        <v>2</v>
      </c>
      <c r="AD1109" s="14">
        <v>2</v>
      </c>
      <c r="AE1109" s="14">
        <v>146</v>
      </c>
      <c r="AF1109" s="26">
        <v>279</v>
      </c>
      <c r="AG1109" s="12">
        <v>93</v>
      </c>
      <c r="AH1109" s="14">
        <v>1</v>
      </c>
      <c r="AI1109" s="209"/>
      <c r="AJ1109" s="3"/>
      <c r="AK1109" s="3"/>
      <c r="AL1109" s="3"/>
      <c r="AM1109" s="3"/>
      <c r="AN1109" s="3"/>
      <c r="AO1109" s="40"/>
      <c r="AP1109" s="209"/>
      <c r="AQ1109" s="3"/>
      <c r="AR1109" s="40"/>
      <c r="AS1109" s="238"/>
    </row>
    <row r="1110" spans="1:45" s="229" customFormat="1">
      <c r="A1110" s="83" t="s">
        <v>326</v>
      </c>
      <c r="B1110" s="386">
        <v>47.94166666666667</v>
      </c>
      <c r="C1110" s="24" t="s">
        <v>718</v>
      </c>
      <c r="D1110" s="229" t="s">
        <v>733</v>
      </c>
      <c r="F1110" s="229">
        <v>379</v>
      </c>
      <c r="G1110" s="40">
        <f>F1110/250</f>
        <v>1.516</v>
      </c>
      <c r="H1110" s="14">
        <v>1</v>
      </c>
      <c r="I1110" s="229">
        <v>0</v>
      </c>
      <c r="J1110" s="229">
        <v>0</v>
      </c>
      <c r="K1110" s="26">
        <v>0</v>
      </c>
      <c r="L1110" s="14">
        <v>0</v>
      </c>
      <c r="M1110" s="229">
        <v>0</v>
      </c>
      <c r="N1110" s="229">
        <v>1</v>
      </c>
      <c r="O1110" s="229">
        <v>0</v>
      </c>
      <c r="P1110" s="26">
        <v>1</v>
      </c>
      <c r="Q1110" s="14">
        <v>4</v>
      </c>
      <c r="R1110" s="229">
        <v>0</v>
      </c>
      <c r="S1110" s="229">
        <v>36</v>
      </c>
      <c r="T1110" s="229">
        <v>0</v>
      </c>
      <c r="U1110" s="229">
        <v>0</v>
      </c>
      <c r="V1110" s="229">
        <v>0</v>
      </c>
      <c r="W1110" s="229">
        <v>13</v>
      </c>
      <c r="X1110" s="229">
        <v>0</v>
      </c>
      <c r="Y1110" s="229">
        <v>0</v>
      </c>
      <c r="Z1110" s="229">
        <v>0</v>
      </c>
      <c r="AA1110" s="229">
        <v>0</v>
      </c>
      <c r="AB1110" s="229">
        <v>1</v>
      </c>
      <c r="AC1110" s="12">
        <v>1</v>
      </c>
      <c r="AD1110" s="14">
        <v>1</v>
      </c>
      <c r="AE1110" s="14">
        <v>0</v>
      </c>
      <c r="AF1110" s="26">
        <v>0</v>
      </c>
      <c r="AG1110" s="12">
        <v>78</v>
      </c>
      <c r="AH1110" s="14">
        <v>1</v>
      </c>
      <c r="AI1110" s="209"/>
      <c r="AJ1110" s="3"/>
      <c r="AK1110" s="3"/>
      <c r="AL1110" s="3"/>
      <c r="AM1110" s="3"/>
      <c r="AN1110" s="3"/>
      <c r="AO1110" s="40"/>
      <c r="AP1110" s="209"/>
      <c r="AQ1110" s="3"/>
      <c r="AR1110" s="40"/>
      <c r="AS1110" s="238"/>
    </row>
    <row r="1111" spans="1:45" s="229" customFormat="1">
      <c r="A1111" s="83" t="s">
        <v>326</v>
      </c>
      <c r="B1111" s="386">
        <v>47.94166666666667</v>
      </c>
      <c r="C1111" s="24" t="s">
        <v>718</v>
      </c>
      <c r="D1111" s="229" t="s">
        <v>734</v>
      </c>
      <c r="E1111" s="229" t="s">
        <v>0</v>
      </c>
      <c r="F1111" s="229">
        <v>130</v>
      </c>
      <c r="G1111" s="40">
        <f>F1111/99</f>
        <v>1.3131313131313131</v>
      </c>
      <c r="H1111" s="14">
        <v>1</v>
      </c>
      <c r="I1111" s="229">
        <v>0</v>
      </c>
      <c r="J1111" s="229">
        <v>0</v>
      </c>
      <c r="K1111" s="26">
        <v>0</v>
      </c>
      <c r="L1111" s="14">
        <v>0</v>
      </c>
      <c r="M1111" s="229">
        <v>0</v>
      </c>
      <c r="N1111" s="229">
        <v>0</v>
      </c>
      <c r="O1111" s="229">
        <v>0</v>
      </c>
      <c r="P1111" s="26">
        <v>0</v>
      </c>
      <c r="Q1111" s="14">
        <v>2</v>
      </c>
      <c r="R1111" s="229">
        <v>0</v>
      </c>
      <c r="S1111" s="229">
        <v>0</v>
      </c>
      <c r="T1111" s="229">
        <v>0</v>
      </c>
      <c r="U1111" s="229">
        <v>0</v>
      </c>
      <c r="V1111" s="229">
        <v>0</v>
      </c>
      <c r="W1111" s="229">
        <v>15</v>
      </c>
      <c r="X1111" s="229">
        <v>0</v>
      </c>
      <c r="Y1111" s="229">
        <v>0</v>
      </c>
      <c r="Z1111" s="229">
        <v>0</v>
      </c>
      <c r="AA1111" s="229">
        <v>0</v>
      </c>
      <c r="AB1111" s="229">
        <v>0</v>
      </c>
      <c r="AC1111" s="12">
        <v>1</v>
      </c>
      <c r="AD1111" s="14">
        <v>1</v>
      </c>
      <c r="AE1111" s="14">
        <v>0</v>
      </c>
      <c r="AF1111" s="26">
        <v>0</v>
      </c>
      <c r="AG1111" s="12">
        <v>31</v>
      </c>
      <c r="AH1111" s="14">
        <v>0</v>
      </c>
      <c r="AI1111" s="209"/>
      <c r="AJ1111" s="3"/>
      <c r="AK1111" s="3"/>
      <c r="AL1111" s="3"/>
      <c r="AM1111" s="3"/>
      <c r="AN1111" s="3"/>
      <c r="AO1111" s="40"/>
      <c r="AP1111" s="209"/>
      <c r="AQ1111" s="3"/>
      <c r="AR1111" s="40"/>
      <c r="AS1111" s="238"/>
    </row>
    <row r="1112" spans="1:45" s="229" customFormat="1">
      <c r="A1112" s="83" t="s">
        <v>326</v>
      </c>
      <c r="B1112" s="386">
        <v>47.94166666666667</v>
      </c>
      <c r="C1112" s="24" t="s">
        <v>718</v>
      </c>
      <c r="D1112" s="229" t="s">
        <v>700</v>
      </c>
      <c r="E1112" s="229" t="s">
        <v>1</v>
      </c>
      <c r="F1112" s="229">
        <v>212</v>
      </c>
      <c r="G1112" s="40">
        <f>F1112/187</f>
        <v>1.1336898395721926</v>
      </c>
      <c r="H1112" s="14">
        <v>0</v>
      </c>
      <c r="I1112" s="229">
        <v>0</v>
      </c>
      <c r="J1112" s="229">
        <v>0</v>
      </c>
      <c r="K1112" s="26">
        <v>1</v>
      </c>
      <c r="L1112" s="14">
        <v>0</v>
      </c>
      <c r="M1112" s="229">
        <v>0</v>
      </c>
      <c r="N1112" s="229">
        <v>0</v>
      </c>
      <c r="O1112" s="229">
        <v>0</v>
      </c>
      <c r="P1112" s="26">
        <v>0</v>
      </c>
      <c r="Q1112" s="14">
        <v>0</v>
      </c>
      <c r="R1112" s="229">
        <v>0</v>
      </c>
      <c r="S1112" s="229">
        <v>0</v>
      </c>
      <c r="T1112" s="229">
        <v>0</v>
      </c>
      <c r="U1112" s="229">
        <v>0</v>
      </c>
      <c r="V1112" s="229">
        <v>0</v>
      </c>
      <c r="W1112" s="229">
        <v>0</v>
      </c>
      <c r="X1112" s="229">
        <v>0</v>
      </c>
      <c r="Y1112" s="229">
        <v>0</v>
      </c>
      <c r="Z1112" s="229">
        <v>0</v>
      </c>
      <c r="AA1112" s="229">
        <v>0</v>
      </c>
      <c r="AB1112" s="229">
        <v>0</v>
      </c>
      <c r="AC1112" s="12">
        <v>2</v>
      </c>
      <c r="AD1112" s="14">
        <v>3</v>
      </c>
      <c r="AE1112" s="14">
        <v>75</v>
      </c>
      <c r="AF1112" s="26">
        <v>138</v>
      </c>
      <c r="AG1112" s="12">
        <v>31</v>
      </c>
      <c r="AH1112" s="14">
        <v>0</v>
      </c>
      <c r="AI1112" s="209"/>
      <c r="AJ1112" s="3"/>
      <c r="AK1112" s="3"/>
      <c r="AL1112" s="3"/>
      <c r="AM1112" s="3"/>
      <c r="AN1112" s="3"/>
      <c r="AO1112" s="40"/>
      <c r="AP1112" s="209"/>
      <c r="AQ1112" s="3"/>
      <c r="AR1112" s="40"/>
      <c r="AS1112" s="238"/>
    </row>
    <row r="1113" spans="1:45" s="229" customFormat="1" ht="17" thickBot="1">
      <c r="A1113" s="84" t="s">
        <v>326</v>
      </c>
      <c r="B1113" s="385">
        <v>47.94166666666667</v>
      </c>
      <c r="C1113" s="24" t="s">
        <v>718</v>
      </c>
      <c r="D1113" s="229" t="s">
        <v>734</v>
      </c>
      <c r="E1113" s="229" t="s">
        <v>2</v>
      </c>
      <c r="F1113" s="229">
        <v>389</v>
      </c>
      <c r="G1113" s="40">
        <f>F1113/362</f>
        <v>1.0745856353591161</v>
      </c>
      <c r="H1113" s="14">
        <v>1</v>
      </c>
      <c r="I1113" s="229">
        <v>0</v>
      </c>
      <c r="J1113" s="229">
        <v>0</v>
      </c>
      <c r="K1113" s="26">
        <v>1</v>
      </c>
      <c r="L1113" s="14">
        <v>0</v>
      </c>
      <c r="M1113" s="229">
        <v>0</v>
      </c>
      <c r="N1113" s="229">
        <v>0</v>
      </c>
      <c r="O1113" s="229">
        <v>0</v>
      </c>
      <c r="P1113" s="26">
        <v>0</v>
      </c>
      <c r="Q1113" s="14">
        <v>1</v>
      </c>
      <c r="R1113" s="229">
        <v>0</v>
      </c>
      <c r="S1113" s="229">
        <v>0</v>
      </c>
      <c r="T1113" s="229">
        <v>0</v>
      </c>
      <c r="U1113" s="229">
        <v>0</v>
      </c>
      <c r="V1113" s="229">
        <v>0</v>
      </c>
      <c r="W1113" s="229">
        <v>12</v>
      </c>
      <c r="X1113" s="229">
        <v>0</v>
      </c>
      <c r="Y1113" s="229">
        <v>0</v>
      </c>
      <c r="Z1113" s="229">
        <v>0</v>
      </c>
      <c r="AA1113" s="229">
        <v>0</v>
      </c>
      <c r="AB1113" s="229">
        <v>0</v>
      </c>
      <c r="AC1113" s="12">
        <v>2</v>
      </c>
      <c r="AD1113" s="14">
        <v>5</v>
      </c>
      <c r="AE1113" s="14">
        <v>55</v>
      </c>
      <c r="AF1113" s="26">
        <v>362</v>
      </c>
      <c r="AG1113" s="12">
        <v>31</v>
      </c>
      <c r="AH1113" s="14">
        <v>1</v>
      </c>
      <c r="AI1113" s="209"/>
      <c r="AJ1113" s="3"/>
      <c r="AK1113" s="3"/>
      <c r="AL1113" s="3"/>
      <c r="AM1113" s="3"/>
      <c r="AN1113" s="3"/>
      <c r="AO1113" s="40"/>
      <c r="AP1113" s="209"/>
      <c r="AQ1113" s="3"/>
      <c r="AR1113" s="40"/>
      <c r="AS1113" s="238"/>
    </row>
    <row r="1114" spans="1:45" s="229" customFormat="1">
      <c r="A1114" s="83" t="s">
        <v>326</v>
      </c>
      <c r="B1114" s="384">
        <v>49.683999999999997</v>
      </c>
      <c r="C1114" s="8" t="s">
        <v>735</v>
      </c>
      <c r="D1114" s="8" t="s">
        <v>618</v>
      </c>
      <c r="E1114" s="8" t="s">
        <v>0</v>
      </c>
      <c r="F1114" s="8">
        <v>183</v>
      </c>
      <c r="G1114" s="10">
        <f>F1114/131</f>
        <v>1.3969465648854962</v>
      </c>
      <c r="H1114" s="11">
        <v>1</v>
      </c>
      <c r="I1114" s="8">
        <v>0</v>
      </c>
      <c r="J1114" s="8">
        <v>0</v>
      </c>
      <c r="K1114" s="41">
        <v>1</v>
      </c>
      <c r="L1114" s="11">
        <v>0</v>
      </c>
      <c r="M1114" s="8">
        <v>0</v>
      </c>
      <c r="N1114" s="8">
        <v>0</v>
      </c>
      <c r="O1114" s="8">
        <v>0</v>
      </c>
      <c r="P1114" s="41">
        <v>0</v>
      </c>
      <c r="Q1114" s="11">
        <v>5</v>
      </c>
      <c r="R1114" s="8">
        <v>0</v>
      </c>
      <c r="S1114" s="8">
        <v>0</v>
      </c>
      <c r="T1114" s="8">
        <v>0</v>
      </c>
      <c r="U1114" s="8">
        <v>0</v>
      </c>
      <c r="V1114" s="8">
        <v>0</v>
      </c>
      <c r="W1114" s="8">
        <v>19</v>
      </c>
      <c r="X1114" s="8">
        <v>0</v>
      </c>
      <c r="Y1114" s="8">
        <v>0</v>
      </c>
      <c r="Z1114" s="8">
        <v>0</v>
      </c>
      <c r="AA1114" s="8">
        <v>0</v>
      </c>
      <c r="AB1114" s="8"/>
      <c r="AC1114" s="9">
        <v>2</v>
      </c>
      <c r="AD1114" s="11">
        <v>2</v>
      </c>
      <c r="AE1114" s="11">
        <v>103</v>
      </c>
      <c r="AF1114" s="41">
        <v>183</v>
      </c>
      <c r="AG1114" s="9">
        <v>55</v>
      </c>
      <c r="AH1114" s="11">
        <v>0</v>
      </c>
      <c r="AI1114" s="208"/>
      <c r="AJ1114" s="54"/>
      <c r="AK1114" s="54"/>
      <c r="AL1114" s="54"/>
      <c r="AM1114" s="54"/>
      <c r="AN1114" s="54"/>
      <c r="AO1114" s="10"/>
      <c r="AP1114" s="208"/>
      <c r="AQ1114" s="54"/>
      <c r="AR1114" s="10"/>
      <c r="AS1114" s="237"/>
    </row>
    <row r="1115" spans="1:45" s="229" customFormat="1">
      <c r="A1115" s="83" t="s">
        <v>326</v>
      </c>
      <c r="B1115" s="386">
        <v>49.683999999999997</v>
      </c>
      <c r="C1115" s="229" t="s">
        <v>735</v>
      </c>
      <c r="D1115" s="229" t="s">
        <v>618</v>
      </c>
      <c r="E1115" s="229" t="s">
        <v>1</v>
      </c>
      <c r="F1115" s="229">
        <v>415</v>
      </c>
      <c r="G1115" s="40">
        <f>F1115/295</f>
        <v>1.4067796610169492</v>
      </c>
      <c r="H1115" s="14">
        <v>1</v>
      </c>
      <c r="I1115" s="229">
        <v>0</v>
      </c>
      <c r="J1115" s="229">
        <v>0</v>
      </c>
      <c r="K1115" s="26">
        <v>1</v>
      </c>
      <c r="L1115" s="14">
        <v>0</v>
      </c>
      <c r="M1115" s="229">
        <v>0</v>
      </c>
      <c r="N1115" s="229">
        <v>0</v>
      </c>
      <c r="O1115" s="229">
        <v>0</v>
      </c>
      <c r="P1115" s="26">
        <v>0</v>
      </c>
      <c r="Q1115" s="14">
        <v>2</v>
      </c>
      <c r="R1115" s="229">
        <v>0</v>
      </c>
      <c r="S1115" s="229">
        <v>0</v>
      </c>
      <c r="T1115" s="229">
        <v>0</v>
      </c>
      <c r="U1115" s="229">
        <v>0</v>
      </c>
      <c r="V1115" s="229">
        <v>13</v>
      </c>
      <c r="W1115" s="229">
        <v>19</v>
      </c>
      <c r="X1115" s="229">
        <v>0</v>
      </c>
      <c r="Y1115" s="229">
        <v>0</v>
      </c>
      <c r="Z1115" s="229">
        <v>0</v>
      </c>
      <c r="AA1115" s="229">
        <v>0</v>
      </c>
      <c r="AC1115" s="12">
        <v>2</v>
      </c>
      <c r="AD1115" s="14">
        <v>9</v>
      </c>
      <c r="AE1115" s="14">
        <v>27</v>
      </c>
      <c r="AF1115" s="26">
        <v>312</v>
      </c>
      <c r="AG1115" s="12">
        <v>55</v>
      </c>
      <c r="AH1115" s="14">
        <v>1</v>
      </c>
      <c r="AI1115" s="209"/>
      <c r="AJ1115" s="3"/>
      <c r="AK1115" s="3"/>
      <c r="AL1115" s="3"/>
      <c r="AM1115" s="3"/>
      <c r="AN1115" s="3"/>
      <c r="AO1115" s="40"/>
      <c r="AP1115" s="209"/>
      <c r="AQ1115" s="3"/>
      <c r="AR1115" s="40"/>
      <c r="AS1115" s="238"/>
    </row>
    <row r="1116" spans="1:45" s="229" customFormat="1">
      <c r="A1116" s="83" t="s">
        <v>326</v>
      </c>
      <c r="B1116" s="386">
        <v>49.683999999999997</v>
      </c>
      <c r="C1116" s="229" t="s">
        <v>735</v>
      </c>
      <c r="D1116" s="229" t="s">
        <v>621</v>
      </c>
      <c r="E1116" s="229" t="s">
        <v>0</v>
      </c>
      <c r="F1116" s="229">
        <v>345</v>
      </c>
      <c r="G1116" s="40">
        <f>F1116/300</f>
        <v>1.1499999999999999</v>
      </c>
      <c r="H1116" s="14">
        <v>1</v>
      </c>
      <c r="I1116" s="229">
        <v>0</v>
      </c>
      <c r="J1116" s="229">
        <v>0</v>
      </c>
      <c r="K1116" s="26">
        <v>0</v>
      </c>
      <c r="L1116" s="14">
        <v>0</v>
      </c>
      <c r="M1116" s="229">
        <v>0</v>
      </c>
      <c r="N1116" s="229">
        <v>0</v>
      </c>
      <c r="O1116" s="229">
        <v>1</v>
      </c>
      <c r="P1116" s="26">
        <v>1</v>
      </c>
      <c r="Q1116" s="14">
        <v>0</v>
      </c>
      <c r="R1116" s="229">
        <v>0</v>
      </c>
      <c r="S1116" s="229">
        <v>0</v>
      </c>
      <c r="T1116" s="229">
        <v>0</v>
      </c>
      <c r="U1116" s="229">
        <v>0</v>
      </c>
      <c r="V1116" s="229">
        <v>0</v>
      </c>
      <c r="W1116" s="229">
        <v>0</v>
      </c>
      <c r="X1116" s="229">
        <v>0</v>
      </c>
      <c r="Y1116" s="229">
        <v>0</v>
      </c>
      <c r="Z1116" s="229">
        <v>0</v>
      </c>
      <c r="AA1116" s="229">
        <v>0</v>
      </c>
      <c r="AC1116" s="12">
        <v>1</v>
      </c>
      <c r="AD1116" s="14">
        <v>1</v>
      </c>
      <c r="AE1116" s="14">
        <v>0</v>
      </c>
      <c r="AF1116" s="26">
        <v>0</v>
      </c>
      <c r="AG1116" s="12">
        <v>82</v>
      </c>
      <c r="AH1116" s="14">
        <v>0</v>
      </c>
      <c r="AI1116" s="209"/>
      <c r="AJ1116" s="3"/>
      <c r="AK1116" s="3"/>
      <c r="AL1116" s="3"/>
      <c r="AM1116" s="3"/>
      <c r="AN1116" s="3"/>
      <c r="AO1116" s="40"/>
      <c r="AP1116" s="209"/>
      <c r="AQ1116" s="3"/>
      <c r="AR1116" s="40"/>
      <c r="AS1116" s="238"/>
    </row>
    <row r="1117" spans="1:45" s="229" customFormat="1">
      <c r="A1117" s="83" t="s">
        <v>326</v>
      </c>
      <c r="B1117" s="386">
        <v>49.683999999999997</v>
      </c>
      <c r="C1117" s="229" t="s">
        <v>735</v>
      </c>
      <c r="D1117" s="229" t="s">
        <v>621</v>
      </c>
      <c r="E1117" s="229" t="s">
        <v>1</v>
      </c>
      <c r="F1117" s="229">
        <v>104</v>
      </c>
      <c r="G1117" s="40">
        <f>F1117/84</f>
        <v>1.2380952380952381</v>
      </c>
      <c r="H1117" s="14">
        <v>0</v>
      </c>
      <c r="I1117" s="229">
        <v>0</v>
      </c>
      <c r="J1117" s="229">
        <v>0</v>
      </c>
      <c r="K1117" s="26">
        <v>1</v>
      </c>
      <c r="L1117" s="14">
        <v>0</v>
      </c>
      <c r="M1117" s="229">
        <v>0</v>
      </c>
      <c r="N1117" s="229">
        <v>0</v>
      </c>
      <c r="O1117" s="229">
        <v>0</v>
      </c>
      <c r="P1117" s="26">
        <v>0</v>
      </c>
      <c r="Q1117" s="14">
        <v>10</v>
      </c>
      <c r="R1117" s="229">
        <v>0</v>
      </c>
      <c r="S1117" s="229">
        <v>0</v>
      </c>
      <c r="T1117" s="229">
        <v>0</v>
      </c>
      <c r="U1117" s="229">
        <v>0</v>
      </c>
      <c r="V1117" s="229">
        <v>0</v>
      </c>
      <c r="W1117" s="229">
        <v>0</v>
      </c>
      <c r="X1117" s="229">
        <v>0</v>
      </c>
      <c r="Y1117" s="229">
        <v>0</v>
      </c>
      <c r="Z1117" s="229">
        <v>0</v>
      </c>
      <c r="AA1117" s="229">
        <v>19</v>
      </c>
      <c r="AC1117" s="12">
        <v>1</v>
      </c>
      <c r="AD1117" s="14">
        <v>1</v>
      </c>
      <c r="AE1117" s="14">
        <v>0</v>
      </c>
      <c r="AF1117" s="26">
        <v>0</v>
      </c>
      <c r="AG1117" s="12">
        <v>82</v>
      </c>
      <c r="AH1117" s="14">
        <v>1</v>
      </c>
      <c r="AI1117" s="209"/>
      <c r="AJ1117" s="3"/>
      <c r="AK1117" s="3"/>
      <c r="AL1117" s="3"/>
      <c r="AM1117" s="3"/>
      <c r="AN1117" s="3"/>
      <c r="AO1117" s="40"/>
      <c r="AP1117" s="209"/>
      <c r="AQ1117" s="3"/>
      <c r="AR1117" s="40"/>
      <c r="AS1117" s="238"/>
    </row>
    <row r="1118" spans="1:45" s="229" customFormat="1">
      <c r="A1118" s="83" t="s">
        <v>326</v>
      </c>
      <c r="B1118" s="386">
        <v>49.683999999999997</v>
      </c>
      <c r="C1118" s="229" t="s">
        <v>735</v>
      </c>
      <c r="D1118" s="229" t="s">
        <v>619</v>
      </c>
      <c r="F1118" s="229">
        <v>449</v>
      </c>
      <c r="G1118" s="40">
        <f>F1118/260</f>
        <v>1.726923076923077</v>
      </c>
      <c r="H1118" s="14">
        <v>0</v>
      </c>
      <c r="I1118" s="229">
        <v>0</v>
      </c>
      <c r="J1118" s="229">
        <v>0</v>
      </c>
      <c r="K1118" s="26">
        <v>1</v>
      </c>
      <c r="L1118" s="14">
        <v>0</v>
      </c>
      <c r="M1118" s="229">
        <v>0</v>
      </c>
      <c r="N1118" s="229">
        <v>0</v>
      </c>
      <c r="O1118" s="229">
        <v>1</v>
      </c>
      <c r="P1118" s="26">
        <v>1</v>
      </c>
      <c r="Q1118" s="14">
        <v>2</v>
      </c>
      <c r="R1118" s="229">
        <v>0</v>
      </c>
      <c r="S1118" s="229">
        <v>0</v>
      </c>
      <c r="T1118" s="229">
        <v>0</v>
      </c>
      <c r="U1118" s="229">
        <v>0</v>
      </c>
      <c r="V1118" s="229">
        <v>0</v>
      </c>
      <c r="W1118" s="229">
        <v>0</v>
      </c>
      <c r="X1118" s="229">
        <v>0</v>
      </c>
      <c r="Y1118" s="229">
        <v>0</v>
      </c>
      <c r="Z1118" s="229">
        <v>0</v>
      </c>
      <c r="AA1118" s="229">
        <v>32</v>
      </c>
      <c r="AC1118" s="12">
        <v>1</v>
      </c>
      <c r="AD1118" s="14">
        <v>1</v>
      </c>
      <c r="AE1118" s="14">
        <v>0</v>
      </c>
      <c r="AF1118" s="26">
        <v>0</v>
      </c>
      <c r="AG1118" s="12">
        <v>70</v>
      </c>
      <c r="AH1118" s="14">
        <v>1</v>
      </c>
      <c r="AI1118" s="209">
        <v>83.5814079298747</v>
      </c>
      <c r="AJ1118" s="3"/>
      <c r="AK1118" s="3"/>
      <c r="AL1118" s="3"/>
      <c r="AM1118" s="3"/>
      <c r="AN1118" s="3"/>
      <c r="AO1118" s="40"/>
      <c r="AP1118" s="209">
        <v>88.564979962772497</v>
      </c>
      <c r="AQ1118" s="3"/>
      <c r="AR1118" s="40"/>
      <c r="AS1118" s="238"/>
    </row>
    <row r="1119" spans="1:45" s="229" customFormat="1">
      <c r="A1119" s="83" t="s">
        <v>326</v>
      </c>
      <c r="B1119" s="386">
        <v>49.683999999999997</v>
      </c>
      <c r="C1119" s="229" t="s">
        <v>735</v>
      </c>
      <c r="D1119" s="229" t="s">
        <v>623</v>
      </c>
      <c r="E1119" s="229" t="s">
        <v>0</v>
      </c>
      <c r="F1119" s="229">
        <v>155</v>
      </c>
      <c r="G1119" s="40">
        <f>F1119/137</f>
        <v>1.1313868613138687</v>
      </c>
      <c r="H1119" s="14">
        <v>1</v>
      </c>
      <c r="I1119" s="229">
        <v>0</v>
      </c>
      <c r="J1119" s="229">
        <v>1</v>
      </c>
      <c r="K1119" s="26">
        <v>0</v>
      </c>
      <c r="L1119" s="14">
        <v>0</v>
      </c>
      <c r="M1119" s="229">
        <v>0</v>
      </c>
      <c r="N1119" s="229">
        <v>0</v>
      </c>
      <c r="O1119" s="229">
        <v>1</v>
      </c>
      <c r="P1119" s="26">
        <v>1</v>
      </c>
      <c r="Q1119" s="14">
        <v>5</v>
      </c>
      <c r="R1119" s="229">
        <v>0</v>
      </c>
      <c r="S1119" s="229">
        <v>0</v>
      </c>
      <c r="T1119" s="229">
        <v>0</v>
      </c>
      <c r="U1119" s="229">
        <v>0</v>
      </c>
      <c r="V1119" s="229">
        <v>0</v>
      </c>
      <c r="W1119" s="229">
        <v>0</v>
      </c>
      <c r="X1119" s="229">
        <v>0</v>
      </c>
      <c r="Y1119" s="229">
        <v>0</v>
      </c>
      <c r="Z1119" s="229">
        <v>0</v>
      </c>
      <c r="AA1119" s="229">
        <v>32</v>
      </c>
      <c r="AC1119" s="12">
        <v>2</v>
      </c>
      <c r="AD1119" s="14">
        <v>2</v>
      </c>
      <c r="AE1119" s="14">
        <v>105</v>
      </c>
      <c r="AF1119" s="26">
        <v>155</v>
      </c>
      <c r="AG1119" s="12">
        <v>78</v>
      </c>
      <c r="AH1119" s="14">
        <v>1</v>
      </c>
      <c r="AI1119" s="209"/>
      <c r="AJ1119" s="3"/>
      <c r="AK1119" s="3"/>
      <c r="AL1119" s="3"/>
      <c r="AM1119" s="3"/>
      <c r="AN1119" s="3"/>
      <c r="AO1119" s="40"/>
      <c r="AP1119" s="209"/>
      <c r="AQ1119" s="3"/>
      <c r="AR1119" s="40"/>
      <c r="AS1119" s="238"/>
    </row>
    <row r="1120" spans="1:45" s="229" customFormat="1">
      <c r="A1120" s="83" t="s">
        <v>326</v>
      </c>
      <c r="B1120" s="386">
        <v>49.683999999999997</v>
      </c>
      <c r="C1120" s="229" t="s">
        <v>735</v>
      </c>
      <c r="D1120" s="229" t="s">
        <v>623</v>
      </c>
      <c r="E1120" s="229" t="s">
        <v>1</v>
      </c>
      <c r="F1120" s="229">
        <v>218</v>
      </c>
      <c r="G1120" s="40">
        <f>F1120/159</f>
        <v>1.371069182389937</v>
      </c>
      <c r="H1120" s="14">
        <v>0</v>
      </c>
      <c r="I1120" s="229">
        <v>1</v>
      </c>
      <c r="J1120" s="229">
        <v>0</v>
      </c>
      <c r="K1120" s="26">
        <v>1</v>
      </c>
      <c r="L1120" s="14">
        <v>0</v>
      </c>
      <c r="M1120" s="229">
        <v>0</v>
      </c>
      <c r="N1120" s="229">
        <v>0</v>
      </c>
      <c r="O1120" s="229">
        <v>1</v>
      </c>
      <c r="P1120" s="26">
        <v>1</v>
      </c>
      <c r="Q1120" s="14">
        <v>0</v>
      </c>
      <c r="R1120" s="229">
        <v>0</v>
      </c>
      <c r="S1120" s="229">
        <v>0</v>
      </c>
      <c r="T1120" s="229">
        <v>0</v>
      </c>
      <c r="U1120" s="229">
        <v>0</v>
      </c>
      <c r="V1120" s="229">
        <v>0</v>
      </c>
      <c r="W1120" s="229">
        <v>0</v>
      </c>
      <c r="X1120" s="229">
        <v>0</v>
      </c>
      <c r="Y1120" s="229">
        <v>0</v>
      </c>
      <c r="Z1120" s="229">
        <v>0</v>
      </c>
      <c r="AA1120" s="229">
        <v>0</v>
      </c>
      <c r="AC1120" s="12">
        <v>2</v>
      </c>
      <c r="AD1120" s="14">
        <v>2</v>
      </c>
      <c r="AE1120" s="14">
        <v>75</v>
      </c>
      <c r="AF1120" s="26">
        <v>218</v>
      </c>
      <c r="AG1120" s="12">
        <v>78</v>
      </c>
      <c r="AH1120" s="14">
        <v>0</v>
      </c>
      <c r="AI1120" s="209"/>
      <c r="AJ1120" s="3"/>
      <c r="AK1120" s="3"/>
      <c r="AL1120" s="3"/>
      <c r="AM1120" s="3"/>
      <c r="AN1120" s="3"/>
      <c r="AO1120" s="40"/>
      <c r="AP1120" s="209"/>
      <c r="AQ1120" s="3"/>
      <c r="AR1120" s="40"/>
      <c r="AS1120" s="238"/>
    </row>
    <row r="1121" spans="1:45" s="229" customFormat="1">
      <c r="A1121" s="83" t="s">
        <v>326</v>
      </c>
      <c r="B1121" s="386">
        <v>49.683999999999997</v>
      </c>
      <c r="C1121" s="229" t="s">
        <v>735</v>
      </c>
      <c r="D1121" s="229" t="s">
        <v>623</v>
      </c>
      <c r="E1121" s="229" t="s">
        <v>2</v>
      </c>
      <c r="F1121" s="229">
        <v>339</v>
      </c>
      <c r="G1121" s="40">
        <f>F1121/294</f>
        <v>1.153061224489796</v>
      </c>
      <c r="H1121" s="14">
        <v>0</v>
      </c>
      <c r="I1121" s="229">
        <v>1</v>
      </c>
      <c r="J1121" s="229">
        <v>0</v>
      </c>
      <c r="K1121" s="26">
        <v>0</v>
      </c>
      <c r="L1121" s="14">
        <v>0</v>
      </c>
      <c r="M1121" s="229">
        <v>1</v>
      </c>
      <c r="N1121" s="229">
        <v>0</v>
      </c>
      <c r="O1121" s="229">
        <v>0</v>
      </c>
      <c r="P1121" s="26">
        <v>1</v>
      </c>
      <c r="Q1121" s="14">
        <v>1</v>
      </c>
      <c r="R1121" s="229">
        <v>0</v>
      </c>
      <c r="S1121" s="229">
        <v>17</v>
      </c>
      <c r="T1121" s="229">
        <v>0</v>
      </c>
      <c r="U1121" s="229">
        <v>0</v>
      </c>
      <c r="V1121" s="229">
        <v>0</v>
      </c>
      <c r="W1121" s="229">
        <v>0</v>
      </c>
      <c r="X1121" s="229">
        <v>0</v>
      </c>
      <c r="Y1121" s="229">
        <v>0</v>
      </c>
      <c r="Z1121" s="229">
        <v>0</v>
      </c>
      <c r="AA1121" s="229">
        <v>0</v>
      </c>
      <c r="AC1121" s="12">
        <v>1</v>
      </c>
      <c r="AD1121" s="14">
        <v>1</v>
      </c>
      <c r="AE1121" s="14">
        <v>0</v>
      </c>
      <c r="AF1121" s="26">
        <v>0</v>
      </c>
      <c r="AG1121" s="12">
        <v>78</v>
      </c>
      <c r="AH1121" s="14">
        <v>1</v>
      </c>
      <c r="AI1121" s="209"/>
      <c r="AJ1121" s="3"/>
      <c r="AK1121" s="3"/>
      <c r="AL1121" s="3"/>
      <c r="AM1121" s="3"/>
      <c r="AN1121" s="3"/>
      <c r="AO1121" s="40"/>
      <c r="AP1121" s="209">
        <v>88.814370501843953</v>
      </c>
      <c r="AQ1121" s="3"/>
      <c r="AR1121" s="40"/>
      <c r="AS1121" s="238">
        <v>89.151699382793794</v>
      </c>
    </row>
    <row r="1122" spans="1:45" s="229" customFormat="1">
      <c r="A1122" s="83" t="s">
        <v>326</v>
      </c>
      <c r="B1122" s="386">
        <v>49.683999999999997</v>
      </c>
      <c r="C1122" s="229" t="s">
        <v>735</v>
      </c>
      <c r="D1122" s="229" t="s">
        <v>633</v>
      </c>
      <c r="E1122" s="229" t="s">
        <v>0</v>
      </c>
      <c r="F1122" s="229">
        <v>143</v>
      </c>
      <c r="G1122" s="40">
        <f>F1122/93</f>
        <v>1.5376344086021505</v>
      </c>
      <c r="H1122" s="14">
        <v>0</v>
      </c>
      <c r="I1122" s="229">
        <v>0</v>
      </c>
      <c r="J1122" s="229">
        <v>1</v>
      </c>
      <c r="K1122" s="26">
        <v>0</v>
      </c>
      <c r="L1122" s="14">
        <v>0</v>
      </c>
      <c r="M1122" s="229">
        <v>1</v>
      </c>
      <c r="N1122" s="229">
        <v>0</v>
      </c>
      <c r="O1122" s="229">
        <v>0</v>
      </c>
      <c r="P1122" s="26">
        <v>1</v>
      </c>
      <c r="Q1122" s="14">
        <v>1</v>
      </c>
      <c r="R1122" s="229">
        <v>0</v>
      </c>
      <c r="S1122" s="229">
        <v>0</v>
      </c>
      <c r="T1122" s="229">
        <v>0</v>
      </c>
      <c r="U1122" s="229">
        <v>0</v>
      </c>
      <c r="V1122" s="229">
        <v>0</v>
      </c>
      <c r="W1122" s="229">
        <v>13</v>
      </c>
      <c r="X1122" s="229">
        <v>0</v>
      </c>
      <c r="Y1122" s="229">
        <v>0</v>
      </c>
      <c r="Z1122" s="229">
        <v>0</v>
      </c>
      <c r="AA1122" s="229">
        <v>0</v>
      </c>
      <c r="AC1122" s="12">
        <v>1</v>
      </c>
      <c r="AD1122" s="14">
        <v>1</v>
      </c>
      <c r="AE1122" s="14">
        <v>0</v>
      </c>
      <c r="AF1122" s="26">
        <v>0</v>
      </c>
      <c r="AG1122" s="12">
        <v>119</v>
      </c>
      <c r="AH1122" s="14">
        <v>0</v>
      </c>
      <c r="AI1122" s="209"/>
      <c r="AJ1122" s="3"/>
      <c r="AK1122" s="3"/>
      <c r="AL1122" s="3"/>
      <c r="AM1122" s="3"/>
      <c r="AN1122" s="3"/>
      <c r="AO1122" s="40"/>
      <c r="AP1122" s="209"/>
      <c r="AQ1122" s="3"/>
      <c r="AR1122" s="40"/>
      <c r="AS1122" s="238"/>
    </row>
    <row r="1123" spans="1:45" s="229" customFormat="1">
      <c r="A1123" s="83" t="s">
        <v>326</v>
      </c>
      <c r="B1123" s="386">
        <v>49.683999999999997</v>
      </c>
      <c r="C1123" s="229" t="s">
        <v>735</v>
      </c>
      <c r="D1123" s="229" t="s">
        <v>633</v>
      </c>
      <c r="E1123" s="229" t="s">
        <v>1</v>
      </c>
      <c r="F1123" s="229">
        <v>193</v>
      </c>
      <c r="G1123" s="40">
        <f>F1123/153</f>
        <v>1.261437908496732</v>
      </c>
      <c r="H1123" s="14">
        <v>0</v>
      </c>
      <c r="I1123" s="229">
        <v>0</v>
      </c>
      <c r="J1123" s="229">
        <v>0</v>
      </c>
      <c r="K1123" s="26">
        <v>1</v>
      </c>
      <c r="L1123" s="14">
        <v>0</v>
      </c>
      <c r="M1123" s="229">
        <v>0</v>
      </c>
      <c r="N1123" s="229">
        <v>0</v>
      </c>
      <c r="O1123" s="229">
        <v>0</v>
      </c>
      <c r="P1123" s="26">
        <v>0</v>
      </c>
      <c r="Q1123" s="14">
        <v>2</v>
      </c>
      <c r="R1123" s="229">
        <v>0</v>
      </c>
      <c r="S1123" s="229">
        <v>0</v>
      </c>
      <c r="T1123" s="229">
        <v>0</v>
      </c>
      <c r="U1123" s="229">
        <v>0</v>
      </c>
      <c r="V1123" s="229">
        <v>0</v>
      </c>
      <c r="W1123" s="229">
        <v>0</v>
      </c>
      <c r="X1123" s="229">
        <v>0</v>
      </c>
      <c r="Y1123" s="229">
        <v>15</v>
      </c>
      <c r="Z1123" s="229">
        <v>0</v>
      </c>
      <c r="AA1123" s="229">
        <v>0</v>
      </c>
      <c r="AC1123" s="12">
        <v>1</v>
      </c>
      <c r="AD1123" s="14">
        <v>1</v>
      </c>
      <c r="AE1123" s="14">
        <v>0</v>
      </c>
      <c r="AF1123" s="26">
        <v>0</v>
      </c>
      <c r="AG1123" s="12">
        <v>119</v>
      </c>
      <c r="AH1123" s="14">
        <v>1</v>
      </c>
      <c r="AI1123" s="209"/>
      <c r="AJ1123" s="3"/>
      <c r="AK1123" s="3"/>
      <c r="AL1123" s="3"/>
      <c r="AM1123" s="3"/>
      <c r="AN1123" s="3"/>
      <c r="AO1123" s="40"/>
      <c r="AP1123" s="209"/>
      <c r="AQ1123" s="3"/>
      <c r="AR1123" s="40"/>
      <c r="AS1123" s="238"/>
    </row>
    <row r="1124" spans="1:45" s="229" customFormat="1">
      <c r="A1124" s="83" t="s">
        <v>326</v>
      </c>
      <c r="B1124" s="386">
        <v>49.683999999999997</v>
      </c>
      <c r="C1124" s="229" t="s">
        <v>735</v>
      </c>
      <c r="D1124" s="229" t="s">
        <v>633</v>
      </c>
      <c r="E1124" s="229" t="s">
        <v>2</v>
      </c>
      <c r="F1124" s="229">
        <v>298</v>
      </c>
      <c r="G1124" s="40">
        <f>F1124/218</f>
        <v>1.3669724770642202</v>
      </c>
      <c r="H1124" s="14">
        <v>0</v>
      </c>
      <c r="I1124" s="229">
        <v>0</v>
      </c>
      <c r="J1124" s="229">
        <v>1</v>
      </c>
      <c r="K1124" s="26">
        <v>1</v>
      </c>
      <c r="L1124" s="14">
        <v>0</v>
      </c>
      <c r="M1124" s="229">
        <v>0</v>
      </c>
      <c r="N1124" s="229">
        <v>0</v>
      </c>
      <c r="O1124" s="229">
        <v>0</v>
      </c>
      <c r="P1124" s="26">
        <v>0</v>
      </c>
      <c r="Q1124" s="14">
        <v>5</v>
      </c>
      <c r="R1124" s="229">
        <v>0</v>
      </c>
      <c r="S1124" s="229">
        <v>0</v>
      </c>
      <c r="T1124" s="229">
        <v>0</v>
      </c>
      <c r="U1124" s="229">
        <v>0</v>
      </c>
      <c r="V1124" s="229">
        <v>8</v>
      </c>
      <c r="W1124" s="229">
        <v>23</v>
      </c>
      <c r="X1124" s="229">
        <v>0</v>
      </c>
      <c r="Y1124" s="229">
        <v>0</v>
      </c>
      <c r="Z1124" s="229">
        <v>11</v>
      </c>
      <c r="AA1124" s="229">
        <v>87</v>
      </c>
      <c r="AC1124" s="12">
        <v>2</v>
      </c>
      <c r="AD1124" s="14">
        <v>2</v>
      </c>
      <c r="AE1124" s="14">
        <v>172</v>
      </c>
      <c r="AF1124" s="26">
        <v>272</v>
      </c>
      <c r="AG1124" s="12">
        <v>119</v>
      </c>
      <c r="AH1124" s="14">
        <v>0</v>
      </c>
      <c r="AI1124" s="209"/>
      <c r="AJ1124" s="3"/>
      <c r="AK1124" s="3"/>
      <c r="AL1124" s="3"/>
      <c r="AM1124" s="3"/>
      <c r="AN1124" s="3"/>
      <c r="AO1124" s="40"/>
      <c r="AP1124" s="209"/>
      <c r="AQ1124" s="3"/>
      <c r="AR1124" s="40"/>
      <c r="AS1124" s="238"/>
    </row>
    <row r="1125" spans="1:45" s="229" customFormat="1">
      <c r="A1125" s="83" t="s">
        <v>326</v>
      </c>
      <c r="B1125" s="386">
        <v>49.683999999999997</v>
      </c>
      <c r="C1125" s="229" t="s">
        <v>735</v>
      </c>
      <c r="D1125" s="229" t="s">
        <v>624</v>
      </c>
      <c r="F1125" s="229">
        <v>287</v>
      </c>
      <c r="G1125" s="40">
        <f>F1125/262</f>
        <v>1.0954198473282444</v>
      </c>
      <c r="H1125" s="14">
        <v>1</v>
      </c>
      <c r="I1125" s="229">
        <v>0</v>
      </c>
      <c r="J1125" s="229">
        <v>0</v>
      </c>
      <c r="K1125" s="26">
        <v>0</v>
      </c>
      <c r="L1125" s="14">
        <v>0</v>
      </c>
      <c r="M1125" s="229">
        <v>0</v>
      </c>
      <c r="N1125" s="229">
        <v>0</v>
      </c>
      <c r="O1125" s="229">
        <v>0</v>
      </c>
      <c r="P1125" s="26">
        <v>0</v>
      </c>
      <c r="Q1125" s="14">
        <v>0</v>
      </c>
      <c r="R1125" s="229">
        <v>0</v>
      </c>
      <c r="S1125" s="229">
        <v>0</v>
      </c>
      <c r="T1125" s="229">
        <v>0</v>
      </c>
      <c r="U1125" s="229">
        <v>0</v>
      </c>
      <c r="V1125" s="229">
        <v>0</v>
      </c>
      <c r="W1125" s="229">
        <v>0</v>
      </c>
      <c r="X1125" s="229">
        <v>0</v>
      </c>
      <c r="Y1125" s="229">
        <v>0</v>
      </c>
      <c r="Z1125" s="229">
        <v>0</v>
      </c>
      <c r="AA1125" s="229">
        <v>0</v>
      </c>
      <c r="AC1125" s="12">
        <v>1</v>
      </c>
      <c r="AD1125" s="14">
        <v>1</v>
      </c>
      <c r="AE1125" s="14">
        <v>0</v>
      </c>
      <c r="AF1125" s="26">
        <v>0</v>
      </c>
      <c r="AG1125" s="12">
        <v>51</v>
      </c>
      <c r="AH1125" s="14">
        <v>1</v>
      </c>
      <c r="AI1125" s="209"/>
      <c r="AJ1125" s="3"/>
      <c r="AK1125" s="3"/>
      <c r="AL1125" s="3"/>
      <c r="AM1125" s="3"/>
      <c r="AN1125" s="3"/>
      <c r="AO1125" s="40"/>
      <c r="AP1125" s="209"/>
      <c r="AQ1125" s="3"/>
      <c r="AR1125" s="40"/>
      <c r="AS1125" s="238"/>
    </row>
    <row r="1126" spans="1:45" s="229" customFormat="1">
      <c r="A1126" s="83" t="s">
        <v>326</v>
      </c>
      <c r="B1126" s="386">
        <v>49.683999999999997</v>
      </c>
      <c r="C1126" s="229" t="s">
        <v>735</v>
      </c>
      <c r="D1126" s="229" t="s">
        <v>626</v>
      </c>
      <c r="F1126" s="229">
        <v>540</v>
      </c>
      <c r="G1126" s="40">
        <f>F1126/438</f>
        <v>1.2328767123287672</v>
      </c>
      <c r="H1126" s="14">
        <v>1</v>
      </c>
      <c r="I1126" s="229">
        <v>0</v>
      </c>
      <c r="J1126" s="229">
        <v>0</v>
      </c>
      <c r="K1126" s="26">
        <v>0</v>
      </c>
      <c r="L1126" s="14">
        <v>0</v>
      </c>
      <c r="M1126" s="229">
        <v>0</v>
      </c>
      <c r="N1126" s="229">
        <v>0</v>
      </c>
      <c r="O1126" s="229">
        <v>1</v>
      </c>
      <c r="P1126" s="26">
        <v>1</v>
      </c>
      <c r="Q1126" s="14">
        <v>10</v>
      </c>
      <c r="R1126" s="229">
        <v>19</v>
      </c>
      <c r="S1126" s="229">
        <v>46</v>
      </c>
      <c r="T1126" s="229">
        <v>0</v>
      </c>
      <c r="U1126" s="229">
        <v>0</v>
      </c>
      <c r="V1126" s="229">
        <v>58</v>
      </c>
      <c r="W1126" s="229">
        <v>79</v>
      </c>
      <c r="X1126" s="229">
        <v>0</v>
      </c>
      <c r="Y1126" s="229">
        <v>95</v>
      </c>
      <c r="Z1126" s="229">
        <v>0</v>
      </c>
      <c r="AA1126" s="229">
        <v>0</v>
      </c>
      <c r="AC1126" s="12">
        <v>1</v>
      </c>
      <c r="AD1126" s="14">
        <v>1</v>
      </c>
      <c r="AE1126" s="14">
        <v>0</v>
      </c>
      <c r="AF1126" s="26">
        <v>0</v>
      </c>
      <c r="AG1126" s="12">
        <v>78</v>
      </c>
      <c r="AH1126" s="14">
        <v>1</v>
      </c>
      <c r="AI1126" s="209"/>
      <c r="AJ1126" s="3"/>
      <c r="AK1126" s="3"/>
      <c r="AL1126" s="3"/>
      <c r="AM1126" s="3"/>
      <c r="AN1126" s="3"/>
      <c r="AO1126" s="40"/>
      <c r="AP1126" s="209"/>
      <c r="AQ1126" s="3"/>
      <c r="AR1126" s="40"/>
      <c r="AS1126" s="238"/>
    </row>
    <row r="1127" spans="1:45" s="229" customFormat="1">
      <c r="A1127" s="83" t="s">
        <v>326</v>
      </c>
      <c r="B1127" s="386">
        <v>49.683999999999997</v>
      </c>
      <c r="C1127" s="229" t="s">
        <v>735</v>
      </c>
      <c r="D1127" s="229" t="s">
        <v>719</v>
      </c>
      <c r="E1127" s="229" t="s">
        <v>0</v>
      </c>
      <c r="F1127" s="229">
        <v>437</v>
      </c>
      <c r="G1127" s="40">
        <f>F1127/256</f>
        <v>1.70703125</v>
      </c>
      <c r="H1127" s="14">
        <v>0</v>
      </c>
      <c r="I1127" s="229">
        <v>1</v>
      </c>
      <c r="J1127" s="229">
        <v>0</v>
      </c>
      <c r="K1127" s="26">
        <v>0</v>
      </c>
      <c r="L1127" s="14">
        <v>0</v>
      </c>
      <c r="M1127" s="229">
        <v>0</v>
      </c>
      <c r="N1127" s="229">
        <v>1</v>
      </c>
      <c r="O1127" s="229">
        <v>0</v>
      </c>
      <c r="P1127" s="26">
        <v>1</v>
      </c>
      <c r="Q1127" s="14">
        <v>0</v>
      </c>
      <c r="R1127" s="229">
        <v>0</v>
      </c>
      <c r="S1127" s="229">
        <v>0</v>
      </c>
      <c r="T1127" s="229">
        <v>0</v>
      </c>
      <c r="U1127" s="229">
        <v>0</v>
      </c>
      <c r="V1127" s="229">
        <v>0</v>
      </c>
      <c r="W1127" s="229">
        <v>0</v>
      </c>
      <c r="X1127" s="229">
        <v>0</v>
      </c>
      <c r="Y1127" s="229">
        <v>0</v>
      </c>
      <c r="Z1127" s="229">
        <v>0</v>
      </c>
      <c r="AA1127" s="229">
        <v>0</v>
      </c>
      <c r="AC1127" s="12">
        <v>1</v>
      </c>
      <c r="AD1127" s="14">
        <v>1</v>
      </c>
      <c r="AE1127" s="14">
        <v>0</v>
      </c>
      <c r="AF1127" s="26">
        <v>0</v>
      </c>
      <c r="AG1127" s="12">
        <v>95</v>
      </c>
      <c r="AH1127" s="14">
        <v>1</v>
      </c>
      <c r="AI1127" s="209"/>
      <c r="AJ1127" s="3"/>
      <c r="AK1127" s="3"/>
      <c r="AL1127" s="3"/>
      <c r="AM1127" s="3"/>
      <c r="AN1127" s="3"/>
      <c r="AO1127" s="40"/>
      <c r="AP1127" s="209"/>
      <c r="AQ1127" s="3"/>
      <c r="AR1127" s="40"/>
      <c r="AS1127" s="238"/>
    </row>
    <row r="1128" spans="1:45" s="229" customFormat="1">
      <c r="A1128" s="83" t="s">
        <v>326</v>
      </c>
      <c r="B1128" s="386">
        <v>49.683999999999997</v>
      </c>
      <c r="C1128" s="229" t="s">
        <v>735</v>
      </c>
      <c r="D1128" s="229" t="s">
        <v>719</v>
      </c>
      <c r="E1128" s="229" t="s">
        <v>1</v>
      </c>
      <c r="F1128" s="229">
        <v>203</v>
      </c>
      <c r="G1128" s="40">
        <f>F1128/178</f>
        <v>1.1404494382022472</v>
      </c>
      <c r="H1128" s="14">
        <v>1</v>
      </c>
      <c r="I1128" s="229">
        <v>0</v>
      </c>
      <c r="J1128" s="229">
        <v>0</v>
      </c>
      <c r="K1128" s="26">
        <v>0</v>
      </c>
      <c r="L1128" s="14">
        <v>0</v>
      </c>
      <c r="M1128" s="229">
        <v>0</v>
      </c>
      <c r="N1128" s="229">
        <v>1</v>
      </c>
      <c r="O1128" s="229">
        <v>0</v>
      </c>
      <c r="P1128" s="26">
        <v>1</v>
      </c>
      <c r="Q1128" s="14">
        <v>0</v>
      </c>
      <c r="R1128" s="229">
        <v>0</v>
      </c>
      <c r="S1128" s="229">
        <v>0</v>
      </c>
      <c r="T1128" s="229">
        <v>0</v>
      </c>
      <c r="U1128" s="229">
        <v>0</v>
      </c>
      <c r="V1128" s="229">
        <v>0</v>
      </c>
      <c r="W1128" s="229">
        <v>0</v>
      </c>
      <c r="X1128" s="229">
        <v>0</v>
      </c>
      <c r="Y1128" s="229">
        <v>0</v>
      </c>
      <c r="Z1128" s="229">
        <v>0</v>
      </c>
      <c r="AA1128" s="229">
        <v>0</v>
      </c>
      <c r="AC1128" s="12">
        <v>1</v>
      </c>
      <c r="AD1128" s="14">
        <v>1</v>
      </c>
      <c r="AE1128" s="14">
        <v>0</v>
      </c>
      <c r="AF1128" s="26">
        <v>0</v>
      </c>
      <c r="AG1128" s="12">
        <v>95</v>
      </c>
      <c r="AH1128" s="14">
        <v>1</v>
      </c>
      <c r="AI1128" s="209"/>
      <c r="AJ1128" s="3"/>
      <c r="AK1128" s="3"/>
      <c r="AL1128" s="3"/>
      <c r="AM1128" s="3"/>
      <c r="AN1128" s="3"/>
      <c r="AO1128" s="40"/>
      <c r="AP1128" s="209"/>
      <c r="AQ1128" s="3"/>
      <c r="AR1128" s="40"/>
      <c r="AS1128" s="238"/>
    </row>
    <row r="1129" spans="1:45" s="229" customFormat="1">
      <c r="A1129" s="83" t="s">
        <v>326</v>
      </c>
      <c r="B1129" s="386">
        <v>49.683999999999997</v>
      </c>
      <c r="C1129" s="229" t="s">
        <v>735</v>
      </c>
      <c r="D1129" s="229" t="s">
        <v>706</v>
      </c>
      <c r="F1129" s="229">
        <v>682</v>
      </c>
      <c r="G1129" s="40">
        <f>F1129/547</f>
        <v>1.246800731261426</v>
      </c>
      <c r="H1129" s="14">
        <v>0</v>
      </c>
      <c r="I1129" s="229">
        <v>0</v>
      </c>
      <c r="J1129" s="229">
        <v>0</v>
      </c>
      <c r="K1129" s="26">
        <v>1</v>
      </c>
      <c r="L1129" s="14">
        <v>0</v>
      </c>
      <c r="M1129" s="229">
        <v>0</v>
      </c>
      <c r="N1129" s="229">
        <v>0</v>
      </c>
      <c r="O1129" s="229">
        <v>0</v>
      </c>
      <c r="P1129" s="26">
        <v>0</v>
      </c>
      <c r="Q1129" s="14">
        <v>2</v>
      </c>
      <c r="R1129" s="229">
        <v>0</v>
      </c>
      <c r="S1129" s="229">
        <v>0</v>
      </c>
      <c r="T1129" s="229">
        <v>0</v>
      </c>
      <c r="U1129" s="229">
        <v>0</v>
      </c>
      <c r="V1129" s="229">
        <v>0</v>
      </c>
      <c r="W1129" s="229">
        <v>40</v>
      </c>
      <c r="X1129" s="229">
        <v>0</v>
      </c>
      <c r="Y1129" s="229">
        <v>0</v>
      </c>
      <c r="Z1129" s="229">
        <v>0</v>
      </c>
      <c r="AA1129" s="229">
        <v>0</v>
      </c>
      <c r="AC1129" s="12">
        <v>2</v>
      </c>
      <c r="AD1129" s="14">
        <v>6</v>
      </c>
      <c r="AE1129" s="14">
        <v>136</v>
      </c>
      <c r="AF1129" s="26">
        <v>364</v>
      </c>
      <c r="AG1129" s="12">
        <v>104</v>
      </c>
      <c r="AH1129" s="14">
        <v>1</v>
      </c>
      <c r="AI1129" s="209"/>
      <c r="AJ1129" s="3"/>
      <c r="AK1129" s="3"/>
      <c r="AL1129" s="3"/>
      <c r="AM1129" s="3"/>
      <c r="AN1129" s="3"/>
      <c r="AO1129" s="40"/>
      <c r="AP1129" s="209"/>
      <c r="AQ1129" s="3"/>
      <c r="AR1129" s="40"/>
      <c r="AS1129" s="238"/>
    </row>
    <row r="1130" spans="1:45" s="229" customFormat="1">
      <c r="A1130" s="83" t="s">
        <v>326</v>
      </c>
      <c r="B1130" s="386">
        <v>49.683999999999997</v>
      </c>
      <c r="C1130" s="229" t="s">
        <v>735</v>
      </c>
      <c r="D1130" s="229" t="s">
        <v>707</v>
      </c>
      <c r="E1130" s="229" t="s">
        <v>0</v>
      </c>
      <c r="F1130" s="229">
        <v>162</v>
      </c>
      <c r="G1130" s="40">
        <f>F1130/71</f>
        <v>2.2816901408450705</v>
      </c>
      <c r="H1130" s="14">
        <v>1</v>
      </c>
      <c r="I1130" s="229">
        <v>0</v>
      </c>
      <c r="J1130" s="229">
        <v>1</v>
      </c>
      <c r="K1130" s="26">
        <v>0</v>
      </c>
      <c r="L1130" s="14">
        <v>0</v>
      </c>
      <c r="M1130" s="229">
        <v>0</v>
      </c>
      <c r="N1130" s="229">
        <v>0</v>
      </c>
      <c r="O1130" s="229">
        <v>0</v>
      </c>
      <c r="P1130" s="26">
        <v>0</v>
      </c>
      <c r="Q1130" s="14">
        <v>3</v>
      </c>
      <c r="R1130" s="229">
        <v>0</v>
      </c>
      <c r="S1130" s="229">
        <v>6</v>
      </c>
      <c r="T1130" s="229">
        <v>0</v>
      </c>
      <c r="U1130" s="229">
        <v>0</v>
      </c>
      <c r="V1130" s="229">
        <v>0</v>
      </c>
      <c r="W1130" s="229">
        <v>18</v>
      </c>
      <c r="X1130" s="229">
        <v>0</v>
      </c>
      <c r="Y1130" s="229">
        <v>0</v>
      </c>
      <c r="Z1130" s="229">
        <v>0</v>
      </c>
      <c r="AA1130" s="229">
        <v>0</v>
      </c>
      <c r="AC1130" s="12">
        <v>2</v>
      </c>
      <c r="AD1130" s="14">
        <v>2</v>
      </c>
      <c r="AE1130" s="14">
        <v>74</v>
      </c>
      <c r="AF1130" s="26">
        <v>98</v>
      </c>
      <c r="AG1130" s="12">
        <v>113</v>
      </c>
      <c r="AH1130" s="14">
        <v>0</v>
      </c>
      <c r="AI1130" s="209"/>
      <c r="AJ1130" s="3"/>
      <c r="AK1130" s="3"/>
      <c r="AL1130" s="3"/>
      <c r="AM1130" s="3"/>
      <c r="AN1130" s="3"/>
      <c r="AO1130" s="40"/>
      <c r="AP1130" s="209"/>
      <c r="AQ1130" s="3"/>
      <c r="AR1130" s="40"/>
      <c r="AS1130" s="238"/>
    </row>
    <row r="1131" spans="1:45" s="229" customFormat="1">
      <c r="A1131" s="83" t="s">
        <v>326</v>
      </c>
      <c r="B1131" s="386">
        <v>49.683999999999997</v>
      </c>
      <c r="C1131" s="229" t="s">
        <v>735</v>
      </c>
      <c r="D1131" s="229" t="s">
        <v>707</v>
      </c>
      <c r="E1131" s="229" t="s">
        <v>1</v>
      </c>
      <c r="F1131" s="229">
        <v>131</v>
      </c>
      <c r="G1131" s="40">
        <f>F1131/97</f>
        <v>1.3505154639175259</v>
      </c>
      <c r="H1131" s="14">
        <v>0</v>
      </c>
      <c r="I1131" s="229">
        <v>0</v>
      </c>
      <c r="J1131" s="229">
        <v>0</v>
      </c>
      <c r="K1131" s="26">
        <v>1</v>
      </c>
      <c r="L1131" s="14">
        <v>0</v>
      </c>
      <c r="M1131" s="229">
        <v>0</v>
      </c>
      <c r="N1131" s="229">
        <v>0</v>
      </c>
      <c r="O1131" s="229">
        <v>1</v>
      </c>
      <c r="P1131" s="26">
        <v>1</v>
      </c>
      <c r="Q1131" s="14">
        <v>0</v>
      </c>
      <c r="R1131" s="229">
        <v>0</v>
      </c>
      <c r="S1131" s="229">
        <v>0</v>
      </c>
      <c r="T1131" s="229">
        <v>0</v>
      </c>
      <c r="U1131" s="229">
        <v>0</v>
      </c>
      <c r="V1131" s="229">
        <v>0</v>
      </c>
      <c r="W1131" s="229">
        <v>0</v>
      </c>
      <c r="X1131" s="229">
        <v>0</v>
      </c>
      <c r="Y1131" s="229">
        <v>0</v>
      </c>
      <c r="Z1131" s="229">
        <v>0</v>
      </c>
      <c r="AA1131" s="229">
        <v>0</v>
      </c>
      <c r="AC1131" s="12">
        <v>1</v>
      </c>
      <c r="AD1131" s="14">
        <v>1</v>
      </c>
      <c r="AE1131" s="14">
        <v>0</v>
      </c>
      <c r="AF1131" s="26">
        <v>0</v>
      </c>
      <c r="AG1131" s="12">
        <v>113</v>
      </c>
      <c r="AH1131" s="14">
        <v>0</v>
      </c>
      <c r="AI1131" s="209"/>
      <c r="AJ1131" s="3"/>
      <c r="AK1131" s="3"/>
      <c r="AL1131" s="3"/>
      <c r="AM1131" s="3"/>
      <c r="AN1131" s="3"/>
      <c r="AO1131" s="40"/>
      <c r="AP1131" s="209"/>
      <c r="AQ1131" s="3"/>
      <c r="AR1131" s="40"/>
      <c r="AS1131" s="238"/>
    </row>
    <row r="1132" spans="1:45" s="229" customFormat="1">
      <c r="A1132" s="83" t="s">
        <v>326</v>
      </c>
      <c r="B1132" s="386">
        <v>49.683999999999997</v>
      </c>
      <c r="C1132" s="229" t="s">
        <v>735</v>
      </c>
      <c r="D1132" s="229" t="s">
        <v>707</v>
      </c>
      <c r="E1132" s="229" t="s">
        <v>2</v>
      </c>
      <c r="F1132" s="229">
        <v>421</v>
      </c>
      <c r="G1132" s="40">
        <f>F1132/265</f>
        <v>1.588679245283019</v>
      </c>
      <c r="H1132" s="14">
        <v>0</v>
      </c>
      <c r="I1132" s="229">
        <v>0</v>
      </c>
      <c r="J1132" s="229">
        <v>0</v>
      </c>
      <c r="K1132" s="26">
        <v>1</v>
      </c>
      <c r="L1132" s="14">
        <v>0</v>
      </c>
      <c r="M1132" s="229">
        <v>0</v>
      </c>
      <c r="N1132" s="229">
        <v>0</v>
      </c>
      <c r="O1132" s="229">
        <v>0</v>
      </c>
      <c r="P1132" s="26">
        <v>0</v>
      </c>
      <c r="Q1132" s="14">
        <v>0</v>
      </c>
      <c r="R1132" s="229">
        <v>0</v>
      </c>
      <c r="S1132" s="229">
        <v>0</v>
      </c>
      <c r="T1132" s="229">
        <v>0</v>
      </c>
      <c r="U1132" s="229">
        <v>0</v>
      </c>
      <c r="V1132" s="229">
        <v>0</v>
      </c>
      <c r="W1132" s="229">
        <v>0</v>
      </c>
      <c r="X1132" s="229">
        <v>0</v>
      </c>
      <c r="Y1132" s="229">
        <v>0</v>
      </c>
      <c r="Z1132" s="229">
        <v>0</v>
      </c>
      <c r="AA1132" s="229">
        <v>0</v>
      </c>
      <c r="AC1132" s="12">
        <v>2</v>
      </c>
      <c r="AD1132" s="14">
        <v>3</v>
      </c>
      <c r="AE1132" s="14">
        <v>0</v>
      </c>
      <c r="AF1132" s="26">
        <v>0</v>
      </c>
      <c r="AG1132" s="12">
        <v>113</v>
      </c>
      <c r="AH1132" s="14">
        <v>1</v>
      </c>
      <c r="AI1132" s="209"/>
      <c r="AJ1132" s="3"/>
      <c r="AK1132" s="3"/>
      <c r="AL1132" s="3"/>
      <c r="AM1132" s="3"/>
      <c r="AN1132" s="3"/>
      <c r="AO1132" s="40"/>
      <c r="AP1132" s="209"/>
      <c r="AQ1132" s="3"/>
      <c r="AR1132" s="40"/>
      <c r="AS1132" s="238"/>
    </row>
    <row r="1133" spans="1:45" s="229" customFormat="1">
      <c r="A1133" s="83" t="s">
        <v>326</v>
      </c>
      <c r="B1133" s="386">
        <v>49.683999999999997</v>
      </c>
      <c r="C1133" s="229" t="s">
        <v>735</v>
      </c>
      <c r="D1133" s="229" t="s">
        <v>707</v>
      </c>
      <c r="E1133" s="229" t="s">
        <v>3</v>
      </c>
      <c r="F1133" s="229">
        <v>280</v>
      </c>
      <c r="G1133" s="40">
        <f>F1133/149</f>
        <v>1.8791946308724832</v>
      </c>
      <c r="H1133" s="14">
        <v>0</v>
      </c>
      <c r="I1133" s="229">
        <v>0</v>
      </c>
      <c r="J1133" s="229">
        <v>0</v>
      </c>
      <c r="K1133" s="26">
        <v>1</v>
      </c>
      <c r="L1133" s="14">
        <v>0</v>
      </c>
      <c r="M1133" s="229">
        <v>0</v>
      </c>
      <c r="N1133" s="229">
        <v>0</v>
      </c>
      <c r="O1133" s="229">
        <v>0</v>
      </c>
      <c r="P1133" s="26">
        <v>0</v>
      </c>
      <c r="Q1133" s="14">
        <v>1</v>
      </c>
      <c r="R1133" s="229">
        <v>0</v>
      </c>
      <c r="S1133" s="229">
        <v>0</v>
      </c>
      <c r="T1133" s="229">
        <v>0</v>
      </c>
      <c r="U1133" s="229">
        <v>0</v>
      </c>
      <c r="V1133" s="229">
        <v>0</v>
      </c>
      <c r="W1133" s="229">
        <v>18</v>
      </c>
      <c r="X1133" s="229">
        <v>0</v>
      </c>
      <c r="Y1133" s="229">
        <v>0</v>
      </c>
      <c r="Z1133" s="229">
        <v>0</v>
      </c>
      <c r="AA1133" s="229">
        <v>0</v>
      </c>
      <c r="AC1133" s="12">
        <v>2</v>
      </c>
      <c r="AD1133" s="14">
        <v>3</v>
      </c>
      <c r="AE1133" s="14">
        <v>159</v>
      </c>
      <c r="AF1133" s="26">
        <v>221</v>
      </c>
      <c r="AG1133" s="12">
        <v>113</v>
      </c>
      <c r="AH1133" s="14">
        <v>1</v>
      </c>
      <c r="AI1133" s="209"/>
      <c r="AJ1133" s="3"/>
      <c r="AK1133" s="3"/>
      <c r="AL1133" s="3"/>
      <c r="AM1133" s="3"/>
      <c r="AN1133" s="3"/>
      <c r="AO1133" s="40"/>
      <c r="AP1133" s="209"/>
      <c r="AQ1133" s="3"/>
      <c r="AR1133" s="40"/>
      <c r="AS1133" s="238"/>
    </row>
    <row r="1134" spans="1:45" s="229" customFormat="1">
      <c r="A1134" s="83" t="s">
        <v>326</v>
      </c>
      <c r="B1134" s="386">
        <v>49.683999999999997</v>
      </c>
      <c r="C1134" s="229" t="s">
        <v>735</v>
      </c>
      <c r="D1134" s="229" t="s">
        <v>720</v>
      </c>
      <c r="E1134" s="229" t="s">
        <v>0</v>
      </c>
      <c r="F1134" s="229">
        <v>391</v>
      </c>
      <c r="G1134" s="40">
        <f>F1134/210</f>
        <v>1.861904761904762</v>
      </c>
      <c r="H1134" s="14">
        <v>0</v>
      </c>
      <c r="I1134" s="229">
        <v>0</v>
      </c>
      <c r="J1134" s="229">
        <v>0</v>
      </c>
      <c r="K1134" s="26">
        <v>1</v>
      </c>
      <c r="L1134" s="14">
        <v>0</v>
      </c>
      <c r="M1134" s="229">
        <v>0</v>
      </c>
      <c r="N1134" s="229">
        <v>0</v>
      </c>
      <c r="O1134" s="229">
        <v>0</v>
      </c>
      <c r="P1134" s="26">
        <v>0</v>
      </c>
      <c r="Q1134" s="14">
        <v>5</v>
      </c>
      <c r="R1134" s="229">
        <v>0</v>
      </c>
      <c r="S1134" s="229">
        <v>0</v>
      </c>
      <c r="T1134" s="229">
        <v>0</v>
      </c>
      <c r="U1134" s="229">
        <v>0</v>
      </c>
      <c r="V1134" s="229">
        <v>0</v>
      </c>
      <c r="W1134" s="229">
        <v>16</v>
      </c>
      <c r="X1134" s="229">
        <v>0</v>
      </c>
      <c r="Y1134" s="229">
        <v>0</v>
      </c>
      <c r="Z1134" s="229">
        <v>0</v>
      </c>
      <c r="AA1134" s="229">
        <v>74</v>
      </c>
      <c r="AC1134" s="12">
        <v>2</v>
      </c>
      <c r="AD1134" s="14">
        <v>2</v>
      </c>
      <c r="AE1134" s="14"/>
      <c r="AF1134" s="26"/>
      <c r="AG1134" s="12"/>
      <c r="AH1134" s="14"/>
      <c r="AI1134" s="209"/>
      <c r="AJ1134" s="3"/>
      <c r="AK1134" s="3"/>
      <c r="AL1134" s="3"/>
      <c r="AM1134" s="3"/>
      <c r="AN1134" s="3"/>
      <c r="AO1134" s="40"/>
      <c r="AP1134" s="209"/>
      <c r="AQ1134" s="3"/>
      <c r="AR1134" s="40"/>
      <c r="AS1134" s="238"/>
    </row>
    <row r="1135" spans="1:45" s="229" customFormat="1">
      <c r="A1135" s="83" t="s">
        <v>326</v>
      </c>
      <c r="B1135" s="386">
        <v>49.683999999999997</v>
      </c>
      <c r="C1135" s="49" t="s">
        <v>735</v>
      </c>
      <c r="D1135" s="49" t="s">
        <v>720</v>
      </c>
      <c r="E1135" s="229" t="s">
        <v>1</v>
      </c>
      <c r="F1135" s="229">
        <v>167</v>
      </c>
      <c r="G1135" s="40">
        <f>F1135/119</f>
        <v>1.403361344537815</v>
      </c>
      <c r="H1135" s="14">
        <v>0</v>
      </c>
      <c r="I1135" s="229">
        <v>0</v>
      </c>
      <c r="J1135" s="229">
        <v>1</v>
      </c>
      <c r="K1135" s="26">
        <v>0</v>
      </c>
      <c r="L1135" s="14">
        <v>0</v>
      </c>
      <c r="M1135" s="229">
        <v>0</v>
      </c>
      <c r="N1135" s="229">
        <v>0</v>
      </c>
      <c r="O1135" s="229">
        <v>0</v>
      </c>
      <c r="P1135" s="26">
        <v>0</v>
      </c>
      <c r="Q1135" s="14">
        <v>1</v>
      </c>
      <c r="AC1135" s="12">
        <v>1</v>
      </c>
      <c r="AD1135" s="14">
        <v>1</v>
      </c>
      <c r="AE1135" s="14">
        <v>0</v>
      </c>
      <c r="AF1135" s="26">
        <v>0</v>
      </c>
      <c r="AG1135" s="12"/>
      <c r="AH1135" s="14">
        <v>0</v>
      </c>
      <c r="AI1135" s="209"/>
      <c r="AJ1135" s="3"/>
      <c r="AK1135" s="3"/>
      <c r="AL1135" s="3"/>
      <c r="AM1135" s="3"/>
      <c r="AN1135" s="3"/>
      <c r="AO1135" s="40"/>
      <c r="AP1135" s="209"/>
      <c r="AQ1135" s="3"/>
      <c r="AR1135" s="40"/>
      <c r="AS1135" s="238"/>
    </row>
    <row r="1136" spans="1:45" s="229" customFormat="1">
      <c r="A1136" s="83" t="s">
        <v>326</v>
      </c>
      <c r="B1136" s="386">
        <v>49.683999999999997</v>
      </c>
      <c r="C1136" s="24" t="s">
        <v>735</v>
      </c>
      <c r="D1136" s="24" t="s">
        <v>720</v>
      </c>
      <c r="E1136" s="229" t="s">
        <v>2</v>
      </c>
      <c r="F1136" s="229">
        <v>83</v>
      </c>
      <c r="G1136" s="40">
        <f>F1136/68</f>
        <v>1.2205882352941178</v>
      </c>
      <c r="H1136" s="14">
        <v>1</v>
      </c>
      <c r="I1136" s="229">
        <v>0</v>
      </c>
      <c r="J1136" s="229">
        <v>0</v>
      </c>
      <c r="K1136" s="26">
        <v>0</v>
      </c>
      <c r="L1136" s="14">
        <v>0</v>
      </c>
      <c r="M1136" s="229">
        <v>0</v>
      </c>
      <c r="N1136" s="229">
        <v>0</v>
      </c>
      <c r="O1136" s="229">
        <v>0</v>
      </c>
      <c r="P1136" s="26">
        <v>0</v>
      </c>
      <c r="Q1136" s="14">
        <v>1</v>
      </c>
      <c r="AC1136" s="12">
        <v>1</v>
      </c>
      <c r="AD1136" s="14">
        <v>1</v>
      </c>
      <c r="AE1136" s="14">
        <v>0</v>
      </c>
      <c r="AF1136" s="26">
        <v>0</v>
      </c>
      <c r="AG1136" s="12"/>
      <c r="AH1136" s="14">
        <v>0</v>
      </c>
      <c r="AI1136" s="209"/>
      <c r="AJ1136" s="3"/>
      <c r="AK1136" s="3"/>
      <c r="AL1136" s="3"/>
      <c r="AM1136" s="3"/>
      <c r="AN1136" s="3"/>
      <c r="AO1136" s="40"/>
      <c r="AP1136" s="209"/>
      <c r="AQ1136" s="3"/>
      <c r="AR1136" s="40"/>
      <c r="AS1136" s="238"/>
    </row>
    <row r="1137" spans="1:45" s="229" customFormat="1">
      <c r="A1137" s="83" t="s">
        <v>326</v>
      </c>
      <c r="B1137" s="386">
        <v>49.683999999999997</v>
      </c>
      <c r="C1137" s="229" t="s">
        <v>735</v>
      </c>
      <c r="D1137" s="229" t="s">
        <v>722</v>
      </c>
      <c r="E1137" s="229" t="s">
        <v>0</v>
      </c>
      <c r="F1137" s="229">
        <v>74</v>
      </c>
      <c r="G1137" s="40">
        <f>F1137/56</f>
        <v>1.3214285714285714</v>
      </c>
      <c r="H1137" s="14">
        <v>1</v>
      </c>
      <c r="I1137" s="229">
        <v>0</v>
      </c>
      <c r="J1137" s="229">
        <v>0</v>
      </c>
      <c r="K1137" s="26">
        <v>0</v>
      </c>
      <c r="L1137" s="14">
        <v>0</v>
      </c>
      <c r="M1137" s="229">
        <v>0</v>
      </c>
      <c r="N1137" s="229">
        <v>0</v>
      </c>
      <c r="O1137" s="229">
        <v>0</v>
      </c>
      <c r="P1137" s="26">
        <v>0</v>
      </c>
      <c r="Q1137" s="14">
        <v>0</v>
      </c>
      <c r="R1137" s="229">
        <v>0</v>
      </c>
      <c r="S1137" s="229">
        <v>0</v>
      </c>
      <c r="T1137" s="229">
        <v>0</v>
      </c>
      <c r="U1137" s="229">
        <v>0</v>
      </c>
      <c r="V1137" s="229">
        <v>0</v>
      </c>
      <c r="W1137" s="229">
        <v>0</v>
      </c>
      <c r="X1137" s="229">
        <v>0</v>
      </c>
      <c r="Y1137" s="229">
        <v>0</v>
      </c>
      <c r="Z1137" s="229">
        <v>0</v>
      </c>
      <c r="AA1137" s="229">
        <v>0</v>
      </c>
      <c r="AC1137" s="12">
        <v>1</v>
      </c>
      <c r="AD1137" s="14">
        <v>1</v>
      </c>
      <c r="AE1137" s="14">
        <v>0</v>
      </c>
      <c r="AF1137" s="26">
        <v>0</v>
      </c>
      <c r="AG1137" s="12">
        <v>62</v>
      </c>
      <c r="AH1137" s="14">
        <v>0</v>
      </c>
      <c r="AI1137" s="209"/>
      <c r="AJ1137" s="3"/>
      <c r="AK1137" s="3"/>
      <c r="AL1137" s="3"/>
      <c r="AM1137" s="3"/>
      <c r="AN1137" s="3"/>
      <c r="AO1137" s="40"/>
      <c r="AP1137" s="209"/>
      <c r="AQ1137" s="3"/>
      <c r="AR1137" s="40"/>
      <c r="AS1137" s="238"/>
    </row>
    <row r="1138" spans="1:45" s="229" customFormat="1">
      <c r="A1138" s="83" t="s">
        <v>326</v>
      </c>
      <c r="B1138" s="386">
        <v>49.683999999999997</v>
      </c>
      <c r="C1138" s="229" t="s">
        <v>735</v>
      </c>
      <c r="D1138" s="229" t="s">
        <v>722</v>
      </c>
      <c r="E1138" s="229" t="s">
        <v>1</v>
      </c>
      <c r="F1138" s="229">
        <v>213</v>
      </c>
      <c r="G1138" s="40">
        <f>F1138/110</f>
        <v>1.9363636363636363</v>
      </c>
      <c r="H1138" s="14">
        <v>0</v>
      </c>
      <c r="I1138" s="229">
        <v>0</v>
      </c>
      <c r="J1138" s="229">
        <v>0</v>
      </c>
      <c r="K1138" s="26">
        <v>1</v>
      </c>
      <c r="L1138" s="14">
        <v>0</v>
      </c>
      <c r="M1138" s="229">
        <v>0</v>
      </c>
      <c r="N1138" s="229">
        <v>0</v>
      </c>
      <c r="O1138" s="229">
        <v>0</v>
      </c>
      <c r="P1138" s="26">
        <v>0</v>
      </c>
      <c r="Q1138" s="14">
        <v>0</v>
      </c>
      <c r="R1138" s="229">
        <v>0</v>
      </c>
      <c r="S1138" s="229">
        <v>0</v>
      </c>
      <c r="T1138" s="229">
        <v>0</v>
      </c>
      <c r="U1138" s="229">
        <v>0</v>
      </c>
      <c r="V1138" s="229">
        <v>0</v>
      </c>
      <c r="W1138" s="229">
        <v>0</v>
      </c>
      <c r="X1138" s="229">
        <v>0</v>
      </c>
      <c r="Y1138" s="229">
        <v>0</v>
      </c>
      <c r="Z1138" s="229">
        <v>0</v>
      </c>
      <c r="AA1138" s="229">
        <v>0</v>
      </c>
      <c r="AC1138" s="12">
        <v>1</v>
      </c>
      <c r="AD1138" s="14">
        <v>1</v>
      </c>
      <c r="AE1138" s="14">
        <v>0</v>
      </c>
      <c r="AF1138" s="26">
        <v>0</v>
      </c>
      <c r="AG1138" s="12">
        <v>62</v>
      </c>
      <c r="AH1138" s="14">
        <v>1</v>
      </c>
      <c r="AI1138" s="209"/>
      <c r="AJ1138" s="3"/>
      <c r="AK1138" s="3"/>
      <c r="AL1138" s="3"/>
      <c r="AM1138" s="3"/>
      <c r="AN1138" s="3"/>
      <c r="AO1138" s="40"/>
      <c r="AP1138" s="209"/>
      <c r="AQ1138" s="3"/>
      <c r="AR1138" s="40"/>
      <c r="AS1138" s="238"/>
    </row>
    <row r="1139" spans="1:45" s="229" customFormat="1">
      <c r="A1139" s="83" t="s">
        <v>326</v>
      </c>
      <c r="B1139" s="386">
        <v>49.683999999999997</v>
      </c>
      <c r="C1139" s="229" t="s">
        <v>735</v>
      </c>
      <c r="D1139" s="229" t="s">
        <v>722</v>
      </c>
      <c r="E1139" s="229" t="s">
        <v>2</v>
      </c>
      <c r="F1139" s="229">
        <v>170</v>
      </c>
      <c r="G1139" s="40">
        <f>F1139/64</f>
        <v>2.65625</v>
      </c>
      <c r="H1139" s="14">
        <v>0</v>
      </c>
      <c r="I1139" s="229">
        <v>0</v>
      </c>
      <c r="J1139" s="229">
        <v>0</v>
      </c>
      <c r="K1139" s="26">
        <v>1</v>
      </c>
      <c r="L1139" s="14">
        <v>0</v>
      </c>
      <c r="M1139" s="229">
        <v>0</v>
      </c>
      <c r="N1139" s="229">
        <v>0</v>
      </c>
      <c r="O1139" s="229">
        <v>0</v>
      </c>
      <c r="P1139" s="26">
        <v>0</v>
      </c>
      <c r="Q1139" s="14">
        <v>5</v>
      </c>
      <c r="R1139" s="229">
        <v>0</v>
      </c>
      <c r="S1139" s="229">
        <v>5</v>
      </c>
      <c r="T1139" s="229">
        <v>0</v>
      </c>
      <c r="U1139" s="229">
        <v>0</v>
      </c>
      <c r="V1139" s="229">
        <v>0</v>
      </c>
      <c r="W1139" s="229">
        <v>31</v>
      </c>
      <c r="X1139" s="229">
        <v>0</v>
      </c>
      <c r="Y1139" s="229">
        <v>0</v>
      </c>
      <c r="Z1139" s="229">
        <v>0</v>
      </c>
      <c r="AA1139" s="229">
        <v>0</v>
      </c>
      <c r="AC1139" s="12">
        <v>1</v>
      </c>
      <c r="AD1139" s="14">
        <v>1</v>
      </c>
      <c r="AE1139" s="14">
        <v>0</v>
      </c>
      <c r="AF1139" s="26">
        <v>0</v>
      </c>
      <c r="AG1139" s="12">
        <v>62</v>
      </c>
      <c r="AH1139" s="14">
        <v>1</v>
      </c>
      <c r="AI1139" s="209"/>
      <c r="AJ1139" s="3"/>
      <c r="AK1139" s="3"/>
      <c r="AL1139" s="3"/>
      <c r="AM1139" s="3"/>
      <c r="AN1139" s="3"/>
      <c r="AO1139" s="40"/>
      <c r="AP1139" s="209"/>
      <c r="AQ1139" s="3"/>
      <c r="AR1139" s="40"/>
      <c r="AS1139" s="238"/>
    </row>
    <row r="1140" spans="1:45" s="229" customFormat="1">
      <c r="A1140" s="83" t="s">
        <v>326</v>
      </c>
      <c r="B1140" s="386">
        <v>49.683999999999997</v>
      </c>
      <c r="C1140" s="229" t="s">
        <v>735</v>
      </c>
      <c r="D1140" s="229" t="s">
        <v>722</v>
      </c>
      <c r="E1140" s="229" t="s">
        <v>3</v>
      </c>
      <c r="F1140" s="229">
        <v>512</v>
      </c>
      <c r="G1140" s="40">
        <f>F1140/477</f>
        <v>1.0733752620545074</v>
      </c>
      <c r="H1140" s="14">
        <v>1</v>
      </c>
      <c r="I1140" s="229">
        <v>0</v>
      </c>
      <c r="J1140" s="229">
        <v>0</v>
      </c>
      <c r="K1140" s="26">
        <v>0</v>
      </c>
      <c r="L1140" s="14">
        <v>0</v>
      </c>
      <c r="M1140" s="229">
        <v>0</v>
      </c>
      <c r="N1140" s="229">
        <v>0</v>
      </c>
      <c r="O1140" s="229">
        <v>0</v>
      </c>
      <c r="P1140" s="26">
        <v>0</v>
      </c>
      <c r="Q1140" s="14">
        <v>3</v>
      </c>
      <c r="R1140" s="229">
        <v>0</v>
      </c>
      <c r="S1140" s="229">
        <v>0</v>
      </c>
      <c r="T1140" s="229">
        <v>0</v>
      </c>
      <c r="U1140" s="229">
        <v>0</v>
      </c>
      <c r="V1140" s="229">
        <v>22</v>
      </c>
      <c r="W1140" s="229">
        <v>49</v>
      </c>
      <c r="X1140" s="229">
        <v>0</v>
      </c>
      <c r="Y1140" s="229">
        <v>0</v>
      </c>
      <c r="Z1140" s="229">
        <v>0</v>
      </c>
      <c r="AA1140" s="229">
        <v>47</v>
      </c>
      <c r="AC1140" s="12">
        <v>1</v>
      </c>
      <c r="AD1140" s="14">
        <v>1</v>
      </c>
      <c r="AE1140" s="14">
        <v>0</v>
      </c>
      <c r="AF1140" s="26">
        <v>0</v>
      </c>
      <c r="AG1140" s="12">
        <v>62</v>
      </c>
      <c r="AH1140" s="14">
        <v>1</v>
      </c>
      <c r="AI1140" s="209">
        <v>89.074468331616259</v>
      </c>
      <c r="AJ1140" s="3"/>
      <c r="AK1140" s="3"/>
      <c r="AL1140" s="3"/>
      <c r="AM1140" s="3"/>
      <c r="AN1140" s="3"/>
      <c r="AO1140" s="40"/>
      <c r="AP1140" s="209">
        <v>88.605391509073144</v>
      </c>
      <c r="AQ1140" s="3"/>
      <c r="AR1140" s="40"/>
      <c r="AS1140" s="238"/>
    </row>
    <row r="1141" spans="1:45" s="229" customFormat="1">
      <c r="A1141" s="83" t="s">
        <v>326</v>
      </c>
      <c r="B1141" s="386">
        <v>49.683999999999997</v>
      </c>
      <c r="C1141" s="229" t="s">
        <v>735</v>
      </c>
      <c r="D1141" s="229" t="s">
        <v>722</v>
      </c>
      <c r="E1141" s="229" t="s">
        <v>4</v>
      </c>
      <c r="F1141" s="229">
        <v>246</v>
      </c>
      <c r="G1141" s="40">
        <f>F1141/132</f>
        <v>1.8636363636363635</v>
      </c>
      <c r="H1141" s="14">
        <v>1</v>
      </c>
      <c r="I1141" s="229">
        <v>0</v>
      </c>
      <c r="J1141" s="229">
        <v>0</v>
      </c>
      <c r="K1141" s="26">
        <v>1</v>
      </c>
      <c r="L1141" s="14">
        <v>0</v>
      </c>
      <c r="M1141" s="229">
        <v>0</v>
      </c>
      <c r="N1141" s="229">
        <v>0</v>
      </c>
      <c r="O1141" s="229">
        <v>0</v>
      </c>
      <c r="P1141" s="26">
        <v>0</v>
      </c>
      <c r="Q1141" s="14">
        <v>0</v>
      </c>
      <c r="R1141" s="229">
        <v>0</v>
      </c>
      <c r="S1141" s="229">
        <v>0</v>
      </c>
      <c r="T1141" s="229">
        <v>0</v>
      </c>
      <c r="U1141" s="229">
        <v>0</v>
      </c>
      <c r="V1141" s="229">
        <v>0</v>
      </c>
      <c r="W1141" s="229">
        <v>0</v>
      </c>
      <c r="X1141" s="229">
        <v>0</v>
      </c>
      <c r="Y1141" s="229">
        <v>0</v>
      </c>
      <c r="Z1141" s="229">
        <v>0</v>
      </c>
      <c r="AA1141" s="229">
        <v>0</v>
      </c>
      <c r="AC1141" s="12">
        <v>2</v>
      </c>
      <c r="AD1141" s="14">
        <v>3</v>
      </c>
      <c r="AE1141" s="14">
        <v>73</v>
      </c>
      <c r="AF1141" s="26">
        <v>122</v>
      </c>
      <c r="AG1141" s="12">
        <v>62</v>
      </c>
      <c r="AH1141" s="14">
        <v>1</v>
      </c>
      <c r="AI1141" s="209"/>
      <c r="AJ1141" s="3"/>
      <c r="AK1141" s="3"/>
      <c r="AL1141" s="3"/>
      <c r="AM1141" s="3"/>
      <c r="AN1141" s="3"/>
      <c r="AO1141" s="40"/>
      <c r="AP1141" s="209"/>
      <c r="AQ1141" s="3"/>
      <c r="AR1141" s="40"/>
      <c r="AS1141" s="238"/>
    </row>
    <row r="1142" spans="1:45" s="229" customFormat="1">
      <c r="A1142" s="83" t="s">
        <v>326</v>
      </c>
      <c r="B1142" s="386">
        <v>49.683999999999997</v>
      </c>
      <c r="C1142" s="229" t="s">
        <v>735</v>
      </c>
      <c r="D1142" s="229" t="s">
        <v>723</v>
      </c>
      <c r="F1142" s="229">
        <v>557</v>
      </c>
      <c r="G1142" s="40">
        <f>F1142/279</f>
        <v>1.9964157706093191</v>
      </c>
      <c r="H1142" s="14">
        <v>0</v>
      </c>
      <c r="I1142" s="229">
        <v>0</v>
      </c>
      <c r="J1142" s="229">
        <v>1</v>
      </c>
      <c r="K1142" s="26">
        <v>1</v>
      </c>
      <c r="L1142" s="14">
        <v>0</v>
      </c>
      <c r="M1142" s="229">
        <v>0</v>
      </c>
      <c r="N1142" s="229">
        <v>0</v>
      </c>
      <c r="O1142" s="229">
        <v>0</v>
      </c>
      <c r="P1142" s="26">
        <v>0</v>
      </c>
      <c r="Q1142" s="14">
        <v>2</v>
      </c>
      <c r="R1142" s="229">
        <v>1</v>
      </c>
      <c r="S1142" s="229">
        <v>5</v>
      </c>
      <c r="T1142" s="229">
        <v>0</v>
      </c>
      <c r="U1142" s="229">
        <v>0</v>
      </c>
      <c r="V1142" s="229">
        <v>8</v>
      </c>
      <c r="W1142" s="229">
        <v>12</v>
      </c>
      <c r="X1142" s="229">
        <v>0</v>
      </c>
      <c r="Y1142" s="229">
        <v>0</v>
      </c>
      <c r="Z1142" s="229">
        <v>0</v>
      </c>
      <c r="AA1142" s="229">
        <v>33</v>
      </c>
      <c r="AC1142" s="12">
        <v>2</v>
      </c>
      <c r="AD1142" s="14">
        <v>10</v>
      </c>
      <c r="AE1142" s="14">
        <v>26</v>
      </c>
      <c r="AF1142" s="26">
        <v>205</v>
      </c>
      <c r="AG1142" s="12">
        <v>119</v>
      </c>
      <c r="AH1142" s="14">
        <v>1</v>
      </c>
      <c r="AI1142" s="209"/>
      <c r="AJ1142" s="3"/>
      <c r="AK1142" s="3"/>
      <c r="AL1142" s="3"/>
      <c r="AM1142" s="3"/>
      <c r="AN1142" s="3"/>
      <c r="AO1142" s="40"/>
      <c r="AP1142" s="209"/>
      <c r="AQ1142" s="3"/>
      <c r="AR1142" s="40"/>
      <c r="AS1142" s="238"/>
    </row>
    <row r="1143" spans="1:45" s="229" customFormat="1">
      <c r="A1143" s="83" t="s">
        <v>326</v>
      </c>
      <c r="B1143" s="386">
        <v>49.683999999999997</v>
      </c>
      <c r="C1143" s="229" t="s">
        <v>735</v>
      </c>
      <c r="D1143" s="229" t="s">
        <v>736</v>
      </c>
      <c r="E1143" s="229" t="s">
        <v>0</v>
      </c>
      <c r="F1143" s="229">
        <v>418</v>
      </c>
      <c r="G1143" s="40">
        <f>F1143/133</f>
        <v>3.1428571428571428</v>
      </c>
      <c r="H1143" s="14">
        <v>0</v>
      </c>
      <c r="I1143" s="229">
        <v>0</v>
      </c>
      <c r="J1143" s="229">
        <v>0</v>
      </c>
      <c r="K1143" s="26">
        <v>1</v>
      </c>
      <c r="L1143" s="14">
        <v>0</v>
      </c>
      <c r="M1143" s="229">
        <v>0</v>
      </c>
      <c r="N1143" s="229">
        <v>0</v>
      </c>
      <c r="O1143" s="229">
        <v>0</v>
      </c>
      <c r="P1143" s="26">
        <v>0</v>
      </c>
      <c r="Q1143" s="14">
        <v>1</v>
      </c>
      <c r="R1143" s="229">
        <v>0</v>
      </c>
      <c r="S1143" s="229">
        <v>0</v>
      </c>
      <c r="T1143" s="229">
        <v>0</v>
      </c>
      <c r="U1143" s="229">
        <v>0</v>
      </c>
      <c r="V1143" s="229">
        <v>0</v>
      </c>
      <c r="W1143" s="229">
        <v>0</v>
      </c>
      <c r="X1143" s="229">
        <v>0</v>
      </c>
      <c r="Y1143" s="229">
        <v>49</v>
      </c>
      <c r="Z1143" s="229">
        <v>0</v>
      </c>
      <c r="AA1143" s="229">
        <v>0</v>
      </c>
      <c r="AC1143" s="12">
        <v>2</v>
      </c>
      <c r="AD1143" s="14">
        <v>2</v>
      </c>
      <c r="AE1143" s="14">
        <v>169</v>
      </c>
      <c r="AF1143" s="26">
        <v>267</v>
      </c>
      <c r="AG1143" s="12">
        <v>110</v>
      </c>
      <c r="AH1143" s="14">
        <v>1</v>
      </c>
      <c r="AI1143" s="209"/>
      <c r="AJ1143" s="3"/>
      <c r="AK1143" s="3"/>
      <c r="AL1143" s="3"/>
      <c r="AM1143" s="3"/>
      <c r="AN1143" s="3"/>
      <c r="AO1143" s="40"/>
      <c r="AP1143" s="209"/>
      <c r="AQ1143" s="3"/>
      <c r="AR1143" s="40"/>
      <c r="AS1143" s="238"/>
    </row>
    <row r="1144" spans="1:45" s="229" customFormat="1">
      <c r="A1144" s="83" t="s">
        <v>326</v>
      </c>
      <c r="B1144" s="386">
        <v>49.683999999999997</v>
      </c>
      <c r="C1144" s="229" t="s">
        <v>735</v>
      </c>
      <c r="D1144" s="229" t="s">
        <v>736</v>
      </c>
      <c r="E1144" s="229" t="s">
        <v>1</v>
      </c>
      <c r="F1144" s="229">
        <v>168</v>
      </c>
      <c r="G1144" s="40">
        <f>F1144/115</f>
        <v>1.4608695652173913</v>
      </c>
      <c r="H1144" s="14">
        <v>0</v>
      </c>
      <c r="I1144" s="229">
        <v>0</v>
      </c>
      <c r="J1144" s="229">
        <v>0</v>
      </c>
      <c r="K1144" s="26">
        <v>1</v>
      </c>
      <c r="L1144" s="14">
        <v>0</v>
      </c>
      <c r="M1144" s="229">
        <v>0</v>
      </c>
      <c r="N1144" s="229">
        <v>0</v>
      </c>
      <c r="O1144" s="229">
        <v>0</v>
      </c>
      <c r="P1144" s="26">
        <v>0</v>
      </c>
      <c r="Q1144" s="14">
        <v>0</v>
      </c>
      <c r="R1144" s="229">
        <v>0</v>
      </c>
      <c r="S1144" s="229">
        <v>0</v>
      </c>
      <c r="T1144" s="229">
        <v>0</v>
      </c>
      <c r="U1144" s="229">
        <v>0</v>
      </c>
      <c r="V1144" s="229">
        <v>0</v>
      </c>
      <c r="W1144" s="229">
        <v>0</v>
      </c>
      <c r="X1144" s="229">
        <v>0</v>
      </c>
      <c r="Y1144" s="229">
        <v>0</v>
      </c>
      <c r="Z1144" s="229">
        <v>0</v>
      </c>
      <c r="AA1144" s="229">
        <v>0</v>
      </c>
      <c r="AC1144" s="12">
        <v>1</v>
      </c>
      <c r="AD1144" s="14">
        <v>1</v>
      </c>
      <c r="AE1144" s="14">
        <v>0</v>
      </c>
      <c r="AF1144" s="26">
        <v>0</v>
      </c>
      <c r="AG1144" s="12">
        <v>110</v>
      </c>
      <c r="AH1144" s="14">
        <v>1</v>
      </c>
      <c r="AI1144" s="209"/>
      <c r="AJ1144" s="3"/>
      <c r="AK1144" s="3"/>
      <c r="AL1144" s="3"/>
      <c r="AM1144" s="3"/>
      <c r="AN1144" s="3"/>
      <c r="AO1144" s="40"/>
      <c r="AP1144" s="209"/>
      <c r="AQ1144" s="3"/>
      <c r="AR1144" s="40"/>
      <c r="AS1144" s="238"/>
    </row>
    <row r="1145" spans="1:45" s="229" customFormat="1">
      <c r="A1145" s="83" t="s">
        <v>326</v>
      </c>
      <c r="B1145" s="386">
        <v>49.683999999999997</v>
      </c>
      <c r="C1145" s="229" t="s">
        <v>735</v>
      </c>
      <c r="D1145" s="229" t="s">
        <v>736</v>
      </c>
      <c r="E1145" s="229" t="s">
        <v>2</v>
      </c>
      <c r="F1145" s="229">
        <v>711</v>
      </c>
      <c r="G1145" s="40">
        <f>F1145/588</f>
        <v>1.2091836734693877</v>
      </c>
      <c r="H1145" s="14">
        <v>0</v>
      </c>
      <c r="I1145" s="229">
        <v>0</v>
      </c>
      <c r="J1145" s="229">
        <v>0</v>
      </c>
      <c r="K1145" s="26">
        <v>1</v>
      </c>
      <c r="L1145" s="14">
        <v>0</v>
      </c>
      <c r="M1145" s="229">
        <v>0</v>
      </c>
      <c r="N1145" s="229">
        <v>0</v>
      </c>
      <c r="O1145" s="229">
        <v>0</v>
      </c>
      <c r="P1145" s="26">
        <v>0</v>
      </c>
      <c r="Q1145" s="14">
        <v>8</v>
      </c>
      <c r="R1145" s="229">
        <v>0</v>
      </c>
      <c r="S1145" s="229">
        <v>0</v>
      </c>
      <c r="T1145" s="229">
        <v>0</v>
      </c>
      <c r="U1145" s="229">
        <v>0</v>
      </c>
      <c r="V1145" s="229">
        <v>36</v>
      </c>
      <c r="W1145" s="229">
        <v>164</v>
      </c>
      <c r="X1145" s="229">
        <v>0</v>
      </c>
      <c r="Y1145" s="229">
        <v>0</v>
      </c>
      <c r="Z1145" s="229">
        <v>0</v>
      </c>
      <c r="AA1145" s="229">
        <v>0</v>
      </c>
      <c r="AC1145" s="12">
        <v>2</v>
      </c>
      <c r="AD1145" s="14">
        <v>2</v>
      </c>
      <c r="AE1145" s="14">
        <v>446</v>
      </c>
      <c r="AF1145" s="26">
        <v>509</v>
      </c>
      <c r="AG1145" s="12">
        <v>110</v>
      </c>
      <c r="AH1145" s="14">
        <v>1</v>
      </c>
      <c r="AI1145" s="209"/>
      <c r="AJ1145" s="3"/>
      <c r="AK1145" s="3"/>
      <c r="AL1145" s="3"/>
      <c r="AM1145" s="3"/>
      <c r="AN1145" s="3"/>
      <c r="AO1145" s="40"/>
      <c r="AP1145" s="209"/>
      <c r="AQ1145" s="3"/>
      <c r="AR1145" s="40"/>
      <c r="AS1145" s="238"/>
    </row>
    <row r="1146" spans="1:45" s="229" customFormat="1">
      <c r="A1146" s="83" t="s">
        <v>326</v>
      </c>
      <c r="B1146" s="386">
        <v>49.683999999999997</v>
      </c>
      <c r="C1146" s="229" t="s">
        <v>735</v>
      </c>
      <c r="D1146" s="229" t="s">
        <v>724</v>
      </c>
      <c r="E1146" s="229" t="s">
        <v>0</v>
      </c>
      <c r="F1146" s="229">
        <v>334</v>
      </c>
      <c r="G1146" s="40">
        <f>F1146/228</f>
        <v>1.4649122807017543</v>
      </c>
      <c r="H1146" s="14">
        <v>0</v>
      </c>
      <c r="I1146" s="229">
        <v>0</v>
      </c>
      <c r="J1146" s="229">
        <v>0</v>
      </c>
      <c r="K1146" s="26">
        <v>1</v>
      </c>
      <c r="L1146" s="14">
        <v>0</v>
      </c>
      <c r="M1146" s="229">
        <v>0</v>
      </c>
      <c r="N1146" s="229">
        <v>1</v>
      </c>
      <c r="O1146" s="229">
        <v>0</v>
      </c>
      <c r="P1146" s="26">
        <v>1</v>
      </c>
      <c r="Q1146" s="14">
        <v>0</v>
      </c>
      <c r="R1146" s="229">
        <v>0</v>
      </c>
      <c r="S1146" s="229">
        <v>0</v>
      </c>
      <c r="T1146" s="229">
        <v>0</v>
      </c>
      <c r="U1146" s="229">
        <v>0</v>
      </c>
      <c r="V1146" s="229">
        <v>0</v>
      </c>
      <c r="W1146" s="229">
        <v>0</v>
      </c>
      <c r="X1146" s="229">
        <v>0</v>
      </c>
      <c r="Y1146" s="229">
        <v>0</v>
      </c>
      <c r="Z1146" s="229">
        <v>0</v>
      </c>
      <c r="AA1146" s="229">
        <v>0</v>
      </c>
      <c r="AC1146" s="12">
        <v>2</v>
      </c>
      <c r="AD1146" s="14">
        <v>3</v>
      </c>
      <c r="AE1146" s="14">
        <v>118</v>
      </c>
      <c r="AF1146" s="26">
        <v>228</v>
      </c>
      <c r="AG1146" s="12">
        <v>92</v>
      </c>
      <c r="AH1146" s="14">
        <v>1</v>
      </c>
      <c r="AI1146" s="209"/>
      <c r="AJ1146" s="3"/>
      <c r="AK1146" s="3"/>
      <c r="AL1146" s="3"/>
      <c r="AM1146" s="3"/>
      <c r="AN1146" s="3"/>
      <c r="AO1146" s="40"/>
      <c r="AP1146" s="209"/>
      <c r="AQ1146" s="3"/>
      <c r="AR1146" s="40"/>
      <c r="AS1146" s="238"/>
    </row>
    <row r="1147" spans="1:45" s="229" customFormat="1">
      <c r="A1147" s="83" t="s">
        <v>326</v>
      </c>
      <c r="B1147" s="386">
        <v>49.683999999999997</v>
      </c>
      <c r="C1147" s="229" t="s">
        <v>735</v>
      </c>
      <c r="D1147" s="229" t="s">
        <v>724</v>
      </c>
      <c r="E1147" s="229" t="s">
        <v>1</v>
      </c>
      <c r="F1147" s="229">
        <v>221</v>
      </c>
      <c r="G1147" s="40">
        <f>F1147/178</f>
        <v>1.2415730337078652</v>
      </c>
      <c r="H1147" s="14">
        <v>0</v>
      </c>
      <c r="I1147" s="229">
        <v>0</v>
      </c>
      <c r="J1147" s="229">
        <v>1</v>
      </c>
      <c r="K1147" s="26">
        <v>0</v>
      </c>
      <c r="L1147" s="14">
        <v>0</v>
      </c>
      <c r="M1147" s="229">
        <v>0</v>
      </c>
      <c r="N1147" s="229">
        <v>0</v>
      </c>
      <c r="O1147" s="229">
        <v>0</v>
      </c>
      <c r="P1147" s="26">
        <v>0</v>
      </c>
      <c r="Q1147" s="14">
        <v>1</v>
      </c>
      <c r="R1147" s="229">
        <v>0</v>
      </c>
      <c r="S1147" s="229">
        <v>9</v>
      </c>
      <c r="T1147" s="229">
        <v>0</v>
      </c>
      <c r="U1147" s="229">
        <v>0</v>
      </c>
      <c r="V1147" s="229">
        <v>0</v>
      </c>
      <c r="W1147" s="229">
        <v>0</v>
      </c>
      <c r="X1147" s="229">
        <v>0</v>
      </c>
      <c r="Y1147" s="229">
        <v>0</v>
      </c>
      <c r="Z1147" s="229">
        <v>0</v>
      </c>
      <c r="AA1147" s="229">
        <v>0</v>
      </c>
      <c r="AC1147" s="12">
        <v>1</v>
      </c>
      <c r="AD1147" s="14">
        <v>1</v>
      </c>
      <c r="AE1147" s="14">
        <v>0</v>
      </c>
      <c r="AF1147" s="26">
        <v>0</v>
      </c>
      <c r="AG1147" s="12">
        <v>92</v>
      </c>
      <c r="AH1147" s="14">
        <v>0</v>
      </c>
      <c r="AI1147" s="209"/>
      <c r="AJ1147" s="3"/>
      <c r="AK1147" s="3"/>
      <c r="AL1147" s="3"/>
      <c r="AM1147" s="3"/>
      <c r="AN1147" s="3"/>
      <c r="AO1147" s="40"/>
      <c r="AP1147" s="209"/>
      <c r="AQ1147" s="3"/>
      <c r="AR1147" s="40"/>
      <c r="AS1147" s="238"/>
    </row>
    <row r="1148" spans="1:45" s="229" customFormat="1">
      <c r="A1148" s="83" t="s">
        <v>326</v>
      </c>
      <c r="B1148" s="386">
        <v>49.683999999999997</v>
      </c>
      <c r="C1148" s="229" t="s">
        <v>735</v>
      </c>
      <c r="D1148" s="229" t="s">
        <v>724</v>
      </c>
      <c r="E1148" s="229" t="s">
        <v>2</v>
      </c>
      <c r="F1148" s="229">
        <v>746</v>
      </c>
      <c r="G1148" s="40">
        <f>F1148/581</f>
        <v>1.2839931153184165</v>
      </c>
      <c r="H1148" s="14">
        <v>0</v>
      </c>
      <c r="I1148" s="229">
        <v>1</v>
      </c>
      <c r="J1148" s="229">
        <v>0</v>
      </c>
      <c r="K1148" s="26">
        <v>0</v>
      </c>
      <c r="L1148" s="14">
        <v>0</v>
      </c>
      <c r="M1148" s="229">
        <v>0</v>
      </c>
      <c r="N1148" s="229">
        <v>1</v>
      </c>
      <c r="O1148" s="229">
        <v>0</v>
      </c>
      <c r="P1148" s="26">
        <v>1</v>
      </c>
      <c r="Q1148" s="14">
        <v>5</v>
      </c>
      <c r="R1148" s="229">
        <v>24</v>
      </c>
      <c r="S1148" s="229">
        <v>45</v>
      </c>
      <c r="T1148" s="229">
        <v>0</v>
      </c>
      <c r="U1148" s="229">
        <v>0</v>
      </c>
      <c r="V1148" s="229">
        <v>0</v>
      </c>
      <c r="W1148" s="229">
        <v>0</v>
      </c>
      <c r="X1148" s="229">
        <v>0</v>
      </c>
      <c r="Y1148" s="229">
        <v>0</v>
      </c>
      <c r="Z1148" s="229">
        <v>88</v>
      </c>
      <c r="AA1148" s="229">
        <v>118</v>
      </c>
      <c r="AC1148" s="12">
        <v>1</v>
      </c>
      <c r="AD1148" s="14">
        <v>1</v>
      </c>
      <c r="AE1148" s="14">
        <v>0</v>
      </c>
      <c r="AF1148" s="26">
        <v>0</v>
      </c>
      <c r="AG1148" s="12">
        <v>92</v>
      </c>
      <c r="AH1148" s="14">
        <v>1</v>
      </c>
      <c r="AI1148" s="209"/>
      <c r="AJ1148" s="3"/>
      <c r="AK1148" s="3"/>
      <c r="AL1148" s="3"/>
      <c r="AM1148" s="3"/>
      <c r="AN1148" s="3"/>
      <c r="AO1148" s="40"/>
      <c r="AP1148" s="209"/>
      <c r="AQ1148" s="3"/>
      <c r="AR1148" s="40"/>
      <c r="AS1148" s="238"/>
    </row>
    <row r="1149" spans="1:45" s="229" customFormat="1">
      <c r="A1149" s="83" t="s">
        <v>326</v>
      </c>
      <c r="B1149" s="386">
        <v>49.683999999999997</v>
      </c>
      <c r="C1149" s="229" t="s">
        <v>735</v>
      </c>
      <c r="D1149" s="229" t="s">
        <v>724</v>
      </c>
      <c r="E1149" s="229" t="s">
        <v>3</v>
      </c>
      <c r="F1149" s="229">
        <v>185</v>
      </c>
      <c r="G1149" s="40">
        <f>F1149/148</f>
        <v>1.25</v>
      </c>
      <c r="H1149" s="14">
        <v>0</v>
      </c>
      <c r="I1149" s="229">
        <v>0</v>
      </c>
      <c r="J1149" s="229">
        <v>0</v>
      </c>
      <c r="K1149" s="26">
        <v>1</v>
      </c>
      <c r="L1149" s="14">
        <v>0</v>
      </c>
      <c r="M1149" s="229">
        <v>0</v>
      </c>
      <c r="N1149" s="229">
        <v>1</v>
      </c>
      <c r="O1149" s="229">
        <v>0</v>
      </c>
      <c r="P1149" s="26">
        <v>1</v>
      </c>
      <c r="Q1149" s="14">
        <v>0</v>
      </c>
      <c r="R1149" s="229">
        <v>0</v>
      </c>
      <c r="S1149" s="229">
        <v>0</v>
      </c>
      <c r="T1149" s="229">
        <v>0</v>
      </c>
      <c r="U1149" s="229">
        <v>0</v>
      </c>
      <c r="V1149" s="229">
        <v>0</v>
      </c>
      <c r="W1149" s="229">
        <v>0</v>
      </c>
      <c r="X1149" s="229">
        <v>0</v>
      </c>
      <c r="Y1149" s="229">
        <v>0</v>
      </c>
      <c r="Z1149" s="229">
        <v>0</v>
      </c>
      <c r="AA1149" s="229">
        <v>0</v>
      </c>
      <c r="AC1149" s="12">
        <v>1</v>
      </c>
      <c r="AD1149" s="14">
        <v>1</v>
      </c>
      <c r="AE1149" s="14">
        <v>0</v>
      </c>
      <c r="AF1149" s="26">
        <v>0</v>
      </c>
      <c r="AG1149" s="12">
        <v>92</v>
      </c>
      <c r="AH1149" s="14">
        <v>1</v>
      </c>
      <c r="AI1149" s="209"/>
      <c r="AJ1149" s="3"/>
      <c r="AK1149" s="3"/>
      <c r="AL1149" s="3"/>
      <c r="AM1149" s="3"/>
      <c r="AN1149" s="3"/>
      <c r="AO1149" s="40"/>
      <c r="AP1149" s="209"/>
      <c r="AQ1149" s="3"/>
      <c r="AR1149" s="40"/>
      <c r="AS1149" s="238"/>
    </row>
    <row r="1150" spans="1:45" s="229" customFormat="1">
      <c r="A1150" s="83" t="s">
        <v>326</v>
      </c>
      <c r="B1150" s="386">
        <v>49.683999999999997</v>
      </c>
      <c r="C1150" s="229" t="s">
        <v>735</v>
      </c>
      <c r="D1150" s="229" t="s">
        <v>725</v>
      </c>
      <c r="E1150" s="229" t="s">
        <v>0</v>
      </c>
      <c r="F1150" s="229">
        <v>338</v>
      </c>
      <c r="G1150" s="40">
        <f>F1150/298</f>
        <v>1.1342281879194631</v>
      </c>
      <c r="H1150" s="14">
        <v>1</v>
      </c>
      <c r="I1150" s="229">
        <v>0</v>
      </c>
      <c r="J1150" s="229">
        <v>0</v>
      </c>
      <c r="K1150" s="26">
        <v>0</v>
      </c>
      <c r="L1150" s="14">
        <v>0</v>
      </c>
      <c r="M1150" s="229">
        <v>0</v>
      </c>
      <c r="N1150" s="229">
        <v>1</v>
      </c>
      <c r="O1150" s="229">
        <v>0</v>
      </c>
      <c r="P1150" s="26">
        <v>1</v>
      </c>
      <c r="Q1150" s="14">
        <v>0</v>
      </c>
      <c r="R1150" s="229">
        <v>0</v>
      </c>
      <c r="S1150" s="229">
        <v>0</v>
      </c>
      <c r="T1150" s="229">
        <v>0</v>
      </c>
      <c r="U1150" s="229">
        <v>0</v>
      </c>
      <c r="V1150" s="229">
        <v>0</v>
      </c>
      <c r="W1150" s="229">
        <v>0</v>
      </c>
      <c r="X1150" s="229">
        <v>0</v>
      </c>
      <c r="Y1150" s="229">
        <v>0</v>
      </c>
      <c r="Z1150" s="229">
        <v>0</v>
      </c>
      <c r="AA1150" s="229">
        <v>0</v>
      </c>
      <c r="AC1150" s="12">
        <v>1</v>
      </c>
      <c r="AD1150" s="14">
        <v>1</v>
      </c>
      <c r="AE1150" s="14">
        <v>0</v>
      </c>
      <c r="AF1150" s="26">
        <v>0</v>
      </c>
      <c r="AG1150" s="12">
        <v>77</v>
      </c>
      <c r="AH1150" s="14">
        <v>1</v>
      </c>
      <c r="AI1150" s="209"/>
      <c r="AJ1150" s="3"/>
      <c r="AK1150" s="3"/>
      <c r="AL1150" s="3"/>
      <c r="AM1150" s="3"/>
      <c r="AN1150" s="3"/>
      <c r="AO1150" s="40"/>
      <c r="AP1150" s="209"/>
      <c r="AQ1150" s="3"/>
      <c r="AR1150" s="40"/>
      <c r="AS1150" s="238"/>
    </row>
    <row r="1151" spans="1:45" s="229" customFormat="1">
      <c r="A1151" s="83" t="s">
        <v>326</v>
      </c>
      <c r="B1151" s="386">
        <v>49.683999999999997</v>
      </c>
      <c r="C1151" s="229" t="s">
        <v>735</v>
      </c>
      <c r="D1151" s="229" t="s">
        <v>725</v>
      </c>
      <c r="E1151" s="229" t="s">
        <v>1</v>
      </c>
      <c r="F1151" s="229">
        <v>208</v>
      </c>
      <c r="G1151" s="40">
        <f>F1151/127</f>
        <v>1.6377952755905512</v>
      </c>
      <c r="H1151" s="14">
        <v>0</v>
      </c>
      <c r="I1151" s="229">
        <v>0</v>
      </c>
      <c r="J1151" s="229">
        <v>0</v>
      </c>
      <c r="K1151" s="26">
        <v>1</v>
      </c>
      <c r="L1151" s="14">
        <v>0</v>
      </c>
      <c r="M1151" s="229">
        <v>0</v>
      </c>
      <c r="N1151" s="229">
        <v>0</v>
      </c>
      <c r="O1151" s="229">
        <v>0</v>
      </c>
      <c r="P1151" s="26">
        <v>0</v>
      </c>
      <c r="Q1151" s="14">
        <v>0</v>
      </c>
      <c r="R1151" s="229">
        <v>0</v>
      </c>
      <c r="S1151" s="229">
        <v>0</v>
      </c>
      <c r="T1151" s="229">
        <v>0</v>
      </c>
      <c r="U1151" s="229">
        <v>0</v>
      </c>
      <c r="V1151" s="229">
        <v>0</v>
      </c>
      <c r="W1151" s="229">
        <v>0</v>
      </c>
      <c r="X1151" s="229">
        <v>0</v>
      </c>
      <c r="Y1151" s="229">
        <v>0</v>
      </c>
      <c r="Z1151" s="229">
        <v>0</v>
      </c>
      <c r="AA1151" s="229">
        <v>0</v>
      </c>
      <c r="AC1151" s="12">
        <v>1</v>
      </c>
      <c r="AD1151" s="14">
        <v>1</v>
      </c>
      <c r="AE1151" s="14">
        <v>0</v>
      </c>
      <c r="AF1151" s="26">
        <v>0</v>
      </c>
      <c r="AG1151" s="12">
        <v>77</v>
      </c>
      <c r="AH1151" s="14">
        <v>1</v>
      </c>
      <c r="AI1151" s="209"/>
      <c r="AJ1151" s="3"/>
      <c r="AK1151" s="3"/>
      <c r="AL1151" s="3"/>
      <c r="AM1151" s="3"/>
      <c r="AN1151" s="3"/>
      <c r="AO1151" s="40"/>
      <c r="AP1151" s="209"/>
      <c r="AQ1151" s="3"/>
      <c r="AR1151" s="40"/>
      <c r="AS1151" s="238"/>
    </row>
    <row r="1152" spans="1:45" s="229" customFormat="1">
      <c r="A1152" s="83" t="s">
        <v>326</v>
      </c>
      <c r="B1152" s="386">
        <v>49.683999999999997</v>
      </c>
      <c r="C1152" s="229" t="s">
        <v>735</v>
      </c>
      <c r="D1152" s="229" t="s">
        <v>737</v>
      </c>
      <c r="E1152" s="229" t="s">
        <v>0</v>
      </c>
      <c r="F1152" s="229">
        <v>340</v>
      </c>
      <c r="G1152" s="40">
        <f>F1152/268</f>
        <v>1.2686567164179106</v>
      </c>
      <c r="H1152" s="14">
        <v>1</v>
      </c>
      <c r="I1152" s="229">
        <v>0</v>
      </c>
      <c r="J1152" s="229">
        <v>0</v>
      </c>
      <c r="K1152" s="26">
        <v>1</v>
      </c>
      <c r="L1152" s="14">
        <v>0</v>
      </c>
      <c r="M1152" s="229">
        <v>0</v>
      </c>
      <c r="N1152" s="229">
        <v>1</v>
      </c>
      <c r="O1152" s="229">
        <v>0</v>
      </c>
      <c r="P1152" s="26">
        <v>1</v>
      </c>
      <c r="Q1152" s="14">
        <v>1</v>
      </c>
      <c r="R1152" s="229">
        <v>0</v>
      </c>
      <c r="S1152" s="229">
        <v>8</v>
      </c>
      <c r="T1152" s="229">
        <v>0</v>
      </c>
      <c r="U1152" s="229">
        <v>0</v>
      </c>
      <c r="V1152" s="229">
        <v>0</v>
      </c>
      <c r="W1152" s="229">
        <v>0</v>
      </c>
      <c r="X1152" s="229">
        <v>0</v>
      </c>
      <c r="Y1152" s="229">
        <v>0</v>
      </c>
      <c r="Z1152" s="229">
        <v>0</v>
      </c>
      <c r="AA1152" s="229">
        <v>0</v>
      </c>
      <c r="AC1152" s="12">
        <v>2</v>
      </c>
      <c r="AD1152" s="14">
        <v>3</v>
      </c>
      <c r="AE1152" s="14">
        <v>112</v>
      </c>
      <c r="AF1152" s="26">
        <v>268</v>
      </c>
      <c r="AG1152" s="12">
        <v>87</v>
      </c>
      <c r="AH1152" s="14">
        <v>1</v>
      </c>
      <c r="AI1152" s="209"/>
      <c r="AJ1152" s="3"/>
      <c r="AK1152" s="3"/>
      <c r="AL1152" s="3"/>
      <c r="AM1152" s="3"/>
      <c r="AN1152" s="3"/>
      <c r="AO1152" s="40"/>
      <c r="AP1152" s="209"/>
      <c r="AQ1152" s="3"/>
      <c r="AR1152" s="40"/>
      <c r="AS1152" s="238"/>
    </row>
    <row r="1153" spans="1:45" s="229" customFormat="1">
      <c r="A1153" s="83" t="s">
        <v>326</v>
      </c>
      <c r="B1153" s="386">
        <v>49.683999999999997</v>
      </c>
      <c r="C1153" s="229" t="s">
        <v>735</v>
      </c>
      <c r="D1153" s="229" t="s">
        <v>737</v>
      </c>
      <c r="E1153" s="229" t="s">
        <v>1</v>
      </c>
      <c r="F1153" s="229">
        <v>265</v>
      </c>
      <c r="G1153" s="40">
        <f>F1153/168</f>
        <v>1.5773809523809523</v>
      </c>
      <c r="H1153" s="14">
        <v>0</v>
      </c>
      <c r="I1153" s="229">
        <v>0</v>
      </c>
      <c r="J1153" s="229">
        <v>0</v>
      </c>
      <c r="K1153" s="26">
        <v>1</v>
      </c>
      <c r="L1153" s="14">
        <v>0</v>
      </c>
      <c r="M1153" s="229">
        <v>0</v>
      </c>
      <c r="N1153" s="229">
        <v>1</v>
      </c>
      <c r="O1153" s="229">
        <v>0</v>
      </c>
      <c r="P1153" s="26">
        <v>1</v>
      </c>
      <c r="Q1153" s="14">
        <v>2</v>
      </c>
      <c r="R1153" s="229">
        <v>2</v>
      </c>
      <c r="S1153" s="229">
        <v>16</v>
      </c>
      <c r="T1153" s="229">
        <v>0</v>
      </c>
      <c r="U1153" s="229">
        <v>0</v>
      </c>
      <c r="V1153" s="229">
        <v>0</v>
      </c>
      <c r="W1153" s="229">
        <v>0</v>
      </c>
      <c r="X1153" s="229">
        <v>0</v>
      </c>
      <c r="Y1153" s="229">
        <v>0</v>
      </c>
      <c r="Z1153" s="229">
        <v>0</v>
      </c>
      <c r="AA1153" s="229">
        <v>0</v>
      </c>
      <c r="AC1153" s="12">
        <v>2</v>
      </c>
      <c r="AD1153" s="14">
        <v>2</v>
      </c>
      <c r="AE1153" s="14">
        <v>143</v>
      </c>
      <c r="AF1153" s="26">
        <v>168</v>
      </c>
      <c r="AG1153" s="12">
        <v>87</v>
      </c>
      <c r="AH1153" s="14">
        <v>1</v>
      </c>
      <c r="AI1153" s="209"/>
      <c r="AJ1153" s="3"/>
      <c r="AK1153" s="3"/>
      <c r="AL1153" s="3"/>
      <c r="AM1153" s="3"/>
      <c r="AN1153" s="3"/>
      <c r="AO1153" s="40"/>
      <c r="AP1153" s="209"/>
      <c r="AQ1153" s="3"/>
      <c r="AR1153" s="40"/>
      <c r="AS1153" s="238"/>
    </row>
    <row r="1154" spans="1:45" s="229" customFormat="1">
      <c r="A1154" s="83" t="s">
        <v>326</v>
      </c>
      <c r="B1154" s="386">
        <v>49.683999999999997</v>
      </c>
      <c r="C1154" s="229" t="s">
        <v>735</v>
      </c>
      <c r="D1154" s="229" t="s">
        <v>726</v>
      </c>
      <c r="E1154" s="229" t="s">
        <v>0</v>
      </c>
      <c r="F1154" s="229">
        <v>586</v>
      </c>
      <c r="G1154" s="40">
        <f>F1154/287</f>
        <v>2.0418118466898956</v>
      </c>
      <c r="H1154" s="14">
        <v>0</v>
      </c>
      <c r="I1154" s="229">
        <v>0</v>
      </c>
      <c r="J1154" s="229">
        <v>1</v>
      </c>
      <c r="K1154" s="26">
        <v>0</v>
      </c>
      <c r="L1154" s="14">
        <v>0</v>
      </c>
      <c r="M1154" s="229">
        <v>0</v>
      </c>
      <c r="N1154" s="229">
        <v>1</v>
      </c>
      <c r="O1154" s="229">
        <v>0</v>
      </c>
      <c r="P1154" s="26">
        <v>1</v>
      </c>
      <c r="Q1154" s="14">
        <v>0</v>
      </c>
      <c r="R1154" s="229">
        <v>0</v>
      </c>
      <c r="S1154" s="229">
        <v>0</v>
      </c>
      <c r="T1154" s="229">
        <v>0</v>
      </c>
      <c r="U1154" s="229">
        <v>0</v>
      </c>
      <c r="V1154" s="229">
        <v>0</v>
      </c>
      <c r="W1154" s="229">
        <v>0</v>
      </c>
      <c r="X1154" s="229">
        <v>0</v>
      </c>
      <c r="Y1154" s="229">
        <v>0</v>
      </c>
      <c r="Z1154" s="229">
        <v>0</v>
      </c>
      <c r="AA1154" s="229">
        <v>0</v>
      </c>
      <c r="AC1154" s="12">
        <v>1</v>
      </c>
      <c r="AD1154" s="14">
        <v>1</v>
      </c>
      <c r="AE1154" s="14">
        <v>0</v>
      </c>
      <c r="AF1154" s="26">
        <v>0</v>
      </c>
      <c r="AG1154" s="12">
        <v>82</v>
      </c>
      <c r="AH1154" s="14">
        <v>0</v>
      </c>
      <c r="AI1154" s="209"/>
      <c r="AJ1154" s="3"/>
      <c r="AK1154" s="3"/>
      <c r="AL1154" s="3"/>
      <c r="AM1154" s="3"/>
      <c r="AN1154" s="3"/>
      <c r="AO1154" s="40"/>
      <c r="AP1154" s="209"/>
      <c r="AQ1154" s="3"/>
      <c r="AR1154" s="40"/>
      <c r="AS1154" s="238"/>
    </row>
    <row r="1155" spans="1:45" s="229" customFormat="1">
      <c r="A1155" s="83" t="s">
        <v>326</v>
      </c>
      <c r="B1155" s="386">
        <v>49.683999999999997</v>
      </c>
      <c r="C1155" s="229" t="s">
        <v>735</v>
      </c>
      <c r="D1155" s="229" t="s">
        <v>726</v>
      </c>
      <c r="E1155" s="229" t="s">
        <v>1</v>
      </c>
      <c r="F1155" s="229">
        <v>457</v>
      </c>
      <c r="G1155" s="40">
        <f>F1155/256</f>
        <v>1.78515625</v>
      </c>
      <c r="H1155" s="14">
        <v>0</v>
      </c>
      <c r="I1155" s="229">
        <v>1</v>
      </c>
      <c r="J1155" s="229">
        <v>0</v>
      </c>
      <c r="K1155" s="26">
        <v>0</v>
      </c>
      <c r="L1155" s="14">
        <v>0</v>
      </c>
      <c r="M1155" s="229">
        <v>0</v>
      </c>
      <c r="N1155" s="229">
        <v>0</v>
      </c>
      <c r="O1155" s="229">
        <v>0</v>
      </c>
      <c r="P1155" s="26">
        <v>0</v>
      </c>
      <c r="Q1155" s="14">
        <v>0</v>
      </c>
      <c r="R1155" s="229">
        <v>0</v>
      </c>
      <c r="S1155" s="229">
        <v>0</v>
      </c>
      <c r="T1155" s="229">
        <v>0</v>
      </c>
      <c r="U1155" s="229">
        <v>0</v>
      </c>
      <c r="V1155" s="229">
        <v>0</v>
      </c>
      <c r="W1155" s="229">
        <v>0</v>
      </c>
      <c r="X1155" s="229">
        <v>0</v>
      </c>
      <c r="Y1155" s="229">
        <v>0</v>
      </c>
      <c r="Z1155" s="229">
        <v>0</v>
      </c>
      <c r="AA1155" s="229">
        <v>0</v>
      </c>
      <c r="AC1155" s="12">
        <v>1</v>
      </c>
      <c r="AD1155" s="14">
        <v>1</v>
      </c>
      <c r="AE1155" s="14">
        <v>0</v>
      </c>
      <c r="AF1155" s="26">
        <v>0</v>
      </c>
      <c r="AG1155" s="12">
        <v>82</v>
      </c>
      <c r="AH1155" s="14">
        <v>1</v>
      </c>
      <c r="AI1155" s="209"/>
      <c r="AJ1155" s="3"/>
      <c r="AK1155" s="3"/>
      <c r="AL1155" s="3"/>
      <c r="AM1155" s="3"/>
      <c r="AN1155" s="3"/>
      <c r="AO1155" s="40"/>
      <c r="AP1155" s="209"/>
      <c r="AQ1155" s="3"/>
      <c r="AR1155" s="40"/>
      <c r="AS1155" s="238"/>
    </row>
    <row r="1156" spans="1:45" s="229" customFormat="1">
      <c r="A1156" s="83" t="s">
        <v>326</v>
      </c>
      <c r="B1156" s="386">
        <v>49.683999999999997</v>
      </c>
      <c r="C1156" s="229" t="s">
        <v>735</v>
      </c>
      <c r="D1156" s="229" t="s">
        <v>738</v>
      </c>
      <c r="F1156" s="229">
        <v>584</v>
      </c>
      <c r="G1156" s="40">
        <f>F1156/351</f>
        <v>1.6638176638176638</v>
      </c>
      <c r="H1156" s="14">
        <v>1</v>
      </c>
      <c r="I1156" s="229">
        <v>0</v>
      </c>
      <c r="J1156" s="229">
        <v>0</v>
      </c>
      <c r="K1156" s="26">
        <v>1</v>
      </c>
      <c r="L1156" s="14">
        <v>0</v>
      </c>
      <c r="M1156" s="229">
        <v>0</v>
      </c>
      <c r="N1156" s="229">
        <v>1</v>
      </c>
      <c r="O1156" s="229">
        <v>0</v>
      </c>
      <c r="P1156" s="26">
        <v>1</v>
      </c>
      <c r="Q1156" s="14">
        <v>2</v>
      </c>
      <c r="R1156" s="229">
        <v>0</v>
      </c>
      <c r="S1156" s="229">
        <v>0</v>
      </c>
      <c r="T1156" s="229">
        <v>0</v>
      </c>
      <c r="U1156" s="229">
        <v>0</v>
      </c>
      <c r="V1156" s="229">
        <v>0</v>
      </c>
      <c r="W1156" s="229">
        <v>27</v>
      </c>
      <c r="X1156" s="229">
        <v>0</v>
      </c>
      <c r="Y1156" s="229">
        <v>0</v>
      </c>
      <c r="Z1156" s="229">
        <v>0</v>
      </c>
      <c r="AA1156" s="229">
        <v>0</v>
      </c>
      <c r="AC1156" s="12">
        <v>2</v>
      </c>
      <c r="AD1156" s="14">
        <v>2</v>
      </c>
      <c r="AE1156" s="14">
        <v>187</v>
      </c>
      <c r="AF1156" s="26">
        <v>584</v>
      </c>
      <c r="AG1156" s="12">
        <v>86</v>
      </c>
      <c r="AH1156" s="14">
        <v>1</v>
      </c>
      <c r="AI1156" s="209">
        <v>88.526841251586646</v>
      </c>
      <c r="AJ1156" s="3"/>
      <c r="AK1156" s="3"/>
      <c r="AL1156" s="3"/>
      <c r="AM1156" s="3"/>
      <c r="AN1156" s="3"/>
      <c r="AO1156" s="40"/>
      <c r="AP1156" s="209">
        <v>88.517619822991946</v>
      </c>
      <c r="AQ1156" s="3"/>
      <c r="AR1156" s="40"/>
      <c r="AS1156" s="238"/>
    </row>
    <row r="1157" spans="1:45" s="229" customFormat="1">
      <c r="A1157" s="83" t="s">
        <v>326</v>
      </c>
      <c r="B1157" s="386">
        <v>49.683999999999997</v>
      </c>
      <c r="C1157" s="229" t="s">
        <v>735</v>
      </c>
      <c r="D1157" s="229" t="s">
        <v>739</v>
      </c>
      <c r="F1157" s="229">
        <v>864</v>
      </c>
      <c r="G1157" s="40">
        <f>F1157/335</f>
        <v>2.5791044776119403</v>
      </c>
      <c r="H1157" s="14">
        <v>1</v>
      </c>
      <c r="I1157" s="229">
        <v>1</v>
      </c>
      <c r="J1157" s="229">
        <v>0</v>
      </c>
      <c r="K1157" s="26">
        <v>1</v>
      </c>
      <c r="L1157" s="14">
        <v>0</v>
      </c>
      <c r="M1157" s="229">
        <v>0</v>
      </c>
      <c r="N1157" s="229">
        <v>0</v>
      </c>
      <c r="O1157" s="229">
        <v>0</v>
      </c>
      <c r="P1157" s="26">
        <v>0</v>
      </c>
      <c r="Q1157" s="14">
        <v>2</v>
      </c>
      <c r="R1157" s="229">
        <v>0</v>
      </c>
      <c r="S1157" s="229">
        <v>0</v>
      </c>
      <c r="T1157" s="229">
        <v>0</v>
      </c>
      <c r="U1157" s="229">
        <v>0</v>
      </c>
      <c r="V1157" s="229">
        <v>17</v>
      </c>
      <c r="W1157" s="229">
        <v>74</v>
      </c>
      <c r="X1157" s="229">
        <v>0</v>
      </c>
      <c r="Y1157" s="229">
        <v>0</v>
      </c>
      <c r="Z1157" s="229">
        <v>0</v>
      </c>
      <c r="AA1157" s="229">
        <v>0</v>
      </c>
      <c r="AC1157" s="12">
        <v>2</v>
      </c>
      <c r="AD1157" s="14">
        <v>7</v>
      </c>
      <c r="AE1157" s="14">
        <v>22</v>
      </c>
      <c r="AF1157" s="26">
        <v>468</v>
      </c>
      <c r="AG1157" s="12">
        <v>61</v>
      </c>
      <c r="AH1157" s="14">
        <v>1</v>
      </c>
      <c r="AI1157" s="209"/>
      <c r="AJ1157" s="3"/>
      <c r="AK1157" s="3"/>
      <c r="AL1157" s="3"/>
      <c r="AM1157" s="3"/>
      <c r="AN1157" s="3"/>
      <c r="AO1157" s="40"/>
      <c r="AP1157" s="209"/>
      <c r="AQ1157" s="3"/>
      <c r="AR1157" s="40"/>
      <c r="AS1157" s="238"/>
    </row>
    <row r="1158" spans="1:45" s="229" customFormat="1">
      <c r="A1158" s="83" t="s">
        <v>326</v>
      </c>
      <c r="B1158" s="386">
        <v>49.683999999999997</v>
      </c>
      <c r="C1158" s="229" t="s">
        <v>735</v>
      </c>
      <c r="D1158" s="229" t="s">
        <v>727</v>
      </c>
      <c r="E1158" s="229" t="s">
        <v>0</v>
      </c>
      <c r="F1158" s="229">
        <v>157</v>
      </c>
      <c r="G1158" s="40">
        <f>F1158/76</f>
        <v>2.0657894736842106</v>
      </c>
      <c r="H1158" s="14">
        <v>0</v>
      </c>
      <c r="I1158" s="229">
        <v>1</v>
      </c>
      <c r="J1158" s="229">
        <v>0</v>
      </c>
      <c r="K1158" s="26">
        <v>0</v>
      </c>
      <c r="L1158" s="14">
        <v>0</v>
      </c>
      <c r="M1158" s="229">
        <v>0</v>
      </c>
      <c r="N1158" s="229">
        <v>0</v>
      </c>
      <c r="O1158" s="229">
        <v>0</v>
      </c>
      <c r="P1158" s="26">
        <v>0</v>
      </c>
      <c r="Q1158" s="14">
        <v>0</v>
      </c>
      <c r="R1158" s="229">
        <v>0</v>
      </c>
      <c r="S1158" s="229">
        <v>0</v>
      </c>
      <c r="T1158" s="229">
        <v>0</v>
      </c>
      <c r="U1158" s="229">
        <v>0</v>
      </c>
      <c r="V1158" s="229">
        <v>0</v>
      </c>
      <c r="W1158" s="229">
        <v>0</v>
      </c>
      <c r="X1158" s="229">
        <v>0</v>
      </c>
      <c r="Y1158" s="229">
        <v>0</v>
      </c>
      <c r="Z1158" s="229">
        <v>0</v>
      </c>
      <c r="AA1158" s="229">
        <v>0</v>
      </c>
      <c r="AC1158" s="12">
        <v>1</v>
      </c>
      <c r="AD1158" s="14">
        <v>1</v>
      </c>
      <c r="AE1158" s="14">
        <v>0</v>
      </c>
      <c r="AF1158" s="26">
        <v>0</v>
      </c>
      <c r="AG1158" s="12">
        <v>75</v>
      </c>
      <c r="AH1158" s="14">
        <v>0</v>
      </c>
      <c r="AI1158" s="209"/>
      <c r="AJ1158" s="3"/>
      <c r="AK1158" s="3"/>
      <c r="AL1158" s="3"/>
      <c r="AM1158" s="3"/>
      <c r="AN1158" s="3"/>
      <c r="AO1158" s="40"/>
      <c r="AP1158" s="209"/>
      <c r="AQ1158" s="3"/>
      <c r="AR1158" s="40"/>
      <c r="AS1158" s="238"/>
    </row>
    <row r="1159" spans="1:45" s="229" customFormat="1">
      <c r="A1159" s="83" t="s">
        <v>326</v>
      </c>
      <c r="B1159" s="386">
        <v>49.683999999999997</v>
      </c>
      <c r="C1159" s="229" t="s">
        <v>735</v>
      </c>
      <c r="D1159" s="229" t="s">
        <v>727</v>
      </c>
      <c r="E1159" s="229" t="s">
        <v>1</v>
      </c>
      <c r="F1159" s="229">
        <v>802</v>
      </c>
      <c r="G1159" s="40">
        <f>F1159/443</f>
        <v>1.8103837471783295</v>
      </c>
      <c r="H1159" s="14">
        <v>0</v>
      </c>
      <c r="I1159" s="229">
        <v>0</v>
      </c>
      <c r="J1159" s="229">
        <v>0</v>
      </c>
      <c r="K1159" s="26">
        <v>1</v>
      </c>
      <c r="L1159" s="14">
        <v>0</v>
      </c>
      <c r="M1159" s="229">
        <v>0</v>
      </c>
      <c r="N1159" s="229">
        <v>0</v>
      </c>
      <c r="O1159" s="229">
        <v>0</v>
      </c>
      <c r="P1159" s="26">
        <v>0</v>
      </c>
      <c r="Q1159" s="14">
        <v>0</v>
      </c>
      <c r="R1159" s="229">
        <v>0</v>
      </c>
      <c r="S1159" s="229">
        <v>0</v>
      </c>
      <c r="T1159" s="229">
        <v>0</v>
      </c>
      <c r="U1159" s="229">
        <v>0</v>
      </c>
      <c r="V1159" s="229">
        <v>0</v>
      </c>
      <c r="W1159" s="229">
        <v>0</v>
      </c>
      <c r="X1159" s="229">
        <v>0</v>
      </c>
      <c r="Y1159" s="229">
        <v>0</v>
      </c>
      <c r="Z1159" s="229">
        <v>0</v>
      </c>
      <c r="AA1159" s="229">
        <v>0</v>
      </c>
      <c r="AC1159" s="12">
        <v>2</v>
      </c>
      <c r="AD1159" s="14">
        <v>10</v>
      </c>
      <c r="AE1159" s="14">
        <v>78</v>
      </c>
      <c r="AF1159" s="26">
        <v>304</v>
      </c>
      <c r="AG1159" s="12">
        <v>75</v>
      </c>
      <c r="AH1159" s="14">
        <v>1</v>
      </c>
      <c r="AI1159" s="209"/>
      <c r="AJ1159" s="3"/>
      <c r="AK1159" s="3"/>
      <c r="AL1159" s="3"/>
      <c r="AM1159" s="3"/>
      <c r="AN1159" s="3"/>
      <c r="AO1159" s="40"/>
      <c r="AP1159" s="209"/>
      <c r="AQ1159" s="3"/>
      <c r="AR1159" s="40"/>
      <c r="AS1159" s="238"/>
    </row>
    <row r="1160" spans="1:45" s="229" customFormat="1">
      <c r="A1160" s="83" t="s">
        <v>326</v>
      </c>
      <c r="B1160" s="386">
        <v>49.683999999999997</v>
      </c>
      <c r="C1160" s="229" t="s">
        <v>735</v>
      </c>
      <c r="D1160" s="229" t="s">
        <v>740</v>
      </c>
      <c r="E1160" s="229" t="s">
        <v>0</v>
      </c>
      <c r="F1160" s="229">
        <v>397</v>
      </c>
      <c r="G1160" s="40">
        <f>F1160/255</f>
        <v>1.5568627450980392</v>
      </c>
      <c r="H1160" s="14">
        <v>0</v>
      </c>
      <c r="I1160" s="229">
        <v>0</v>
      </c>
      <c r="J1160" s="229">
        <v>0</v>
      </c>
      <c r="K1160" s="26">
        <v>1</v>
      </c>
      <c r="L1160" s="14">
        <v>0</v>
      </c>
      <c r="M1160" s="229">
        <v>0</v>
      </c>
      <c r="N1160" s="229">
        <v>0</v>
      </c>
      <c r="O1160" s="229">
        <v>0</v>
      </c>
      <c r="P1160" s="26">
        <v>0</v>
      </c>
      <c r="Q1160" s="14">
        <v>2</v>
      </c>
      <c r="R1160" s="229">
        <v>0</v>
      </c>
      <c r="S1160" s="229">
        <v>24</v>
      </c>
      <c r="T1160" s="229">
        <v>0</v>
      </c>
      <c r="U1160" s="229">
        <v>0</v>
      </c>
      <c r="V1160" s="229">
        <v>0</v>
      </c>
      <c r="W1160" s="229">
        <v>26</v>
      </c>
      <c r="X1160" s="229">
        <v>0</v>
      </c>
      <c r="Y1160" s="229">
        <v>0</v>
      </c>
      <c r="Z1160" s="229">
        <v>0</v>
      </c>
      <c r="AA1160" s="229">
        <v>0</v>
      </c>
      <c r="AC1160" s="12">
        <v>2</v>
      </c>
      <c r="AD1160" s="14">
        <v>2</v>
      </c>
      <c r="AE1160" s="14">
        <v>209</v>
      </c>
      <c r="AF1160" s="26">
        <v>255</v>
      </c>
      <c r="AG1160" s="12">
        <v>75</v>
      </c>
      <c r="AH1160" s="14">
        <v>1</v>
      </c>
      <c r="AI1160" s="209"/>
      <c r="AJ1160" s="3"/>
      <c r="AK1160" s="3"/>
      <c r="AL1160" s="3"/>
      <c r="AM1160" s="3"/>
      <c r="AN1160" s="3"/>
      <c r="AO1160" s="40"/>
      <c r="AP1160" s="209"/>
      <c r="AQ1160" s="3"/>
      <c r="AR1160" s="40"/>
      <c r="AS1160" s="238"/>
    </row>
    <row r="1161" spans="1:45" s="229" customFormat="1">
      <c r="A1161" s="83" t="s">
        <v>326</v>
      </c>
      <c r="B1161" s="386">
        <v>49.683999999999997</v>
      </c>
      <c r="C1161" s="229" t="s">
        <v>735</v>
      </c>
      <c r="D1161" s="229" t="s">
        <v>740</v>
      </c>
      <c r="E1161" s="229" t="s">
        <v>1</v>
      </c>
      <c r="F1161" s="229">
        <v>265</v>
      </c>
      <c r="G1161" s="40">
        <f>F1161/235</f>
        <v>1.1276595744680851</v>
      </c>
      <c r="H1161" s="14">
        <v>0</v>
      </c>
      <c r="I1161" s="229">
        <v>0</v>
      </c>
      <c r="J1161" s="229">
        <v>0</v>
      </c>
      <c r="K1161" s="26">
        <v>1</v>
      </c>
      <c r="L1161" s="14">
        <v>0</v>
      </c>
      <c r="M1161" s="229">
        <v>0</v>
      </c>
      <c r="N1161" s="229">
        <v>0</v>
      </c>
      <c r="O1161" s="229">
        <v>0</v>
      </c>
      <c r="P1161" s="26">
        <v>0</v>
      </c>
      <c r="Q1161" s="14">
        <v>2</v>
      </c>
      <c r="R1161" s="229">
        <v>0</v>
      </c>
      <c r="S1161" s="229">
        <v>0</v>
      </c>
      <c r="T1161" s="229">
        <v>0</v>
      </c>
      <c r="U1161" s="229">
        <v>0</v>
      </c>
      <c r="V1161" s="229">
        <v>0</v>
      </c>
      <c r="W1161" s="229">
        <v>29</v>
      </c>
      <c r="X1161" s="229">
        <v>0</v>
      </c>
      <c r="Y1161" s="229">
        <v>0</v>
      </c>
      <c r="Z1161" s="229">
        <v>0</v>
      </c>
      <c r="AA1161" s="229">
        <v>0</v>
      </c>
      <c r="AC1161" s="12">
        <v>1</v>
      </c>
      <c r="AD1161" s="14">
        <v>1</v>
      </c>
      <c r="AE1161" s="14">
        <v>0</v>
      </c>
      <c r="AF1161" s="26">
        <v>0</v>
      </c>
      <c r="AG1161" s="12">
        <v>75</v>
      </c>
      <c r="AH1161" s="14">
        <v>1</v>
      </c>
      <c r="AI1161" s="209"/>
      <c r="AJ1161" s="3"/>
      <c r="AK1161" s="3"/>
      <c r="AL1161" s="3"/>
      <c r="AM1161" s="3"/>
      <c r="AN1161" s="3"/>
      <c r="AO1161" s="40"/>
      <c r="AP1161" s="209"/>
      <c r="AQ1161" s="3"/>
      <c r="AR1161" s="40"/>
      <c r="AS1161" s="238"/>
    </row>
    <row r="1162" spans="1:45" s="229" customFormat="1">
      <c r="A1162" s="83" t="s">
        <v>326</v>
      </c>
      <c r="B1162" s="386">
        <v>49.683999999999997</v>
      </c>
      <c r="C1162" s="229" t="s">
        <v>735</v>
      </c>
      <c r="D1162" s="229" t="s">
        <v>741</v>
      </c>
      <c r="E1162" s="229" t="s">
        <v>0</v>
      </c>
      <c r="F1162" s="229">
        <v>544</v>
      </c>
      <c r="G1162" s="40">
        <f>F1162/289</f>
        <v>1.8823529411764706</v>
      </c>
      <c r="H1162" s="14">
        <v>0</v>
      </c>
      <c r="I1162" s="229">
        <v>0</v>
      </c>
      <c r="J1162" s="229">
        <v>0</v>
      </c>
      <c r="K1162" s="26">
        <v>1</v>
      </c>
      <c r="L1162" s="14">
        <v>0</v>
      </c>
      <c r="M1162" s="229">
        <v>0</v>
      </c>
      <c r="N1162" s="229">
        <v>1</v>
      </c>
      <c r="O1162" s="229">
        <v>0</v>
      </c>
      <c r="P1162" s="26">
        <v>1</v>
      </c>
      <c r="Q1162" s="14">
        <v>5</v>
      </c>
      <c r="R1162" s="229">
        <v>0</v>
      </c>
      <c r="S1162" s="229">
        <v>0</v>
      </c>
      <c r="T1162" s="229">
        <v>0</v>
      </c>
      <c r="U1162" s="229">
        <v>0</v>
      </c>
      <c r="V1162" s="229">
        <v>14</v>
      </c>
      <c r="W1162" s="229">
        <v>52</v>
      </c>
      <c r="X1162" s="229">
        <v>0</v>
      </c>
      <c r="Y1162" s="229">
        <v>0</v>
      </c>
      <c r="Z1162" s="229">
        <v>0</v>
      </c>
      <c r="AA1162" s="229">
        <v>0</v>
      </c>
      <c r="AC1162" s="12">
        <v>1</v>
      </c>
      <c r="AD1162" s="14">
        <v>1</v>
      </c>
      <c r="AE1162" s="14">
        <v>0</v>
      </c>
      <c r="AF1162" s="26">
        <v>0</v>
      </c>
      <c r="AG1162" s="12">
        <v>62</v>
      </c>
      <c r="AH1162" s="14">
        <v>0</v>
      </c>
      <c r="AI1162" s="209"/>
      <c r="AJ1162" s="3"/>
      <c r="AK1162" s="3"/>
      <c r="AL1162" s="3"/>
      <c r="AM1162" s="3"/>
      <c r="AN1162" s="3"/>
      <c r="AO1162" s="40"/>
      <c r="AP1162" s="209"/>
      <c r="AQ1162" s="3"/>
      <c r="AR1162" s="40"/>
      <c r="AS1162" s="238"/>
    </row>
    <row r="1163" spans="1:45" s="229" customFormat="1">
      <c r="A1163" s="83" t="s">
        <v>326</v>
      </c>
      <c r="B1163" s="386">
        <v>49.683999999999997</v>
      </c>
      <c r="C1163" s="229" t="s">
        <v>735</v>
      </c>
      <c r="D1163" s="229" t="s">
        <v>741</v>
      </c>
      <c r="E1163" s="229" t="s">
        <v>1</v>
      </c>
      <c r="F1163" s="229">
        <v>828</v>
      </c>
      <c r="G1163" s="40">
        <f>F1163/548</f>
        <v>1.5109489051094891</v>
      </c>
      <c r="H1163" s="14">
        <v>0</v>
      </c>
      <c r="I1163" s="229">
        <v>0</v>
      </c>
      <c r="J1163" s="229">
        <v>1</v>
      </c>
      <c r="K1163" s="26">
        <v>0</v>
      </c>
      <c r="L1163" s="14">
        <v>0</v>
      </c>
      <c r="M1163" s="229">
        <v>1</v>
      </c>
      <c r="N1163" s="229">
        <v>0</v>
      </c>
      <c r="O1163" s="229">
        <v>0</v>
      </c>
      <c r="P1163" s="26">
        <v>1</v>
      </c>
      <c r="Q1163" s="14">
        <v>2</v>
      </c>
      <c r="R1163" s="229">
        <v>0</v>
      </c>
      <c r="S1163" s="229">
        <v>18</v>
      </c>
      <c r="T1163" s="229">
        <v>0</v>
      </c>
      <c r="U1163" s="229">
        <v>0</v>
      </c>
      <c r="V1163" s="229">
        <v>26</v>
      </c>
      <c r="W1163" s="229">
        <v>73</v>
      </c>
      <c r="X1163" s="229">
        <v>0</v>
      </c>
      <c r="Y1163" s="229">
        <v>0</v>
      </c>
      <c r="Z1163" s="229">
        <v>0</v>
      </c>
      <c r="AA1163" s="229">
        <v>0</v>
      </c>
      <c r="AC1163" s="12">
        <v>2</v>
      </c>
      <c r="AD1163" s="14">
        <v>2</v>
      </c>
      <c r="AE1163" s="14">
        <v>559</v>
      </c>
      <c r="AF1163" s="26">
        <v>563</v>
      </c>
      <c r="AG1163" s="12">
        <v>62</v>
      </c>
      <c r="AH1163" s="14">
        <v>1</v>
      </c>
      <c r="AI1163" s="209"/>
      <c r="AJ1163" s="3"/>
      <c r="AK1163" s="3"/>
      <c r="AL1163" s="3"/>
      <c r="AM1163" s="3"/>
      <c r="AN1163" s="3"/>
      <c r="AO1163" s="40"/>
      <c r="AP1163" s="209"/>
      <c r="AQ1163" s="3"/>
      <c r="AR1163" s="40"/>
      <c r="AS1163" s="238"/>
    </row>
    <row r="1164" spans="1:45" s="229" customFormat="1">
      <c r="A1164" s="83" t="s">
        <v>326</v>
      </c>
      <c r="B1164" s="386">
        <v>49.683999999999997</v>
      </c>
      <c r="C1164" s="229" t="s">
        <v>735</v>
      </c>
      <c r="D1164" s="229" t="s">
        <v>741</v>
      </c>
      <c r="E1164" s="229" t="s">
        <v>2</v>
      </c>
      <c r="F1164" s="229">
        <v>509</v>
      </c>
      <c r="G1164" s="40">
        <f>F1164/343</f>
        <v>1.4839650145772594</v>
      </c>
      <c r="H1164" s="253">
        <v>0</v>
      </c>
      <c r="I1164" s="254">
        <v>0</v>
      </c>
      <c r="J1164" s="254">
        <v>1</v>
      </c>
      <c r="K1164" s="255">
        <v>0</v>
      </c>
      <c r="L1164" s="83">
        <v>0</v>
      </c>
      <c r="M1164" s="49">
        <v>1</v>
      </c>
      <c r="N1164" s="49">
        <v>0</v>
      </c>
      <c r="O1164" s="49">
        <v>0</v>
      </c>
      <c r="P1164" s="26">
        <v>1</v>
      </c>
      <c r="Q1164" s="14">
        <v>1</v>
      </c>
      <c r="R1164" s="229">
        <v>0</v>
      </c>
      <c r="S1164" s="229">
        <v>0</v>
      </c>
      <c r="T1164" s="229">
        <v>0</v>
      </c>
      <c r="U1164" s="229">
        <v>0</v>
      </c>
      <c r="V1164" s="229">
        <v>0</v>
      </c>
      <c r="W1164" s="229">
        <v>54</v>
      </c>
      <c r="X1164" s="229">
        <v>0</v>
      </c>
      <c r="Y1164" s="229">
        <v>0</v>
      </c>
      <c r="Z1164" s="229">
        <v>0</v>
      </c>
      <c r="AA1164" s="229">
        <v>0</v>
      </c>
      <c r="AC1164" s="12">
        <v>1</v>
      </c>
      <c r="AD1164" s="14">
        <v>1</v>
      </c>
      <c r="AE1164" s="14">
        <v>0</v>
      </c>
      <c r="AF1164" s="26">
        <v>0</v>
      </c>
      <c r="AG1164" s="12">
        <v>62</v>
      </c>
      <c r="AH1164" s="14">
        <v>1</v>
      </c>
      <c r="AI1164" s="209"/>
      <c r="AJ1164" s="3"/>
      <c r="AK1164" s="3"/>
      <c r="AL1164" s="3"/>
      <c r="AM1164" s="3"/>
      <c r="AN1164" s="3"/>
      <c r="AO1164" s="40"/>
      <c r="AP1164" s="209"/>
      <c r="AQ1164" s="3"/>
      <c r="AR1164" s="40"/>
      <c r="AS1164" s="238"/>
    </row>
    <row r="1165" spans="1:45" s="229" customFormat="1">
      <c r="A1165" s="83" t="s">
        <v>326</v>
      </c>
      <c r="B1165" s="386">
        <v>49.683999999999997</v>
      </c>
      <c r="C1165" s="229" t="s">
        <v>735</v>
      </c>
      <c r="D1165" s="229" t="s">
        <v>741</v>
      </c>
      <c r="E1165" s="229" t="s">
        <v>3</v>
      </c>
      <c r="F1165" s="229">
        <v>441</v>
      </c>
      <c r="G1165" s="40">
        <f>F1165/292</f>
        <v>1.5102739726027397</v>
      </c>
      <c r="H1165" s="14">
        <v>0</v>
      </c>
      <c r="I1165" s="229">
        <v>1</v>
      </c>
      <c r="J1165" s="229">
        <v>0</v>
      </c>
      <c r="K1165" s="26">
        <v>0</v>
      </c>
      <c r="L1165" s="14">
        <v>0</v>
      </c>
      <c r="M1165" s="229">
        <v>1</v>
      </c>
      <c r="N1165" s="229">
        <v>0</v>
      </c>
      <c r="O1165" s="229">
        <v>0</v>
      </c>
      <c r="P1165" s="26">
        <v>1</v>
      </c>
      <c r="Q1165" s="14">
        <v>1</v>
      </c>
      <c r="R1165" s="229">
        <v>0</v>
      </c>
      <c r="S1165" s="229">
        <v>9</v>
      </c>
      <c r="T1165" s="229">
        <v>0</v>
      </c>
      <c r="U1165" s="229">
        <v>0</v>
      </c>
      <c r="V1165" s="229">
        <v>0</v>
      </c>
      <c r="W1165" s="229">
        <v>0</v>
      </c>
      <c r="X1165" s="229">
        <v>0</v>
      </c>
      <c r="Y1165" s="229">
        <v>0</v>
      </c>
      <c r="Z1165" s="229">
        <v>0</v>
      </c>
      <c r="AA1165" s="229">
        <v>0</v>
      </c>
      <c r="AC1165" s="12">
        <v>1</v>
      </c>
      <c r="AD1165" s="14">
        <v>1</v>
      </c>
      <c r="AE1165" s="14">
        <v>0</v>
      </c>
      <c r="AF1165" s="26">
        <v>0</v>
      </c>
      <c r="AG1165" s="12">
        <v>62</v>
      </c>
      <c r="AH1165" s="14">
        <v>0</v>
      </c>
      <c r="AI1165" s="209"/>
      <c r="AJ1165" s="3"/>
      <c r="AK1165" s="3"/>
      <c r="AL1165" s="3"/>
      <c r="AM1165" s="3"/>
      <c r="AN1165" s="3"/>
      <c r="AO1165" s="40"/>
      <c r="AP1165" s="209"/>
      <c r="AQ1165" s="3"/>
      <c r="AR1165" s="40"/>
      <c r="AS1165" s="238"/>
    </row>
    <row r="1166" spans="1:45" s="229" customFormat="1">
      <c r="A1166" s="83" t="s">
        <v>326</v>
      </c>
      <c r="B1166" s="386">
        <v>49.683999999999997</v>
      </c>
      <c r="C1166" s="229" t="s">
        <v>735</v>
      </c>
      <c r="D1166" s="229" t="s">
        <v>728</v>
      </c>
      <c r="E1166" s="229" t="s">
        <v>0</v>
      </c>
      <c r="F1166" s="229">
        <v>297</v>
      </c>
      <c r="G1166" s="40">
        <f>F1166/240</f>
        <v>1.2375</v>
      </c>
      <c r="H1166" s="14">
        <v>1</v>
      </c>
      <c r="I1166" s="229">
        <v>0</v>
      </c>
      <c r="J1166" s="229">
        <v>0</v>
      </c>
      <c r="K1166" s="26">
        <v>1</v>
      </c>
      <c r="L1166" s="14">
        <v>0</v>
      </c>
      <c r="M1166" s="229">
        <v>0</v>
      </c>
      <c r="N1166" s="229">
        <v>0</v>
      </c>
      <c r="O1166" s="229">
        <v>0</v>
      </c>
      <c r="P1166" s="26">
        <v>0</v>
      </c>
      <c r="Q1166" s="14">
        <v>0</v>
      </c>
      <c r="R1166" s="229">
        <v>0</v>
      </c>
      <c r="S1166" s="229">
        <v>0</v>
      </c>
      <c r="T1166" s="229">
        <v>0</v>
      </c>
      <c r="U1166" s="229">
        <v>0</v>
      </c>
      <c r="V1166" s="229">
        <v>0</v>
      </c>
      <c r="W1166" s="229">
        <v>0</v>
      </c>
      <c r="X1166" s="229">
        <v>0</v>
      </c>
      <c r="Y1166" s="229">
        <v>0</v>
      </c>
      <c r="Z1166" s="229">
        <v>0</v>
      </c>
      <c r="AA1166" s="229">
        <v>0</v>
      </c>
      <c r="AC1166" s="12">
        <v>2</v>
      </c>
      <c r="AD1166" s="14">
        <v>2</v>
      </c>
      <c r="AE1166" s="14">
        <v>113</v>
      </c>
      <c r="AF1166" s="26">
        <v>297</v>
      </c>
      <c r="AG1166" s="12">
        <v>67</v>
      </c>
      <c r="AH1166" s="14">
        <v>1</v>
      </c>
      <c r="AI1166" s="209"/>
      <c r="AJ1166" s="3"/>
      <c r="AK1166" s="3"/>
      <c r="AL1166" s="3"/>
      <c r="AM1166" s="3"/>
      <c r="AN1166" s="3"/>
      <c r="AO1166" s="40"/>
      <c r="AP1166" s="209"/>
      <c r="AQ1166" s="3"/>
      <c r="AR1166" s="40"/>
      <c r="AS1166" s="238"/>
    </row>
    <row r="1167" spans="1:45" s="229" customFormat="1">
      <c r="A1167" s="83" t="s">
        <v>326</v>
      </c>
      <c r="B1167" s="386">
        <v>49.683999999999997</v>
      </c>
      <c r="C1167" s="229" t="s">
        <v>735</v>
      </c>
      <c r="D1167" s="229" t="s">
        <v>728</v>
      </c>
      <c r="E1167" s="229" t="s">
        <v>1</v>
      </c>
      <c r="F1167" s="229">
        <v>447</v>
      </c>
      <c r="G1167" s="40">
        <f>F1167/337</f>
        <v>1.3264094955489614</v>
      </c>
      <c r="H1167" s="14">
        <v>1</v>
      </c>
      <c r="I1167" s="229">
        <v>0</v>
      </c>
      <c r="J1167" s="229">
        <v>0</v>
      </c>
      <c r="K1167" s="26">
        <v>0</v>
      </c>
      <c r="L1167" s="14">
        <v>0</v>
      </c>
      <c r="M1167" s="229">
        <v>0</v>
      </c>
      <c r="N1167" s="229">
        <v>0</v>
      </c>
      <c r="O1167" s="229">
        <v>0</v>
      </c>
      <c r="P1167" s="26">
        <v>0</v>
      </c>
      <c r="Q1167" s="14">
        <v>5</v>
      </c>
      <c r="R1167" s="229">
        <v>0</v>
      </c>
      <c r="S1167" s="229">
        <v>0</v>
      </c>
      <c r="T1167" s="229">
        <v>0</v>
      </c>
      <c r="U1167" s="229">
        <v>0</v>
      </c>
      <c r="V1167" s="229">
        <v>0</v>
      </c>
      <c r="W1167" s="229">
        <v>121</v>
      </c>
      <c r="X1167" s="229">
        <v>0</v>
      </c>
      <c r="Y1167" s="229">
        <v>0</v>
      </c>
      <c r="Z1167" s="229">
        <v>0</v>
      </c>
      <c r="AA1167" s="229">
        <v>0</v>
      </c>
      <c r="AC1167" s="12">
        <v>1</v>
      </c>
      <c r="AD1167" s="14">
        <v>1</v>
      </c>
      <c r="AE1167" s="14">
        <v>0</v>
      </c>
      <c r="AF1167" s="26">
        <v>0</v>
      </c>
      <c r="AG1167" s="12">
        <v>67</v>
      </c>
      <c r="AH1167" s="14">
        <v>1</v>
      </c>
      <c r="AI1167" s="209"/>
      <c r="AJ1167" s="3"/>
      <c r="AK1167" s="3"/>
      <c r="AL1167" s="3"/>
      <c r="AM1167" s="3"/>
      <c r="AN1167" s="3"/>
      <c r="AO1167" s="40"/>
      <c r="AP1167" s="209"/>
      <c r="AQ1167" s="3"/>
      <c r="AR1167" s="40"/>
      <c r="AS1167" s="238"/>
    </row>
    <row r="1168" spans="1:45" s="229" customFormat="1">
      <c r="A1168" s="83" t="s">
        <v>326</v>
      </c>
      <c r="B1168" s="386">
        <v>49.683999999999997</v>
      </c>
      <c r="C1168" s="229" t="s">
        <v>735</v>
      </c>
      <c r="D1168" s="229" t="s">
        <v>728</v>
      </c>
      <c r="E1168" s="229" t="s">
        <v>2</v>
      </c>
      <c r="F1168" s="229">
        <v>128</v>
      </c>
      <c r="G1168" s="40">
        <f>F1168/128</f>
        <v>1</v>
      </c>
      <c r="H1168" s="14">
        <v>1</v>
      </c>
      <c r="I1168" s="229">
        <v>0</v>
      </c>
      <c r="J1168" s="229">
        <v>0</v>
      </c>
      <c r="K1168" s="26">
        <v>0</v>
      </c>
      <c r="L1168" s="14">
        <v>0</v>
      </c>
      <c r="M1168" s="229">
        <v>0</v>
      </c>
      <c r="N1168" s="229">
        <v>0</v>
      </c>
      <c r="O1168" s="229">
        <v>0</v>
      </c>
      <c r="P1168" s="26">
        <v>0</v>
      </c>
      <c r="Q1168" s="14">
        <v>0</v>
      </c>
      <c r="R1168" s="229">
        <v>0</v>
      </c>
      <c r="S1168" s="229">
        <v>0</v>
      </c>
      <c r="T1168" s="229">
        <v>0</v>
      </c>
      <c r="U1168" s="229">
        <v>0</v>
      </c>
      <c r="V1168" s="229">
        <v>0</v>
      </c>
      <c r="W1168" s="229">
        <v>0</v>
      </c>
      <c r="X1168" s="229">
        <v>0</v>
      </c>
      <c r="Y1168" s="229">
        <v>0</v>
      </c>
      <c r="Z1168" s="229">
        <v>0</v>
      </c>
      <c r="AA1168" s="229">
        <v>0</v>
      </c>
      <c r="AC1168" s="12">
        <v>1</v>
      </c>
      <c r="AD1168" s="14">
        <v>1</v>
      </c>
      <c r="AE1168" s="14">
        <v>0</v>
      </c>
      <c r="AF1168" s="26">
        <v>0</v>
      </c>
      <c r="AG1168" s="12">
        <v>67</v>
      </c>
      <c r="AH1168" s="14">
        <v>1</v>
      </c>
      <c r="AI1168" s="209"/>
      <c r="AJ1168" s="3"/>
      <c r="AK1168" s="3"/>
      <c r="AL1168" s="3"/>
      <c r="AM1168" s="3"/>
      <c r="AN1168" s="3"/>
      <c r="AO1168" s="40"/>
      <c r="AP1168" s="209"/>
      <c r="AQ1168" s="3"/>
      <c r="AR1168" s="40"/>
      <c r="AS1168" s="238"/>
    </row>
    <row r="1169" spans="1:45" s="229" customFormat="1">
      <c r="A1169" s="83" t="s">
        <v>326</v>
      </c>
      <c r="B1169" s="386">
        <v>49.683999999999997</v>
      </c>
      <c r="C1169" s="229" t="s">
        <v>735</v>
      </c>
      <c r="D1169" s="229" t="s">
        <v>729</v>
      </c>
      <c r="E1169" s="229" t="s">
        <v>0</v>
      </c>
      <c r="F1169" s="229">
        <v>538</v>
      </c>
      <c r="G1169" s="40">
        <f>F1169/400</f>
        <v>1.345</v>
      </c>
      <c r="H1169" s="14">
        <v>0</v>
      </c>
      <c r="I1169" s="229">
        <v>0</v>
      </c>
      <c r="J1169" s="229">
        <v>1</v>
      </c>
      <c r="K1169" s="26">
        <v>1</v>
      </c>
      <c r="L1169" s="14">
        <v>0</v>
      </c>
      <c r="M1169" s="229">
        <v>0</v>
      </c>
      <c r="N1169" s="229">
        <v>0</v>
      </c>
      <c r="O1169" s="229">
        <v>0</v>
      </c>
      <c r="P1169" s="26">
        <v>0</v>
      </c>
      <c r="Q1169" s="14">
        <v>2</v>
      </c>
      <c r="R1169" s="229">
        <v>0</v>
      </c>
      <c r="S1169" s="229">
        <v>0</v>
      </c>
      <c r="T1169" s="229">
        <v>0</v>
      </c>
      <c r="U1169" s="229">
        <v>0</v>
      </c>
      <c r="V1169" s="229">
        <v>26</v>
      </c>
      <c r="W1169" s="229">
        <v>83</v>
      </c>
      <c r="X1169" s="229">
        <v>0</v>
      </c>
      <c r="Y1169" s="229">
        <v>0</v>
      </c>
      <c r="Z1169" s="229">
        <v>0</v>
      </c>
      <c r="AA1169" s="229">
        <v>0</v>
      </c>
      <c r="AC1169" s="12">
        <v>2</v>
      </c>
      <c r="AD1169" s="14">
        <v>2</v>
      </c>
      <c r="AE1169" s="14">
        <v>127</v>
      </c>
      <c r="AF1169" s="26">
        <v>538</v>
      </c>
      <c r="AG1169" s="12">
        <v>60</v>
      </c>
      <c r="AH1169" s="14">
        <v>1</v>
      </c>
      <c r="AI1169" s="209"/>
      <c r="AJ1169" s="3"/>
      <c r="AK1169" s="3"/>
      <c r="AL1169" s="3"/>
      <c r="AM1169" s="3"/>
      <c r="AN1169" s="3"/>
      <c r="AO1169" s="40"/>
      <c r="AP1169" s="209"/>
      <c r="AQ1169" s="3"/>
      <c r="AR1169" s="40"/>
      <c r="AS1169" s="238"/>
    </row>
    <row r="1170" spans="1:45" s="229" customFormat="1">
      <c r="A1170" s="83" t="s">
        <v>326</v>
      </c>
      <c r="B1170" s="386">
        <v>49.683999999999997</v>
      </c>
      <c r="C1170" s="229" t="s">
        <v>735</v>
      </c>
      <c r="D1170" s="229" t="s">
        <v>729</v>
      </c>
      <c r="E1170" s="229" t="s">
        <v>1</v>
      </c>
      <c r="F1170" s="229">
        <v>141</v>
      </c>
      <c r="G1170" s="40">
        <f>F1170/95</f>
        <v>1.4842105263157894</v>
      </c>
      <c r="H1170" s="14">
        <v>0</v>
      </c>
      <c r="I1170" s="229">
        <v>0</v>
      </c>
      <c r="J1170" s="229">
        <v>1</v>
      </c>
      <c r="K1170" s="26">
        <v>0</v>
      </c>
      <c r="L1170" s="14">
        <v>0</v>
      </c>
      <c r="M1170" s="229">
        <v>0</v>
      </c>
      <c r="N1170" s="229">
        <v>0</v>
      </c>
      <c r="O1170" s="229">
        <v>0</v>
      </c>
      <c r="P1170" s="26">
        <v>0</v>
      </c>
      <c r="Q1170" s="14">
        <v>0</v>
      </c>
      <c r="R1170" s="229">
        <v>0</v>
      </c>
      <c r="S1170" s="229">
        <v>0</v>
      </c>
      <c r="T1170" s="229">
        <v>0</v>
      </c>
      <c r="U1170" s="229">
        <v>0</v>
      </c>
      <c r="V1170" s="229">
        <v>0</v>
      </c>
      <c r="W1170" s="229">
        <v>0</v>
      </c>
      <c r="X1170" s="229">
        <v>0</v>
      </c>
      <c r="Y1170" s="229">
        <v>0</v>
      </c>
      <c r="Z1170" s="229">
        <v>0</v>
      </c>
      <c r="AA1170" s="229">
        <v>0</v>
      </c>
      <c r="AC1170" s="12">
        <v>1</v>
      </c>
      <c r="AD1170" s="14">
        <v>1</v>
      </c>
      <c r="AE1170" s="14">
        <v>0</v>
      </c>
      <c r="AF1170" s="26">
        <v>0</v>
      </c>
      <c r="AG1170" s="12">
        <v>60</v>
      </c>
      <c r="AH1170" s="14">
        <v>0</v>
      </c>
      <c r="AI1170" s="209"/>
      <c r="AJ1170" s="3"/>
      <c r="AK1170" s="3"/>
      <c r="AL1170" s="3"/>
      <c r="AM1170" s="3"/>
      <c r="AN1170" s="3"/>
      <c r="AO1170" s="40"/>
      <c r="AP1170" s="209"/>
      <c r="AQ1170" s="3"/>
      <c r="AR1170" s="40"/>
      <c r="AS1170" s="238"/>
    </row>
    <row r="1171" spans="1:45" s="229" customFormat="1">
      <c r="A1171" s="83" t="s">
        <v>326</v>
      </c>
      <c r="B1171" s="386">
        <v>49.683999999999997</v>
      </c>
      <c r="C1171" s="229" t="s">
        <v>735</v>
      </c>
      <c r="D1171" s="229" t="s">
        <v>742</v>
      </c>
      <c r="E1171" s="229" t="s">
        <v>0</v>
      </c>
      <c r="F1171" s="229">
        <v>538</v>
      </c>
      <c r="G1171" s="40">
        <f>F1171/308</f>
        <v>1.7467532467532467</v>
      </c>
      <c r="H1171" s="14">
        <v>0</v>
      </c>
      <c r="I1171" s="229">
        <v>0</v>
      </c>
      <c r="J1171" s="229">
        <v>1</v>
      </c>
      <c r="K1171" s="26">
        <v>0</v>
      </c>
      <c r="L1171" s="14">
        <v>0</v>
      </c>
      <c r="M1171" s="229">
        <v>0</v>
      </c>
      <c r="N1171" s="229">
        <v>0</v>
      </c>
      <c r="O1171" s="229">
        <v>0</v>
      </c>
      <c r="P1171" s="26">
        <v>0</v>
      </c>
      <c r="Q1171" s="14">
        <v>5</v>
      </c>
      <c r="R1171" s="229">
        <v>0</v>
      </c>
      <c r="S1171" s="229">
        <v>0</v>
      </c>
      <c r="T1171" s="229">
        <v>0</v>
      </c>
      <c r="U1171" s="229">
        <v>0</v>
      </c>
      <c r="V1171" s="229">
        <v>0</v>
      </c>
      <c r="W1171" s="229">
        <v>70</v>
      </c>
      <c r="X1171" s="229">
        <v>0</v>
      </c>
      <c r="Y1171" s="229">
        <v>0</v>
      </c>
      <c r="Z1171" s="229">
        <v>0</v>
      </c>
      <c r="AA1171" s="229">
        <v>0</v>
      </c>
      <c r="AC1171" s="12">
        <v>1</v>
      </c>
      <c r="AD1171" s="14">
        <v>1</v>
      </c>
      <c r="AE1171" s="14">
        <v>0</v>
      </c>
      <c r="AF1171" s="26">
        <v>0</v>
      </c>
      <c r="AG1171" s="12"/>
      <c r="AH1171" s="14">
        <v>0</v>
      </c>
      <c r="AI1171" s="209"/>
      <c r="AJ1171" s="3"/>
      <c r="AK1171" s="3"/>
      <c r="AL1171" s="3"/>
      <c r="AM1171" s="3"/>
      <c r="AN1171" s="3"/>
      <c r="AO1171" s="40"/>
      <c r="AP1171" s="209"/>
      <c r="AQ1171" s="3"/>
      <c r="AR1171" s="40"/>
      <c r="AS1171" s="238"/>
    </row>
    <row r="1172" spans="1:45" s="229" customFormat="1">
      <c r="A1172" s="83" t="s">
        <v>326</v>
      </c>
      <c r="B1172" s="386">
        <v>49.683999999999997</v>
      </c>
      <c r="C1172" s="229" t="s">
        <v>735</v>
      </c>
      <c r="D1172" s="229" t="s">
        <v>742</v>
      </c>
      <c r="E1172" s="229" t="s">
        <v>1</v>
      </c>
      <c r="F1172" s="229">
        <v>348</v>
      </c>
      <c r="G1172" s="40">
        <f>F1172/304</f>
        <v>1.1447368421052631</v>
      </c>
      <c r="H1172" s="14">
        <v>0</v>
      </c>
      <c r="I1172" s="229">
        <v>0</v>
      </c>
      <c r="J1172" s="229">
        <v>1</v>
      </c>
      <c r="K1172" s="26">
        <v>0</v>
      </c>
      <c r="L1172" s="14">
        <v>0</v>
      </c>
      <c r="M1172" s="229">
        <v>0</v>
      </c>
      <c r="N1172" s="229">
        <v>0</v>
      </c>
      <c r="O1172" s="229">
        <v>0</v>
      </c>
      <c r="P1172" s="26">
        <v>0</v>
      </c>
      <c r="Q1172" s="14">
        <v>5</v>
      </c>
      <c r="R1172" s="229">
        <v>0</v>
      </c>
      <c r="S1172" s="229">
        <v>0</v>
      </c>
      <c r="T1172" s="229">
        <v>0</v>
      </c>
      <c r="U1172" s="229">
        <v>0</v>
      </c>
      <c r="V1172" s="229">
        <v>0</v>
      </c>
      <c r="W1172" s="229">
        <v>47</v>
      </c>
      <c r="X1172" s="229">
        <v>0</v>
      </c>
      <c r="Y1172" s="229">
        <v>0</v>
      </c>
      <c r="Z1172" s="229">
        <v>0</v>
      </c>
      <c r="AA1172" s="229">
        <v>0</v>
      </c>
      <c r="AC1172" s="12">
        <v>1</v>
      </c>
      <c r="AD1172" s="14">
        <v>1</v>
      </c>
      <c r="AE1172" s="14">
        <v>0</v>
      </c>
      <c r="AF1172" s="26">
        <v>0</v>
      </c>
      <c r="AG1172" s="12"/>
      <c r="AH1172" s="14">
        <v>0</v>
      </c>
      <c r="AI1172" s="209"/>
      <c r="AJ1172" s="3"/>
      <c r="AK1172" s="3"/>
      <c r="AL1172" s="3"/>
      <c r="AM1172" s="3"/>
      <c r="AN1172" s="3"/>
      <c r="AO1172" s="40"/>
      <c r="AP1172" s="209"/>
      <c r="AQ1172" s="3"/>
      <c r="AR1172" s="40"/>
      <c r="AS1172" s="238"/>
    </row>
    <row r="1173" spans="1:45" s="229" customFormat="1">
      <c r="A1173" s="83" t="s">
        <v>326</v>
      </c>
      <c r="B1173" s="386">
        <v>49.683999999999997</v>
      </c>
      <c r="C1173" s="229" t="s">
        <v>735</v>
      </c>
      <c r="D1173" s="229" t="s">
        <v>743</v>
      </c>
      <c r="E1173" s="229" t="s">
        <v>0</v>
      </c>
      <c r="F1173" s="229">
        <v>498</v>
      </c>
      <c r="G1173" s="40">
        <f>F1173/302</f>
        <v>1.6490066225165563</v>
      </c>
      <c r="H1173" s="14">
        <v>0</v>
      </c>
      <c r="I1173" s="229">
        <v>0</v>
      </c>
      <c r="J1173" s="229">
        <v>1</v>
      </c>
      <c r="K1173" s="26">
        <v>0</v>
      </c>
      <c r="L1173" s="14">
        <v>0</v>
      </c>
      <c r="M1173" s="229">
        <v>0</v>
      </c>
      <c r="N1173" s="229">
        <v>0</v>
      </c>
      <c r="O1173" s="229">
        <v>0</v>
      </c>
      <c r="P1173" s="26">
        <v>0</v>
      </c>
      <c r="Q1173" s="14">
        <v>5</v>
      </c>
      <c r="R1173" s="229">
        <v>0</v>
      </c>
      <c r="S1173" s="229">
        <v>0</v>
      </c>
      <c r="T1173" s="229">
        <v>0</v>
      </c>
      <c r="U1173" s="229">
        <v>0</v>
      </c>
      <c r="V1173" s="229">
        <v>0</v>
      </c>
      <c r="W1173" s="229">
        <v>59</v>
      </c>
      <c r="X1173" s="229">
        <v>0</v>
      </c>
      <c r="Y1173" s="229">
        <v>0</v>
      </c>
      <c r="Z1173" s="229">
        <v>0</v>
      </c>
      <c r="AA1173" s="229">
        <v>0</v>
      </c>
      <c r="AC1173" s="12">
        <v>1</v>
      </c>
      <c r="AD1173" s="14">
        <v>1</v>
      </c>
      <c r="AE1173" s="14">
        <v>0</v>
      </c>
      <c r="AF1173" s="26">
        <v>0</v>
      </c>
      <c r="AG1173" s="12" t="s">
        <v>140</v>
      </c>
      <c r="AH1173" s="14">
        <v>1</v>
      </c>
      <c r="AI1173" s="209"/>
      <c r="AJ1173" s="3"/>
      <c r="AK1173" s="3"/>
      <c r="AL1173" s="3"/>
      <c r="AM1173" s="3"/>
      <c r="AN1173" s="3"/>
      <c r="AO1173" s="40"/>
      <c r="AP1173" s="209"/>
      <c r="AQ1173" s="3"/>
      <c r="AR1173" s="40"/>
      <c r="AS1173" s="238"/>
    </row>
    <row r="1174" spans="1:45" s="229" customFormat="1">
      <c r="A1174" s="83" t="s">
        <v>326</v>
      </c>
      <c r="B1174" s="386">
        <v>49.683999999999997</v>
      </c>
      <c r="C1174" s="229" t="s">
        <v>735</v>
      </c>
      <c r="D1174" s="229" t="s">
        <v>743</v>
      </c>
      <c r="E1174" s="229" t="s">
        <v>1</v>
      </c>
      <c r="F1174" s="229">
        <v>153</v>
      </c>
      <c r="G1174" s="40">
        <f>F1174/35</f>
        <v>4.371428571428571</v>
      </c>
      <c r="H1174" s="14">
        <v>0</v>
      </c>
      <c r="I1174" s="229">
        <v>0</v>
      </c>
      <c r="J1174" s="229">
        <v>1</v>
      </c>
      <c r="K1174" s="26">
        <v>0</v>
      </c>
      <c r="L1174" s="14">
        <v>0</v>
      </c>
      <c r="M1174" s="229">
        <v>0</v>
      </c>
      <c r="N1174" s="229">
        <v>1</v>
      </c>
      <c r="O1174" s="229">
        <v>0</v>
      </c>
      <c r="P1174" s="26">
        <v>1</v>
      </c>
      <c r="Q1174" s="14">
        <v>0</v>
      </c>
      <c r="R1174" s="229">
        <v>0</v>
      </c>
      <c r="S1174" s="229">
        <v>0</v>
      </c>
      <c r="T1174" s="229">
        <v>0</v>
      </c>
      <c r="U1174" s="229">
        <v>0</v>
      </c>
      <c r="V1174" s="229">
        <v>0</v>
      </c>
      <c r="W1174" s="229">
        <v>0</v>
      </c>
      <c r="X1174" s="229">
        <v>0</v>
      </c>
      <c r="Y1174" s="229">
        <v>0</v>
      </c>
      <c r="Z1174" s="229">
        <v>0</v>
      </c>
      <c r="AA1174" s="229">
        <v>0</v>
      </c>
      <c r="AC1174" s="12">
        <v>1</v>
      </c>
      <c r="AD1174" s="14">
        <v>1</v>
      </c>
      <c r="AE1174" s="14">
        <v>0</v>
      </c>
      <c r="AF1174" s="26">
        <v>0</v>
      </c>
      <c r="AG1174" s="12" t="s">
        <v>140</v>
      </c>
      <c r="AH1174" s="14">
        <v>0</v>
      </c>
      <c r="AI1174" s="209"/>
      <c r="AJ1174" s="3"/>
      <c r="AK1174" s="3"/>
      <c r="AL1174" s="3"/>
      <c r="AM1174" s="3"/>
      <c r="AN1174" s="3"/>
      <c r="AO1174" s="40"/>
      <c r="AP1174" s="209"/>
      <c r="AQ1174" s="3"/>
      <c r="AR1174" s="40"/>
      <c r="AS1174" s="238"/>
    </row>
    <row r="1175" spans="1:45" s="229" customFormat="1">
      <c r="A1175" s="83" t="s">
        <v>326</v>
      </c>
      <c r="B1175" s="386">
        <v>49.683999999999997</v>
      </c>
      <c r="C1175" s="229" t="s">
        <v>735</v>
      </c>
      <c r="D1175" s="229" t="s">
        <v>743</v>
      </c>
      <c r="E1175" s="229" t="s">
        <v>2</v>
      </c>
      <c r="F1175" s="229">
        <v>434</v>
      </c>
      <c r="G1175" s="40">
        <f>F1175/373</f>
        <v>1.1635388739946382</v>
      </c>
      <c r="H1175" s="14">
        <v>0</v>
      </c>
      <c r="I1175" s="229">
        <v>0</v>
      </c>
      <c r="J1175" s="229">
        <v>1</v>
      </c>
      <c r="K1175" s="26">
        <v>1</v>
      </c>
      <c r="L1175" s="14">
        <v>0</v>
      </c>
      <c r="M1175" s="229">
        <v>0</v>
      </c>
      <c r="N1175" s="229">
        <v>0</v>
      </c>
      <c r="O1175" s="229">
        <v>0</v>
      </c>
      <c r="P1175" s="26">
        <v>0</v>
      </c>
      <c r="Q1175" s="14">
        <v>3</v>
      </c>
      <c r="R1175" s="229">
        <v>6</v>
      </c>
      <c r="S1175" s="229">
        <v>19</v>
      </c>
      <c r="T1175" s="229">
        <v>0</v>
      </c>
      <c r="U1175" s="229">
        <v>0</v>
      </c>
      <c r="V1175" s="229">
        <v>15</v>
      </c>
      <c r="W1175" s="229">
        <v>40</v>
      </c>
      <c r="X1175" s="229">
        <v>0</v>
      </c>
      <c r="Y1175" s="229">
        <v>0</v>
      </c>
      <c r="Z1175" s="229">
        <v>0</v>
      </c>
      <c r="AA1175" s="229">
        <v>0</v>
      </c>
      <c r="AC1175" s="12">
        <v>2</v>
      </c>
      <c r="AD1175" s="14">
        <v>4</v>
      </c>
      <c r="AE1175" s="14">
        <v>168</v>
      </c>
      <c r="AF1175" s="26">
        <v>253</v>
      </c>
      <c r="AG1175" s="12" t="s">
        <v>140</v>
      </c>
      <c r="AH1175" s="14">
        <v>0</v>
      </c>
      <c r="AI1175" s="209"/>
      <c r="AJ1175" s="3"/>
      <c r="AK1175" s="3"/>
      <c r="AL1175" s="3"/>
      <c r="AM1175" s="3"/>
      <c r="AN1175" s="3"/>
      <c r="AO1175" s="40"/>
      <c r="AP1175" s="209"/>
      <c r="AQ1175" s="3"/>
      <c r="AR1175" s="40"/>
      <c r="AS1175" s="238"/>
    </row>
    <row r="1176" spans="1:45" s="229" customFormat="1">
      <c r="A1176" s="83" t="s">
        <v>326</v>
      </c>
      <c r="B1176" s="386">
        <v>49.683999999999997</v>
      </c>
      <c r="C1176" s="229" t="s">
        <v>735</v>
      </c>
      <c r="D1176" s="229" t="s">
        <v>744</v>
      </c>
      <c r="E1176" s="229" t="s">
        <v>0</v>
      </c>
      <c r="F1176" s="229">
        <v>742</v>
      </c>
      <c r="G1176" s="40">
        <f>F1176/538</f>
        <v>1.3791821561338291</v>
      </c>
      <c r="H1176" s="14">
        <v>1</v>
      </c>
      <c r="I1176" s="229">
        <v>0</v>
      </c>
      <c r="J1176" s="229">
        <v>0</v>
      </c>
      <c r="K1176" s="26">
        <v>0</v>
      </c>
      <c r="L1176" s="14">
        <v>0</v>
      </c>
      <c r="M1176" s="229">
        <v>0</v>
      </c>
      <c r="N1176" s="229">
        <v>0</v>
      </c>
      <c r="O1176" s="229">
        <v>0</v>
      </c>
      <c r="P1176" s="26">
        <v>0</v>
      </c>
      <c r="Q1176" s="14">
        <v>5</v>
      </c>
      <c r="R1176" s="229">
        <v>0</v>
      </c>
      <c r="S1176" s="229">
        <v>0</v>
      </c>
      <c r="T1176" s="229">
        <v>0</v>
      </c>
      <c r="U1176" s="229">
        <v>0</v>
      </c>
      <c r="V1176" s="229">
        <v>18</v>
      </c>
      <c r="W1176" s="229">
        <v>100</v>
      </c>
      <c r="X1176" s="229">
        <v>0</v>
      </c>
      <c r="Y1176" s="229">
        <v>0</v>
      </c>
      <c r="Z1176" s="229">
        <v>0</v>
      </c>
      <c r="AC1176" s="12">
        <v>1</v>
      </c>
      <c r="AD1176" s="14">
        <v>1</v>
      </c>
      <c r="AE1176" s="14">
        <v>0</v>
      </c>
      <c r="AF1176" s="26">
        <v>0</v>
      </c>
      <c r="AG1176" s="12">
        <v>81</v>
      </c>
      <c r="AH1176" s="14">
        <v>1</v>
      </c>
      <c r="AI1176" s="209"/>
      <c r="AJ1176" s="3"/>
      <c r="AK1176" s="3"/>
      <c r="AL1176" s="3"/>
      <c r="AM1176" s="3"/>
      <c r="AN1176" s="3"/>
      <c r="AO1176" s="40"/>
      <c r="AP1176" s="209"/>
      <c r="AQ1176" s="3"/>
      <c r="AR1176" s="40"/>
      <c r="AS1176" s="238"/>
    </row>
    <row r="1177" spans="1:45" s="229" customFormat="1">
      <c r="A1177" s="83" t="s">
        <v>326</v>
      </c>
      <c r="B1177" s="386">
        <v>49.683999999999997</v>
      </c>
      <c r="C1177" s="229" t="s">
        <v>735</v>
      </c>
      <c r="D1177" s="229" t="s">
        <v>744</v>
      </c>
      <c r="E1177" s="229" t="s">
        <v>1</v>
      </c>
      <c r="F1177" s="229">
        <v>188</v>
      </c>
      <c r="G1177" s="40">
        <f>F1177/173</f>
        <v>1.0867052023121386</v>
      </c>
      <c r="H1177" s="14">
        <v>1</v>
      </c>
      <c r="I1177" s="229">
        <v>0</v>
      </c>
      <c r="J1177" s="229">
        <v>0</v>
      </c>
      <c r="K1177" s="26">
        <v>0</v>
      </c>
      <c r="L1177" s="14">
        <v>0</v>
      </c>
      <c r="M1177" s="229">
        <v>0</v>
      </c>
      <c r="N1177" s="229">
        <v>0</v>
      </c>
      <c r="O1177" s="229">
        <v>0</v>
      </c>
      <c r="P1177" s="26">
        <v>0</v>
      </c>
      <c r="Q1177" s="14">
        <v>0</v>
      </c>
      <c r="R1177" s="229">
        <v>0</v>
      </c>
      <c r="S1177" s="229">
        <v>0</v>
      </c>
      <c r="T1177" s="229">
        <v>0</v>
      </c>
      <c r="U1177" s="229">
        <v>0</v>
      </c>
      <c r="V1177" s="229">
        <v>0</v>
      </c>
      <c r="W1177" s="229">
        <v>0</v>
      </c>
      <c r="X1177" s="229">
        <v>0</v>
      </c>
      <c r="Y1177" s="229">
        <v>0</v>
      </c>
      <c r="Z1177" s="229">
        <v>0</v>
      </c>
      <c r="AA1177" s="229">
        <v>0</v>
      </c>
      <c r="AC1177" s="12">
        <v>1</v>
      </c>
      <c r="AD1177" s="14">
        <v>1</v>
      </c>
      <c r="AE1177" s="14">
        <v>0</v>
      </c>
      <c r="AF1177" s="26">
        <v>0</v>
      </c>
      <c r="AG1177" s="12">
        <v>81</v>
      </c>
      <c r="AH1177" s="14">
        <v>1</v>
      </c>
      <c r="AI1177" s="209"/>
      <c r="AJ1177" s="3"/>
      <c r="AK1177" s="3"/>
      <c r="AL1177" s="3"/>
      <c r="AM1177" s="3"/>
      <c r="AN1177" s="3"/>
      <c r="AO1177" s="40"/>
      <c r="AP1177" s="209"/>
      <c r="AQ1177" s="3"/>
      <c r="AR1177" s="40"/>
      <c r="AS1177" s="238"/>
    </row>
    <row r="1178" spans="1:45" s="229" customFormat="1">
      <c r="A1178" s="83" t="s">
        <v>326</v>
      </c>
      <c r="B1178" s="386">
        <v>49.683999999999997</v>
      </c>
      <c r="C1178" s="229" t="s">
        <v>735</v>
      </c>
      <c r="D1178" s="229" t="s">
        <v>744</v>
      </c>
      <c r="E1178" s="229" t="s">
        <v>2</v>
      </c>
      <c r="F1178" s="229">
        <v>225</v>
      </c>
      <c r="G1178" s="40">
        <f>F1178/211</f>
        <v>1.066350710900474</v>
      </c>
      <c r="H1178" s="14">
        <v>1</v>
      </c>
      <c r="I1178" s="229">
        <v>0</v>
      </c>
      <c r="J1178" s="229">
        <v>0</v>
      </c>
      <c r="K1178" s="26">
        <v>0</v>
      </c>
      <c r="L1178" s="14">
        <v>0</v>
      </c>
      <c r="M1178" s="229">
        <v>0</v>
      </c>
      <c r="N1178" s="229">
        <v>0</v>
      </c>
      <c r="O1178" s="229">
        <v>0</v>
      </c>
      <c r="P1178" s="26">
        <v>0</v>
      </c>
      <c r="Q1178" s="14">
        <v>10</v>
      </c>
      <c r="R1178" s="229">
        <v>0</v>
      </c>
      <c r="S1178" s="229">
        <v>0</v>
      </c>
      <c r="T1178" s="229">
        <v>0</v>
      </c>
      <c r="U1178" s="229">
        <v>0</v>
      </c>
      <c r="V1178" s="229">
        <v>0</v>
      </c>
      <c r="W1178" s="229">
        <v>81</v>
      </c>
      <c r="X1178" s="229">
        <v>0</v>
      </c>
      <c r="Y1178" s="229">
        <v>0</v>
      </c>
      <c r="Z1178" s="229">
        <v>0</v>
      </c>
      <c r="AA1178" s="229">
        <v>0</v>
      </c>
      <c r="AC1178" s="12">
        <v>1</v>
      </c>
      <c r="AD1178" s="14">
        <v>1</v>
      </c>
      <c r="AE1178" s="14">
        <v>0</v>
      </c>
      <c r="AF1178" s="26">
        <v>0</v>
      </c>
      <c r="AG1178" s="12">
        <v>81</v>
      </c>
      <c r="AH1178" s="14">
        <v>1</v>
      </c>
      <c r="AI1178" s="209"/>
      <c r="AJ1178" s="3"/>
      <c r="AK1178" s="3"/>
      <c r="AL1178" s="3"/>
      <c r="AM1178" s="3"/>
      <c r="AN1178" s="3"/>
      <c r="AO1178" s="40"/>
      <c r="AP1178" s="209"/>
      <c r="AQ1178" s="3"/>
      <c r="AR1178" s="40"/>
      <c r="AS1178" s="238"/>
    </row>
    <row r="1179" spans="1:45" s="229" customFormat="1">
      <c r="A1179" s="83" t="s">
        <v>326</v>
      </c>
      <c r="B1179" s="386">
        <v>49.683999999999997</v>
      </c>
      <c r="C1179" s="229" t="s">
        <v>735</v>
      </c>
      <c r="D1179" s="229" t="s">
        <v>732</v>
      </c>
      <c r="F1179" s="229">
        <v>711</v>
      </c>
      <c r="G1179" s="40">
        <f>F1179/530</f>
        <v>1.3415094339622642</v>
      </c>
      <c r="H1179" s="14">
        <v>0</v>
      </c>
      <c r="I1179" s="229">
        <v>0</v>
      </c>
      <c r="J1179" s="229">
        <v>0</v>
      </c>
      <c r="K1179" s="26">
        <v>1</v>
      </c>
      <c r="L1179" s="14">
        <v>0</v>
      </c>
      <c r="M1179" s="229">
        <v>0</v>
      </c>
      <c r="N1179" s="229">
        <v>0</v>
      </c>
      <c r="O1179" s="229">
        <v>0</v>
      </c>
      <c r="P1179" s="26">
        <v>0</v>
      </c>
      <c r="Q1179" s="14">
        <v>5</v>
      </c>
      <c r="R1179" s="229">
        <v>0</v>
      </c>
      <c r="S1179" s="229">
        <v>16</v>
      </c>
      <c r="T1179" s="229">
        <v>0</v>
      </c>
      <c r="U1179" s="229">
        <v>0</v>
      </c>
      <c r="V1179" s="229">
        <v>0</v>
      </c>
      <c r="W1179" s="229">
        <v>27</v>
      </c>
      <c r="X1179" s="229">
        <v>0</v>
      </c>
      <c r="Y1179" s="229">
        <v>0</v>
      </c>
      <c r="Z1179" s="229">
        <v>0</v>
      </c>
      <c r="AA1179" s="229">
        <v>0</v>
      </c>
      <c r="AC1179" s="12">
        <v>2</v>
      </c>
      <c r="AD1179" s="14">
        <v>6</v>
      </c>
      <c r="AE1179" s="14">
        <v>154</v>
      </c>
      <c r="AF1179" s="26">
        <v>363</v>
      </c>
      <c r="AG1179" s="12">
        <v>100</v>
      </c>
      <c r="AH1179" s="14">
        <v>1</v>
      </c>
      <c r="AI1179" s="209"/>
      <c r="AJ1179" s="3"/>
      <c r="AK1179" s="3"/>
      <c r="AL1179" s="3"/>
      <c r="AM1179" s="3"/>
      <c r="AN1179" s="3"/>
      <c r="AO1179" s="40"/>
      <c r="AP1179" s="209"/>
      <c r="AQ1179" s="3"/>
      <c r="AR1179" s="40"/>
      <c r="AS1179" s="238"/>
    </row>
    <row r="1180" spans="1:45" s="229" customFormat="1">
      <c r="A1180" s="83" t="s">
        <v>326</v>
      </c>
      <c r="B1180" s="386">
        <v>49.683999999999997</v>
      </c>
      <c r="C1180" s="229" t="s">
        <v>735</v>
      </c>
      <c r="D1180" s="229" t="s">
        <v>733</v>
      </c>
      <c r="F1180" s="229">
        <v>474</v>
      </c>
      <c r="G1180" s="40">
        <f>F1180/430</f>
        <v>1.1023255813953488</v>
      </c>
      <c r="H1180" s="14">
        <v>1</v>
      </c>
      <c r="I1180" s="229">
        <v>0</v>
      </c>
      <c r="J1180" s="229">
        <v>0</v>
      </c>
      <c r="K1180" s="26">
        <v>0</v>
      </c>
      <c r="L1180" s="14">
        <v>0</v>
      </c>
      <c r="M1180" s="229">
        <v>0</v>
      </c>
      <c r="N1180" s="229">
        <v>0</v>
      </c>
      <c r="O1180" s="229">
        <v>0</v>
      </c>
      <c r="P1180" s="26">
        <v>0</v>
      </c>
      <c r="Q1180" s="14">
        <v>5</v>
      </c>
      <c r="R1180" s="229">
        <v>0</v>
      </c>
      <c r="S1180" s="229">
        <v>0</v>
      </c>
      <c r="T1180" s="229">
        <v>0</v>
      </c>
      <c r="U1180" s="229">
        <v>0</v>
      </c>
      <c r="V1180" s="229">
        <v>32</v>
      </c>
      <c r="W1180" s="229">
        <v>47</v>
      </c>
      <c r="X1180" s="229">
        <v>0</v>
      </c>
      <c r="Y1180" s="229">
        <v>0</v>
      </c>
      <c r="Z1180" s="229">
        <v>0</v>
      </c>
      <c r="AA1180" s="229">
        <v>0</v>
      </c>
      <c r="AC1180" s="12">
        <v>1</v>
      </c>
      <c r="AD1180" s="14">
        <v>1</v>
      </c>
      <c r="AE1180" s="14">
        <v>0</v>
      </c>
      <c r="AF1180" s="26">
        <v>0</v>
      </c>
      <c r="AG1180" s="12">
        <v>42</v>
      </c>
      <c r="AH1180" s="14">
        <v>1</v>
      </c>
      <c r="AI1180" s="209"/>
      <c r="AJ1180" s="3"/>
      <c r="AK1180" s="3"/>
      <c r="AL1180" s="3"/>
      <c r="AM1180" s="3"/>
      <c r="AN1180" s="3"/>
      <c r="AO1180" s="40"/>
      <c r="AP1180" s="209"/>
      <c r="AQ1180" s="3"/>
      <c r="AR1180" s="40"/>
      <c r="AS1180" s="238"/>
    </row>
    <row r="1181" spans="1:45" s="229" customFormat="1">
      <c r="A1181" s="83" t="s">
        <v>326</v>
      </c>
      <c r="B1181" s="386">
        <v>49.683999999999997</v>
      </c>
      <c r="C1181" s="229" t="s">
        <v>735</v>
      </c>
      <c r="D1181" s="229" t="s">
        <v>745</v>
      </c>
      <c r="E1181" s="229" t="s">
        <v>0</v>
      </c>
      <c r="F1181" s="229">
        <v>293</v>
      </c>
      <c r="G1181" s="40">
        <f>F1181/204</f>
        <v>1.4362745098039216</v>
      </c>
      <c r="H1181" s="14">
        <v>1</v>
      </c>
      <c r="I1181" s="229">
        <v>0</v>
      </c>
      <c r="J1181" s="229">
        <v>0</v>
      </c>
      <c r="K1181" s="26">
        <v>0</v>
      </c>
      <c r="L1181" s="14">
        <v>0</v>
      </c>
      <c r="M1181" s="229">
        <v>0</v>
      </c>
      <c r="N1181" s="229">
        <v>0</v>
      </c>
      <c r="O1181" s="229">
        <v>0</v>
      </c>
      <c r="P1181" s="26">
        <v>0</v>
      </c>
      <c r="Q1181" s="14">
        <v>3</v>
      </c>
      <c r="R1181" s="229">
        <v>0</v>
      </c>
      <c r="S1181" s="229">
        <v>0</v>
      </c>
      <c r="T1181" s="229">
        <v>0</v>
      </c>
      <c r="U1181" s="229">
        <v>0</v>
      </c>
      <c r="V1181" s="229">
        <v>0</v>
      </c>
      <c r="W1181" s="229">
        <v>8</v>
      </c>
      <c r="X1181" s="229">
        <v>0</v>
      </c>
      <c r="Y1181" s="229">
        <v>0</v>
      </c>
      <c r="Z1181" s="229">
        <v>0</v>
      </c>
      <c r="AA1181" s="229">
        <v>0</v>
      </c>
      <c r="AC1181" s="12">
        <v>1</v>
      </c>
      <c r="AD1181" s="14">
        <v>1</v>
      </c>
      <c r="AE1181" s="14">
        <v>0</v>
      </c>
      <c r="AF1181" s="26">
        <v>0</v>
      </c>
      <c r="AG1181" s="12">
        <v>64</v>
      </c>
      <c r="AH1181" s="14">
        <v>1</v>
      </c>
      <c r="AI1181" s="209"/>
      <c r="AJ1181" s="3"/>
      <c r="AK1181" s="3"/>
      <c r="AL1181" s="3"/>
      <c r="AM1181" s="3"/>
      <c r="AN1181" s="3"/>
      <c r="AO1181" s="40"/>
      <c r="AP1181" s="209"/>
      <c r="AQ1181" s="3"/>
      <c r="AR1181" s="40"/>
      <c r="AS1181" s="238"/>
    </row>
    <row r="1182" spans="1:45" s="229" customFormat="1">
      <c r="A1182" s="83" t="s">
        <v>326</v>
      </c>
      <c r="B1182" s="386">
        <v>49.683999999999997</v>
      </c>
      <c r="C1182" s="229" t="s">
        <v>735</v>
      </c>
      <c r="D1182" s="229" t="s">
        <v>745</v>
      </c>
      <c r="E1182" s="229" t="s">
        <v>1</v>
      </c>
      <c r="F1182" s="229">
        <v>512</v>
      </c>
      <c r="G1182" s="40">
        <f>F1182/323</f>
        <v>1.585139318885449</v>
      </c>
      <c r="H1182" s="14">
        <v>0</v>
      </c>
      <c r="I1182" s="229">
        <v>0</v>
      </c>
      <c r="J1182" s="229">
        <v>0</v>
      </c>
      <c r="K1182" s="26">
        <v>1</v>
      </c>
      <c r="L1182" s="14">
        <v>0</v>
      </c>
      <c r="M1182" s="229">
        <v>0</v>
      </c>
      <c r="N1182" s="229">
        <v>1</v>
      </c>
      <c r="O1182" s="229">
        <v>0</v>
      </c>
      <c r="P1182" s="26">
        <v>1</v>
      </c>
      <c r="Q1182" s="14">
        <v>0</v>
      </c>
      <c r="R1182" s="229">
        <v>0</v>
      </c>
      <c r="S1182" s="229">
        <v>0</v>
      </c>
      <c r="T1182" s="229">
        <v>0</v>
      </c>
      <c r="U1182" s="229">
        <v>0</v>
      </c>
      <c r="V1182" s="229">
        <v>0</v>
      </c>
      <c r="W1182" s="229">
        <v>0</v>
      </c>
      <c r="X1182" s="229">
        <v>0</v>
      </c>
      <c r="Y1182" s="229">
        <v>0</v>
      </c>
      <c r="Z1182" s="229">
        <v>0</v>
      </c>
      <c r="AA1182" s="229">
        <v>0</v>
      </c>
      <c r="AC1182" s="12">
        <v>2</v>
      </c>
      <c r="AD1182" s="14">
        <v>3</v>
      </c>
      <c r="AE1182" s="14">
        <v>55</v>
      </c>
      <c r="AF1182" s="26">
        <v>297</v>
      </c>
      <c r="AG1182" s="12">
        <v>64</v>
      </c>
      <c r="AH1182" s="14">
        <v>1</v>
      </c>
      <c r="AI1182" s="209"/>
      <c r="AJ1182" s="3"/>
      <c r="AK1182" s="3"/>
      <c r="AL1182" s="3"/>
      <c r="AM1182" s="3"/>
      <c r="AN1182" s="3"/>
      <c r="AO1182" s="40"/>
      <c r="AP1182" s="209"/>
      <c r="AQ1182" s="3"/>
      <c r="AR1182" s="40"/>
      <c r="AS1182" s="238"/>
    </row>
    <row r="1183" spans="1:45" s="229" customFormat="1">
      <c r="A1183" s="83" t="s">
        <v>326</v>
      </c>
      <c r="B1183" s="386">
        <v>49.683999999999997</v>
      </c>
      <c r="C1183" s="229" t="s">
        <v>735</v>
      </c>
      <c r="D1183" s="229" t="s">
        <v>746</v>
      </c>
      <c r="E1183" s="229" t="s">
        <v>0</v>
      </c>
      <c r="F1183" s="229">
        <v>339</v>
      </c>
      <c r="G1183" s="40">
        <f>F1183/291</f>
        <v>1.1649484536082475</v>
      </c>
      <c r="H1183" s="14">
        <v>0</v>
      </c>
      <c r="I1183" s="229">
        <v>1</v>
      </c>
      <c r="J1183" s="229">
        <v>0</v>
      </c>
      <c r="K1183" s="26">
        <v>0</v>
      </c>
      <c r="L1183" s="14">
        <v>0</v>
      </c>
      <c r="M1183" s="229">
        <v>0</v>
      </c>
      <c r="N1183" s="229">
        <v>0</v>
      </c>
      <c r="O1183" s="229">
        <v>0</v>
      </c>
      <c r="P1183" s="26">
        <v>0</v>
      </c>
      <c r="Q1183" s="14">
        <v>1</v>
      </c>
      <c r="R1183" s="229">
        <v>0</v>
      </c>
      <c r="S1183" s="229">
        <v>11</v>
      </c>
      <c r="T1183" s="229">
        <v>0</v>
      </c>
      <c r="U1183" s="229">
        <v>0</v>
      </c>
      <c r="V1183" s="229">
        <v>0</v>
      </c>
      <c r="W1183" s="229">
        <v>0</v>
      </c>
      <c r="X1183" s="229">
        <v>0</v>
      </c>
      <c r="Y1183" s="229">
        <v>0</v>
      </c>
      <c r="Z1183" s="229">
        <v>0</v>
      </c>
      <c r="AA1183" s="229">
        <v>0</v>
      </c>
      <c r="AC1183" s="12">
        <v>1</v>
      </c>
      <c r="AD1183" s="14">
        <v>1</v>
      </c>
      <c r="AE1183" s="14">
        <v>0</v>
      </c>
      <c r="AF1183" s="26">
        <v>0</v>
      </c>
      <c r="AG1183" s="12">
        <v>85</v>
      </c>
      <c r="AH1183" s="14">
        <v>1</v>
      </c>
      <c r="AI1183" s="209"/>
      <c r="AJ1183" s="3"/>
      <c r="AK1183" s="3"/>
      <c r="AL1183" s="3"/>
      <c r="AM1183" s="3"/>
      <c r="AN1183" s="3"/>
      <c r="AO1183" s="40"/>
      <c r="AP1183" s="209"/>
      <c r="AQ1183" s="3"/>
      <c r="AR1183" s="40"/>
      <c r="AS1183" s="238"/>
    </row>
    <row r="1184" spans="1:45" s="229" customFormat="1">
      <c r="A1184" s="83" t="s">
        <v>326</v>
      </c>
      <c r="B1184" s="386">
        <v>49.683999999999997</v>
      </c>
      <c r="C1184" s="229" t="s">
        <v>735</v>
      </c>
      <c r="D1184" s="229" t="s">
        <v>746</v>
      </c>
      <c r="E1184" s="229" t="s">
        <v>1</v>
      </c>
      <c r="F1184" s="229">
        <v>87</v>
      </c>
      <c r="G1184" s="40">
        <f>F1184/72</f>
        <v>1.2083333333333333</v>
      </c>
      <c r="H1184" s="14">
        <v>1</v>
      </c>
      <c r="I1184" s="229">
        <v>0</v>
      </c>
      <c r="J1184" s="229">
        <v>0</v>
      </c>
      <c r="K1184" s="26">
        <v>0</v>
      </c>
      <c r="L1184" s="14">
        <v>0</v>
      </c>
      <c r="M1184" s="229">
        <v>0</v>
      </c>
      <c r="N1184" s="229">
        <v>0</v>
      </c>
      <c r="O1184" s="229">
        <v>0</v>
      </c>
      <c r="P1184" s="26">
        <v>0</v>
      </c>
      <c r="Q1184" s="14">
        <v>0</v>
      </c>
      <c r="R1184" s="229">
        <v>0</v>
      </c>
      <c r="S1184" s="229">
        <v>0</v>
      </c>
      <c r="T1184" s="229">
        <v>0</v>
      </c>
      <c r="U1184" s="229">
        <v>0</v>
      </c>
      <c r="V1184" s="229">
        <v>0</v>
      </c>
      <c r="W1184" s="229">
        <v>0</v>
      </c>
      <c r="X1184" s="229">
        <v>0</v>
      </c>
      <c r="Y1184" s="229">
        <v>0</v>
      </c>
      <c r="Z1184" s="229">
        <v>0</v>
      </c>
      <c r="AA1184" s="229">
        <v>0</v>
      </c>
      <c r="AC1184" s="12">
        <v>1</v>
      </c>
      <c r="AD1184" s="14">
        <v>1</v>
      </c>
      <c r="AE1184" s="14">
        <v>0</v>
      </c>
      <c r="AF1184" s="26">
        <v>0</v>
      </c>
      <c r="AG1184" s="12">
        <v>85</v>
      </c>
      <c r="AH1184" s="14">
        <v>1</v>
      </c>
      <c r="AI1184" s="209">
        <v>88.736097093997714</v>
      </c>
      <c r="AJ1184" s="3"/>
      <c r="AK1184" s="3"/>
      <c r="AL1184" s="3"/>
      <c r="AM1184" s="3"/>
      <c r="AN1184" s="3"/>
      <c r="AO1184" s="40"/>
      <c r="AP1184" s="209"/>
      <c r="AQ1184" s="3"/>
      <c r="AR1184" s="40"/>
      <c r="AS1184" s="238"/>
    </row>
    <row r="1185" spans="1:45" s="229" customFormat="1">
      <c r="A1185" s="83" t="s">
        <v>326</v>
      </c>
      <c r="B1185" s="386">
        <v>49.683999999999997</v>
      </c>
      <c r="C1185" s="24" t="s">
        <v>735</v>
      </c>
      <c r="D1185" s="24" t="s">
        <v>746</v>
      </c>
      <c r="E1185" s="229" t="s">
        <v>2</v>
      </c>
      <c r="F1185" s="229">
        <v>99</v>
      </c>
      <c r="G1185" s="40">
        <f>F1185/81</f>
        <v>1.2222222222222223</v>
      </c>
      <c r="H1185" s="14">
        <v>1</v>
      </c>
      <c r="I1185" s="229">
        <v>0</v>
      </c>
      <c r="J1185" s="229">
        <v>0</v>
      </c>
      <c r="K1185" s="26">
        <v>0</v>
      </c>
      <c r="L1185" s="14">
        <v>0</v>
      </c>
      <c r="M1185" s="229">
        <v>0</v>
      </c>
      <c r="N1185" s="229">
        <v>0</v>
      </c>
      <c r="O1185" s="229">
        <v>0</v>
      </c>
      <c r="P1185" s="26">
        <v>0</v>
      </c>
      <c r="Q1185" s="14">
        <v>0</v>
      </c>
      <c r="R1185" s="229">
        <v>0</v>
      </c>
      <c r="S1185" s="229">
        <v>0</v>
      </c>
      <c r="T1185" s="229">
        <v>0</v>
      </c>
      <c r="U1185" s="229">
        <v>0</v>
      </c>
      <c r="V1185" s="229">
        <v>0</v>
      </c>
      <c r="W1185" s="229">
        <v>0</v>
      </c>
      <c r="X1185" s="229">
        <v>0</v>
      </c>
      <c r="Y1185" s="229">
        <v>0</v>
      </c>
      <c r="Z1185" s="229">
        <v>0</v>
      </c>
      <c r="AA1185" s="229">
        <v>0</v>
      </c>
      <c r="AC1185" s="12">
        <v>1</v>
      </c>
      <c r="AD1185" s="14">
        <v>1</v>
      </c>
      <c r="AE1185" s="14">
        <v>0</v>
      </c>
      <c r="AF1185" s="26">
        <v>0</v>
      </c>
      <c r="AG1185" s="12">
        <v>85</v>
      </c>
      <c r="AH1185" s="14">
        <v>0</v>
      </c>
      <c r="AI1185" s="209">
        <v>88.762845058642469</v>
      </c>
      <c r="AJ1185" s="3"/>
      <c r="AK1185" s="3"/>
      <c r="AL1185" s="3"/>
      <c r="AM1185" s="3"/>
      <c r="AN1185" s="3"/>
      <c r="AO1185" s="40"/>
      <c r="AP1185" s="209"/>
      <c r="AQ1185" s="3"/>
      <c r="AR1185" s="40"/>
      <c r="AS1185" s="238"/>
    </row>
    <row r="1186" spans="1:45" s="229" customFormat="1" ht="17" thickBot="1">
      <c r="A1186" s="83" t="s">
        <v>326</v>
      </c>
      <c r="B1186" s="385">
        <v>49.683999999999997</v>
      </c>
      <c r="C1186" s="103" t="s">
        <v>735</v>
      </c>
      <c r="D1186" s="103" t="s">
        <v>746</v>
      </c>
      <c r="E1186" s="36" t="s">
        <v>3</v>
      </c>
      <c r="F1186" s="36">
        <v>341</v>
      </c>
      <c r="G1186" s="48">
        <f>F1186/315</f>
        <v>1.0825396825396825</v>
      </c>
      <c r="H1186" s="34">
        <v>1</v>
      </c>
      <c r="I1186" s="36">
        <v>0</v>
      </c>
      <c r="J1186" s="36">
        <v>0</v>
      </c>
      <c r="K1186" s="35">
        <v>0</v>
      </c>
      <c r="L1186" s="34">
        <v>0</v>
      </c>
      <c r="M1186" s="36">
        <v>0</v>
      </c>
      <c r="N1186" s="36">
        <v>0</v>
      </c>
      <c r="O1186" s="36">
        <v>1</v>
      </c>
      <c r="P1186" s="35">
        <v>1</v>
      </c>
      <c r="Q1186" s="34">
        <v>0</v>
      </c>
      <c r="R1186" s="36">
        <v>0</v>
      </c>
      <c r="S1186" s="36">
        <v>0</v>
      </c>
      <c r="T1186" s="36">
        <v>0</v>
      </c>
      <c r="U1186" s="36">
        <v>0</v>
      </c>
      <c r="V1186" s="36">
        <v>0</v>
      </c>
      <c r="W1186" s="36">
        <v>0</v>
      </c>
      <c r="X1186" s="36">
        <v>0</v>
      </c>
      <c r="Y1186" s="36">
        <v>0</v>
      </c>
      <c r="Z1186" s="36">
        <v>0</v>
      </c>
      <c r="AA1186" s="36">
        <v>0</v>
      </c>
      <c r="AB1186" s="36"/>
      <c r="AC1186" s="33">
        <v>1</v>
      </c>
      <c r="AD1186" s="34">
        <v>1</v>
      </c>
      <c r="AE1186" s="34">
        <v>0</v>
      </c>
      <c r="AF1186" s="35">
        <v>0</v>
      </c>
      <c r="AG1186" s="33">
        <v>85</v>
      </c>
      <c r="AH1186" s="34">
        <v>1</v>
      </c>
      <c r="AI1186" s="210">
        <v>88.542377427480702</v>
      </c>
      <c r="AJ1186" s="51"/>
      <c r="AK1186" s="51"/>
      <c r="AL1186" s="51"/>
      <c r="AM1186" s="51"/>
      <c r="AN1186" s="51"/>
      <c r="AO1186" s="48"/>
      <c r="AP1186" s="210">
        <v>88.894961303644706</v>
      </c>
      <c r="AQ1186" s="51"/>
      <c r="AR1186" s="48"/>
      <c r="AS1186" s="239"/>
    </row>
    <row r="1187" spans="1:45" s="229" customFormat="1">
      <c r="A1187" s="147" t="s">
        <v>326</v>
      </c>
      <c r="B1187" s="384">
        <v>49.683999999999997</v>
      </c>
      <c r="C1187" s="24" t="s">
        <v>747</v>
      </c>
      <c r="D1187" s="229" t="s">
        <v>620</v>
      </c>
      <c r="E1187" s="229" t="s">
        <v>0</v>
      </c>
      <c r="F1187" s="229">
        <v>193</v>
      </c>
      <c r="G1187" s="40">
        <f>F1187/114</f>
        <v>1.6929824561403508</v>
      </c>
      <c r="H1187" s="14">
        <v>0</v>
      </c>
      <c r="I1187" s="229">
        <v>0</v>
      </c>
      <c r="J1187" s="229">
        <v>1</v>
      </c>
      <c r="K1187" s="26">
        <v>0</v>
      </c>
      <c r="L1187" s="14">
        <v>0</v>
      </c>
      <c r="M1187" s="229">
        <v>0</v>
      </c>
      <c r="N1187" s="229">
        <v>1</v>
      </c>
      <c r="O1187" s="229">
        <v>0</v>
      </c>
      <c r="P1187" s="26">
        <v>1</v>
      </c>
      <c r="Q1187" s="14">
        <v>40</v>
      </c>
      <c r="R1187" s="229">
        <v>0</v>
      </c>
      <c r="S1187" s="229">
        <v>0</v>
      </c>
      <c r="T1187" s="229">
        <v>0</v>
      </c>
      <c r="U1187" s="229">
        <v>0</v>
      </c>
      <c r="V1187" s="229">
        <v>0</v>
      </c>
      <c r="W1187" s="229">
        <v>0</v>
      </c>
      <c r="X1187" s="229">
        <v>0</v>
      </c>
      <c r="Y1187" s="229">
        <v>0</v>
      </c>
      <c r="Z1187" s="229">
        <v>0</v>
      </c>
      <c r="AA1187" s="229">
        <v>81</v>
      </c>
      <c r="AB1187" s="229">
        <v>0</v>
      </c>
      <c r="AC1187" s="12">
        <v>1</v>
      </c>
      <c r="AD1187" s="14">
        <v>1</v>
      </c>
      <c r="AE1187" s="14">
        <v>0</v>
      </c>
      <c r="AF1187" s="26">
        <v>0</v>
      </c>
      <c r="AG1187" s="12">
        <v>64</v>
      </c>
      <c r="AH1187" s="14">
        <v>0</v>
      </c>
      <c r="AI1187" s="209"/>
      <c r="AJ1187" s="3"/>
      <c r="AK1187" s="3"/>
      <c r="AL1187" s="3"/>
      <c r="AM1187" s="3"/>
      <c r="AN1187" s="3"/>
      <c r="AO1187" s="40"/>
      <c r="AP1187" s="209"/>
      <c r="AQ1187" s="3"/>
      <c r="AR1187" s="40"/>
      <c r="AS1187" s="238"/>
    </row>
    <row r="1188" spans="1:45" s="229" customFormat="1">
      <c r="A1188" s="83" t="s">
        <v>326</v>
      </c>
      <c r="B1188" s="386">
        <v>49.683999999999997</v>
      </c>
      <c r="C1188" s="24" t="s">
        <v>747</v>
      </c>
      <c r="D1188" s="229" t="s">
        <v>620</v>
      </c>
      <c r="E1188" s="229" t="s">
        <v>1</v>
      </c>
      <c r="F1188" s="229">
        <v>253</v>
      </c>
      <c r="G1188" s="40">
        <f>F1188/82</f>
        <v>3.0853658536585367</v>
      </c>
      <c r="H1188" s="14">
        <v>0</v>
      </c>
      <c r="I1188" s="229">
        <v>0</v>
      </c>
      <c r="J1188" s="229">
        <v>1</v>
      </c>
      <c r="K1188" s="26">
        <v>0</v>
      </c>
      <c r="L1188" s="14">
        <v>0</v>
      </c>
      <c r="M1188" s="229">
        <v>0</v>
      </c>
      <c r="N1188" s="229">
        <v>1</v>
      </c>
      <c r="O1188" s="229">
        <v>0</v>
      </c>
      <c r="P1188" s="26">
        <v>1</v>
      </c>
      <c r="Q1188" s="14">
        <v>40</v>
      </c>
      <c r="R1188" s="229">
        <v>0</v>
      </c>
      <c r="S1188" s="229">
        <v>0</v>
      </c>
      <c r="T1188" s="229">
        <v>0</v>
      </c>
      <c r="U1188" s="229">
        <v>0</v>
      </c>
      <c r="V1188" s="229">
        <v>24</v>
      </c>
      <c r="W1188" s="229">
        <v>122</v>
      </c>
      <c r="X1188" s="229">
        <v>0</v>
      </c>
      <c r="Y1188" s="229">
        <v>0</v>
      </c>
      <c r="Z1188" s="229">
        <v>0</v>
      </c>
      <c r="AA1188" s="229">
        <v>0</v>
      </c>
      <c r="AB1188" s="229">
        <v>0</v>
      </c>
      <c r="AC1188" s="12">
        <v>1</v>
      </c>
      <c r="AD1188" s="14">
        <v>1</v>
      </c>
      <c r="AE1188" s="14">
        <v>0</v>
      </c>
      <c r="AF1188" s="26">
        <v>0</v>
      </c>
      <c r="AG1188" s="12">
        <v>64</v>
      </c>
      <c r="AH1188" s="14">
        <v>0</v>
      </c>
      <c r="AI1188" s="209"/>
      <c r="AJ1188" s="3"/>
      <c r="AK1188" s="3"/>
      <c r="AL1188" s="3"/>
      <c r="AM1188" s="3"/>
      <c r="AN1188" s="3"/>
      <c r="AO1188" s="40"/>
      <c r="AP1188" s="209"/>
      <c r="AQ1188" s="3"/>
      <c r="AR1188" s="40"/>
      <c r="AS1188" s="238"/>
    </row>
    <row r="1189" spans="1:45" s="229" customFormat="1">
      <c r="A1189" s="83" t="s">
        <v>326</v>
      </c>
      <c r="B1189" s="386">
        <v>49.683999999999997</v>
      </c>
      <c r="C1189" s="24" t="s">
        <v>747</v>
      </c>
      <c r="D1189" s="229" t="s">
        <v>634</v>
      </c>
      <c r="E1189" s="229" t="s">
        <v>0</v>
      </c>
      <c r="F1189" s="229">
        <v>213</v>
      </c>
      <c r="G1189" s="40">
        <f>F1189/89</f>
        <v>2.393258426966292</v>
      </c>
      <c r="H1189" s="14">
        <v>0</v>
      </c>
      <c r="I1189" s="229">
        <v>0</v>
      </c>
      <c r="J1189" s="229">
        <v>1</v>
      </c>
      <c r="K1189" s="26">
        <v>0</v>
      </c>
      <c r="L1189" s="14">
        <v>0</v>
      </c>
      <c r="M1189" s="229">
        <v>0</v>
      </c>
      <c r="N1189" s="229">
        <v>1</v>
      </c>
      <c r="O1189" s="229">
        <v>0</v>
      </c>
      <c r="P1189" s="26">
        <v>1</v>
      </c>
      <c r="Q1189" s="14">
        <v>15</v>
      </c>
      <c r="R1189" s="229">
        <v>0</v>
      </c>
      <c r="S1189" s="229">
        <v>0</v>
      </c>
      <c r="T1189" s="229">
        <v>0</v>
      </c>
      <c r="U1189" s="229">
        <v>0</v>
      </c>
      <c r="V1189" s="229">
        <v>15</v>
      </c>
      <c r="W1189" s="229">
        <v>24</v>
      </c>
      <c r="X1189" s="229">
        <v>0</v>
      </c>
      <c r="Y1189" s="229">
        <v>0</v>
      </c>
      <c r="Z1189" s="229">
        <v>0</v>
      </c>
      <c r="AA1189" s="229">
        <v>0</v>
      </c>
      <c r="AB1189" s="229">
        <v>0</v>
      </c>
      <c r="AC1189" s="12">
        <v>1</v>
      </c>
      <c r="AD1189" s="14">
        <v>1</v>
      </c>
      <c r="AE1189" s="14">
        <v>0</v>
      </c>
      <c r="AF1189" s="26">
        <v>0</v>
      </c>
      <c r="AG1189" s="12">
        <v>144</v>
      </c>
      <c r="AH1189" s="14">
        <v>0</v>
      </c>
      <c r="AI1189" s="209"/>
      <c r="AJ1189" s="3"/>
      <c r="AK1189" s="3"/>
      <c r="AL1189" s="3"/>
      <c r="AM1189" s="3"/>
      <c r="AN1189" s="3"/>
      <c r="AO1189" s="40"/>
      <c r="AP1189" s="209"/>
      <c r="AQ1189" s="3"/>
      <c r="AR1189" s="40"/>
      <c r="AS1189" s="238"/>
    </row>
    <row r="1190" spans="1:45" s="229" customFormat="1">
      <c r="A1190" s="83" t="s">
        <v>326</v>
      </c>
      <c r="B1190" s="386">
        <v>49.683999999999997</v>
      </c>
      <c r="C1190" s="24" t="s">
        <v>747</v>
      </c>
      <c r="D1190" s="229" t="s">
        <v>634</v>
      </c>
      <c r="E1190" s="229" t="s">
        <v>1</v>
      </c>
      <c r="F1190" s="229">
        <v>246</v>
      </c>
      <c r="G1190" s="40">
        <f>F1190/176</f>
        <v>1.3977272727272727</v>
      </c>
      <c r="H1190" s="14">
        <v>0</v>
      </c>
      <c r="I1190" s="229">
        <v>0</v>
      </c>
      <c r="J1190" s="229">
        <v>1</v>
      </c>
      <c r="K1190" s="26">
        <v>0</v>
      </c>
      <c r="L1190" s="14">
        <v>0</v>
      </c>
      <c r="M1190" s="229">
        <v>0</v>
      </c>
      <c r="N1190" s="229">
        <v>1</v>
      </c>
      <c r="O1190" s="229">
        <v>0</v>
      </c>
      <c r="P1190" s="26">
        <v>1</v>
      </c>
      <c r="Q1190" s="14">
        <v>30</v>
      </c>
      <c r="R1190" s="229">
        <v>0</v>
      </c>
      <c r="S1190" s="229">
        <v>0</v>
      </c>
      <c r="T1190" s="229">
        <v>0</v>
      </c>
      <c r="U1190" s="229">
        <v>0</v>
      </c>
      <c r="V1190" s="229">
        <v>0</v>
      </c>
      <c r="W1190" s="229">
        <v>0</v>
      </c>
      <c r="X1190" s="229">
        <v>0</v>
      </c>
      <c r="Y1190" s="229">
        <v>0</v>
      </c>
      <c r="Z1190" s="229">
        <v>38</v>
      </c>
      <c r="AA1190" s="229">
        <v>97</v>
      </c>
      <c r="AB1190" s="229">
        <v>0</v>
      </c>
      <c r="AC1190" s="12">
        <v>1</v>
      </c>
      <c r="AD1190" s="14">
        <v>1</v>
      </c>
      <c r="AE1190" s="14">
        <v>0</v>
      </c>
      <c r="AF1190" s="26">
        <v>0</v>
      </c>
      <c r="AG1190" s="12">
        <v>144</v>
      </c>
      <c r="AH1190" s="14">
        <v>0</v>
      </c>
      <c r="AI1190" s="209"/>
      <c r="AJ1190" s="3"/>
      <c r="AK1190" s="3"/>
      <c r="AL1190" s="3"/>
      <c r="AM1190" s="3"/>
      <c r="AN1190" s="3"/>
      <c r="AO1190" s="40"/>
      <c r="AP1190" s="209"/>
      <c r="AQ1190" s="3"/>
      <c r="AR1190" s="40"/>
      <c r="AS1190" s="238"/>
    </row>
    <row r="1191" spans="1:45" s="229" customFormat="1">
      <c r="A1191" s="83" t="s">
        <v>326</v>
      </c>
      <c r="B1191" s="386">
        <v>49.683999999999997</v>
      </c>
      <c r="C1191" s="24" t="s">
        <v>747</v>
      </c>
      <c r="D1191" s="229" t="s">
        <v>634</v>
      </c>
      <c r="E1191" s="229" t="s">
        <v>2</v>
      </c>
      <c r="F1191" s="229">
        <v>388</v>
      </c>
      <c r="G1191" s="40">
        <f>F1191/103</f>
        <v>3.766990291262136</v>
      </c>
      <c r="H1191" s="14">
        <v>0</v>
      </c>
      <c r="I1191" s="229">
        <v>0</v>
      </c>
      <c r="J1191" s="229">
        <v>1</v>
      </c>
      <c r="K1191" s="26">
        <v>0</v>
      </c>
      <c r="L1191" s="14">
        <v>0</v>
      </c>
      <c r="M1191" s="229">
        <v>0</v>
      </c>
      <c r="N1191" s="229">
        <v>1</v>
      </c>
      <c r="O1191" s="229">
        <v>0</v>
      </c>
      <c r="P1191" s="26">
        <v>1</v>
      </c>
      <c r="Q1191" s="14">
        <v>40</v>
      </c>
      <c r="R1191" s="229">
        <v>0</v>
      </c>
      <c r="S1191" s="229">
        <v>0</v>
      </c>
      <c r="T1191" s="229">
        <v>0</v>
      </c>
      <c r="U1191" s="229">
        <v>0</v>
      </c>
      <c r="V1191" s="229">
        <v>0</v>
      </c>
      <c r="W1191" s="229">
        <v>0</v>
      </c>
      <c r="X1191" s="229">
        <v>0</v>
      </c>
      <c r="Y1191" s="229">
        <v>0</v>
      </c>
      <c r="Z1191" s="229">
        <v>54</v>
      </c>
      <c r="AA1191" s="229">
        <v>73</v>
      </c>
      <c r="AB1191" s="229">
        <v>0</v>
      </c>
      <c r="AC1191" s="12">
        <v>1</v>
      </c>
      <c r="AD1191" s="14">
        <v>1</v>
      </c>
      <c r="AE1191" s="14">
        <v>0</v>
      </c>
      <c r="AF1191" s="26">
        <v>0</v>
      </c>
      <c r="AG1191" s="12">
        <v>144</v>
      </c>
      <c r="AH1191" s="14">
        <v>0</v>
      </c>
      <c r="AI1191" s="209"/>
      <c r="AJ1191" s="3"/>
      <c r="AK1191" s="3"/>
      <c r="AL1191" s="3"/>
      <c r="AM1191" s="3"/>
      <c r="AN1191" s="3"/>
      <c r="AO1191" s="40"/>
      <c r="AP1191" s="209"/>
      <c r="AQ1191" s="3"/>
      <c r="AR1191" s="40"/>
      <c r="AS1191" s="238"/>
    </row>
    <row r="1192" spans="1:45" s="229" customFormat="1">
      <c r="A1192" s="83" t="s">
        <v>326</v>
      </c>
      <c r="B1192" s="386">
        <v>49.683999999999997</v>
      </c>
      <c r="C1192" s="24" t="s">
        <v>747</v>
      </c>
      <c r="D1192" s="229" t="s">
        <v>630</v>
      </c>
      <c r="E1192" s="229" t="s">
        <v>0</v>
      </c>
      <c r="F1192" s="229">
        <v>368</v>
      </c>
      <c r="G1192" s="40">
        <f>F1192/315</f>
        <v>1.1682539682539683</v>
      </c>
      <c r="H1192" s="14">
        <v>0</v>
      </c>
      <c r="I1192" s="229">
        <v>0</v>
      </c>
      <c r="J1192" s="229">
        <v>0</v>
      </c>
      <c r="K1192" s="26">
        <v>1</v>
      </c>
      <c r="L1192" s="14">
        <v>0</v>
      </c>
      <c r="M1192" s="229">
        <v>0</v>
      </c>
      <c r="N1192" s="229">
        <v>1</v>
      </c>
      <c r="O1192" s="229">
        <v>0</v>
      </c>
      <c r="P1192" s="26">
        <v>1</v>
      </c>
      <c r="Q1192" s="14">
        <v>20</v>
      </c>
      <c r="R1192" s="229">
        <v>0</v>
      </c>
      <c r="S1192" s="229">
        <v>0</v>
      </c>
      <c r="T1192" s="229">
        <v>0</v>
      </c>
      <c r="U1192" s="229">
        <v>0</v>
      </c>
      <c r="V1192" s="229">
        <v>66</v>
      </c>
      <c r="W1192" s="229">
        <v>100</v>
      </c>
      <c r="X1192" s="229">
        <v>0</v>
      </c>
      <c r="Y1192" s="229">
        <v>0</v>
      </c>
      <c r="Z1192" s="229">
        <v>52</v>
      </c>
      <c r="AA1192" s="229">
        <v>109</v>
      </c>
      <c r="AB1192" s="229">
        <v>0</v>
      </c>
      <c r="AC1192" s="12">
        <v>1</v>
      </c>
      <c r="AD1192" s="14">
        <v>1</v>
      </c>
      <c r="AE1192" s="14">
        <v>0</v>
      </c>
      <c r="AF1192" s="26">
        <v>0</v>
      </c>
      <c r="AG1192" s="12">
        <v>115</v>
      </c>
      <c r="AH1192" s="14">
        <v>0</v>
      </c>
      <c r="AI1192" s="209"/>
      <c r="AJ1192" s="3"/>
      <c r="AK1192" s="3"/>
      <c r="AL1192" s="3"/>
      <c r="AM1192" s="3"/>
      <c r="AN1192" s="3"/>
      <c r="AO1192" s="40"/>
      <c r="AP1192" s="209"/>
      <c r="AQ1192" s="3"/>
      <c r="AR1192" s="40"/>
      <c r="AS1192" s="238"/>
    </row>
    <row r="1193" spans="1:45" s="229" customFormat="1">
      <c r="A1193" s="83" t="s">
        <v>326</v>
      </c>
      <c r="B1193" s="386">
        <v>49.683999999999997</v>
      </c>
      <c r="C1193" s="24" t="s">
        <v>747</v>
      </c>
      <c r="D1193" s="229" t="s">
        <v>630</v>
      </c>
      <c r="E1193" s="229" t="s">
        <v>1</v>
      </c>
      <c r="F1193" s="229">
        <v>510</v>
      </c>
      <c r="G1193" s="40">
        <f>F1193/492</f>
        <v>1.0365853658536586</v>
      </c>
      <c r="H1193" s="14">
        <v>0</v>
      </c>
      <c r="I1193" s="229">
        <v>0</v>
      </c>
      <c r="J1193" s="229">
        <v>1</v>
      </c>
      <c r="K1193" s="26">
        <v>0</v>
      </c>
      <c r="L1193" s="14">
        <v>0</v>
      </c>
      <c r="M1193" s="229">
        <v>0</v>
      </c>
      <c r="N1193" s="229">
        <v>1</v>
      </c>
      <c r="O1193" s="229">
        <v>0</v>
      </c>
      <c r="P1193" s="26">
        <v>1</v>
      </c>
      <c r="Q1193" s="14">
        <v>10</v>
      </c>
      <c r="R1193" s="229">
        <v>0</v>
      </c>
      <c r="S1193" s="229">
        <v>0</v>
      </c>
      <c r="T1193" s="229">
        <v>0</v>
      </c>
      <c r="U1193" s="229">
        <v>0</v>
      </c>
      <c r="V1193" s="229">
        <v>0</v>
      </c>
      <c r="W1193" s="229">
        <v>0</v>
      </c>
      <c r="X1193" s="229">
        <v>0</v>
      </c>
      <c r="Y1193" s="229">
        <v>0</v>
      </c>
      <c r="Z1193" s="229">
        <v>27</v>
      </c>
      <c r="AA1193" s="229">
        <v>97</v>
      </c>
      <c r="AB1193" s="229">
        <v>0</v>
      </c>
      <c r="AC1193" s="12">
        <v>1</v>
      </c>
      <c r="AD1193" s="14">
        <v>1</v>
      </c>
      <c r="AE1193" s="14">
        <v>0</v>
      </c>
      <c r="AF1193" s="26">
        <v>0</v>
      </c>
      <c r="AG1193" s="12">
        <v>115</v>
      </c>
      <c r="AH1193" s="14">
        <v>0</v>
      </c>
      <c r="AI1193" s="209"/>
      <c r="AJ1193" s="3"/>
      <c r="AK1193" s="3"/>
      <c r="AL1193" s="3"/>
      <c r="AM1193" s="3"/>
      <c r="AN1193" s="3"/>
      <c r="AO1193" s="40"/>
      <c r="AP1193" s="209"/>
      <c r="AQ1193" s="3"/>
      <c r="AR1193" s="40"/>
      <c r="AS1193" s="238"/>
    </row>
    <row r="1194" spans="1:45" s="229" customFormat="1">
      <c r="A1194" s="83" t="s">
        <v>326</v>
      </c>
      <c r="B1194" s="386">
        <v>49.683999999999997</v>
      </c>
      <c r="C1194" s="24" t="s">
        <v>747</v>
      </c>
      <c r="D1194" s="229" t="s">
        <v>630</v>
      </c>
      <c r="E1194" s="229" t="s">
        <v>2</v>
      </c>
      <c r="F1194" s="229">
        <v>297</v>
      </c>
      <c r="G1194" s="40">
        <f>F1194/277</f>
        <v>1.0722021660649819</v>
      </c>
      <c r="H1194" s="14">
        <v>0</v>
      </c>
      <c r="I1194" s="229">
        <v>0</v>
      </c>
      <c r="J1194" s="229">
        <v>0</v>
      </c>
      <c r="K1194" s="26">
        <v>1</v>
      </c>
      <c r="L1194" s="14">
        <v>0</v>
      </c>
      <c r="M1194" s="229">
        <v>0</v>
      </c>
      <c r="N1194" s="229">
        <v>0</v>
      </c>
      <c r="O1194" s="229">
        <v>0</v>
      </c>
      <c r="P1194" s="26">
        <v>0</v>
      </c>
      <c r="Q1194" s="14">
        <v>5</v>
      </c>
      <c r="R1194" s="229">
        <v>14</v>
      </c>
      <c r="S1194" s="229">
        <v>21</v>
      </c>
      <c r="T1194" s="229">
        <v>0</v>
      </c>
      <c r="U1194" s="229">
        <v>0</v>
      </c>
      <c r="V1194" s="229">
        <v>20</v>
      </c>
      <c r="W1194" s="229">
        <v>125</v>
      </c>
      <c r="X1194" s="229">
        <v>0</v>
      </c>
      <c r="Y1194" s="229">
        <v>0</v>
      </c>
      <c r="Z1194" s="229">
        <v>0</v>
      </c>
      <c r="AA1194" s="229">
        <v>0</v>
      </c>
      <c r="AB1194" s="229">
        <v>0</v>
      </c>
      <c r="AC1194" s="12">
        <v>1</v>
      </c>
      <c r="AD1194" s="14">
        <v>1</v>
      </c>
      <c r="AE1194" s="14">
        <v>0</v>
      </c>
      <c r="AF1194" s="26">
        <v>0</v>
      </c>
      <c r="AG1194" s="12">
        <v>115</v>
      </c>
      <c r="AH1194" s="14">
        <v>0</v>
      </c>
      <c r="AI1194" s="209"/>
      <c r="AJ1194" s="3"/>
      <c r="AK1194" s="3"/>
      <c r="AL1194" s="3"/>
      <c r="AM1194" s="3"/>
      <c r="AN1194" s="3"/>
      <c r="AO1194" s="40"/>
      <c r="AP1194" s="209"/>
      <c r="AQ1194" s="3"/>
      <c r="AR1194" s="40"/>
      <c r="AS1194" s="238"/>
    </row>
    <row r="1195" spans="1:45" s="229" customFormat="1">
      <c r="A1195" s="83" t="s">
        <v>326</v>
      </c>
      <c r="B1195" s="386">
        <v>49.683999999999997</v>
      </c>
      <c r="C1195" s="24" t="s">
        <v>747</v>
      </c>
      <c r="D1195" s="229" t="s">
        <v>637</v>
      </c>
      <c r="F1195" s="229">
        <v>824</v>
      </c>
      <c r="G1195" s="40">
        <f>F1195/106</f>
        <v>7.7735849056603774</v>
      </c>
      <c r="H1195" s="14">
        <v>0</v>
      </c>
      <c r="I1195" s="229">
        <v>0</v>
      </c>
      <c r="J1195" s="229">
        <v>1</v>
      </c>
      <c r="K1195" s="26">
        <v>0</v>
      </c>
      <c r="L1195" s="14">
        <v>0</v>
      </c>
      <c r="M1195" s="229">
        <v>0</v>
      </c>
      <c r="N1195" s="229">
        <v>1</v>
      </c>
      <c r="O1195" s="229">
        <v>0</v>
      </c>
      <c r="P1195" s="26">
        <v>1</v>
      </c>
      <c r="Q1195" s="14">
        <v>20</v>
      </c>
      <c r="R1195" s="229">
        <v>0</v>
      </c>
      <c r="S1195" s="229">
        <v>0</v>
      </c>
      <c r="T1195" s="229">
        <v>0</v>
      </c>
      <c r="U1195" s="229">
        <v>0</v>
      </c>
      <c r="V1195" s="229">
        <v>11</v>
      </c>
      <c r="W1195" s="229">
        <v>48</v>
      </c>
      <c r="X1195" s="229">
        <v>0</v>
      </c>
      <c r="Y1195" s="229">
        <v>0</v>
      </c>
      <c r="Z1195" s="229">
        <v>32</v>
      </c>
      <c r="AA1195" s="229">
        <v>118</v>
      </c>
      <c r="AB1195" s="229">
        <v>0</v>
      </c>
      <c r="AC1195" s="12">
        <v>1</v>
      </c>
      <c r="AD1195" s="14">
        <v>1</v>
      </c>
      <c r="AE1195" s="14">
        <v>0</v>
      </c>
      <c r="AF1195" s="26">
        <v>0</v>
      </c>
      <c r="AG1195" s="12">
        <v>105</v>
      </c>
      <c r="AH1195" s="14">
        <v>0</v>
      </c>
      <c r="AI1195" s="209"/>
      <c r="AJ1195" s="3"/>
      <c r="AK1195" s="3"/>
      <c r="AL1195" s="3"/>
      <c r="AM1195" s="3"/>
      <c r="AN1195" s="3"/>
      <c r="AO1195" s="40"/>
      <c r="AP1195" s="209"/>
      <c r="AQ1195" s="3"/>
      <c r="AR1195" s="40"/>
      <c r="AS1195" s="238"/>
    </row>
    <row r="1196" spans="1:45" s="229" customFormat="1">
      <c r="A1196" s="83" t="s">
        <v>326</v>
      </c>
      <c r="B1196" s="386">
        <v>49.683999999999997</v>
      </c>
      <c r="C1196" s="24" t="s">
        <v>747</v>
      </c>
      <c r="D1196" s="229" t="s">
        <v>639</v>
      </c>
      <c r="E1196" s="229" t="s">
        <v>0</v>
      </c>
      <c r="F1196" s="229">
        <v>272</v>
      </c>
      <c r="G1196" s="40">
        <f>F1196/246</f>
        <v>1.1056910569105691</v>
      </c>
      <c r="H1196" s="14">
        <v>1</v>
      </c>
      <c r="I1196" s="229">
        <v>0</v>
      </c>
      <c r="J1196" s="229">
        <v>1</v>
      </c>
      <c r="K1196" s="26">
        <v>0</v>
      </c>
      <c r="L1196" s="14">
        <v>0</v>
      </c>
      <c r="M1196" s="229">
        <v>0</v>
      </c>
      <c r="N1196" s="229">
        <v>1</v>
      </c>
      <c r="O1196" s="229">
        <v>0</v>
      </c>
      <c r="P1196" s="26">
        <v>1</v>
      </c>
      <c r="Q1196" s="14">
        <v>0</v>
      </c>
      <c r="R1196" s="229">
        <v>0</v>
      </c>
      <c r="S1196" s="229">
        <v>0</v>
      </c>
      <c r="T1196" s="229">
        <v>0</v>
      </c>
      <c r="U1196" s="229">
        <v>0</v>
      </c>
      <c r="V1196" s="229">
        <v>0</v>
      </c>
      <c r="W1196" s="229">
        <v>0</v>
      </c>
      <c r="X1196" s="229">
        <v>0</v>
      </c>
      <c r="Y1196" s="229">
        <v>0</v>
      </c>
      <c r="Z1196" s="229">
        <v>0</v>
      </c>
      <c r="AA1196" s="229">
        <v>0</v>
      </c>
      <c r="AB1196" s="229">
        <v>0</v>
      </c>
      <c r="AC1196" s="12">
        <v>2</v>
      </c>
      <c r="AD1196" s="14">
        <v>2</v>
      </c>
      <c r="AE1196" s="14">
        <v>90</v>
      </c>
      <c r="AF1196" s="26">
        <v>272</v>
      </c>
      <c r="AG1196" s="12">
        <v>90</v>
      </c>
      <c r="AH1196" s="14">
        <v>0</v>
      </c>
      <c r="AI1196" s="209">
        <v>86.555941076619462</v>
      </c>
      <c r="AJ1196" s="3"/>
      <c r="AK1196" s="3"/>
      <c r="AL1196" s="3"/>
      <c r="AM1196" s="3"/>
      <c r="AN1196" s="3"/>
      <c r="AO1196" s="40"/>
      <c r="AP1196" s="209">
        <v>85.440929624992108</v>
      </c>
      <c r="AQ1196" s="3"/>
      <c r="AR1196" s="40"/>
      <c r="AS1196" s="238"/>
    </row>
    <row r="1197" spans="1:45" s="229" customFormat="1">
      <c r="A1197" s="83" t="s">
        <v>326</v>
      </c>
      <c r="B1197" s="386">
        <v>49.683999999999997</v>
      </c>
      <c r="C1197" s="24" t="s">
        <v>747</v>
      </c>
      <c r="D1197" s="229" t="s">
        <v>639</v>
      </c>
      <c r="E1197" s="229" t="s">
        <v>1</v>
      </c>
      <c r="F1197" s="229">
        <v>268</v>
      </c>
      <c r="G1197" s="40">
        <f>F1197/152</f>
        <v>1.763157894736842</v>
      </c>
      <c r="H1197" s="14">
        <v>0</v>
      </c>
      <c r="I1197" s="229">
        <v>0</v>
      </c>
      <c r="J1197" s="229">
        <v>1</v>
      </c>
      <c r="K1197" s="26">
        <v>0</v>
      </c>
      <c r="L1197" s="14">
        <v>0</v>
      </c>
      <c r="M1197" s="229">
        <v>0</v>
      </c>
      <c r="N1197" s="229">
        <v>1</v>
      </c>
      <c r="O1197" s="229">
        <v>0</v>
      </c>
      <c r="P1197" s="26">
        <v>1</v>
      </c>
      <c r="Q1197" s="14">
        <v>30</v>
      </c>
      <c r="R1197" s="229">
        <v>0</v>
      </c>
      <c r="S1197" s="229">
        <v>0</v>
      </c>
      <c r="T1197" s="229">
        <v>0</v>
      </c>
      <c r="U1197" s="229">
        <v>0</v>
      </c>
      <c r="V1197" s="229">
        <v>52</v>
      </c>
      <c r="W1197" s="229">
        <v>106</v>
      </c>
      <c r="X1197" s="229">
        <v>0</v>
      </c>
      <c r="Y1197" s="229">
        <v>0</v>
      </c>
      <c r="Z1197" s="229">
        <v>64</v>
      </c>
      <c r="AA1197" s="229">
        <v>119</v>
      </c>
      <c r="AB1197" s="229">
        <v>0</v>
      </c>
      <c r="AC1197" s="12">
        <v>1</v>
      </c>
      <c r="AD1197" s="14">
        <v>1</v>
      </c>
      <c r="AE1197" s="14">
        <v>0</v>
      </c>
      <c r="AF1197" s="26">
        <v>0</v>
      </c>
      <c r="AG1197" s="12">
        <v>90</v>
      </c>
      <c r="AH1197" s="14">
        <v>0</v>
      </c>
      <c r="AI1197" s="209">
        <v>87.058625808878162</v>
      </c>
      <c r="AJ1197" s="3"/>
      <c r="AK1197" s="3"/>
      <c r="AL1197" s="3"/>
      <c r="AM1197" s="3"/>
      <c r="AN1197" s="3"/>
      <c r="AO1197" s="40"/>
      <c r="AP1197" s="209">
        <v>85.126132240736297</v>
      </c>
      <c r="AQ1197" s="3"/>
      <c r="AR1197" s="40"/>
      <c r="AS1197" s="238"/>
    </row>
    <row r="1198" spans="1:45" s="229" customFormat="1">
      <c r="A1198" s="83" t="s">
        <v>326</v>
      </c>
      <c r="B1198" s="386">
        <v>49.683999999999997</v>
      </c>
      <c r="C1198" s="24" t="s">
        <v>747</v>
      </c>
      <c r="D1198" s="229" t="s">
        <v>641</v>
      </c>
      <c r="F1198" s="229">
        <v>386</v>
      </c>
      <c r="G1198" s="40">
        <f>F1198/168</f>
        <v>2.2976190476190474</v>
      </c>
      <c r="H1198" s="14">
        <v>0</v>
      </c>
      <c r="I1198" s="229">
        <v>0</v>
      </c>
      <c r="J1198" s="229">
        <v>1</v>
      </c>
      <c r="K1198" s="26">
        <v>0</v>
      </c>
      <c r="L1198" s="14">
        <v>0</v>
      </c>
      <c r="M1198" s="229">
        <v>0</v>
      </c>
      <c r="N1198" s="229">
        <v>1</v>
      </c>
      <c r="O1198" s="229">
        <v>0</v>
      </c>
      <c r="P1198" s="26">
        <v>1</v>
      </c>
      <c r="Q1198" s="14">
        <v>20</v>
      </c>
      <c r="R1198" s="229">
        <v>0</v>
      </c>
      <c r="S1198" s="229">
        <v>0</v>
      </c>
      <c r="T1198" s="229">
        <v>0</v>
      </c>
      <c r="U1198" s="229">
        <v>0</v>
      </c>
      <c r="V1198" s="229">
        <v>0</v>
      </c>
      <c r="W1198" s="229">
        <v>0</v>
      </c>
      <c r="X1198" s="229">
        <v>0</v>
      </c>
      <c r="Y1198" s="229">
        <v>0</v>
      </c>
      <c r="Z1198" s="229">
        <v>6</v>
      </c>
      <c r="AA1198" s="229">
        <v>106</v>
      </c>
      <c r="AB1198" s="229">
        <v>0</v>
      </c>
      <c r="AC1198" s="12">
        <v>1</v>
      </c>
      <c r="AD1198" s="14">
        <v>1</v>
      </c>
      <c r="AE1198" s="14">
        <v>0</v>
      </c>
      <c r="AF1198" s="26">
        <v>0</v>
      </c>
      <c r="AG1198" s="12">
        <v>91</v>
      </c>
      <c r="AH1198" s="14">
        <v>0</v>
      </c>
      <c r="AI1198" s="209"/>
      <c r="AJ1198" s="3"/>
      <c r="AK1198" s="3"/>
      <c r="AL1198" s="3"/>
      <c r="AM1198" s="3"/>
      <c r="AN1198" s="3"/>
      <c r="AO1198" s="40"/>
      <c r="AP1198" s="209"/>
      <c r="AQ1198" s="3"/>
      <c r="AR1198" s="40"/>
      <c r="AS1198" s="238"/>
    </row>
    <row r="1199" spans="1:45" s="229" customFormat="1">
      <c r="A1199" s="83" t="s">
        <v>326</v>
      </c>
      <c r="B1199" s="386">
        <v>49.683999999999997</v>
      </c>
      <c r="C1199" s="24" t="s">
        <v>747</v>
      </c>
      <c r="D1199" s="229" t="s">
        <v>647</v>
      </c>
      <c r="E1199" s="229" t="s">
        <v>0</v>
      </c>
      <c r="F1199" s="229">
        <v>345</v>
      </c>
      <c r="G1199" s="40">
        <f>F1199/278</f>
        <v>1.2410071942446044</v>
      </c>
      <c r="H1199" s="14">
        <v>0</v>
      </c>
      <c r="I1199" s="229">
        <v>0</v>
      </c>
      <c r="J1199" s="229">
        <v>1</v>
      </c>
      <c r="K1199" s="26">
        <v>1</v>
      </c>
      <c r="L1199" s="14">
        <v>0</v>
      </c>
      <c r="M1199" s="229">
        <v>0</v>
      </c>
      <c r="N1199" s="229">
        <v>1</v>
      </c>
      <c r="O1199" s="229">
        <v>0</v>
      </c>
      <c r="P1199" s="26">
        <v>1</v>
      </c>
      <c r="Q1199" s="14">
        <v>1</v>
      </c>
      <c r="R1199" s="229">
        <v>0</v>
      </c>
      <c r="S1199" s="229">
        <v>17</v>
      </c>
      <c r="T1199" s="229">
        <v>0</v>
      </c>
      <c r="U1199" s="229">
        <v>0</v>
      </c>
      <c r="V1199" s="229">
        <v>0</v>
      </c>
      <c r="W1199" s="229">
        <v>0</v>
      </c>
      <c r="X1199" s="229">
        <v>0</v>
      </c>
      <c r="Y1199" s="229">
        <v>0</v>
      </c>
      <c r="Z1199" s="229">
        <v>0</v>
      </c>
      <c r="AB1199" s="229">
        <v>0</v>
      </c>
      <c r="AC1199" s="12">
        <v>2</v>
      </c>
      <c r="AD1199" s="14">
        <v>2</v>
      </c>
      <c r="AE1199" s="14">
        <v>113</v>
      </c>
      <c r="AF1199" s="26">
        <v>326</v>
      </c>
      <c r="AG1199" s="12">
        <v>95</v>
      </c>
      <c r="AH1199" s="14">
        <v>0</v>
      </c>
      <c r="AI1199" s="209">
        <v>86.782537594977214</v>
      </c>
      <c r="AJ1199" s="3"/>
      <c r="AK1199" s="3"/>
      <c r="AL1199" s="3"/>
      <c r="AM1199" s="3"/>
      <c r="AN1199" s="3"/>
      <c r="AO1199" s="40"/>
      <c r="AP1199" s="209">
        <v>85.227649632057648</v>
      </c>
      <c r="AQ1199" s="3"/>
      <c r="AR1199" s="40"/>
      <c r="AS1199" s="238"/>
    </row>
    <row r="1200" spans="1:45" s="229" customFormat="1">
      <c r="A1200" s="83" t="s">
        <v>326</v>
      </c>
      <c r="B1200" s="386">
        <v>49.683999999999997</v>
      </c>
      <c r="C1200" s="24" t="s">
        <v>747</v>
      </c>
      <c r="D1200" s="229" t="s">
        <v>647</v>
      </c>
      <c r="E1200" s="229" t="s">
        <v>1</v>
      </c>
      <c r="F1200" s="229">
        <v>413</v>
      </c>
      <c r="G1200" s="40">
        <f>F1200/328</f>
        <v>1.2591463414634145</v>
      </c>
      <c r="H1200" s="14">
        <v>0</v>
      </c>
      <c r="I1200" s="229">
        <v>0</v>
      </c>
      <c r="J1200" s="229">
        <v>1</v>
      </c>
      <c r="K1200" s="26">
        <v>0</v>
      </c>
      <c r="L1200" s="14">
        <v>0</v>
      </c>
      <c r="M1200" s="229">
        <v>0</v>
      </c>
      <c r="N1200" s="229">
        <v>1</v>
      </c>
      <c r="O1200" s="229">
        <v>0</v>
      </c>
      <c r="P1200" s="26">
        <v>1</v>
      </c>
      <c r="Q1200" s="14">
        <v>5</v>
      </c>
      <c r="R1200" s="229">
        <v>0</v>
      </c>
      <c r="S1200" s="229">
        <v>0</v>
      </c>
      <c r="T1200" s="229">
        <v>0</v>
      </c>
      <c r="U1200" s="229">
        <v>0</v>
      </c>
      <c r="V1200" s="229">
        <v>25</v>
      </c>
      <c r="W1200" s="229">
        <v>33</v>
      </c>
      <c r="X1200" s="229">
        <v>0</v>
      </c>
      <c r="Y1200" s="229">
        <v>51</v>
      </c>
      <c r="Z1200" s="229">
        <v>0</v>
      </c>
      <c r="AA1200" s="229">
        <v>0</v>
      </c>
      <c r="AB1200" s="229">
        <v>0</v>
      </c>
      <c r="AC1200" s="12">
        <v>1</v>
      </c>
      <c r="AD1200" s="14">
        <v>1</v>
      </c>
      <c r="AE1200" s="14">
        <v>0</v>
      </c>
      <c r="AF1200" s="26">
        <v>0</v>
      </c>
      <c r="AG1200" s="12">
        <v>95</v>
      </c>
      <c r="AH1200" s="14">
        <v>0</v>
      </c>
      <c r="AI1200" s="209">
        <v>86.599533438939417</v>
      </c>
      <c r="AJ1200" s="3">
        <v>86.762829162193455</v>
      </c>
      <c r="AK1200" s="3"/>
      <c r="AL1200" s="3"/>
      <c r="AM1200" s="3"/>
      <c r="AN1200" s="3"/>
      <c r="AO1200" s="40"/>
      <c r="AP1200" s="209">
        <v>85.181442043325603</v>
      </c>
      <c r="AQ1200" s="3"/>
      <c r="AR1200" s="40"/>
      <c r="AS1200" s="238"/>
    </row>
    <row r="1201" spans="1:45" s="229" customFormat="1">
      <c r="A1201" s="83" t="s">
        <v>326</v>
      </c>
      <c r="B1201" s="386">
        <v>49.683999999999997</v>
      </c>
      <c r="C1201" s="24" t="s">
        <v>747</v>
      </c>
      <c r="D1201" s="229" t="s">
        <v>649</v>
      </c>
      <c r="E1201" s="229" t="s">
        <v>0</v>
      </c>
      <c r="F1201" s="229">
        <v>160</v>
      </c>
      <c r="G1201" s="40">
        <f>F1201/119</f>
        <v>1.3445378151260505</v>
      </c>
      <c r="H1201" s="14">
        <v>0</v>
      </c>
      <c r="I1201" s="229">
        <v>0</v>
      </c>
      <c r="J1201" s="229">
        <v>1</v>
      </c>
      <c r="K1201" s="26">
        <v>0</v>
      </c>
      <c r="L1201" s="14">
        <v>0</v>
      </c>
      <c r="M1201" s="229">
        <v>0</v>
      </c>
      <c r="N1201" s="229">
        <v>0</v>
      </c>
      <c r="O1201" s="229">
        <v>0</v>
      </c>
      <c r="P1201" s="26">
        <v>0</v>
      </c>
      <c r="Q1201" s="14">
        <v>20</v>
      </c>
      <c r="R1201" s="229">
        <v>0</v>
      </c>
      <c r="S1201" s="229">
        <v>0</v>
      </c>
      <c r="T1201" s="229">
        <v>0</v>
      </c>
      <c r="U1201" s="229">
        <v>0</v>
      </c>
      <c r="V1201" s="229">
        <v>39</v>
      </c>
      <c r="W1201" s="229">
        <v>116</v>
      </c>
      <c r="X1201" s="229">
        <v>0</v>
      </c>
      <c r="Y1201" s="229">
        <v>0</v>
      </c>
      <c r="Z1201" s="229">
        <v>0</v>
      </c>
      <c r="AA1201" s="229">
        <v>0</v>
      </c>
      <c r="AB1201" s="229">
        <v>0</v>
      </c>
      <c r="AC1201" s="12">
        <v>1</v>
      </c>
      <c r="AD1201" s="14">
        <v>1</v>
      </c>
      <c r="AE1201" s="14">
        <v>0</v>
      </c>
      <c r="AF1201" s="26">
        <v>0</v>
      </c>
      <c r="AG1201" s="12">
        <v>185</v>
      </c>
      <c r="AH1201" s="14">
        <v>0</v>
      </c>
      <c r="AI1201" s="209">
        <v>86.022312530705435</v>
      </c>
      <c r="AJ1201" s="3"/>
      <c r="AK1201" s="3"/>
      <c r="AL1201" s="3"/>
      <c r="AM1201" s="3"/>
      <c r="AN1201" s="3"/>
      <c r="AO1201" s="40"/>
      <c r="AP1201" s="209"/>
      <c r="AQ1201" s="3"/>
      <c r="AR1201" s="40"/>
      <c r="AS1201" s="238"/>
    </row>
    <row r="1202" spans="1:45" s="229" customFormat="1">
      <c r="A1202" s="83" t="s">
        <v>326</v>
      </c>
      <c r="B1202" s="386">
        <v>49.683999999999997</v>
      </c>
      <c r="C1202" s="24" t="s">
        <v>747</v>
      </c>
      <c r="D1202" s="229" t="s">
        <v>649</v>
      </c>
      <c r="E1202" s="229" t="s">
        <v>1</v>
      </c>
      <c r="F1202" s="229">
        <v>207</v>
      </c>
      <c r="G1202" s="40">
        <f>F1202/136</f>
        <v>1.5220588235294117</v>
      </c>
      <c r="H1202" s="14">
        <v>1</v>
      </c>
      <c r="I1202" s="229">
        <v>0</v>
      </c>
      <c r="J1202" s="229">
        <v>0</v>
      </c>
      <c r="K1202" s="26">
        <v>0</v>
      </c>
      <c r="L1202" s="14">
        <v>0</v>
      </c>
      <c r="M1202" s="229">
        <v>0</v>
      </c>
      <c r="N1202" s="229">
        <v>0</v>
      </c>
      <c r="O1202" s="229">
        <v>0</v>
      </c>
      <c r="P1202" s="26">
        <v>0</v>
      </c>
      <c r="Q1202" s="14">
        <v>0</v>
      </c>
      <c r="R1202" s="229">
        <v>0</v>
      </c>
      <c r="S1202" s="229">
        <v>0</v>
      </c>
      <c r="T1202" s="229">
        <v>0</v>
      </c>
      <c r="U1202" s="229">
        <v>0</v>
      </c>
      <c r="V1202" s="229">
        <v>0</v>
      </c>
      <c r="W1202" s="229">
        <v>0</v>
      </c>
      <c r="X1202" s="229">
        <v>0</v>
      </c>
      <c r="Y1202" s="229">
        <v>0</v>
      </c>
      <c r="Z1202" s="229">
        <v>0</v>
      </c>
      <c r="AA1202" s="229">
        <v>0</v>
      </c>
      <c r="AB1202" s="229">
        <v>0</v>
      </c>
      <c r="AC1202" s="12">
        <v>1</v>
      </c>
      <c r="AD1202" s="14">
        <v>1</v>
      </c>
      <c r="AE1202" s="14">
        <v>0</v>
      </c>
      <c r="AF1202" s="26">
        <v>0</v>
      </c>
      <c r="AG1202" s="12">
        <v>185</v>
      </c>
      <c r="AH1202" s="14">
        <v>0</v>
      </c>
      <c r="AI1202" s="209">
        <v>86.751289154785923</v>
      </c>
      <c r="AJ1202" s="3"/>
      <c r="AK1202" s="3"/>
      <c r="AL1202" s="3"/>
      <c r="AM1202" s="3"/>
      <c r="AN1202" s="3"/>
      <c r="AO1202" s="40"/>
      <c r="AP1202" s="209"/>
      <c r="AQ1202" s="3"/>
      <c r="AR1202" s="40"/>
      <c r="AS1202" s="238"/>
    </row>
    <row r="1203" spans="1:45" s="229" customFormat="1">
      <c r="A1203" s="83" t="s">
        <v>326</v>
      </c>
      <c r="B1203" s="386">
        <v>49.683999999999997</v>
      </c>
      <c r="C1203" s="24" t="s">
        <v>747</v>
      </c>
      <c r="D1203" s="229" t="s">
        <v>649</v>
      </c>
      <c r="E1203" s="229" t="s">
        <v>2</v>
      </c>
      <c r="F1203" s="229">
        <v>582</v>
      </c>
      <c r="G1203" s="40">
        <f>F1203/360</f>
        <v>1.6166666666666667</v>
      </c>
      <c r="H1203" s="14">
        <v>1</v>
      </c>
      <c r="I1203" s="229">
        <v>0</v>
      </c>
      <c r="J1203" s="229">
        <v>1</v>
      </c>
      <c r="K1203" s="26">
        <v>1</v>
      </c>
      <c r="L1203" s="14">
        <v>0</v>
      </c>
      <c r="M1203" s="229">
        <v>0</v>
      </c>
      <c r="N1203" s="229">
        <v>0</v>
      </c>
      <c r="O1203" s="229">
        <v>0</v>
      </c>
      <c r="P1203" s="26">
        <v>0</v>
      </c>
      <c r="Q1203" s="14">
        <v>1</v>
      </c>
      <c r="R1203" s="229">
        <v>0</v>
      </c>
      <c r="S1203" s="229">
        <v>0</v>
      </c>
      <c r="T1203" s="229">
        <v>0</v>
      </c>
      <c r="U1203" s="229">
        <v>0</v>
      </c>
      <c r="V1203" s="229">
        <v>0</v>
      </c>
      <c r="W1203" s="229">
        <v>18</v>
      </c>
      <c r="X1203" s="229">
        <v>0</v>
      </c>
      <c r="Y1203" s="229">
        <v>0</v>
      </c>
      <c r="Z1203" s="229">
        <v>0</v>
      </c>
      <c r="AA1203" s="229">
        <v>0</v>
      </c>
      <c r="AB1203" s="229">
        <v>0</v>
      </c>
      <c r="AC1203" s="12">
        <v>2</v>
      </c>
      <c r="AD1203" s="14">
        <v>5</v>
      </c>
      <c r="AE1203" s="14">
        <v>84</v>
      </c>
      <c r="AF1203" s="26">
        <v>348</v>
      </c>
      <c r="AG1203" s="12">
        <v>185</v>
      </c>
      <c r="AH1203" s="14">
        <v>0</v>
      </c>
      <c r="AI1203" s="209">
        <v>86.543787904762283</v>
      </c>
      <c r="AJ1203" s="3"/>
      <c r="AK1203" s="3"/>
      <c r="AL1203" s="3"/>
      <c r="AM1203" s="3"/>
      <c r="AN1203" s="3"/>
      <c r="AO1203" s="40"/>
      <c r="AP1203" s="209">
        <v>86.474198280109562</v>
      </c>
      <c r="AQ1203" s="3"/>
      <c r="AR1203" s="40"/>
      <c r="AS1203" s="238"/>
    </row>
    <row r="1204" spans="1:45" s="229" customFormat="1">
      <c r="A1204" s="83" t="s">
        <v>326</v>
      </c>
      <c r="B1204" s="386">
        <v>49.683999999999997</v>
      </c>
      <c r="C1204" s="24" t="s">
        <v>747</v>
      </c>
      <c r="D1204" s="229" t="s">
        <v>649</v>
      </c>
      <c r="E1204" s="229" t="s">
        <v>3</v>
      </c>
      <c r="F1204" s="229">
        <v>976</v>
      </c>
      <c r="G1204" s="40">
        <f>F1204/331</f>
        <v>2.9486404833836857</v>
      </c>
      <c r="H1204" s="14">
        <v>0</v>
      </c>
      <c r="I1204" s="229">
        <v>0</v>
      </c>
      <c r="J1204" s="229">
        <v>0</v>
      </c>
      <c r="K1204" s="26">
        <v>1</v>
      </c>
      <c r="L1204" s="14">
        <v>0</v>
      </c>
      <c r="M1204" s="229">
        <v>0</v>
      </c>
      <c r="N1204" s="229">
        <v>0</v>
      </c>
      <c r="O1204" s="229">
        <v>0</v>
      </c>
      <c r="P1204" s="26">
        <v>0</v>
      </c>
      <c r="Q1204" s="14">
        <v>2</v>
      </c>
      <c r="R1204" s="229">
        <v>0</v>
      </c>
      <c r="S1204" s="229">
        <v>0</v>
      </c>
      <c r="T1204" s="229">
        <v>0</v>
      </c>
      <c r="U1204" s="229">
        <v>0</v>
      </c>
      <c r="V1204" s="229">
        <v>12</v>
      </c>
      <c r="W1204" s="229">
        <v>106</v>
      </c>
      <c r="X1204" s="229">
        <v>0</v>
      </c>
      <c r="Y1204" s="229">
        <v>0</v>
      </c>
      <c r="Z1204" s="229">
        <v>0</v>
      </c>
      <c r="AA1204" s="229">
        <v>0</v>
      </c>
      <c r="AB1204" s="229">
        <v>1</v>
      </c>
      <c r="AC1204" s="12">
        <v>2</v>
      </c>
      <c r="AD1204" s="14">
        <v>11</v>
      </c>
      <c r="AE1204" s="14">
        <v>37</v>
      </c>
      <c r="AF1204" s="26">
        <v>429</v>
      </c>
      <c r="AG1204" s="12">
        <v>185</v>
      </c>
      <c r="AH1204" s="14">
        <v>1</v>
      </c>
      <c r="AI1204" s="209"/>
      <c r="AJ1204" s="3"/>
      <c r="AK1204" s="3"/>
      <c r="AL1204" s="3"/>
      <c r="AM1204" s="3"/>
      <c r="AN1204" s="3"/>
      <c r="AO1204" s="40"/>
      <c r="AP1204" s="209"/>
      <c r="AQ1204" s="3"/>
      <c r="AR1204" s="40"/>
      <c r="AS1204" s="238"/>
    </row>
    <row r="1205" spans="1:45" s="229" customFormat="1">
      <c r="A1205" s="83" t="s">
        <v>326</v>
      </c>
      <c r="B1205" s="386">
        <v>49.683999999999997</v>
      </c>
      <c r="C1205" s="24" t="s">
        <v>747</v>
      </c>
      <c r="D1205" s="229" t="s">
        <v>669</v>
      </c>
      <c r="F1205" s="229">
        <v>377</v>
      </c>
      <c r="G1205" s="40">
        <f>F1205/245</f>
        <v>1.5387755102040817</v>
      </c>
      <c r="H1205" s="14">
        <v>0</v>
      </c>
      <c r="I1205" s="229">
        <v>0</v>
      </c>
      <c r="J1205" s="229">
        <v>1</v>
      </c>
      <c r="K1205" s="26">
        <v>0</v>
      </c>
      <c r="L1205" s="14">
        <v>0</v>
      </c>
      <c r="M1205" s="229">
        <v>0</v>
      </c>
      <c r="N1205" s="229">
        <v>1</v>
      </c>
      <c r="O1205" s="229">
        <v>0</v>
      </c>
      <c r="P1205" s="26">
        <v>1</v>
      </c>
      <c r="Q1205" s="14">
        <v>10</v>
      </c>
      <c r="R1205" s="229">
        <v>0</v>
      </c>
      <c r="S1205" s="229">
        <v>0</v>
      </c>
      <c r="T1205" s="229">
        <v>0</v>
      </c>
      <c r="U1205" s="229">
        <v>0</v>
      </c>
      <c r="V1205" s="229">
        <v>0</v>
      </c>
      <c r="W1205" s="229">
        <v>0</v>
      </c>
      <c r="X1205" s="229">
        <v>0</v>
      </c>
      <c r="Y1205" s="229">
        <v>0</v>
      </c>
      <c r="Z1205" s="229">
        <v>29</v>
      </c>
      <c r="AA1205" s="229">
        <v>134</v>
      </c>
      <c r="AB1205" s="229">
        <v>0</v>
      </c>
      <c r="AC1205" s="12">
        <v>1</v>
      </c>
      <c r="AD1205" s="14">
        <v>1</v>
      </c>
      <c r="AE1205" s="14">
        <v>0</v>
      </c>
      <c r="AF1205" s="26">
        <v>0</v>
      </c>
      <c r="AG1205" s="12">
        <v>74</v>
      </c>
      <c r="AH1205" s="14">
        <v>0</v>
      </c>
      <c r="AI1205" s="209"/>
      <c r="AJ1205" s="3"/>
      <c r="AK1205" s="3"/>
      <c r="AL1205" s="3"/>
      <c r="AM1205" s="3"/>
      <c r="AN1205" s="3"/>
      <c r="AO1205" s="40"/>
      <c r="AP1205" s="209"/>
      <c r="AQ1205" s="3"/>
      <c r="AR1205" s="40"/>
      <c r="AS1205" s="238"/>
    </row>
    <row r="1206" spans="1:45" s="229" customFormat="1">
      <c r="A1206" s="83" t="s">
        <v>326</v>
      </c>
      <c r="B1206" s="386">
        <v>49.683999999999997</v>
      </c>
      <c r="C1206" s="24" t="s">
        <v>747</v>
      </c>
      <c r="D1206" s="229" t="s">
        <v>670</v>
      </c>
      <c r="E1206" s="229" t="s">
        <v>0</v>
      </c>
      <c r="F1206" s="229">
        <v>523</v>
      </c>
      <c r="G1206" s="40">
        <f>F1206/99</f>
        <v>5.2828282828282829</v>
      </c>
      <c r="H1206" s="14">
        <v>0</v>
      </c>
      <c r="I1206" s="229">
        <v>0</v>
      </c>
      <c r="J1206" s="229">
        <v>1</v>
      </c>
      <c r="K1206" s="26">
        <v>0</v>
      </c>
      <c r="L1206" s="14">
        <v>0</v>
      </c>
      <c r="M1206" s="229">
        <v>0</v>
      </c>
      <c r="N1206" s="229">
        <v>1</v>
      </c>
      <c r="O1206" s="229">
        <v>0</v>
      </c>
      <c r="P1206" s="26">
        <v>1</v>
      </c>
      <c r="Q1206" s="14">
        <v>10</v>
      </c>
      <c r="R1206" s="229">
        <v>0</v>
      </c>
      <c r="S1206" s="229">
        <v>0</v>
      </c>
      <c r="T1206" s="229">
        <v>0</v>
      </c>
      <c r="U1206" s="229">
        <v>0</v>
      </c>
      <c r="V1206" s="229">
        <v>0</v>
      </c>
      <c r="W1206" s="229">
        <v>197</v>
      </c>
      <c r="X1206" s="229">
        <v>0</v>
      </c>
      <c r="Y1206" s="229">
        <v>0</v>
      </c>
      <c r="Z1206" s="229">
        <v>0</v>
      </c>
      <c r="AA1206" s="229">
        <v>0</v>
      </c>
      <c r="AB1206" s="229">
        <v>0</v>
      </c>
      <c r="AC1206" s="12">
        <v>1</v>
      </c>
      <c r="AD1206" s="14">
        <v>1</v>
      </c>
      <c r="AE1206" s="14">
        <v>0</v>
      </c>
      <c r="AF1206" s="26">
        <v>0</v>
      </c>
      <c r="AG1206" s="12">
        <v>111</v>
      </c>
      <c r="AH1206" s="14">
        <v>0</v>
      </c>
      <c r="AI1206" s="209"/>
      <c r="AJ1206" s="3"/>
      <c r="AK1206" s="3"/>
      <c r="AL1206" s="3"/>
      <c r="AM1206" s="3"/>
      <c r="AN1206" s="3"/>
      <c r="AO1206" s="40"/>
      <c r="AP1206" s="209"/>
      <c r="AQ1206" s="3"/>
      <c r="AR1206" s="40"/>
      <c r="AS1206" s="238"/>
    </row>
    <row r="1207" spans="1:45" s="229" customFormat="1">
      <c r="A1207" s="83" t="s">
        <v>326</v>
      </c>
      <c r="B1207" s="386">
        <v>49.683999999999997</v>
      </c>
      <c r="C1207" s="24" t="s">
        <v>747</v>
      </c>
      <c r="D1207" s="229" t="s">
        <v>670</v>
      </c>
      <c r="E1207" s="229" t="s">
        <v>1</v>
      </c>
      <c r="F1207" s="229">
        <v>322</v>
      </c>
      <c r="G1207" s="40">
        <f>F1207/164</f>
        <v>1.9634146341463414</v>
      </c>
      <c r="H1207" s="14">
        <v>0</v>
      </c>
      <c r="I1207" s="229">
        <v>0</v>
      </c>
      <c r="J1207" s="229">
        <v>1</v>
      </c>
      <c r="K1207" s="26">
        <v>0</v>
      </c>
      <c r="L1207" s="14">
        <v>0</v>
      </c>
      <c r="M1207" s="229">
        <v>0</v>
      </c>
      <c r="N1207" s="229">
        <v>1</v>
      </c>
      <c r="O1207" s="229">
        <v>0</v>
      </c>
      <c r="P1207" s="26">
        <v>1</v>
      </c>
      <c r="Q1207" s="14">
        <v>20</v>
      </c>
      <c r="R1207" s="229">
        <v>0</v>
      </c>
      <c r="S1207" s="229">
        <v>0</v>
      </c>
      <c r="T1207" s="229">
        <v>0</v>
      </c>
      <c r="U1207" s="229">
        <v>0</v>
      </c>
      <c r="V1207" s="229">
        <v>56</v>
      </c>
      <c r="W1207" s="229">
        <v>63</v>
      </c>
      <c r="X1207" s="229">
        <v>0</v>
      </c>
      <c r="Y1207" s="229">
        <v>0</v>
      </c>
      <c r="Z1207" s="229">
        <v>38</v>
      </c>
      <c r="AA1207" s="229">
        <v>66</v>
      </c>
      <c r="AB1207" s="229">
        <v>0</v>
      </c>
      <c r="AC1207" s="12">
        <v>1</v>
      </c>
      <c r="AD1207" s="14">
        <v>1</v>
      </c>
      <c r="AE1207" s="14">
        <v>0</v>
      </c>
      <c r="AF1207" s="26">
        <v>0</v>
      </c>
      <c r="AG1207" s="12">
        <v>111</v>
      </c>
      <c r="AH1207" s="14">
        <v>0</v>
      </c>
      <c r="AI1207" s="209"/>
      <c r="AJ1207" s="3"/>
      <c r="AK1207" s="3"/>
      <c r="AL1207" s="3"/>
      <c r="AM1207" s="3"/>
      <c r="AN1207" s="3"/>
      <c r="AO1207" s="40"/>
      <c r="AP1207" s="209"/>
      <c r="AQ1207" s="3"/>
      <c r="AR1207" s="40"/>
      <c r="AS1207" s="238"/>
    </row>
    <row r="1208" spans="1:45" s="229" customFormat="1">
      <c r="A1208" s="83" t="s">
        <v>326</v>
      </c>
      <c r="B1208" s="386">
        <v>49.683999999999997</v>
      </c>
      <c r="C1208" s="24" t="s">
        <v>747</v>
      </c>
      <c r="D1208" s="229" t="s">
        <v>673</v>
      </c>
      <c r="E1208" s="229" t="s">
        <v>0</v>
      </c>
      <c r="F1208" s="229">
        <v>550</v>
      </c>
      <c r="G1208" s="40">
        <f>F1208/244</f>
        <v>2.2540983606557377</v>
      </c>
      <c r="H1208" s="14">
        <v>0</v>
      </c>
      <c r="I1208" s="229">
        <v>0</v>
      </c>
      <c r="J1208" s="229">
        <v>1</v>
      </c>
      <c r="K1208" s="26">
        <v>0</v>
      </c>
      <c r="L1208" s="14">
        <v>0</v>
      </c>
      <c r="M1208" s="229">
        <v>0</v>
      </c>
      <c r="N1208" s="229">
        <v>1</v>
      </c>
      <c r="O1208" s="229">
        <v>0</v>
      </c>
      <c r="P1208" s="26">
        <v>1</v>
      </c>
      <c r="Q1208" s="14">
        <v>30</v>
      </c>
      <c r="R1208" s="229">
        <v>0</v>
      </c>
      <c r="S1208" s="229">
        <v>0</v>
      </c>
      <c r="T1208" s="229">
        <v>0</v>
      </c>
      <c r="U1208" s="229">
        <v>0</v>
      </c>
      <c r="V1208" s="229">
        <v>7</v>
      </c>
      <c r="W1208" s="229">
        <v>48</v>
      </c>
      <c r="X1208" s="229">
        <v>0</v>
      </c>
      <c r="Y1208" s="229">
        <v>0</v>
      </c>
      <c r="Z1208" s="229">
        <v>20</v>
      </c>
      <c r="AA1208" s="229">
        <v>129</v>
      </c>
      <c r="AB1208" s="229">
        <v>0</v>
      </c>
      <c r="AC1208" s="12">
        <v>2</v>
      </c>
      <c r="AD1208" s="14">
        <v>3</v>
      </c>
      <c r="AE1208" s="14">
        <v>60</v>
      </c>
      <c r="AF1208" s="26">
        <v>422</v>
      </c>
      <c r="AG1208" s="12">
        <v>103</v>
      </c>
      <c r="AH1208" s="14">
        <v>0</v>
      </c>
      <c r="AI1208" s="209"/>
      <c r="AJ1208" s="3"/>
      <c r="AK1208" s="3"/>
      <c r="AL1208" s="3"/>
      <c r="AM1208" s="3"/>
      <c r="AN1208" s="3"/>
      <c r="AO1208" s="40"/>
      <c r="AP1208" s="209"/>
      <c r="AQ1208" s="3"/>
      <c r="AR1208" s="40"/>
      <c r="AS1208" s="238"/>
    </row>
    <row r="1209" spans="1:45" s="229" customFormat="1">
      <c r="A1209" s="83" t="s">
        <v>326</v>
      </c>
      <c r="B1209" s="386">
        <v>49.683999999999997</v>
      </c>
      <c r="C1209" s="24" t="s">
        <v>747</v>
      </c>
      <c r="D1209" s="229" t="s">
        <v>673</v>
      </c>
      <c r="E1209" s="229" t="s">
        <v>1</v>
      </c>
      <c r="F1209" s="229">
        <v>167</v>
      </c>
      <c r="G1209" s="40">
        <f>F1209/90</f>
        <v>1.8555555555555556</v>
      </c>
      <c r="H1209" s="14">
        <v>0</v>
      </c>
      <c r="I1209" s="229">
        <v>0</v>
      </c>
      <c r="J1209" s="229">
        <v>1</v>
      </c>
      <c r="K1209" s="26">
        <v>0</v>
      </c>
      <c r="L1209" s="14">
        <v>0</v>
      </c>
      <c r="M1209" s="229">
        <v>0</v>
      </c>
      <c r="N1209" s="229">
        <v>1</v>
      </c>
      <c r="O1209" s="229">
        <v>0</v>
      </c>
      <c r="P1209" s="26">
        <v>1</v>
      </c>
      <c r="Q1209" s="14">
        <v>10</v>
      </c>
      <c r="R1209" s="229">
        <v>0</v>
      </c>
      <c r="S1209" s="229">
        <v>0</v>
      </c>
      <c r="T1209" s="229">
        <v>0</v>
      </c>
      <c r="U1209" s="229">
        <v>0</v>
      </c>
      <c r="V1209" s="229">
        <v>9</v>
      </c>
      <c r="W1209" s="229">
        <v>45</v>
      </c>
      <c r="X1209" s="229">
        <v>0</v>
      </c>
      <c r="Y1209" s="229">
        <v>0</v>
      </c>
      <c r="Z1209" s="229">
        <v>0</v>
      </c>
      <c r="AA1209" s="229">
        <v>0</v>
      </c>
      <c r="AB1209" s="229">
        <v>0</v>
      </c>
      <c r="AC1209" s="12">
        <v>1</v>
      </c>
      <c r="AD1209" s="14">
        <v>1</v>
      </c>
      <c r="AE1209" s="14">
        <v>0</v>
      </c>
      <c r="AF1209" s="26">
        <v>0</v>
      </c>
      <c r="AG1209" s="12">
        <v>103</v>
      </c>
      <c r="AH1209" s="14">
        <v>0</v>
      </c>
      <c r="AI1209" s="209"/>
      <c r="AJ1209" s="3"/>
      <c r="AK1209" s="3"/>
      <c r="AL1209" s="3"/>
      <c r="AM1209" s="3"/>
      <c r="AN1209" s="3"/>
      <c r="AO1209" s="40"/>
      <c r="AP1209" s="209"/>
      <c r="AQ1209" s="3"/>
      <c r="AR1209" s="40"/>
      <c r="AS1209" s="238"/>
    </row>
    <row r="1210" spans="1:45" s="229" customFormat="1">
      <c r="A1210" s="83" t="s">
        <v>326</v>
      </c>
      <c r="B1210" s="386">
        <v>49.683999999999997</v>
      </c>
      <c r="C1210" s="24" t="s">
        <v>747</v>
      </c>
      <c r="D1210" s="229" t="s">
        <v>673</v>
      </c>
      <c r="E1210" s="229" t="s">
        <v>2</v>
      </c>
      <c r="F1210" s="229">
        <v>573</v>
      </c>
      <c r="G1210" s="40">
        <f>F1210/283</f>
        <v>2.0247349823321557</v>
      </c>
      <c r="H1210" s="14">
        <v>0</v>
      </c>
      <c r="I1210" s="229">
        <v>0</v>
      </c>
      <c r="J1210" s="229">
        <v>1</v>
      </c>
      <c r="K1210" s="26">
        <v>0</v>
      </c>
      <c r="L1210" s="14">
        <v>0</v>
      </c>
      <c r="M1210" s="229">
        <v>0</v>
      </c>
      <c r="N1210" s="229">
        <v>1</v>
      </c>
      <c r="O1210" s="229">
        <v>0</v>
      </c>
      <c r="P1210" s="26">
        <v>1</v>
      </c>
      <c r="Q1210" s="14">
        <v>30</v>
      </c>
      <c r="R1210" s="229">
        <v>0</v>
      </c>
      <c r="S1210" s="229">
        <v>0</v>
      </c>
      <c r="T1210" s="229">
        <v>0</v>
      </c>
      <c r="U1210" s="229">
        <v>0</v>
      </c>
      <c r="V1210" s="229">
        <v>0</v>
      </c>
      <c r="W1210" s="229">
        <v>45</v>
      </c>
      <c r="X1210" s="229">
        <v>0</v>
      </c>
      <c r="Y1210" s="229">
        <v>0</v>
      </c>
      <c r="Z1210" s="229">
        <v>0</v>
      </c>
      <c r="AA1210" s="229">
        <v>209</v>
      </c>
      <c r="AB1210" s="229">
        <v>0</v>
      </c>
      <c r="AC1210" s="12">
        <v>1</v>
      </c>
      <c r="AD1210" s="14">
        <v>1</v>
      </c>
      <c r="AE1210" s="14">
        <v>0</v>
      </c>
      <c r="AF1210" s="26">
        <v>0</v>
      </c>
      <c r="AG1210" s="12">
        <v>103</v>
      </c>
      <c r="AH1210" s="14">
        <v>1</v>
      </c>
      <c r="AI1210" s="209"/>
      <c r="AJ1210" s="3"/>
      <c r="AK1210" s="3"/>
      <c r="AL1210" s="3"/>
      <c r="AM1210" s="3"/>
      <c r="AN1210" s="3"/>
      <c r="AO1210" s="40"/>
      <c r="AP1210" s="209"/>
      <c r="AQ1210" s="3"/>
      <c r="AR1210" s="40"/>
      <c r="AS1210" s="238"/>
    </row>
    <row r="1211" spans="1:45" s="229" customFormat="1">
      <c r="A1211" s="83" t="s">
        <v>326</v>
      </c>
      <c r="B1211" s="386">
        <v>49.683999999999997</v>
      </c>
      <c r="C1211" s="24" t="s">
        <v>747</v>
      </c>
      <c r="D1211" s="229" t="s">
        <v>674</v>
      </c>
      <c r="F1211" s="229">
        <v>268</v>
      </c>
      <c r="G1211" s="40">
        <f>F1211/164</f>
        <v>1.6341463414634145</v>
      </c>
      <c r="H1211" s="14">
        <v>0</v>
      </c>
      <c r="I1211" s="229">
        <v>0</v>
      </c>
      <c r="J1211" s="229">
        <v>1</v>
      </c>
      <c r="K1211" s="26">
        <v>0</v>
      </c>
      <c r="L1211" s="14">
        <v>1</v>
      </c>
      <c r="M1211" s="229">
        <v>0</v>
      </c>
      <c r="N1211" s="229">
        <v>0</v>
      </c>
      <c r="O1211" s="229">
        <v>0</v>
      </c>
      <c r="P1211" s="26">
        <v>1</v>
      </c>
      <c r="Q1211" s="14">
        <v>20</v>
      </c>
      <c r="R1211" s="229">
        <v>0</v>
      </c>
      <c r="S1211" s="229">
        <v>0</v>
      </c>
      <c r="T1211" s="229">
        <v>0</v>
      </c>
      <c r="U1211" s="229">
        <v>0</v>
      </c>
      <c r="V1211" s="229">
        <v>27</v>
      </c>
      <c r="W1211" s="229">
        <v>52</v>
      </c>
      <c r="X1211" s="229">
        <v>0</v>
      </c>
      <c r="Y1211" s="229">
        <v>0</v>
      </c>
      <c r="Z1211" s="229">
        <v>99</v>
      </c>
      <c r="AA1211" s="229">
        <v>101</v>
      </c>
      <c r="AB1211" s="229">
        <v>0</v>
      </c>
      <c r="AC1211" s="12">
        <v>1</v>
      </c>
      <c r="AD1211" s="14">
        <v>1</v>
      </c>
      <c r="AE1211" s="14">
        <v>0</v>
      </c>
      <c r="AF1211" s="26">
        <v>0</v>
      </c>
      <c r="AG1211" s="12">
        <v>84</v>
      </c>
      <c r="AH1211" s="14">
        <v>0</v>
      </c>
      <c r="AI1211" s="209"/>
      <c r="AJ1211" s="3"/>
      <c r="AK1211" s="3"/>
      <c r="AL1211" s="3"/>
      <c r="AM1211" s="3"/>
      <c r="AN1211" s="3"/>
      <c r="AO1211" s="40"/>
      <c r="AP1211" s="209"/>
      <c r="AQ1211" s="3"/>
      <c r="AR1211" s="40"/>
      <c r="AS1211" s="238"/>
    </row>
    <row r="1212" spans="1:45" s="229" customFormat="1">
      <c r="A1212" s="83" t="s">
        <v>326</v>
      </c>
      <c r="B1212" s="386">
        <v>49.683999999999997</v>
      </c>
      <c r="C1212" s="24" t="s">
        <v>747</v>
      </c>
      <c r="D1212" s="229" t="s">
        <v>675</v>
      </c>
      <c r="E1212" s="229" t="s">
        <v>0</v>
      </c>
      <c r="F1212" s="229">
        <v>398</v>
      </c>
      <c r="G1212" s="40">
        <f>F1212/246</f>
        <v>1.6178861788617886</v>
      </c>
      <c r="H1212" s="14">
        <v>0</v>
      </c>
      <c r="I1212" s="229">
        <v>0</v>
      </c>
      <c r="J1212" s="229">
        <v>1</v>
      </c>
      <c r="K1212" s="26">
        <v>0</v>
      </c>
      <c r="L1212" s="14">
        <v>0</v>
      </c>
      <c r="M1212" s="229">
        <v>0</v>
      </c>
      <c r="N1212" s="229">
        <v>1</v>
      </c>
      <c r="O1212" s="229">
        <v>0</v>
      </c>
      <c r="P1212" s="26">
        <v>1</v>
      </c>
      <c r="Q1212" s="14">
        <v>20</v>
      </c>
      <c r="R1212" s="229">
        <v>18</v>
      </c>
      <c r="S1212" s="229">
        <v>36</v>
      </c>
      <c r="T1212" s="229">
        <v>0</v>
      </c>
      <c r="U1212" s="229">
        <v>0</v>
      </c>
      <c r="V1212" s="229">
        <v>0</v>
      </c>
      <c r="W1212" s="229">
        <v>31</v>
      </c>
      <c r="X1212" s="229">
        <v>0</v>
      </c>
      <c r="Y1212" s="229">
        <v>0</v>
      </c>
      <c r="Z1212" s="229">
        <v>94</v>
      </c>
      <c r="AA1212" s="229">
        <v>152</v>
      </c>
      <c r="AB1212" s="229">
        <v>0</v>
      </c>
      <c r="AC1212" s="12">
        <v>1</v>
      </c>
      <c r="AD1212" s="14">
        <v>1</v>
      </c>
      <c r="AE1212" s="14">
        <v>0</v>
      </c>
      <c r="AF1212" s="26">
        <v>0</v>
      </c>
      <c r="AG1212" s="12"/>
      <c r="AH1212" s="14">
        <v>0</v>
      </c>
      <c r="AI1212" s="209"/>
      <c r="AJ1212" s="3"/>
      <c r="AK1212" s="3"/>
      <c r="AL1212" s="3"/>
      <c r="AM1212" s="3"/>
      <c r="AN1212" s="3"/>
      <c r="AO1212" s="40"/>
      <c r="AP1212" s="209"/>
      <c r="AQ1212" s="3"/>
      <c r="AR1212" s="40"/>
      <c r="AS1212" s="238"/>
    </row>
    <row r="1213" spans="1:45" s="229" customFormat="1">
      <c r="A1213" s="83" t="s">
        <v>326</v>
      </c>
      <c r="B1213" s="386">
        <v>49.683999999999997</v>
      </c>
      <c r="C1213" s="24" t="s">
        <v>747</v>
      </c>
      <c r="D1213" s="229" t="s">
        <v>675</v>
      </c>
      <c r="E1213" s="229" t="s">
        <v>1</v>
      </c>
      <c r="F1213" s="229">
        <v>270</v>
      </c>
      <c r="G1213" s="40">
        <f>F1213/95</f>
        <v>2.8421052631578947</v>
      </c>
      <c r="H1213" s="14">
        <v>0</v>
      </c>
      <c r="I1213" s="229">
        <v>0</v>
      </c>
      <c r="J1213" s="229">
        <v>1</v>
      </c>
      <c r="K1213" s="26">
        <v>0</v>
      </c>
      <c r="L1213" s="14">
        <v>0</v>
      </c>
      <c r="M1213" s="229">
        <v>0</v>
      </c>
      <c r="N1213" s="229">
        <v>1</v>
      </c>
      <c r="O1213" s="229">
        <v>0</v>
      </c>
      <c r="P1213" s="26">
        <v>1</v>
      </c>
      <c r="Q1213" s="14">
        <v>25</v>
      </c>
      <c r="R1213" s="229">
        <v>0</v>
      </c>
      <c r="S1213" s="229">
        <v>0</v>
      </c>
      <c r="T1213" s="229">
        <v>0</v>
      </c>
      <c r="U1213" s="229">
        <v>0</v>
      </c>
      <c r="V1213" s="229">
        <v>5</v>
      </c>
      <c r="W1213" s="229">
        <v>25</v>
      </c>
      <c r="X1213" s="229">
        <v>0</v>
      </c>
      <c r="Y1213" s="229">
        <v>0</v>
      </c>
      <c r="Z1213" s="229">
        <v>62</v>
      </c>
      <c r="AA1213" s="229">
        <v>74</v>
      </c>
      <c r="AB1213" s="229">
        <v>0</v>
      </c>
      <c r="AC1213" s="12">
        <v>1</v>
      </c>
      <c r="AD1213" s="14">
        <v>1</v>
      </c>
      <c r="AE1213" s="14">
        <v>0</v>
      </c>
      <c r="AF1213" s="26">
        <v>0</v>
      </c>
      <c r="AG1213" s="12"/>
      <c r="AH1213" s="14">
        <v>0</v>
      </c>
      <c r="AI1213" s="209"/>
      <c r="AJ1213" s="3"/>
      <c r="AK1213" s="3"/>
      <c r="AL1213" s="3"/>
      <c r="AM1213" s="3"/>
      <c r="AN1213" s="3"/>
      <c r="AO1213" s="40"/>
      <c r="AP1213" s="209"/>
      <c r="AQ1213" s="3"/>
      <c r="AR1213" s="40"/>
      <c r="AS1213" s="238"/>
    </row>
    <row r="1214" spans="1:45" s="229" customFormat="1">
      <c r="A1214" s="83" t="s">
        <v>326</v>
      </c>
      <c r="B1214" s="386">
        <v>49.683999999999997</v>
      </c>
      <c r="C1214" s="24" t="s">
        <v>747</v>
      </c>
      <c r="D1214" s="229" t="s">
        <v>680</v>
      </c>
      <c r="E1214" s="229" t="s">
        <v>0</v>
      </c>
      <c r="F1214" s="229">
        <v>514</v>
      </c>
      <c r="G1214" s="40">
        <f>F1214/508</f>
        <v>1.0118110236220472</v>
      </c>
      <c r="H1214" s="14">
        <v>0</v>
      </c>
      <c r="I1214" s="229">
        <v>0</v>
      </c>
      <c r="J1214" s="229">
        <v>1</v>
      </c>
      <c r="K1214" s="26">
        <v>0</v>
      </c>
      <c r="L1214" s="14">
        <v>1</v>
      </c>
      <c r="M1214" s="229">
        <v>0</v>
      </c>
      <c r="N1214" s="229">
        <v>0</v>
      </c>
      <c r="O1214" s="229">
        <v>0</v>
      </c>
      <c r="P1214" s="26">
        <v>1</v>
      </c>
      <c r="Q1214" s="14">
        <v>5</v>
      </c>
      <c r="R1214" s="229">
        <v>0</v>
      </c>
      <c r="S1214" s="229">
        <v>0</v>
      </c>
      <c r="T1214" s="229">
        <v>0</v>
      </c>
      <c r="U1214" s="229">
        <v>0</v>
      </c>
      <c r="V1214" s="229">
        <v>0</v>
      </c>
      <c r="W1214" s="229">
        <v>18</v>
      </c>
      <c r="X1214" s="229">
        <v>0</v>
      </c>
      <c r="Y1214" s="229">
        <v>0</v>
      </c>
      <c r="Z1214" s="229">
        <v>0</v>
      </c>
      <c r="AA1214" s="229">
        <v>129</v>
      </c>
      <c r="AB1214" s="229">
        <v>0</v>
      </c>
      <c r="AC1214" s="12">
        <v>1</v>
      </c>
      <c r="AD1214" s="14">
        <v>1</v>
      </c>
      <c r="AE1214" s="14">
        <v>0</v>
      </c>
      <c r="AF1214" s="26">
        <v>0</v>
      </c>
      <c r="AG1214" s="12">
        <v>120</v>
      </c>
      <c r="AH1214" s="14">
        <v>0</v>
      </c>
      <c r="AI1214" s="209"/>
      <c r="AJ1214" s="3"/>
      <c r="AK1214" s="3"/>
      <c r="AL1214" s="3"/>
      <c r="AM1214" s="3"/>
      <c r="AN1214" s="3"/>
      <c r="AO1214" s="40"/>
      <c r="AP1214" s="209"/>
      <c r="AQ1214" s="3"/>
      <c r="AR1214" s="40"/>
      <c r="AS1214" s="238"/>
    </row>
    <row r="1215" spans="1:45" s="229" customFormat="1">
      <c r="A1215" s="83" t="s">
        <v>326</v>
      </c>
      <c r="B1215" s="386">
        <v>49.683999999999997</v>
      </c>
      <c r="C1215" s="24" t="s">
        <v>747</v>
      </c>
      <c r="D1215" s="229" t="s">
        <v>680</v>
      </c>
      <c r="E1215" s="229" t="s">
        <v>1</v>
      </c>
      <c r="F1215" s="229">
        <v>603</v>
      </c>
      <c r="G1215" s="40">
        <f>F1215/531</f>
        <v>1.1355932203389831</v>
      </c>
      <c r="H1215" s="14">
        <v>0</v>
      </c>
      <c r="I1215" s="229">
        <v>0</v>
      </c>
      <c r="J1215" s="229">
        <v>1</v>
      </c>
      <c r="K1215" s="26">
        <v>0</v>
      </c>
      <c r="L1215" s="14">
        <v>1</v>
      </c>
      <c r="M1215" s="229">
        <v>0</v>
      </c>
      <c r="N1215" s="229">
        <v>0</v>
      </c>
      <c r="O1215" s="229">
        <v>0</v>
      </c>
      <c r="P1215" s="26">
        <v>1</v>
      </c>
      <c r="Q1215" s="14">
        <v>10</v>
      </c>
      <c r="R1215" s="229">
        <v>0</v>
      </c>
      <c r="S1215" s="229">
        <v>0</v>
      </c>
      <c r="T1215" s="229">
        <v>0</v>
      </c>
      <c r="U1215" s="229">
        <v>0</v>
      </c>
      <c r="V1215" s="229">
        <v>20</v>
      </c>
      <c r="W1215" s="229">
        <v>99</v>
      </c>
      <c r="X1215" s="229">
        <v>0</v>
      </c>
      <c r="Y1215" s="229">
        <v>0</v>
      </c>
      <c r="Z1215" s="229">
        <v>0</v>
      </c>
      <c r="AA1215" s="229">
        <v>348</v>
      </c>
      <c r="AB1215" s="229">
        <v>0</v>
      </c>
      <c r="AC1215" s="12">
        <v>1</v>
      </c>
      <c r="AD1215" s="14">
        <v>1</v>
      </c>
      <c r="AE1215" s="14">
        <v>0</v>
      </c>
      <c r="AF1215" s="26">
        <v>0</v>
      </c>
      <c r="AG1215" s="12">
        <v>120</v>
      </c>
      <c r="AH1215" s="14">
        <v>0</v>
      </c>
      <c r="AI1215" s="209"/>
      <c r="AJ1215" s="3"/>
      <c r="AK1215" s="3"/>
      <c r="AL1215" s="3"/>
      <c r="AM1215" s="3"/>
      <c r="AN1215" s="3"/>
      <c r="AO1215" s="40"/>
      <c r="AP1215" s="209"/>
      <c r="AQ1215" s="3"/>
      <c r="AR1215" s="40"/>
      <c r="AS1215" s="238"/>
    </row>
    <row r="1216" spans="1:45" s="229" customFormat="1" ht="17" thickBot="1">
      <c r="A1216" s="84" t="s">
        <v>326</v>
      </c>
      <c r="B1216" s="385">
        <v>49.683999999999997</v>
      </c>
      <c r="C1216" s="24" t="s">
        <v>747</v>
      </c>
      <c r="D1216" s="229" t="s">
        <v>681</v>
      </c>
      <c r="F1216" s="229">
        <v>303</v>
      </c>
      <c r="G1216" s="40">
        <f>F1216/209</f>
        <v>1.4497607655502391</v>
      </c>
      <c r="H1216" s="14">
        <v>0</v>
      </c>
      <c r="I1216" s="229">
        <v>0</v>
      </c>
      <c r="J1216" s="229">
        <v>1</v>
      </c>
      <c r="K1216" s="26">
        <v>0</v>
      </c>
      <c r="L1216" s="14">
        <v>1</v>
      </c>
      <c r="M1216" s="229">
        <v>0</v>
      </c>
      <c r="N1216" s="229">
        <v>0</v>
      </c>
      <c r="O1216" s="229">
        <v>0</v>
      </c>
      <c r="P1216" s="26">
        <v>1</v>
      </c>
      <c r="Q1216" s="14">
        <v>40</v>
      </c>
      <c r="R1216" s="229">
        <v>0</v>
      </c>
      <c r="S1216" s="229">
        <v>0</v>
      </c>
      <c r="T1216" s="229">
        <v>0</v>
      </c>
      <c r="U1216" s="229">
        <v>0</v>
      </c>
      <c r="V1216" s="229">
        <v>0</v>
      </c>
      <c r="W1216" s="229">
        <v>0</v>
      </c>
      <c r="X1216" s="229">
        <v>0</v>
      </c>
      <c r="Y1216" s="229">
        <v>0</v>
      </c>
      <c r="Z1216" s="229">
        <v>0</v>
      </c>
      <c r="AA1216" s="229">
        <v>142</v>
      </c>
      <c r="AB1216" s="229">
        <v>0</v>
      </c>
      <c r="AC1216" s="12">
        <v>1</v>
      </c>
      <c r="AD1216" s="14">
        <v>1</v>
      </c>
      <c r="AE1216" s="14">
        <v>0</v>
      </c>
      <c r="AF1216" s="26">
        <v>0</v>
      </c>
      <c r="AG1216" s="12">
        <v>156</v>
      </c>
      <c r="AH1216" s="14">
        <v>0</v>
      </c>
      <c r="AI1216" s="209"/>
      <c r="AJ1216" s="3"/>
      <c r="AK1216" s="3"/>
      <c r="AL1216" s="3"/>
      <c r="AM1216" s="3"/>
      <c r="AN1216" s="3"/>
      <c r="AO1216" s="40"/>
      <c r="AP1216" s="209"/>
      <c r="AQ1216" s="3"/>
      <c r="AR1216" s="40"/>
      <c r="AS1216" s="238"/>
    </row>
    <row r="1217" spans="1:45" s="229" customFormat="1">
      <c r="A1217" s="42" t="s">
        <v>326</v>
      </c>
      <c r="B1217" s="386">
        <v>46.86</v>
      </c>
      <c r="C1217" s="100" t="s">
        <v>133</v>
      </c>
      <c r="D1217" s="8" t="s">
        <v>618</v>
      </c>
      <c r="E1217" s="8" t="s">
        <v>0</v>
      </c>
      <c r="F1217" s="8">
        <v>500</v>
      </c>
      <c r="G1217" s="10">
        <f>F1217/376</f>
        <v>1.3297872340425532</v>
      </c>
      <c r="H1217" s="11">
        <v>1</v>
      </c>
      <c r="I1217" s="8">
        <v>0</v>
      </c>
      <c r="J1217" s="8">
        <v>0</v>
      </c>
      <c r="K1217" s="41">
        <v>1</v>
      </c>
      <c r="L1217" s="11">
        <v>0</v>
      </c>
      <c r="M1217" s="8">
        <v>0</v>
      </c>
      <c r="N1217" s="8">
        <v>0</v>
      </c>
      <c r="O1217" s="8">
        <v>0</v>
      </c>
      <c r="P1217" s="41">
        <v>0</v>
      </c>
      <c r="Q1217" s="11">
        <v>0</v>
      </c>
      <c r="R1217" s="8">
        <v>0</v>
      </c>
      <c r="S1217" s="8">
        <v>0</v>
      </c>
      <c r="T1217" s="8">
        <v>0</v>
      </c>
      <c r="U1217" s="8">
        <v>0</v>
      </c>
      <c r="V1217" s="8">
        <v>0</v>
      </c>
      <c r="W1217" s="8">
        <v>0</v>
      </c>
      <c r="X1217" s="8">
        <v>0</v>
      </c>
      <c r="Y1217" s="8">
        <v>0</v>
      </c>
      <c r="Z1217" s="8">
        <v>0</v>
      </c>
      <c r="AA1217" s="8">
        <v>0</v>
      </c>
      <c r="AB1217" s="8"/>
      <c r="AC1217" s="9">
        <v>2</v>
      </c>
      <c r="AD1217" s="11">
        <v>7</v>
      </c>
      <c r="AE1217" s="11">
        <v>81</v>
      </c>
      <c r="AF1217" s="41">
        <v>254</v>
      </c>
      <c r="AG1217" s="9">
        <v>100</v>
      </c>
      <c r="AH1217" s="11">
        <v>1</v>
      </c>
      <c r="AI1217" s="208"/>
      <c r="AJ1217" s="54"/>
      <c r="AK1217" s="54"/>
      <c r="AL1217" s="54"/>
      <c r="AM1217" s="54"/>
      <c r="AN1217" s="54"/>
      <c r="AO1217" s="10"/>
      <c r="AP1217" s="208"/>
      <c r="AQ1217" s="54"/>
      <c r="AR1217" s="10"/>
      <c r="AS1217" s="237"/>
    </row>
    <row r="1218" spans="1:45" s="229" customFormat="1">
      <c r="A1218" s="42" t="s">
        <v>326</v>
      </c>
      <c r="B1218" s="386">
        <v>46.86</v>
      </c>
      <c r="C1218" s="24" t="s">
        <v>133</v>
      </c>
      <c r="D1218" s="229" t="s">
        <v>618</v>
      </c>
      <c r="E1218" s="229" t="s">
        <v>1</v>
      </c>
      <c r="F1218" s="229">
        <v>583</v>
      </c>
      <c r="G1218" s="40">
        <f>F1218/581</f>
        <v>1.0034423407917383</v>
      </c>
      <c r="H1218" s="14">
        <v>1</v>
      </c>
      <c r="I1218" s="229">
        <v>0</v>
      </c>
      <c r="J1218" s="229">
        <v>1</v>
      </c>
      <c r="K1218" s="26">
        <v>1</v>
      </c>
      <c r="L1218" s="14">
        <v>0</v>
      </c>
      <c r="M1218" s="229">
        <v>0</v>
      </c>
      <c r="N1218" s="229">
        <v>0</v>
      </c>
      <c r="O1218" s="229">
        <v>0</v>
      </c>
      <c r="P1218" s="26">
        <v>0</v>
      </c>
      <c r="Q1218" s="14">
        <v>1</v>
      </c>
      <c r="R1218" s="229">
        <v>0</v>
      </c>
      <c r="S1218" s="229">
        <v>0</v>
      </c>
      <c r="T1218" s="229">
        <v>0</v>
      </c>
      <c r="U1218" s="229">
        <v>0</v>
      </c>
      <c r="V1218" s="229">
        <v>0</v>
      </c>
      <c r="W1218" s="229">
        <v>11</v>
      </c>
      <c r="X1218" s="229">
        <v>0</v>
      </c>
      <c r="Y1218" s="229">
        <v>0</v>
      </c>
      <c r="Z1218" s="229">
        <v>0</v>
      </c>
      <c r="AA1218" s="229">
        <v>0</v>
      </c>
      <c r="AC1218" s="12">
        <v>2</v>
      </c>
      <c r="AD1218" s="14">
        <v>5</v>
      </c>
      <c r="AE1218" s="14">
        <v>223</v>
      </c>
      <c r="AF1218" s="26">
        <v>339</v>
      </c>
      <c r="AG1218" s="12">
        <v>100</v>
      </c>
      <c r="AH1218" s="14">
        <v>1</v>
      </c>
      <c r="AI1218" s="209"/>
      <c r="AJ1218" s="3"/>
      <c r="AK1218" s="3"/>
      <c r="AL1218" s="3"/>
      <c r="AM1218" s="3"/>
      <c r="AN1218" s="3"/>
      <c r="AO1218" s="40"/>
      <c r="AP1218" s="209"/>
      <c r="AQ1218" s="3"/>
      <c r="AR1218" s="40"/>
      <c r="AS1218" s="238"/>
    </row>
    <row r="1219" spans="1:45" s="229" customFormat="1">
      <c r="A1219" s="42" t="s">
        <v>326</v>
      </c>
      <c r="B1219" s="386">
        <v>46.86</v>
      </c>
      <c r="C1219" s="24" t="s">
        <v>133</v>
      </c>
      <c r="D1219" s="229" t="s">
        <v>618</v>
      </c>
      <c r="E1219" s="229" t="s">
        <v>2</v>
      </c>
      <c r="F1219" s="229">
        <v>210</v>
      </c>
      <c r="G1219" s="40">
        <f>F1219/104</f>
        <v>2.0192307692307692</v>
      </c>
      <c r="H1219" s="14">
        <v>0</v>
      </c>
      <c r="I1219" s="229">
        <v>0</v>
      </c>
      <c r="J1219" s="229">
        <v>0</v>
      </c>
      <c r="K1219" s="26">
        <v>1</v>
      </c>
      <c r="L1219" s="14">
        <v>0</v>
      </c>
      <c r="M1219" s="229">
        <v>0</v>
      </c>
      <c r="N1219" s="229">
        <v>0</v>
      </c>
      <c r="O1219" s="229">
        <v>0</v>
      </c>
      <c r="P1219" s="26">
        <v>0</v>
      </c>
      <c r="Q1219" s="14">
        <v>0</v>
      </c>
      <c r="R1219" s="229">
        <v>0</v>
      </c>
      <c r="S1219" s="229">
        <v>0</v>
      </c>
      <c r="T1219" s="229">
        <v>0</v>
      </c>
      <c r="U1219" s="229">
        <v>0</v>
      </c>
      <c r="V1219" s="229">
        <v>0</v>
      </c>
      <c r="W1219" s="229">
        <v>0</v>
      </c>
      <c r="X1219" s="229">
        <v>0</v>
      </c>
      <c r="Y1219" s="229">
        <v>0</v>
      </c>
      <c r="Z1219" s="229">
        <v>0</v>
      </c>
      <c r="AA1219" s="229">
        <v>0</v>
      </c>
      <c r="AC1219" s="12">
        <v>2</v>
      </c>
      <c r="AD1219" s="14">
        <v>2</v>
      </c>
      <c r="AE1219" s="14">
        <v>84</v>
      </c>
      <c r="AF1219" s="26">
        <v>124</v>
      </c>
      <c r="AG1219" s="12">
        <v>100</v>
      </c>
      <c r="AH1219" s="14">
        <v>0</v>
      </c>
      <c r="AI1219" s="209"/>
      <c r="AJ1219" s="3"/>
      <c r="AK1219" s="3"/>
      <c r="AL1219" s="3"/>
      <c r="AM1219" s="3"/>
      <c r="AN1219" s="3"/>
      <c r="AO1219" s="40"/>
      <c r="AP1219" s="209"/>
      <c r="AQ1219" s="3"/>
      <c r="AR1219" s="40"/>
      <c r="AS1219" s="238"/>
    </row>
    <row r="1220" spans="1:45" s="229" customFormat="1">
      <c r="A1220" s="42" t="s">
        <v>326</v>
      </c>
      <c r="B1220" s="386">
        <v>46.86</v>
      </c>
      <c r="C1220" s="24" t="s">
        <v>133</v>
      </c>
      <c r="D1220" s="229" t="s">
        <v>618</v>
      </c>
      <c r="E1220" s="229" t="s">
        <v>3</v>
      </c>
      <c r="F1220" s="229">
        <v>1035</v>
      </c>
      <c r="G1220" s="40">
        <f>F1220/433</f>
        <v>2.3903002309468824</v>
      </c>
      <c r="H1220" s="14">
        <v>1</v>
      </c>
      <c r="I1220" s="229">
        <v>0</v>
      </c>
      <c r="J1220" s="229">
        <v>0</v>
      </c>
      <c r="K1220" s="26">
        <v>1</v>
      </c>
      <c r="L1220" s="14">
        <v>0</v>
      </c>
      <c r="M1220" s="229">
        <v>1</v>
      </c>
      <c r="N1220" s="229">
        <v>0</v>
      </c>
      <c r="O1220" s="229">
        <v>0</v>
      </c>
      <c r="P1220" s="26">
        <v>1</v>
      </c>
      <c r="Q1220" s="14">
        <v>3</v>
      </c>
      <c r="R1220" s="229">
        <v>0</v>
      </c>
      <c r="S1220" s="229">
        <v>0</v>
      </c>
      <c r="T1220" s="229">
        <v>0</v>
      </c>
      <c r="U1220" s="229">
        <v>0</v>
      </c>
      <c r="V1220" s="229">
        <v>0</v>
      </c>
      <c r="W1220" s="229">
        <v>56</v>
      </c>
      <c r="X1220" s="229">
        <v>0</v>
      </c>
      <c r="Y1220" s="229">
        <v>0</v>
      </c>
      <c r="Z1220" s="229">
        <v>0</v>
      </c>
      <c r="AA1220" s="229">
        <v>0</v>
      </c>
      <c r="AC1220" s="12">
        <v>2</v>
      </c>
      <c r="AD1220" s="14">
        <v>10</v>
      </c>
      <c r="AE1220" s="14">
        <v>63</v>
      </c>
      <c r="AF1220" s="26">
        <v>527</v>
      </c>
      <c r="AG1220" s="12">
        <v>100</v>
      </c>
      <c r="AH1220" s="14">
        <v>1</v>
      </c>
      <c r="AI1220" s="209"/>
      <c r="AJ1220" s="3"/>
      <c r="AK1220" s="3"/>
      <c r="AL1220" s="3"/>
      <c r="AM1220" s="3"/>
      <c r="AN1220" s="3"/>
      <c r="AO1220" s="40"/>
      <c r="AP1220" s="209"/>
      <c r="AQ1220" s="3"/>
      <c r="AR1220" s="40"/>
      <c r="AS1220" s="238"/>
    </row>
    <row r="1221" spans="1:45" s="229" customFormat="1">
      <c r="A1221" s="42" t="s">
        <v>326</v>
      </c>
      <c r="B1221" s="386">
        <v>46.86</v>
      </c>
      <c r="C1221" s="24" t="s">
        <v>133</v>
      </c>
      <c r="D1221" s="229" t="s">
        <v>618</v>
      </c>
      <c r="E1221" s="229" t="s">
        <v>4</v>
      </c>
      <c r="F1221" s="229">
        <v>416</v>
      </c>
      <c r="G1221" s="40">
        <f>F1221/270</f>
        <v>1.5407407407407407</v>
      </c>
      <c r="H1221" s="14">
        <v>1</v>
      </c>
      <c r="I1221" s="229">
        <v>0</v>
      </c>
      <c r="J1221" s="229">
        <v>0</v>
      </c>
      <c r="K1221" s="26">
        <v>1</v>
      </c>
      <c r="L1221" s="14">
        <v>0</v>
      </c>
      <c r="M1221" s="229">
        <v>0</v>
      </c>
      <c r="N1221" s="229">
        <v>0</v>
      </c>
      <c r="O1221" s="229">
        <v>0</v>
      </c>
      <c r="P1221" s="26">
        <v>0</v>
      </c>
      <c r="Q1221" s="14">
        <v>3</v>
      </c>
      <c r="R1221" s="229">
        <v>0</v>
      </c>
      <c r="S1221" s="229">
        <v>0</v>
      </c>
      <c r="T1221" s="229">
        <v>0</v>
      </c>
      <c r="U1221" s="229">
        <v>0</v>
      </c>
      <c r="V1221" s="229">
        <v>12</v>
      </c>
      <c r="W1221" s="229">
        <v>116</v>
      </c>
      <c r="X1221" s="229">
        <v>0</v>
      </c>
      <c r="Y1221" s="229">
        <v>0</v>
      </c>
      <c r="Z1221" s="229">
        <v>0</v>
      </c>
      <c r="AA1221" s="229">
        <v>0</v>
      </c>
      <c r="AC1221" s="12">
        <v>2</v>
      </c>
      <c r="AD1221" s="14">
        <v>3</v>
      </c>
      <c r="AE1221" s="14">
        <v>48</v>
      </c>
      <c r="AF1221" s="26">
        <v>265</v>
      </c>
      <c r="AG1221" s="12">
        <v>100</v>
      </c>
      <c r="AH1221" s="14">
        <v>1</v>
      </c>
      <c r="AI1221" s="209"/>
      <c r="AJ1221" s="3"/>
      <c r="AK1221" s="3"/>
      <c r="AL1221" s="3"/>
      <c r="AM1221" s="3"/>
      <c r="AN1221" s="3"/>
      <c r="AO1221" s="40"/>
      <c r="AP1221" s="209"/>
      <c r="AQ1221" s="3"/>
      <c r="AR1221" s="40"/>
      <c r="AS1221" s="238"/>
    </row>
    <row r="1222" spans="1:45" s="229" customFormat="1">
      <c r="A1222" s="42" t="s">
        <v>326</v>
      </c>
      <c r="B1222" s="386">
        <v>46.86</v>
      </c>
      <c r="C1222" s="24" t="s">
        <v>133</v>
      </c>
      <c r="D1222" s="229" t="s">
        <v>621</v>
      </c>
      <c r="E1222" s="229" t="s">
        <v>0</v>
      </c>
      <c r="F1222" s="229">
        <v>201</v>
      </c>
      <c r="G1222" s="40">
        <f>F1222/68</f>
        <v>2.9558823529411766</v>
      </c>
      <c r="H1222" s="14">
        <v>0</v>
      </c>
      <c r="I1222" s="229">
        <v>0</v>
      </c>
      <c r="J1222" s="229">
        <v>1</v>
      </c>
      <c r="K1222" s="26">
        <v>0</v>
      </c>
      <c r="L1222" s="14">
        <v>0</v>
      </c>
      <c r="M1222" s="229">
        <v>0</v>
      </c>
      <c r="N1222" s="229">
        <v>0</v>
      </c>
      <c r="O1222" s="229">
        <v>0</v>
      </c>
      <c r="P1222" s="26">
        <v>0</v>
      </c>
      <c r="Q1222" s="14">
        <v>1</v>
      </c>
      <c r="R1222" s="229">
        <v>0</v>
      </c>
      <c r="S1222" s="229">
        <v>0</v>
      </c>
      <c r="T1222" s="229">
        <v>0</v>
      </c>
      <c r="U1222" s="229">
        <v>0</v>
      </c>
      <c r="V1222" s="229">
        <v>0</v>
      </c>
      <c r="W1222" s="229">
        <v>3</v>
      </c>
      <c r="X1222" s="229">
        <v>0</v>
      </c>
      <c r="Y1222" s="229">
        <v>0</v>
      </c>
      <c r="Z1222" s="229">
        <v>0</v>
      </c>
      <c r="AA1222" s="229">
        <v>0</v>
      </c>
      <c r="AC1222" s="12">
        <v>1</v>
      </c>
      <c r="AD1222" s="14">
        <v>1</v>
      </c>
      <c r="AE1222" s="14">
        <v>0</v>
      </c>
      <c r="AF1222" s="26">
        <v>0</v>
      </c>
      <c r="AG1222" s="12">
        <v>89</v>
      </c>
      <c r="AH1222" s="14">
        <v>0</v>
      </c>
      <c r="AI1222" s="209"/>
      <c r="AJ1222" s="3"/>
      <c r="AK1222" s="3"/>
      <c r="AL1222" s="3"/>
      <c r="AM1222" s="3"/>
      <c r="AN1222" s="3"/>
      <c r="AO1222" s="40"/>
      <c r="AP1222" s="209"/>
      <c r="AQ1222" s="3"/>
      <c r="AR1222" s="40"/>
      <c r="AS1222" s="238"/>
    </row>
    <row r="1223" spans="1:45" s="229" customFormat="1">
      <c r="A1223" s="42" t="s">
        <v>326</v>
      </c>
      <c r="B1223" s="386">
        <v>46.86</v>
      </c>
      <c r="C1223" s="24" t="s">
        <v>133</v>
      </c>
      <c r="D1223" s="229" t="s">
        <v>621</v>
      </c>
      <c r="E1223" s="229" t="s">
        <v>1</v>
      </c>
      <c r="F1223" s="229">
        <v>497</v>
      </c>
      <c r="G1223" s="40">
        <f>'[1]@Olivine'!J1357/374</f>
        <v>0.35294117647058826</v>
      </c>
      <c r="H1223" s="14">
        <v>0</v>
      </c>
      <c r="I1223" s="229">
        <v>0</v>
      </c>
      <c r="J1223" s="229">
        <v>1</v>
      </c>
      <c r="K1223" s="26">
        <v>1</v>
      </c>
      <c r="L1223" s="14">
        <v>0</v>
      </c>
      <c r="M1223" s="229">
        <v>0</v>
      </c>
      <c r="N1223" s="229">
        <v>0</v>
      </c>
      <c r="O1223" s="229">
        <v>0</v>
      </c>
      <c r="P1223" s="26">
        <v>0</v>
      </c>
      <c r="Q1223" s="14">
        <v>3</v>
      </c>
      <c r="R1223" s="229">
        <v>0</v>
      </c>
      <c r="S1223" s="229">
        <v>16</v>
      </c>
      <c r="T1223" s="229">
        <v>0</v>
      </c>
      <c r="U1223" s="229">
        <v>0</v>
      </c>
      <c r="V1223" s="229">
        <v>0</v>
      </c>
      <c r="W1223" s="229">
        <v>14</v>
      </c>
      <c r="X1223" s="229">
        <v>0</v>
      </c>
      <c r="Y1223" s="229">
        <v>0</v>
      </c>
      <c r="Z1223" s="229">
        <v>0</v>
      </c>
      <c r="AA1223" s="229">
        <v>0</v>
      </c>
      <c r="AC1223" s="12">
        <v>2</v>
      </c>
      <c r="AD1223" s="14">
        <v>3</v>
      </c>
      <c r="AE1223" s="14">
        <v>146</v>
      </c>
      <c r="AF1223" s="26">
        <v>335</v>
      </c>
      <c r="AG1223" s="12">
        <v>89</v>
      </c>
      <c r="AH1223" s="14">
        <v>1</v>
      </c>
      <c r="AI1223" s="209"/>
      <c r="AJ1223" s="3"/>
      <c r="AK1223" s="3"/>
      <c r="AL1223" s="3"/>
      <c r="AM1223" s="3"/>
      <c r="AN1223" s="3"/>
      <c r="AO1223" s="40"/>
      <c r="AP1223" s="209"/>
      <c r="AQ1223" s="3"/>
      <c r="AR1223" s="40"/>
      <c r="AS1223" s="238"/>
    </row>
    <row r="1224" spans="1:45" s="229" customFormat="1">
      <c r="A1224" s="42" t="s">
        <v>326</v>
      </c>
      <c r="B1224" s="386">
        <v>46.86</v>
      </c>
      <c r="C1224" s="24" t="s">
        <v>133</v>
      </c>
      <c r="D1224" s="229" t="s">
        <v>623</v>
      </c>
      <c r="E1224" s="229" t="s">
        <v>0</v>
      </c>
      <c r="F1224" s="229">
        <v>608</v>
      </c>
      <c r="G1224" s="40">
        <f>F1224/452</f>
        <v>1.345132743362832</v>
      </c>
      <c r="H1224" s="14">
        <v>1</v>
      </c>
      <c r="I1224" s="229">
        <v>0</v>
      </c>
      <c r="J1224" s="229">
        <v>0</v>
      </c>
      <c r="K1224" s="26">
        <v>1</v>
      </c>
      <c r="L1224" s="14">
        <v>0</v>
      </c>
      <c r="M1224" s="229">
        <v>0</v>
      </c>
      <c r="N1224" s="229">
        <v>0</v>
      </c>
      <c r="O1224" s="229">
        <v>0</v>
      </c>
      <c r="P1224" s="26">
        <v>0</v>
      </c>
      <c r="Q1224" s="14">
        <v>0</v>
      </c>
      <c r="R1224" s="229">
        <v>0</v>
      </c>
      <c r="S1224" s="229">
        <v>0</v>
      </c>
      <c r="T1224" s="229">
        <v>0</v>
      </c>
      <c r="U1224" s="229">
        <v>0</v>
      </c>
      <c r="V1224" s="229">
        <v>0</v>
      </c>
      <c r="W1224" s="229">
        <v>0</v>
      </c>
      <c r="X1224" s="229">
        <v>0</v>
      </c>
      <c r="Y1224" s="229">
        <v>0</v>
      </c>
      <c r="Z1224" s="229">
        <v>0</v>
      </c>
      <c r="AA1224" s="229">
        <v>0</v>
      </c>
      <c r="AC1224" s="12">
        <v>2</v>
      </c>
      <c r="AD1224" s="14">
        <v>5</v>
      </c>
      <c r="AE1224" s="14">
        <v>59</v>
      </c>
      <c r="AF1224" s="26">
        <v>608</v>
      </c>
      <c r="AG1224" s="12">
        <v>139</v>
      </c>
      <c r="AH1224" s="14">
        <v>1</v>
      </c>
      <c r="AI1224" s="209"/>
      <c r="AJ1224" s="3"/>
      <c r="AK1224" s="3"/>
      <c r="AL1224" s="3"/>
      <c r="AM1224" s="3"/>
      <c r="AN1224" s="3"/>
      <c r="AO1224" s="40"/>
      <c r="AP1224" s="209"/>
      <c r="AQ1224" s="3"/>
      <c r="AR1224" s="40"/>
      <c r="AS1224" s="238"/>
    </row>
    <row r="1225" spans="1:45" s="229" customFormat="1">
      <c r="A1225" s="42" t="s">
        <v>326</v>
      </c>
      <c r="B1225" s="386">
        <v>46.86</v>
      </c>
      <c r="C1225" s="24" t="s">
        <v>133</v>
      </c>
      <c r="D1225" s="229" t="s">
        <v>623</v>
      </c>
      <c r="E1225" s="229" t="s">
        <v>1</v>
      </c>
      <c r="F1225" s="229">
        <v>145</v>
      </c>
      <c r="G1225" s="40">
        <f>F1225/101</f>
        <v>1.4356435643564356</v>
      </c>
      <c r="H1225" s="14">
        <v>1</v>
      </c>
      <c r="I1225" s="229">
        <v>0</v>
      </c>
      <c r="J1225" s="229">
        <v>0</v>
      </c>
      <c r="K1225" s="26">
        <v>0</v>
      </c>
      <c r="L1225" s="14">
        <v>0</v>
      </c>
      <c r="M1225" s="229">
        <v>0</v>
      </c>
      <c r="N1225" s="229">
        <v>0</v>
      </c>
      <c r="O1225" s="229">
        <v>0</v>
      </c>
      <c r="P1225" s="26">
        <v>0</v>
      </c>
      <c r="Q1225" s="14">
        <v>0</v>
      </c>
      <c r="R1225" s="229">
        <v>0</v>
      </c>
      <c r="S1225" s="229">
        <v>0</v>
      </c>
      <c r="T1225" s="229">
        <v>0</v>
      </c>
      <c r="U1225" s="229">
        <v>0</v>
      </c>
      <c r="V1225" s="229">
        <v>0</v>
      </c>
      <c r="W1225" s="229">
        <v>0</v>
      </c>
      <c r="X1225" s="229">
        <v>0</v>
      </c>
      <c r="Y1225" s="229">
        <v>0</v>
      </c>
      <c r="Z1225" s="229">
        <v>0</v>
      </c>
      <c r="AA1225" s="229">
        <v>0</v>
      </c>
      <c r="AC1225" s="12">
        <v>1</v>
      </c>
      <c r="AD1225" s="14">
        <v>1</v>
      </c>
      <c r="AE1225" s="14">
        <v>0</v>
      </c>
      <c r="AF1225" s="26">
        <v>0</v>
      </c>
      <c r="AG1225" s="12">
        <v>139</v>
      </c>
      <c r="AH1225" s="14">
        <v>1</v>
      </c>
      <c r="AI1225" s="209"/>
      <c r="AJ1225" s="3"/>
      <c r="AK1225" s="3"/>
      <c r="AL1225" s="3"/>
      <c r="AM1225" s="3"/>
      <c r="AN1225" s="3"/>
      <c r="AO1225" s="40"/>
      <c r="AP1225" s="209"/>
      <c r="AQ1225" s="3"/>
      <c r="AR1225" s="40"/>
      <c r="AS1225" s="238"/>
    </row>
    <row r="1226" spans="1:45" s="229" customFormat="1">
      <c r="A1226" s="42" t="s">
        <v>326</v>
      </c>
      <c r="B1226" s="386">
        <v>46.86</v>
      </c>
      <c r="C1226" s="24" t="s">
        <v>133</v>
      </c>
      <c r="D1226" s="229" t="s">
        <v>623</v>
      </c>
      <c r="E1226" s="229" t="s">
        <v>2</v>
      </c>
      <c r="F1226" s="229">
        <v>394</v>
      </c>
      <c r="G1226" s="40">
        <f>F1226/216</f>
        <v>1.8240740740740742</v>
      </c>
      <c r="H1226" s="14">
        <v>1</v>
      </c>
      <c r="I1226" s="229">
        <v>0</v>
      </c>
      <c r="J1226" s="229">
        <v>0</v>
      </c>
      <c r="K1226" s="26">
        <v>0</v>
      </c>
      <c r="L1226" s="14">
        <v>0</v>
      </c>
      <c r="M1226" s="229">
        <v>0</v>
      </c>
      <c r="N1226" s="229">
        <v>0</v>
      </c>
      <c r="O1226" s="229">
        <v>0</v>
      </c>
      <c r="P1226" s="26">
        <v>0</v>
      </c>
      <c r="Q1226" s="14">
        <v>0</v>
      </c>
      <c r="R1226" s="229">
        <v>0</v>
      </c>
      <c r="S1226" s="229">
        <v>0</v>
      </c>
      <c r="T1226" s="229">
        <v>0</v>
      </c>
      <c r="U1226" s="229">
        <v>0</v>
      </c>
      <c r="V1226" s="229">
        <v>0</v>
      </c>
      <c r="W1226" s="229">
        <v>0</v>
      </c>
      <c r="X1226" s="229">
        <v>0</v>
      </c>
      <c r="Y1226" s="229">
        <v>0</v>
      </c>
      <c r="Z1226" s="229">
        <v>0</v>
      </c>
      <c r="AA1226" s="229">
        <v>0</v>
      </c>
      <c r="AC1226" s="12">
        <v>2</v>
      </c>
      <c r="AD1226" s="14">
        <v>2</v>
      </c>
      <c r="AE1226" s="14">
        <v>171</v>
      </c>
      <c r="AF1226" s="26">
        <v>306</v>
      </c>
      <c r="AG1226" s="12">
        <v>139</v>
      </c>
      <c r="AH1226" s="14">
        <v>0</v>
      </c>
      <c r="AI1226" s="209"/>
      <c r="AJ1226" s="3"/>
      <c r="AK1226" s="3"/>
      <c r="AL1226" s="3"/>
      <c r="AM1226" s="3"/>
      <c r="AN1226" s="3"/>
      <c r="AO1226" s="40"/>
      <c r="AP1226" s="209"/>
      <c r="AQ1226" s="3"/>
      <c r="AR1226" s="40"/>
      <c r="AS1226" s="238"/>
    </row>
    <row r="1227" spans="1:45" s="229" customFormat="1">
      <c r="A1227" s="42" t="s">
        <v>326</v>
      </c>
      <c r="B1227" s="386">
        <v>46.86</v>
      </c>
      <c r="C1227" s="24" t="s">
        <v>133</v>
      </c>
      <c r="D1227" s="229" t="s">
        <v>623</v>
      </c>
      <c r="E1227" s="229" t="s">
        <v>3</v>
      </c>
      <c r="F1227" s="229">
        <v>1022</v>
      </c>
      <c r="G1227" s="40">
        <f>F1227/451</f>
        <v>2.2660753880266076</v>
      </c>
      <c r="H1227" s="14">
        <v>1</v>
      </c>
      <c r="I1227" s="229">
        <v>0</v>
      </c>
      <c r="J1227" s="229">
        <v>0</v>
      </c>
      <c r="K1227" s="26">
        <v>1</v>
      </c>
      <c r="L1227" s="14">
        <v>0</v>
      </c>
      <c r="M1227" s="229">
        <v>0</v>
      </c>
      <c r="N1227" s="229">
        <v>0</v>
      </c>
      <c r="O1227" s="229">
        <v>0</v>
      </c>
      <c r="P1227" s="26">
        <v>0</v>
      </c>
      <c r="Q1227" s="14">
        <v>0</v>
      </c>
      <c r="R1227" s="229">
        <v>0</v>
      </c>
      <c r="S1227" s="229">
        <v>0</v>
      </c>
      <c r="T1227" s="229">
        <v>0</v>
      </c>
      <c r="U1227" s="229">
        <v>0</v>
      </c>
      <c r="V1227" s="229">
        <v>0</v>
      </c>
      <c r="W1227" s="229">
        <v>0</v>
      </c>
      <c r="X1227" s="229">
        <v>0</v>
      </c>
      <c r="Y1227" s="229">
        <v>0</v>
      </c>
      <c r="Z1227" s="229">
        <v>0</v>
      </c>
      <c r="AA1227" s="229">
        <v>0</v>
      </c>
      <c r="AC1227" s="12">
        <v>2</v>
      </c>
      <c r="AD1227" s="14">
        <v>8</v>
      </c>
      <c r="AE1227" s="14">
        <v>85</v>
      </c>
      <c r="AF1227" s="26">
        <v>579</v>
      </c>
      <c r="AG1227" s="12">
        <v>139</v>
      </c>
      <c r="AH1227" s="14">
        <v>1</v>
      </c>
      <c r="AI1227" s="209"/>
      <c r="AJ1227" s="3"/>
      <c r="AK1227" s="3"/>
      <c r="AL1227" s="3"/>
      <c r="AM1227" s="3"/>
      <c r="AN1227" s="3"/>
      <c r="AO1227" s="40"/>
      <c r="AP1227" s="209"/>
      <c r="AQ1227" s="3"/>
      <c r="AR1227" s="40"/>
      <c r="AS1227" s="238"/>
    </row>
    <row r="1228" spans="1:45" s="229" customFormat="1">
      <c r="A1228" s="42" t="s">
        <v>326</v>
      </c>
      <c r="B1228" s="386">
        <v>46.86</v>
      </c>
      <c r="C1228" s="24" t="s">
        <v>133</v>
      </c>
      <c r="D1228" s="229" t="s">
        <v>623</v>
      </c>
      <c r="E1228" s="229" t="s">
        <v>4</v>
      </c>
      <c r="F1228" s="229">
        <v>799</v>
      </c>
      <c r="G1228" s="40">
        <f>F1228/363</f>
        <v>2.2011019283746558</v>
      </c>
      <c r="H1228" s="14">
        <v>1</v>
      </c>
      <c r="I1228" s="229">
        <v>0</v>
      </c>
      <c r="J1228" s="229">
        <v>0</v>
      </c>
      <c r="K1228" s="26">
        <v>1</v>
      </c>
      <c r="L1228" s="14">
        <v>0</v>
      </c>
      <c r="M1228" s="229">
        <v>0</v>
      </c>
      <c r="N1228" s="229">
        <v>0</v>
      </c>
      <c r="O1228" s="229">
        <v>0</v>
      </c>
      <c r="P1228" s="26">
        <v>0</v>
      </c>
      <c r="Q1228" s="14">
        <v>0</v>
      </c>
      <c r="R1228" s="229">
        <v>0</v>
      </c>
      <c r="S1228" s="229">
        <v>0</v>
      </c>
      <c r="T1228" s="229">
        <v>0</v>
      </c>
      <c r="U1228" s="229">
        <v>0</v>
      </c>
      <c r="V1228" s="229">
        <v>0</v>
      </c>
      <c r="W1228" s="229">
        <v>0</v>
      </c>
      <c r="X1228" s="229">
        <v>0</v>
      </c>
      <c r="Y1228" s="229">
        <v>0</v>
      </c>
      <c r="Z1228" s="229">
        <v>0</v>
      </c>
      <c r="AA1228" s="229">
        <v>0</v>
      </c>
      <c r="AC1228" s="12">
        <v>2</v>
      </c>
      <c r="AD1228" s="14">
        <v>4</v>
      </c>
      <c r="AE1228" s="14">
        <v>194</v>
      </c>
      <c r="AF1228" s="26">
        <v>500</v>
      </c>
      <c r="AG1228" s="12">
        <v>139</v>
      </c>
      <c r="AH1228" s="14">
        <v>1</v>
      </c>
      <c r="AI1228" s="209"/>
      <c r="AJ1228" s="3"/>
      <c r="AK1228" s="3"/>
      <c r="AL1228" s="3"/>
      <c r="AM1228" s="3"/>
      <c r="AN1228" s="3"/>
      <c r="AO1228" s="40"/>
      <c r="AP1228" s="209"/>
      <c r="AQ1228" s="3"/>
      <c r="AR1228" s="40"/>
      <c r="AS1228" s="238"/>
    </row>
    <row r="1229" spans="1:45" s="229" customFormat="1">
      <c r="A1229" s="42" t="s">
        <v>326</v>
      </c>
      <c r="B1229" s="386">
        <v>46.86</v>
      </c>
      <c r="C1229" s="24" t="s">
        <v>133</v>
      </c>
      <c r="D1229" s="229" t="s">
        <v>623</v>
      </c>
      <c r="E1229" s="229" t="s">
        <v>5</v>
      </c>
      <c r="F1229" s="229">
        <v>153</v>
      </c>
      <c r="G1229" s="40">
        <f>F1229/144</f>
        <v>1.0625</v>
      </c>
      <c r="H1229" s="14">
        <v>1</v>
      </c>
      <c r="I1229" s="229">
        <v>0</v>
      </c>
      <c r="J1229" s="229">
        <v>0</v>
      </c>
      <c r="K1229" s="26">
        <v>0</v>
      </c>
      <c r="L1229" s="14">
        <v>0</v>
      </c>
      <c r="M1229" s="229">
        <v>0</v>
      </c>
      <c r="N1229" s="229">
        <v>0</v>
      </c>
      <c r="O1229" s="229">
        <v>0</v>
      </c>
      <c r="P1229" s="26">
        <v>0</v>
      </c>
      <c r="Q1229" s="14">
        <v>3</v>
      </c>
      <c r="R1229" s="229">
        <v>0</v>
      </c>
      <c r="S1229" s="229">
        <v>17</v>
      </c>
      <c r="T1229" s="229">
        <v>0</v>
      </c>
      <c r="U1229" s="229">
        <v>0</v>
      </c>
      <c r="V1229" s="229">
        <v>0</v>
      </c>
      <c r="W1229" s="229">
        <v>0</v>
      </c>
      <c r="X1229" s="229">
        <v>0</v>
      </c>
      <c r="Y1229" s="229">
        <v>0</v>
      </c>
      <c r="Z1229" s="229">
        <v>0</v>
      </c>
      <c r="AA1229" s="229">
        <v>0</v>
      </c>
      <c r="AC1229" s="12">
        <v>1</v>
      </c>
      <c r="AD1229" s="14">
        <v>1</v>
      </c>
      <c r="AE1229" s="14">
        <v>0</v>
      </c>
      <c r="AF1229" s="26">
        <v>0</v>
      </c>
      <c r="AG1229" s="12">
        <v>139</v>
      </c>
      <c r="AH1229" s="14">
        <v>0</v>
      </c>
      <c r="AI1229" s="209"/>
      <c r="AJ1229" s="3"/>
      <c r="AK1229" s="3"/>
      <c r="AL1229" s="3"/>
      <c r="AM1229" s="3"/>
      <c r="AN1229" s="3"/>
      <c r="AO1229" s="40"/>
      <c r="AP1229" s="209"/>
      <c r="AQ1229" s="3"/>
      <c r="AR1229" s="40"/>
      <c r="AS1229" s="238"/>
    </row>
    <row r="1230" spans="1:45" s="229" customFormat="1">
      <c r="A1230" s="42" t="s">
        <v>326</v>
      </c>
      <c r="B1230" s="386">
        <v>46.86</v>
      </c>
      <c r="C1230" s="24" t="s">
        <v>133</v>
      </c>
      <c r="D1230" s="229" t="s">
        <v>633</v>
      </c>
      <c r="E1230" s="229" t="s">
        <v>0</v>
      </c>
      <c r="F1230" s="229">
        <v>221</v>
      </c>
      <c r="G1230" s="40">
        <f>F1230/195</f>
        <v>1.1333333333333333</v>
      </c>
      <c r="H1230" s="14">
        <v>1</v>
      </c>
      <c r="I1230" s="229">
        <v>0</v>
      </c>
      <c r="J1230" s="229">
        <v>0</v>
      </c>
      <c r="K1230" s="26">
        <v>0</v>
      </c>
      <c r="L1230" s="14">
        <v>0</v>
      </c>
      <c r="M1230" s="229">
        <v>0</v>
      </c>
      <c r="N1230" s="229">
        <v>0</v>
      </c>
      <c r="O1230" s="229">
        <v>0</v>
      </c>
      <c r="P1230" s="26">
        <v>0</v>
      </c>
      <c r="Q1230" s="14">
        <v>0</v>
      </c>
      <c r="R1230" s="229">
        <v>0</v>
      </c>
      <c r="S1230" s="229">
        <v>0</v>
      </c>
      <c r="T1230" s="229">
        <v>0</v>
      </c>
      <c r="U1230" s="229">
        <v>0</v>
      </c>
      <c r="V1230" s="229">
        <v>0</v>
      </c>
      <c r="W1230" s="229">
        <v>0</v>
      </c>
      <c r="X1230" s="229">
        <v>0</v>
      </c>
      <c r="Y1230" s="229">
        <v>0</v>
      </c>
      <c r="Z1230" s="229">
        <v>0</v>
      </c>
      <c r="AA1230" s="229">
        <v>0</v>
      </c>
      <c r="AC1230" s="12">
        <v>2</v>
      </c>
      <c r="AD1230" s="14">
        <v>2</v>
      </c>
      <c r="AE1230" s="14">
        <v>77</v>
      </c>
      <c r="AF1230" s="26">
        <v>221</v>
      </c>
      <c r="AG1230" s="12">
        <v>124</v>
      </c>
      <c r="AH1230" s="14">
        <v>1</v>
      </c>
      <c r="AI1230" s="209"/>
      <c r="AJ1230" s="3"/>
      <c r="AK1230" s="3"/>
      <c r="AL1230" s="3"/>
      <c r="AM1230" s="3"/>
      <c r="AN1230" s="3"/>
      <c r="AO1230" s="40"/>
      <c r="AP1230" s="209"/>
      <c r="AQ1230" s="3"/>
      <c r="AR1230" s="40"/>
      <c r="AS1230" s="238"/>
    </row>
    <row r="1231" spans="1:45" s="229" customFormat="1">
      <c r="A1231" s="42" t="s">
        <v>326</v>
      </c>
      <c r="B1231" s="386">
        <v>46.86</v>
      </c>
      <c r="C1231" s="24" t="s">
        <v>133</v>
      </c>
      <c r="D1231" s="229" t="s">
        <v>633</v>
      </c>
      <c r="E1231" s="229" t="s">
        <v>1</v>
      </c>
      <c r="F1231" s="229">
        <v>117</v>
      </c>
      <c r="G1231" s="40">
        <f>F1231/80</f>
        <v>1.4624999999999999</v>
      </c>
      <c r="H1231" s="14">
        <v>0</v>
      </c>
      <c r="I1231" s="229">
        <v>0</v>
      </c>
      <c r="J1231" s="229">
        <v>1</v>
      </c>
      <c r="K1231" s="26">
        <v>0</v>
      </c>
      <c r="L1231" s="14">
        <v>0</v>
      </c>
      <c r="M1231" s="229">
        <v>0</v>
      </c>
      <c r="N1231" s="229">
        <v>0</v>
      </c>
      <c r="O1231" s="229">
        <v>0</v>
      </c>
      <c r="P1231" s="26">
        <v>0</v>
      </c>
      <c r="Q1231" s="14">
        <v>5</v>
      </c>
      <c r="R1231" s="229">
        <v>0</v>
      </c>
      <c r="S1231" s="229">
        <v>0</v>
      </c>
      <c r="T1231" s="229">
        <v>0</v>
      </c>
      <c r="U1231" s="229">
        <v>0</v>
      </c>
      <c r="V1231" s="229">
        <v>0</v>
      </c>
      <c r="W1231" s="229">
        <v>23</v>
      </c>
      <c r="X1231" s="229">
        <v>0</v>
      </c>
      <c r="Y1231" s="229">
        <v>0</v>
      </c>
      <c r="Z1231" s="229">
        <v>0</v>
      </c>
      <c r="AA1231" s="229">
        <v>0</v>
      </c>
      <c r="AC1231" s="12">
        <v>1</v>
      </c>
      <c r="AD1231" s="14">
        <v>1</v>
      </c>
      <c r="AE1231" s="14">
        <v>0</v>
      </c>
      <c r="AF1231" s="26">
        <v>0</v>
      </c>
      <c r="AG1231" s="12">
        <v>124</v>
      </c>
      <c r="AH1231" s="14">
        <v>0</v>
      </c>
      <c r="AI1231" s="209"/>
      <c r="AJ1231" s="3"/>
      <c r="AK1231" s="3"/>
      <c r="AL1231" s="3"/>
      <c r="AM1231" s="3"/>
      <c r="AN1231" s="3"/>
      <c r="AO1231" s="40"/>
      <c r="AP1231" s="209"/>
      <c r="AQ1231" s="3"/>
      <c r="AR1231" s="40"/>
      <c r="AS1231" s="238"/>
    </row>
    <row r="1232" spans="1:45" s="229" customFormat="1">
      <c r="A1232" s="42" t="s">
        <v>326</v>
      </c>
      <c r="B1232" s="386">
        <v>46.86</v>
      </c>
      <c r="C1232" s="24" t="s">
        <v>133</v>
      </c>
      <c r="D1232" s="229" t="s">
        <v>633</v>
      </c>
      <c r="E1232" s="229" t="s">
        <v>2</v>
      </c>
      <c r="F1232" s="229">
        <v>465</v>
      </c>
      <c r="G1232" s="40">
        <f>F1232/295</f>
        <v>1.576271186440678</v>
      </c>
      <c r="H1232" s="14">
        <v>1</v>
      </c>
      <c r="I1232" s="229">
        <v>0</v>
      </c>
      <c r="J1232" s="229">
        <v>0</v>
      </c>
      <c r="K1232" s="26">
        <v>1</v>
      </c>
      <c r="L1232" s="14">
        <v>0</v>
      </c>
      <c r="M1232" s="229">
        <v>0</v>
      </c>
      <c r="N1232" s="229">
        <v>0</v>
      </c>
      <c r="O1232" s="229">
        <v>0</v>
      </c>
      <c r="P1232" s="26">
        <v>0</v>
      </c>
      <c r="Q1232" s="14">
        <v>1</v>
      </c>
      <c r="R1232" s="229">
        <v>7</v>
      </c>
      <c r="S1232" s="229">
        <v>15</v>
      </c>
      <c r="T1232" s="229">
        <v>0</v>
      </c>
      <c r="U1232" s="229">
        <v>0</v>
      </c>
      <c r="V1232" s="229">
        <v>0</v>
      </c>
      <c r="W1232" s="229">
        <v>0</v>
      </c>
      <c r="X1232" s="229">
        <v>0</v>
      </c>
      <c r="Y1232" s="229">
        <v>0</v>
      </c>
      <c r="Z1232" s="229">
        <v>0</v>
      </c>
      <c r="AA1232" s="229">
        <v>0</v>
      </c>
      <c r="AC1232" s="12">
        <v>2</v>
      </c>
      <c r="AD1232" s="14">
        <v>5</v>
      </c>
      <c r="AE1232" s="14">
        <v>101</v>
      </c>
      <c r="AF1232" s="26">
        <v>235</v>
      </c>
      <c r="AG1232" s="12">
        <v>124</v>
      </c>
      <c r="AH1232" s="14">
        <v>1</v>
      </c>
      <c r="AI1232" s="209"/>
      <c r="AJ1232" s="3"/>
      <c r="AK1232" s="3"/>
      <c r="AL1232" s="3"/>
      <c r="AM1232" s="3"/>
      <c r="AN1232" s="3"/>
      <c r="AO1232" s="40"/>
      <c r="AP1232" s="209"/>
      <c r="AQ1232" s="3"/>
      <c r="AR1232" s="40"/>
      <c r="AS1232" s="238"/>
    </row>
    <row r="1233" spans="1:45" s="229" customFormat="1">
      <c r="A1233" s="42" t="s">
        <v>326</v>
      </c>
      <c r="B1233" s="386">
        <v>46.86</v>
      </c>
      <c r="C1233" s="24" t="s">
        <v>133</v>
      </c>
      <c r="D1233" s="229" t="s">
        <v>633</v>
      </c>
      <c r="E1233" s="229" t="s">
        <v>3</v>
      </c>
      <c r="F1233" s="229">
        <v>256</v>
      </c>
      <c r="G1233" s="40">
        <f>F1233/177</f>
        <v>1.4463276836158192</v>
      </c>
      <c r="H1233" s="14">
        <v>1</v>
      </c>
      <c r="I1233" s="229">
        <v>0</v>
      </c>
      <c r="J1233" s="229">
        <v>0</v>
      </c>
      <c r="K1233" s="26">
        <v>1</v>
      </c>
      <c r="L1233" s="14">
        <v>0</v>
      </c>
      <c r="M1233" s="229">
        <v>0</v>
      </c>
      <c r="N1233" s="229">
        <v>1</v>
      </c>
      <c r="O1233" s="229">
        <v>0</v>
      </c>
      <c r="P1233" s="26">
        <v>1</v>
      </c>
      <c r="Q1233" s="14">
        <v>5</v>
      </c>
      <c r="R1233" s="229">
        <v>0</v>
      </c>
      <c r="S1233" s="229">
        <v>15</v>
      </c>
      <c r="T1233" s="229">
        <v>0</v>
      </c>
      <c r="U1233" s="229">
        <v>0</v>
      </c>
      <c r="V1233" s="229">
        <v>0</v>
      </c>
      <c r="W1233" s="229">
        <v>16</v>
      </c>
      <c r="X1233" s="229">
        <v>0</v>
      </c>
      <c r="Y1233" s="229">
        <v>0</v>
      </c>
      <c r="Z1233" s="229">
        <v>0</v>
      </c>
      <c r="AA1233" s="229">
        <v>19</v>
      </c>
      <c r="AC1233" s="12">
        <v>2</v>
      </c>
      <c r="AD1233" s="14">
        <v>2</v>
      </c>
      <c r="AE1233" s="14">
        <v>147</v>
      </c>
      <c r="AF1233" s="26">
        <v>178</v>
      </c>
      <c r="AG1233" s="12">
        <v>124</v>
      </c>
      <c r="AH1233" s="14">
        <v>1</v>
      </c>
      <c r="AI1233" s="209"/>
      <c r="AJ1233" s="3"/>
      <c r="AK1233" s="3"/>
      <c r="AL1233" s="3"/>
      <c r="AM1233" s="3"/>
      <c r="AN1233" s="3"/>
      <c r="AO1233" s="40"/>
      <c r="AP1233" s="209"/>
      <c r="AQ1233" s="3"/>
      <c r="AR1233" s="40"/>
      <c r="AS1233" s="238"/>
    </row>
    <row r="1234" spans="1:45" s="229" customFormat="1">
      <c r="A1234" s="42" t="s">
        <v>326</v>
      </c>
      <c r="B1234" s="386">
        <v>46.86</v>
      </c>
      <c r="C1234" s="24" t="s">
        <v>133</v>
      </c>
      <c r="D1234" s="229" t="s">
        <v>633</v>
      </c>
      <c r="E1234" s="229" t="s">
        <v>4</v>
      </c>
      <c r="F1234" s="229">
        <v>209</v>
      </c>
      <c r="G1234" s="40">
        <f>F1234/184</f>
        <v>1.1358695652173914</v>
      </c>
      <c r="H1234" s="14">
        <v>1</v>
      </c>
      <c r="I1234" s="229">
        <v>0</v>
      </c>
      <c r="J1234" s="229">
        <v>0</v>
      </c>
      <c r="K1234" s="26">
        <v>0</v>
      </c>
      <c r="L1234" s="14">
        <v>0</v>
      </c>
      <c r="M1234" s="229">
        <v>0</v>
      </c>
      <c r="N1234" s="229">
        <v>0</v>
      </c>
      <c r="O1234" s="229">
        <v>0</v>
      </c>
      <c r="P1234" s="26">
        <v>0</v>
      </c>
      <c r="Q1234" s="14">
        <v>0</v>
      </c>
      <c r="R1234" s="229">
        <v>0</v>
      </c>
      <c r="S1234" s="229">
        <v>0</v>
      </c>
      <c r="T1234" s="229">
        <v>0</v>
      </c>
      <c r="U1234" s="229">
        <v>0</v>
      </c>
      <c r="V1234" s="229">
        <v>0</v>
      </c>
      <c r="W1234" s="229">
        <v>0</v>
      </c>
      <c r="X1234" s="229">
        <v>0</v>
      </c>
      <c r="Y1234" s="229">
        <v>0</v>
      </c>
      <c r="Z1234" s="229">
        <v>0</v>
      </c>
      <c r="AA1234" s="229">
        <v>0</v>
      </c>
      <c r="AC1234" s="12">
        <v>1</v>
      </c>
      <c r="AD1234" s="14">
        <v>1</v>
      </c>
      <c r="AE1234" s="14">
        <v>0</v>
      </c>
      <c r="AF1234" s="26">
        <v>0</v>
      </c>
      <c r="AG1234" s="12">
        <v>124</v>
      </c>
      <c r="AH1234" s="14">
        <v>0</v>
      </c>
      <c r="AI1234" s="209"/>
      <c r="AJ1234" s="3"/>
      <c r="AK1234" s="3"/>
      <c r="AL1234" s="3"/>
      <c r="AM1234" s="3"/>
      <c r="AN1234" s="3"/>
      <c r="AO1234" s="40"/>
      <c r="AP1234" s="209"/>
      <c r="AQ1234" s="3"/>
      <c r="AR1234" s="40"/>
      <c r="AS1234" s="238"/>
    </row>
    <row r="1235" spans="1:45" s="229" customFormat="1">
      <c r="A1235" s="42" t="s">
        <v>326</v>
      </c>
      <c r="B1235" s="386">
        <v>46.86</v>
      </c>
      <c r="C1235" s="24" t="s">
        <v>133</v>
      </c>
      <c r="D1235" s="229" t="s">
        <v>633</v>
      </c>
      <c r="E1235" s="229" t="s">
        <v>5</v>
      </c>
      <c r="F1235" s="229">
        <v>879</v>
      </c>
      <c r="G1235" s="40">
        <f>F1235/510</f>
        <v>1.723529411764706</v>
      </c>
      <c r="H1235" s="14">
        <v>1</v>
      </c>
      <c r="I1235" s="229">
        <v>0</v>
      </c>
      <c r="J1235" s="229">
        <v>0</v>
      </c>
      <c r="K1235" s="26">
        <v>1</v>
      </c>
      <c r="L1235" s="14">
        <v>0</v>
      </c>
      <c r="M1235" s="229">
        <v>0</v>
      </c>
      <c r="N1235" s="229">
        <v>0</v>
      </c>
      <c r="O1235" s="229">
        <v>0</v>
      </c>
      <c r="P1235" s="26">
        <v>0</v>
      </c>
      <c r="Q1235" s="14"/>
      <c r="R1235" s="229">
        <v>0</v>
      </c>
      <c r="S1235" s="229">
        <v>4</v>
      </c>
      <c r="T1235" s="229">
        <v>0</v>
      </c>
      <c r="U1235" s="229">
        <v>0</v>
      </c>
      <c r="V1235" s="229">
        <v>11</v>
      </c>
      <c r="W1235" s="229">
        <v>27</v>
      </c>
      <c r="X1235" s="229">
        <v>0</v>
      </c>
      <c r="Y1235" s="229">
        <v>0</v>
      </c>
      <c r="Z1235" s="229">
        <v>0</v>
      </c>
      <c r="AA1235" s="229">
        <v>0</v>
      </c>
      <c r="AC1235" s="12">
        <v>2</v>
      </c>
      <c r="AD1235" s="14">
        <v>11</v>
      </c>
      <c r="AE1235" s="14">
        <v>73</v>
      </c>
      <c r="AF1235" s="26">
        <v>343</v>
      </c>
      <c r="AG1235" s="12">
        <v>124</v>
      </c>
      <c r="AH1235" s="14">
        <v>1</v>
      </c>
      <c r="AI1235" s="209"/>
      <c r="AJ1235" s="3"/>
      <c r="AK1235" s="3"/>
      <c r="AL1235" s="3"/>
      <c r="AM1235" s="3"/>
      <c r="AN1235" s="3"/>
      <c r="AO1235" s="40"/>
      <c r="AP1235" s="209"/>
      <c r="AQ1235" s="3"/>
      <c r="AR1235" s="40"/>
      <c r="AS1235" s="238"/>
    </row>
    <row r="1236" spans="1:45" s="229" customFormat="1">
      <c r="A1236" s="42" t="s">
        <v>326</v>
      </c>
      <c r="B1236" s="386">
        <v>46.86</v>
      </c>
      <c r="C1236" s="24" t="s">
        <v>133</v>
      </c>
      <c r="D1236" s="229" t="s">
        <v>624</v>
      </c>
      <c r="E1236" s="229" t="s">
        <v>0</v>
      </c>
      <c r="F1236" s="229">
        <v>552</v>
      </c>
      <c r="G1236" s="40">
        <f>F1236/374</f>
        <v>1.4759358288770053</v>
      </c>
      <c r="H1236" s="14">
        <v>0</v>
      </c>
      <c r="I1236" s="229">
        <v>0</v>
      </c>
      <c r="J1236" s="229">
        <v>0</v>
      </c>
      <c r="K1236" s="26">
        <v>1</v>
      </c>
      <c r="L1236" s="14">
        <v>0</v>
      </c>
      <c r="M1236" s="229">
        <v>0</v>
      </c>
      <c r="N1236" s="229">
        <v>1</v>
      </c>
      <c r="O1236" s="229">
        <v>0</v>
      </c>
      <c r="P1236" s="26">
        <v>1</v>
      </c>
      <c r="Q1236" s="14">
        <v>0</v>
      </c>
      <c r="R1236" s="229">
        <v>0</v>
      </c>
      <c r="S1236" s="229">
        <v>0</v>
      </c>
      <c r="T1236" s="229">
        <v>0</v>
      </c>
      <c r="U1236" s="229">
        <v>0</v>
      </c>
      <c r="V1236" s="229">
        <v>0</v>
      </c>
      <c r="W1236" s="229">
        <v>0</v>
      </c>
      <c r="X1236" s="229">
        <v>0</v>
      </c>
      <c r="Y1236" s="229">
        <v>0</v>
      </c>
      <c r="Z1236" s="229">
        <v>0</v>
      </c>
      <c r="AA1236" s="229">
        <v>0</v>
      </c>
      <c r="AC1236" s="12">
        <v>1</v>
      </c>
      <c r="AD1236" s="14">
        <v>1</v>
      </c>
      <c r="AE1236" s="14">
        <v>0</v>
      </c>
      <c r="AF1236" s="26">
        <v>0</v>
      </c>
      <c r="AG1236" s="12">
        <v>138</v>
      </c>
      <c r="AH1236" s="14">
        <v>1</v>
      </c>
      <c r="AI1236" s="209"/>
      <c r="AJ1236" s="3"/>
      <c r="AK1236" s="3"/>
      <c r="AL1236" s="3"/>
      <c r="AM1236" s="3"/>
      <c r="AN1236" s="3"/>
      <c r="AO1236" s="40"/>
      <c r="AP1236" s="209"/>
      <c r="AQ1236" s="3"/>
      <c r="AR1236" s="40"/>
      <c r="AS1236" s="238"/>
    </row>
    <row r="1237" spans="1:45" s="229" customFormat="1">
      <c r="A1237" s="42" t="s">
        <v>326</v>
      </c>
      <c r="B1237" s="386">
        <v>46.86</v>
      </c>
      <c r="C1237" s="24" t="s">
        <v>133</v>
      </c>
      <c r="D1237" s="229" t="s">
        <v>624</v>
      </c>
      <c r="E1237" s="229" t="s">
        <v>1</v>
      </c>
      <c r="F1237" s="229">
        <v>255</v>
      </c>
      <c r="G1237" s="40">
        <f>F1237/165</f>
        <v>1.5454545454545454</v>
      </c>
      <c r="H1237" s="14">
        <v>0</v>
      </c>
      <c r="I1237" s="229">
        <v>0</v>
      </c>
      <c r="J1237" s="229">
        <v>0</v>
      </c>
      <c r="K1237" s="26">
        <v>1</v>
      </c>
      <c r="L1237" s="14">
        <v>0</v>
      </c>
      <c r="M1237" s="229">
        <v>0</v>
      </c>
      <c r="N1237" s="229">
        <v>0</v>
      </c>
      <c r="O1237" s="229">
        <v>0</v>
      </c>
      <c r="P1237" s="26">
        <v>0</v>
      </c>
      <c r="Q1237" s="14">
        <v>0</v>
      </c>
      <c r="R1237" s="229">
        <v>0</v>
      </c>
      <c r="S1237" s="229">
        <v>0</v>
      </c>
      <c r="T1237" s="229">
        <v>0</v>
      </c>
      <c r="U1237" s="229">
        <v>0</v>
      </c>
      <c r="V1237" s="229">
        <v>0</v>
      </c>
      <c r="W1237" s="229">
        <v>0</v>
      </c>
      <c r="X1237" s="229">
        <v>0</v>
      </c>
      <c r="Y1237" s="229">
        <v>0</v>
      </c>
      <c r="Z1237" s="229">
        <v>0</v>
      </c>
      <c r="AA1237" s="229">
        <v>0</v>
      </c>
      <c r="AC1237" s="12">
        <v>1</v>
      </c>
      <c r="AD1237" s="14">
        <v>1</v>
      </c>
      <c r="AE1237" s="14">
        <v>0</v>
      </c>
      <c r="AF1237" s="26">
        <v>0</v>
      </c>
      <c r="AG1237" s="12">
        <v>138</v>
      </c>
      <c r="AH1237" s="14">
        <v>0</v>
      </c>
      <c r="AI1237" s="209"/>
      <c r="AJ1237" s="3"/>
      <c r="AK1237" s="3"/>
      <c r="AL1237" s="3"/>
      <c r="AM1237" s="3"/>
      <c r="AN1237" s="3"/>
      <c r="AO1237" s="40"/>
      <c r="AP1237" s="209"/>
      <c r="AQ1237" s="3"/>
      <c r="AR1237" s="40"/>
      <c r="AS1237" s="238"/>
    </row>
    <row r="1238" spans="1:45" s="229" customFormat="1">
      <c r="A1238" s="42" t="s">
        <v>326</v>
      </c>
      <c r="B1238" s="386">
        <v>46.86</v>
      </c>
      <c r="C1238" s="24" t="s">
        <v>133</v>
      </c>
      <c r="D1238" s="229" t="s">
        <v>624</v>
      </c>
      <c r="E1238" s="229" t="s">
        <v>2</v>
      </c>
      <c r="F1238" s="229">
        <v>787</v>
      </c>
      <c r="G1238" s="40">
        <f>F1238/495</f>
        <v>1.5898989898989899</v>
      </c>
      <c r="H1238" s="14">
        <v>0</v>
      </c>
      <c r="I1238" s="229">
        <v>0</v>
      </c>
      <c r="J1238" s="229">
        <v>0</v>
      </c>
      <c r="K1238" s="26">
        <v>1</v>
      </c>
      <c r="L1238" s="14">
        <v>0</v>
      </c>
      <c r="M1238" s="229">
        <v>0</v>
      </c>
      <c r="N1238" s="229">
        <v>1</v>
      </c>
      <c r="O1238" s="229">
        <v>0</v>
      </c>
      <c r="P1238" s="26">
        <v>1</v>
      </c>
      <c r="Q1238" s="14">
        <v>1</v>
      </c>
      <c r="R1238" s="229">
        <v>0</v>
      </c>
      <c r="S1238" s="229">
        <v>13</v>
      </c>
      <c r="T1238" s="229">
        <v>0</v>
      </c>
      <c r="U1238" s="229">
        <v>0</v>
      </c>
      <c r="V1238" s="229">
        <v>0</v>
      </c>
      <c r="W1238" s="229">
        <v>0</v>
      </c>
      <c r="X1238" s="229">
        <v>0</v>
      </c>
      <c r="Y1238" s="229">
        <v>0</v>
      </c>
      <c r="Z1238" s="229">
        <v>0</v>
      </c>
      <c r="AA1238" s="229">
        <v>0</v>
      </c>
      <c r="AC1238" s="12">
        <v>2</v>
      </c>
      <c r="AD1238" s="14">
        <v>4</v>
      </c>
      <c r="AE1238" s="14">
        <v>96</v>
      </c>
      <c r="AF1238" s="26">
        <v>705</v>
      </c>
      <c r="AG1238" s="12">
        <v>138</v>
      </c>
      <c r="AH1238" s="14">
        <v>1</v>
      </c>
      <c r="AI1238" s="209"/>
      <c r="AJ1238" s="3"/>
      <c r="AK1238" s="3"/>
      <c r="AL1238" s="3"/>
      <c r="AM1238" s="3"/>
      <c r="AN1238" s="3"/>
      <c r="AO1238" s="40"/>
      <c r="AP1238" s="209"/>
      <c r="AQ1238" s="3"/>
      <c r="AR1238" s="40"/>
      <c r="AS1238" s="238"/>
    </row>
    <row r="1239" spans="1:45" s="229" customFormat="1">
      <c r="A1239" s="42" t="s">
        <v>326</v>
      </c>
      <c r="B1239" s="386">
        <v>46.86</v>
      </c>
      <c r="C1239" s="24" t="s">
        <v>133</v>
      </c>
      <c r="D1239" s="229" t="s">
        <v>624</v>
      </c>
      <c r="E1239" s="229" t="s">
        <v>3</v>
      </c>
      <c r="F1239" s="229">
        <v>601</v>
      </c>
      <c r="G1239" s="40">
        <f>F1239/423</f>
        <v>1.4208037825059101</v>
      </c>
      <c r="H1239" s="14">
        <v>1</v>
      </c>
      <c r="I1239" s="229">
        <v>0</v>
      </c>
      <c r="J1239" s="229">
        <v>0</v>
      </c>
      <c r="K1239" s="26">
        <v>1</v>
      </c>
      <c r="L1239" s="14">
        <v>0</v>
      </c>
      <c r="M1239" s="229">
        <v>0</v>
      </c>
      <c r="N1239" s="229">
        <v>0</v>
      </c>
      <c r="O1239" s="229">
        <v>0</v>
      </c>
      <c r="P1239" s="26">
        <v>0</v>
      </c>
      <c r="Q1239" s="14">
        <v>0</v>
      </c>
      <c r="R1239" s="229">
        <v>0</v>
      </c>
      <c r="S1239" s="229">
        <v>0</v>
      </c>
      <c r="T1239" s="229">
        <v>0</v>
      </c>
      <c r="U1239" s="229">
        <v>0</v>
      </c>
      <c r="V1239" s="229">
        <v>0</v>
      </c>
      <c r="W1239" s="229">
        <v>0</v>
      </c>
      <c r="X1239" s="229">
        <v>0</v>
      </c>
      <c r="Y1239" s="229">
        <v>0</v>
      </c>
      <c r="Z1239" s="229">
        <v>0</v>
      </c>
      <c r="AA1239" s="229">
        <v>0</v>
      </c>
      <c r="AC1239" s="12">
        <v>2</v>
      </c>
      <c r="AD1239" s="14">
        <v>2</v>
      </c>
      <c r="AE1239" s="14">
        <v>317</v>
      </c>
      <c r="AF1239" s="26">
        <v>601</v>
      </c>
      <c r="AG1239" s="12">
        <v>138</v>
      </c>
      <c r="AH1239" s="14">
        <v>1</v>
      </c>
      <c r="AI1239" s="209"/>
      <c r="AJ1239" s="3"/>
      <c r="AK1239" s="3"/>
      <c r="AL1239" s="3"/>
      <c r="AM1239" s="3"/>
      <c r="AN1239" s="3"/>
      <c r="AO1239" s="40"/>
      <c r="AP1239" s="209"/>
      <c r="AQ1239" s="3"/>
      <c r="AR1239" s="40"/>
      <c r="AS1239" s="238"/>
    </row>
    <row r="1240" spans="1:45" s="229" customFormat="1">
      <c r="A1240" s="42" t="s">
        <v>326</v>
      </c>
      <c r="B1240" s="386">
        <v>46.86</v>
      </c>
      <c r="C1240" s="24" t="s">
        <v>133</v>
      </c>
      <c r="D1240" s="229" t="s">
        <v>719</v>
      </c>
      <c r="E1240" s="229" t="s">
        <v>0</v>
      </c>
      <c r="F1240" s="229">
        <v>225</v>
      </c>
      <c r="G1240" s="40">
        <f>F1240/211</f>
        <v>1.066350710900474</v>
      </c>
      <c r="H1240" s="14">
        <v>0</v>
      </c>
      <c r="I1240" s="229">
        <v>0</v>
      </c>
      <c r="J1240" s="229">
        <v>1</v>
      </c>
      <c r="K1240" s="26">
        <v>0</v>
      </c>
      <c r="L1240" s="14">
        <v>0</v>
      </c>
      <c r="M1240" s="229">
        <v>0</v>
      </c>
      <c r="N1240" s="229">
        <v>0</v>
      </c>
      <c r="O1240" s="229">
        <v>0</v>
      </c>
      <c r="P1240" s="26">
        <v>0</v>
      </c>
      <c r="Q1240" s="14">
        <v>10</v>
      </c>
      <c r="R1240" s="229">
        <v>0</v>
      </c>
      <c r="S1240" s="229">
        <v>0</v>
      </c>
      <c r="T1240" s="229">
        <v>0</v>
      </c>
      <c r="U1240" s="229">
        <v>0</v>
      </c>
      <c r="V1240" s="229">
        <v>0</v>
      </c>
      <c r="W1240" s="229">
        <v>30</v>
      </c>
      <c r="X1240" s="229">
        <v>0</v>
      </c>
      <c r="Y1240" s="229">
        <v>0</v>
      </c>
      <c r="Z1240" s="229">
        <v>0</v>
      </c>
      <c r="AA1240" s="229">
        <v>51</v>
      </c>
      <c r="AC1240" s="12">
        <v>1</v>
      </c>
      <c r="AD1240" s="14">
        <v>1</v>
      </c>
      <c r="AE1240" s="14">
        <v>0</v>
      </c>
      <c r="AF1240" s="26">
        <v>0</v>
      </c>
      <c r="AG1240" s="12">
        <v>118</v>
      </c>
      <c r="AH1240" s="14">
        <v>0</v>
      </c>
      <c r="AI1240" s="209"/>
      <c r="AJ1240" s="3"/>
      <c r="AK1240" s="3"/>
      <c r="AL1240" s="3"/>
      <c r="AM1240" s="3"/>
      <c r="AN1240" s="3"/>
      <c r="AO1240" s="40"/>
      <c r="AP1240" s="209"/>
      <c r="AQ1240" s="3"/>
      <c r="AR1240" s="40"/>
      <c r="AS1240" s="238"/>
    </row>
    <row r="1241" spans="1:45" s="229" customFormat="1">
      <c r="A1241" s="42" t="s">
        <v>326</v>
      </c>
      <c r="B1241" s="386">
        <v>46.86</v>
      </c>
      <c r="C1241" s="24" t="s">
        <v>133</v>
      </c>
      <c r="D1241" s="229" t="s">
        <v>719</v>
      </c>
      <c r="E1241" s="229" t="s">
        <v>1</v>
      </c>
      <c r="F1241" s="229">
        <v>324</v>
      </c>
      <c r="G1241" s="40">
        <f>F1241/236</f>
        <v>1.3728813559322033</v>
      </c>
      <c r="H1241" s="14">
        <v>0</v>
      </c>
      <c r="I1241" s="229">
        <v>0</v>
      </c>
      <c r="J1241" s="229">
        <v>0</v>
      </c>
      <c r="K1241" s="26">
        <v>1</v>
      </c>
      <c r="L1241" s="14">
        <v>0</v>
      </c>
      <c r="M1241" s="229">
        <v>0</v>
      </c>
      <c r="N1241" s="229">
        <v>0</v>
      </c>
      <c r="O1241" s="229">
        <v>0</v>
      </c>
      <c r="P1241" s="26">
        <v>0</v>
      </c>
      <c r="Q1241" s="14">
        <v>0</v>
      </c>
      <c r="R1241" s="229">
        <v>0</v>
      </c>
      <c r="S1241" s="229">
        <v>0</v>
      </c>
      <c r="T1241" s="229">
        <v>0</v>
      </c>
      <c r="U1241" s="229">
        <v>0</v>
      </c>
      <c r="V1241" s="229">
        <v>0</v>
      </c>
      <c r="W1241" s="229">
        <v>0</v>
      </c>
      <c r="X1241" s="229">
        <v>0</v>
      </c>
      <c r="Y1241" s="229">
        <v>0</v>
      </c>
      <c r="Z1241" s="229">
        <v>0</v>
      </c>
      <c r="AA1241" s="229">
        <v>0</v>
      </c>
      <c r="AC1241" s="12">
        <v>2</v>
      </c>
      <c r="AD1241" s="14">
        <v>2</v>
      </c>
      <c r="AE1241" s="14">
        <v>170</v>
      </c>
      <c r="AF1241" s="26">
        <v>236</v>
      </c>
      <c r="AG1241" s="12">
        <v>118</v>
      </c>
      <c r="AH1241" s="14">
        <v>1</v>
      </c>
      <c r="AI1241" s="209"/>
      <c r="AJ1241" s="3"/>
      <c r="AK1241" s="3"/>
      <c r="AL1241" s="3"/>
      <c r="AM1241" s="3"/>
      <c r="AN1241" s="3"/>
      <c r="AO1241" s="40"/>
      <c r="AP1241" s="209"/>
      <c r="AQ1241" s="3"/>
      <c r="AR1241" s="40"/>
      <c r="AS1241" s="238"/>
    </row>
    <row r="1242" spans="1:45" s="229" customFormat="1">
      <c r="A1242" s="42" t="s">
        <v>326</v>
      </c>
      <c r="B1242" s="386">
        <v>46.86</v>
      </c>
      <c r="C1242" s="24" t="s">
        <v>133</v>
      </c>
      <c r="D1242" s="24" t="s">
        <v>719</v>
      </c>
      <c r="E1242" s="229" t="s">
        <v>2</v>
      </c>
      <c r="F1242" s="229">
        <v>795</v>
      </c>
      <c r="G1242" s="40">
        <f>F1242/446</f>
        <v>1.7825112107623318</v>
      </c>
      <c r="H1242" s="14">
        <v>1</v>
      </c>
      <c r="I1242" s="229">
        <v>0</v>
      </c>
      <c r="J1242" s="229">
        <v>0</v>
      </c>
      <c r="K1242" s="26">
        <v>0</v>
      </c>
      <c r="L1242" s="14">
        <v>0</v>
      </c>
      <c r="M1242" s="229">
        <v>0</v>
      </c>
      <c r="N1242" s="229">
        <v>0</v>
      </c>
      <c r="O1242" s="229">
        <v>0</v>
      </c>
      <c r="P1242" s="26">
        <v>0</v>
      </c>
      <c r="Q1242" s="14">
        <v>0</v>
      </c>
      <c r="R1242" s="229">
        <v>0</v>
      </c>
      <c r="S1242" s="229">
        <v>0</v>
      </c>
      <c r="T1242" s="229">
        <v>0</v>
      </c>
      <c r="U1242" s="229">
        <v>0</v>
      </c>
      <c r="V1242" s="229">
        <v>0</v>
      </c>
      <c r="W1242" s="229">
        <v>0</v>
      </c>
      <c r="X1242" s="229">
        <v>0</v>
      </c>
      <c r="Y1242" s="229">
        <v>0</v>
      </c>
      <c r="Z1242" s="229">
        <v>0</v>
      </c>
      <c r="AA1242" s="229">
        <v>0</v>
      </c>
      <c r="AC1242" s="12">
        <v>2</v>
      </c>
      <c r="AD1242" s="14">
        <v>3</v>
      </c>
      <c r="AE1242" s="14">
        <v>278</v>
      </c>
      <c r="AF1242" s="26">
        <v>575</v>
      </c>
      <c r="AG1242" s="12">
        <v>118</v>
      </c>
      <c r="AH1242" s="14">
        <v>1</v>
      </c>
      <c r="AI1242" s="209"/>
      <c r="AJ1242" s="3"/>
      <c r="AK1242" s="3"/>
      <c r="AL1242" s="3"/>
      <c r="AM1242" s="3"/>
      <c r="AN1242" s="3"/>
      <c r="AO1242" s="40"/>
      <c r="AP1242" s="209"/>
      <c r="AQ1242" s="3"/>
      <c r="AR1242" s="40"/>
      <c r="AS1242" s="238"/>
    </row>
    <row r="1243" spans="1:45" s="229" customFormat="1">
      <c r="A1243" s="42" t="s">
        <v>326</v>
      </c>
      <c r="B1243" s="386">
        <v>46.86</v>
      </c>
      <c r="C1243" s="24" t="s">
        <v>133</v>
      </c>
      <c r="D1243" s="24" t="s">
        <v>719</v>
      </c>
      <c r="E1243" s="229" t="s">
        <v>3</v>
      </c>
      <c r="F1243" s="229">
        <v>309</v>
      </c>
      <c r="G1243" s="40">
        <f>F1243/262</f>
        <v>1.1793893129770991</v>
      </c>
      <c r="H1243" s="14">
        <v>1</v>
      </c>
      <c r="I1243" s="229">
        <v>0</v>
      </c>
      <c r="J1243" s="229">
        <v>0</v>
      </c>
      <c r="K1243" s="26">
        <v>1</v>
      </c>
      <c r="L1243" s="14">
        <v>0</v>
      </c>
      <c r="M1243" s="229">
        <v>0</v>
      </c>
      <c r="N1243" s="229">
        <v>1</v>
      </c>
      <c r="O1243" s="229">
        <v>0</v>
      </c>
      <c r="P1243" s="26">
        <v>1</v>
      </c>
      <c r="Q1243" s="14">
        <v>0</v>
      </c>
      <c r="R1243" s="229">
        <v>0</v>
      </c>
      <c r="S1243" s="229">
        <v>0</v>
      </c>
      <c r="T1243" s="229">
        <v>0</v>
      </c>
      <c r="U1243" s="229">
        <v>0</v>
      </c>
      <c r="V1243" s="229">
        <v>0</v>
      </c>
      <c r="W1243" s="229">
        <v>0</v>
      </c>
      <c r="X1243" s="229">
        <v>0</v>
      </c>
      <c r="Y1243" s="229">
        <v>0</v>
      </c>
      <c r="Z1243" s="229">
        <v>0</v>
      </c>
      <c r="AA1243" s="229">
        <v>0</v>
      </c>
      <c r="AC1243" s="12">
        <v>2</v>
      </c>
      <c r="AD1243" s="14">
        <v>3</v>
      </c>
      <c r="AE1243" s="14">
        <v>133</v>
      </c>
      <c r="AF1243" s="26">
        <v>180</v>
      </c>
      <c r="AG1243" s="12">
        <v>118</v>
      </c>
      <c r="AH1243" s="14">
        <v>1</v>
      </c>
      <c r="AI1243" s="209"/>
      <c r="AJ1243" s="3"/>
      <c r="AK1243" s="3"/>
      <c r="AL1243" s="3"/>
      <c r="AM1243" s="3"/>
      <c r="AN1243" s="3"/>
      <c r="AO1243" s="40"/>
      <c r="AP1243" s="209"/>
      <c r="AQ1243" s="3"/>
      <c r="AR1243" s="40"/>
      <c r="AS1243" s="238"/>
    </row>
    <row r="1244" spans="1:45" s="229" customFormat="1">
      <c r="A1244" s="42" t="s">
        <v>326</v>
      </c>
      <c r="B1244" s="386">
        <v>46.86</v>
      </c>
      <c r="C1244" s="24" t="s">
        <v>133</v>
      </c>
      <c r="D1244" s="24" t="s">
        <v>719</v>
      </c>
      <c r="E1244" s="229" t="s">
        <v>4</v>
      </c>
      <c r="F1244" s="229">
        <v>202</v>
      </c>
      <c r="G1244" s="40">
        <f>F1244/147</f>
        <v>1.3741496598639455</v>
      </c>
      <c r="H1244" s="14">
        <v>1</v>
      </c>
      <c r="I1244" s="229">
        <v>0</v>
      </c>
      <c r="J1244" s="229">
        <v>0</v>
      </c>
      <c r="K1244" s="26">
        <v>0</v>
      </c>
      <c r="L1244" s="14">
        <v>0</v>
      </c>
      <c r="M1244" s="229">
        <v>0</v>
      </c>
      <c r="N1244" s="229">
        <v>1</v>
      </c>
      <c r="O1244" s="229">
        <v>0</v>
      </c>
      <c r="P1244" s="26">
        <v>1</v>
      </c>
      <c r="Q1244" s="14">
        <v>0</v>
      </c>
      <c r="R1244" s="229">
        <v>0</v>
      </c>
      <c r="S1244" s="229">
        <v>0</v>
      </c>
      <c r="T1244" s="229">
        <v>0</v>
      </c>
      <c r="U1244" s="229">
        <v>0</v>
      </c>
      <c r="V1244" s="229">
        <v>0</v>
      </c>
      <c r="W1244" s="229">
        <v>0</v>
      </c>
      <c r="X1244" s="229">
        <v>0</v>
      </c>
      <c r="Y1244" s="229">
        <v>0</v>
      </c>
      <c r="Z1244" s="229">
        <v>0</v>
      </c>
      <c r="AA1244" s="229">
        <v>0</v>
      </c>
      <c r="AC1244" s="12">
        <v>1</v>
      </c>
      <c r="AD1244" s="14">
        <v>1</v>
      </c>
      <c r="AE1244" s="14">
        <v>0</v>
      </c>
      <c r="AF1244" s="26">
        <v>0</v>
      </c>
      <c r="AG1244" s="12">
        <v>118</v>
      </c>
      <c r="AH1244" s="14">
        <v>0</v>
      </c>
      <c r="AI1244" s="209"/>
      <c r="AJ1244" s="3"/>
      <c r="AK1244" s="3"/>
      <c r="AL1244" s="3"/>
      <c r="AM1244" s="3"/>
      <c r="AN1244" s="3"/>
      <c r="AO1244" s="40"/>
      <c r="AP1244" s="209"/>
      <c r="AQ1244" s="3"/>
      <c r="AR1244" s="40"/>
      <c r="AS1244" s="238"/>
    </row>
    <row r="1245" spans="1:45" s="229" customFormat="1">
      <c r="A1245" s="42" t="s">
        <v>326</v>
      </c>
      <c r="B1245" s="386">
        <v>46.86</v>
      </c>
      <c r="C1245" s="24" t="s">
        <v>133</v>
      </c>
      <c r="D1245" s="24" t="s">
        <v>719</v>
      </c>
      <c r="E1245" s="229" t="s">
        <v>5</v>
      </c>
      <c r="F1245" s="229">
        <v>625</v>
      </c>
      <c r="G1245" s="40">
        <f>F1245/456</f>
        <v>1.3706140350877194</v>
      </c>
      <c r="H1245" s="14">
        <v>0</v>
      </c>
      <c r="I1245" s="229">
        <v>0</v>
      </c>
      <c r="J1245" s="229">
        <v>1</v>
      </c>
      <c r="K1245" s="26">
        <v>1</v>
      </c>
      <c r="L1245" s="14">
        <v>0</v>
      </c>
      <c r="M1245" s="229">
        <v>0</v>
      </c>
      <c r="N1245" s="229">
        <v>1</v>
      </c>
      <c r="O1245" s="229">
        <v>0</v>
      </c>
      <c r="P1245" s="26">
        <v>1</v>
      </c>
      <c r="Q1245" s="14">
        <v>0</v>
      </c>
      <c r="R1245" s="229">
        <v>0</v>
      </c>
      <c r="S1245" s="229">
        <v>0</v>
      </c>
      <c r="T1245" s="229">
        <v>0</v>
      </c>
      <c r="U1245" s="229">
        <v>0</v>
      </c>
      <c r="V1245" s="229">
        <v>0</v>
      </c>
      <c r="W1245" s="229">
        <v>0</v>
      </c>
      <c r="X1245" s="229">
        <v>0</v>
      </c>
      <c r="Y1245" s="229">
        <v>0</v>
      </c>
      <c r="Z1245" s="229">
        <v>0</v>
      </c>
      <c r="AA1245" s="229">
        <v>0</v>
      </c>
      <c r="AC1245" s="12">
        <v>2</v>
      </c>
      <c r="AD1245" s="14">
        <v>2</v>
      </c>
      <c r="AE1245" s="14">
        <v>365</v>
      </c>
      <c r="AF1245" s="26">
        <v>625</v>
      </c>
      <c r="AG1245" s="12">
        <v>118</v>
      </c>
      <c r="AH1245" s="14">
        <v>0</v>
      </c>
      <c r="AI1245" s="209"/>
      <c r="AJ1245" s="3"/>
      <c r="AK1245" s="3"/>
      <c r="AL1245" s="3"/>
      <c r="AM1245" s="3"/>
      <c r="AN1245" s="3"/>
      <c r="AO1245" s="40"/>
      <c r="AP1245" s="209"/>
      <c r="AQ1245" s="3"/>
      <c r="AR1245" s="40"/>
      <c r="AS1245" s="238"/>
    </row>
    <row r="1246" spans="1:45" s="229" customFormat="1">
      <c r="A1246" s="42" t="s">
        <v>326</v>
      </c>
      <c r="B1246" s="386">
        <v>46.86</v>
      </c>
      <c r="C1246" s="24" t="s">
        <v>133</v>
      </c>
      <c r="D1246" s="229" t="s">
        <v>707</v>
      </c>
      <c r="E1246" s="229" t="s">
        <v>0</v>
      </c>
      <c r="F1246" s="229">
        <v>635</v>
      </c>
      <c r="G1246" s="40">
        <f>F1246/582</f>
        <v>1.0910652920962198</v>
      </c>
      <c r="H1246" s="14">
        <v>1</v>
      </c>
      <c r="I1246" s="229">
        <v>0</v>
      </c>
      <c r="J1246" s="229">
        <v>0</v>
      </c>
      <c r="K1246" s="26">
        <v>1</v>
      </c>
      <c r="L1246" s="14">
        <v>0</v>
      </c>
      <c r="M1246" s="229">
        <v>0</v>
      </c>
      <c r="N1246" s="229">
        <v>0</v>
      </c>
      <c r="O1246" s="229">
        <v>0</v>
      </c>
      <c r="P1246" s="26">
        <v>0</v>
      </c>
      <c r="Q1246" s="14">
        <v>2</v>
      </c>
      <c r="R1246" s="229">
        <v>8</v>
      </c>
      <c r="S1246" s="229">
        <v>15</v>
      </c>
      <c r="T1246" s="229">
        <v>0</v>
      </c>
      <c r="U1246" s="229">
        <v>0</v>
      </c>
      <c r="V1246" s="229">
        <v>0</v>
      </c>
      <c r="W1246" s="229">
        <v>0</v>
      </c>
      <c r="X1246" s="229">
        <v>0</v>
      </c>
      <c r="Y1246" s="229">
        <v>0</v>
      </c>
      <c r="Z1246" s="229">
        <v>0</v>
      </c>
      <c r="AA1246" s="229">
        <v>0</v>
      </c>
      <c r="AC1246" s="12">
        <v>2</v>
      </c>
      <c r="AD1246" s="14">
        <v>4</v>
      </c>
      <c r="AE1246" s="14">
        <v>134</v>
      </c>
      <c r="AF1246" s="26">
        <v>374</v>
      </c>
      <c r="AG1246" s="12">
        <v>134</v>
      </c>
      <c r="AH1246" s="14">
        <v>1</v>
      </c>
      <c r="AI1246" s="209"/>
      <c r="AJ1246" s="3"/>
      <c r="AK1246" s="3"/>
      <c r="AL1246" s="3"/>
      <c r="AM1246" s="3"/>
      <c r="AN1246" s="3"/>
      <c r="AO1246" s="40"/>
      <c r="AP1246" s="209"/>
      <c r="AQ1246" s="3"/>
      <c r="AR1246" s="40"/>
      <c r="AS1246" s="238"/>
    </row>
    <row r="1247" spans="1:45" s="229" customFormat="1">
      <c r="A1247" s="42" t="s">
        <v>326</v>
      </c>
      <c r="B1247" s="386">
        <v>46.86</v>
      </c>
      <c r="C1247" s="24" t="s">
        <v>133</v>
      </c>
      <c r="D1247" s="229" t="s">
        <v>707</v>
      </c>
      <c r="E1247" s="229" t="s">
        <v>1</v>
      </c>
      <c r="F1247" s="229">
        <v>610</v>
      </c>
      <c r="G1247" s="40">
        <f>F1247/379</f>
        <v>1.6094986807387863</v>
      </c>
      <c r="H1247" s="14">
        <v>0</v>
      </c>
      <c r="I1247" s="229">
        <v>0</v>
      </c>
      <c r="J1247" s="229">
        <v>0</v>
      </c>
      <c r="K1247" s="26">
        <v>1</v>
      </c>
      <c r="L1247" s="14">
        <v>0</v>
      </c>
      <c r="M1247" s="229">
        <v>0</v>
      </c>
      <c r="N1247" s="229">
        <v>1</v>
      </c>
      <c r="O1247" s="229">
        <v>0</v>
      </c>
      <c r="P1247" s="26">
        <v>1</v>
      </c>
      <c r="Q1247" s="14">
        <v>0</v>
      </c>
      <c r="R1247" s="229">
        <v>0</v>
      </c>
      <c r="S1247" s="229">
        <v>0</v>
      </c>
      <c r="T1247" s="229">
        <v>0</v>
      </c>
      <c r="U1247" s="229">
        <v>0</v>
      </c>
      <c r="V1247" s="229">
        <v>0</v>
      </c>
      <c r="W1247" s="229">
        <v>0</v>
      </c>
      <c r="X1247" s="229">
        <v>0</v>
      </c>
      <c r="Y1247" s="229">
        <v>0</v>
      </c>
      <c r="Z1247" s="229">
        <v>0</v>
      </c>
      <c r="AA1247" s="229">
        <v>0</v>
      </c>
      <c r="AC1247" s="12">
        <v>2</v>
      </c>
      <c r="AD1247" s="14">
        <v>2</v>
      </c>
      <c r="AE1247" s="14">
        <v>283</v>
      </c>
      <c r="AF1247" s="26">
        <v>446</v>
      </c>
      <c r="AG1247" s="12">
        <v>134</v>
      </c>
      <c r="AH1247" s="14">
        <v>1</v>
      </c>
      <c r="AI1247" s="209"/>
      <c r="AJ1247" s="3"/>
      <c r="AK1247" s="3"/>
      <c r="AL1247" s="3"/>
      <c r="AM1247" s="3"/>
      <c r="AN1247" s="3"/>
      <c r="AO1247" s="40"/>
      <c r="AP1247" s="209"/>
      <c r="AQ1247" s="3"/>
      <c r="AR1247" s="40"/>
      <c r="AS1247" s="238"/>
    </row>
    <row r="1248" spans="1:45" s="229" customFormat="1">
      <c r="A1248" s="42" t="s">
        <v>326</v>
      </c>
      <c r="B1248" s="386">
        <v>46.86</v>
      </c>
      <c r="C1248" s="24" t="s">
        <v>133</v>
      </c>
      <c r="D1248" s="229" t="s">
        <v>720</v>
      </c>
      <c r="E1248" s="229" t="s">
        <v>0</v>
      </c>
      <c r="F1248" s="229">
        <v>120</v>
      </c>
      <c r="G1248" s="40">
        <f>F1248/74</f>
        <v>1.6216216216216217</v>
      </c>
      <c r="H1248" s="14">
        <v>1</v>
      </c>
      <c r="I1248" s="229">
        <v>0</v>
      </c>
      <c r="J1248" s="229">
        <v>0</v>
      </c>
      <c r="K1248" s="26">
        <v>0</v>
      </c>
      <c r="L1248" s="14">
        <v>0</v>
      </c>
      <c r="M1248" s="229">
        <v>0</v>
      </c>
      <c r="N1248" s="229">
        <v>1</v>
      </c>
      <c r="O1248" s="229">
        <v>0</v>
      </c>
      <c r="P1248" s="26">
        <v>1</v>
      </c>
      <c r="Q1248" s="14">
        <v>1</v>
      </c>
      <c r="R1248" s="229">
        <v>0</v>
      </c>
      <c r="S1248" s="229">
        <v>5</v>
      </c>
      <c r="T1248" s="229">
        <v>0</v>
      </c>
      <c r="U1248" s="229">
        <v>0</v>
      </c>
      <c r="V1248" s="229">
        <v>0</v>
      </c>
      <c r="W1248" s="229">
        <v>0</v>
      </c>
      <c r="X1248" s="229">
        <v>0</v>
      </c>
      <c r="Y1248" s="229">
        <v>0</v>
      </c>
      <c r="Z1248" s="229">
        <v>0</v>
      </c>
      <c r="AA1248" s="229">
        <v>0</v>
      </c>
      <c r="AC1248" s="12">
        <v>1</v>
      </c>
      <c r="AD1248" s="14">
        <v>1</v>
      </c>
      <c r="AE1248" s="14">
        <v>0</v>
      </c>
      <c r="AF1248" s="26">
        <v>0</v>
      </c>
      <c r="AG1248" s="12">
        <v>121</v>
      </c>
      <c r="AH1248" s="14">
        <v>0</v>
      </c>
      <c r="AI1248" s="209">
        <v>86.559675682616572</v>
      </c>
      <c r="AJ1248" s="3"/>
      <c r="AK1248" s="3"/>
      <c r="AL1248" s="3"/>
      <c r="AM1248" s="3"/>
      <c r="AN1248" s="3"/>
      <c r="AO1248" s="40"/>
      <c r="AP1248" s="209">
        <v>85.202660887204885</v>
      </c>
      <c r="AQ1248" s="3"/>
      <c r="AR1248" s="40"/>
      <c r="AS1248" s="238"/>
    </row>
    <row r="1249" spans="1:45" s="229" customFormat="1">
      <c r="A1249" s="42" t="s">
        <v>326</v>
      </c>
      <c r="B1249" s="386">
        <v>46.86</v>
      </c>
      <c r="C1249" s="24" t="s">
        <v>133</v>
      </c>
      <c r="D1249" s="229" t="s">
        <v>720</v>
      </c>
      <c r="E1249" s="229" t="s">
        <v>1</v>
      </c>
      <c r="F1249" s="229">
        <v>155</v>
      </c>
      <c r="G1249" s="40">
        <f>F1249/107</f>
        <v>1.4485981308411215</v>
      </c>
      <c r="H1249" s="14">
        <v>0</v>
      </c>
      <c r="I1249" s="229">
        <v>0</v>
      </c>
      <c r="J1249" s="229">
        <v>1</v>
      </c>
      <c r="K1249" s="26">
        <v>0</v>
      </c>
      <c r="L1249" s="14">
        <v>0</v>
      </c>
      <c r="M1249" s="229">
        <v>0</v>
      </c>
      <c r="N1249" s="229">
        <v>1</v>
      </c>
      <c r="O1249" s="229">
        <v>0</v>
      </c>
      <c r="P1249" s="26">
        <v>1</v>
      </c>
      <c r="Q1249" s="14">
        <v>15</v>
      </c>
      <c r="R1249" s="229">
        <v>0</v>
      </c>
      <c r="S1249" s="229">
        <v>0</v>
      </c>
      <c r="T1249" s="229">
        <v>0</v>
      </c>
      <c r="U1249" s="229">
        <v>0</v>
      </c>
      <c r="V1249" s="229">
        <v>16</v>
      </c>
      <c r="W1249" s="229">
        <v>36</v>
      </c>
      <c r="X1249" s="229">
        <v>0</v>
      </c>
      <c r="Y1249" s="229">
        <v>0</v>
      </c>
      <c r="Z1249" s="229">
        <v>0</v>
      </c>
      <c r="AA1249" s="229">
        <v>0</v>
      </c>
      <c r="AC1249" s="12">
        <v>1</v>
      </c>
      <c r="AD1249" s="14">
        <v>1</v>
      </c>
      <c r="AE1249" s="14">
        <v>0</v>
      </c>
      <c r="AF1249" s="26">
        <v>0</v>
      </c>
      <c r="AG1249" s="12">
        <v>121</v>
      </c>
      <c r="AH1249" s="14">
        <v>0</v>
      </c>
      <c r="AI1249" s="209"/>
      <c r="AJ1249" s="3"/>
      <c r="AK1249" s="3"/>
      <c r="AL1249" s="3"/>
      <c r="AM1249" s="3"/>
      <c r="AN1249" s="3"/>
      <c r="AO1249" s="40"/>
      <c r="AP1249" s="209"/>
      <c r="AQ1249" s="3"/>
      <c r="AR1249" s="40"/>
      <c r="AS1249" s="238"/>
    </row>
    <row r="1250" spans="1:45" s="229" customFormat="1">
      <c r="A1250" s="42" t="s">
        <v>326</v>
      </c>
      <c r="B1250" s="386">
        <v>46.86</v>
      </c>
      <c r="C1250" s="24" t="s">
        <v>133</v>
      </c>
      <c r="D1250" s="229" t="s">
        <v>720</v>
      </c>
      <c r="E1250" s="229" t="s">
        <v>2</v>
      </c>
      <c r="F1250" s="229">
        <v>147</v>
      </c>
      <c r="G1250" s="40">
        <f>F1250/85</f>
        <v>1.7294117647058824</v>
      </c>
      <c r="H1250" s="14">
        <v>0</v>
      </c>
      <c r="I1250" s="229">
        <v>0</v>
      </c>
      <c r="J1250" s="229">
        <v>1</v>
      </c>
      <c r="K1250" s="26">
        <v>0</v>
      </c>
      <c r="L1250" s="14">
        <v>0</v>
      </c>
      <c r="M1250" s="229">
        <v>0</v>
      </c>
      <c r="N1250" s="229">
        <v>1</v>
      </c>
      <c r="O1250" s="229">
        <v>0</v>
      </c>
      <c r="P1250" s="26">
        <v>1</v>
      </c>
      <c r="Q1250" s="14">
        <v>5</v>
      </c>
      <c r="R1250" s="229">
        <v>0</v>
      </c>
      <c r="S1250" s="229">
        <v>14</v>
      </c>
      <c r="T1250" s="229">
        <v>0</v>
      </c>
      <c r="U1250" s="229">
        <v>0</v>
      </c>
      <c r="V1250" s="229">
        <v>0</v>
      </c>
      <c r="W1250" s="229">
        <v>0</v>
      </c>
      <c r="X1250" s="229">
        <v>0</v>
      </c>
      <c r="Y1250" s="229">
        <v>0</v>
      </c>
      <c r="Z1250" s="229">
        <v>0</v>
      </c>
      <c r="AA1250" s="229">
        <v>0</v>
      </c>
      <c r="AC1250" s="12">
        <v>1</v>
      </c>
      <c r="AD1250" s="14">
        <v>1</v>
      </c>
      <c r="AE1250" s="14">
        <v>0</v>
      </c>
      <c r="AF1250" s="26">
        <v>0</v>
      </c>
      <c r="AG1250" s="12">
        <v>121</v>
      </c>
      <c r="AH1250" s="14">
        <v>1</v>
      </c>
      <c r="AI1250" s="209"/>
      <c r="AJ1250" s="3"/>
      <c r="AK1250" s="3"/>
      <c r="AL1250" s="3"/>
      <c r="AM1250" s="3"/>
      <c r="AN1250" s="3"/>
      <c r="AO1250" s="40"/>
      <c r="AP1250" s="209"/>
      <c r="AQ1250" s="3"/>
      <c r="AR1250" s="40"/>
      <c r="AS1250" s="238"/>
    </row>
    <row r="1251" spans="1:45" s="229" customFormat="1">
      <c r="A1251" s="42" t="s">
        <v>326</v>
      </c>
      <c r="B1251" s="386">
        <v>46.86</v>
      </c>
      <c r="C1251" s="24" t="s">
        <v>133</v>
      </c>
      <c r="D1251" s="229" t="s">
        <v>720</v>
      </c>
      <c r="E1251" s="229" t="s">
        <v>3</v>
      </c>
      <c r="F1251" s="229">
        <v>794</v>
      </c>
      <c r="G1251" s="40">
        <f>F1251/766</f>
        <v>1.0365535248041775</v>
      </c>
      <c r="H1251" s="14">
        <v>1</v>
      </c>
      <c r="I1251" s="229">
        <v>1</v>
      </c>
      <c r="J1251" s="229">
        <v>1</v>
      </c>
      <c r="K1251" s="26">
        <v>1</v>
      </c>
      <c r="L1251" s="14">
        <v>0</v>
      </c>
      <c r="M1251" s="229">
        <v>0</v>
      </c>
      <c r="N1251" s="229">
        <v>1</v>
      </c>
      <c r="O1251" s="229">
        <v>0</v>
      </c>
      <c r="P1251" s="26">
        <v>1</v>
      </c>
      <c r="Q1251" s="14">
        <v>2</v>
      </c>
      <c r="R1251" s="229">
        <v>13</v>
      </c>
      <c r="S1251" s="229">
        <v>43</v>
      </c>
      <c r="T1251" s="229">
        <v>0</v>
      </c>
      <c r="U1251" s="229">
        <v>0</v>
      </c>
      <c r="V1251" s="229">
        <v>0</v>
      </c>
      <c r="W1251" s="229">
        <v>32</v>
      </c>
      <c r="X1251" s="229">
        <v>0</v>
      </c>
      <c r="Y1251" s="229">
        <v>0</v>
      </c>
      <c r="Z1251" s="229">
        <v>0</v>
      </c>
      <c r="AA1251" s="229">
        <v>0</v>
      </c>
      <c r="AC1251" s="12">
        <v>2</v>
      </c>
      <c r="AD1251" s="14">
        <v>10</v>
      </c>
      <c r="AE1251" s="14">
        <v>67</v>
      </c>
      <c r="AF1251" s="26">
        <v>390</v>
      </c>
      <c r="AG1251" s="12">
        <v>121</v>
      </c>
      <c r="AH1251" s="14">
        <v>1</v>
      </c>
      <c r="AI1251" s="209">
        <v>86.550225750794795</v>
      </c>
      <c r="AJ1251" s="3">
        <v>86.504063072485337</v>
      </c>
      <c r="AK1251" s="3">
        <v>86.483094238537902</v>
      </c>
      <c r="AL1251" s="3">
        <v>86.51455796993875</v>
      </c>
      <c r="AM1251" s="3">
        <v>86.480443299531558</v>
      </c>
      <c r="AN1251" s="3">
        <v>86.463440026277283</v>
      </c>
      <c r="AO1251" s="40"/>
      <c r="AP1251" s="209">
        <v>86.026164512696511</v>
      </c>
      <c r="AQ1251" s="3"/>
      <c r="AR1251" s="40"/>
      <c r="AS1251" s="238"/>
    </row>
    <row r="1252" spans="1:45" s="229" customFormat="1">
      <c r="A1252" s="42" t="s">
        <v>326</v>
      </c>
      <c r="B1252" s="386">
        <v>46.86</v>
      </c>
      <c r="C1252" s="24" t="s">
        <v>133</v>
      </c>
      <c r="D1252" s="229" t="s">
        <v>720</v>
      </c>
      <c r="E1252" s="229" t="s">
        <v>4</v>
      </c>
      <c r="F1252" s="229">
        <v>693</v>
      </c>
      <c r="G1252" s="40">
        <f>F1252/323</f>
        <v>2.1455108359133126</v>
      </c>
      <c r="H1252" s="14">
        <v>1</v>
      </c>
      <c r="I1252" s="229">
        <v>0</v>
      </c>
      <c r="J1252" s="229">
        <v>0</v>
      </c>
      <c r="K1252" s="26">
        <v>1</v>
      </c>
      <c r="L1252" s="14">
        <v>0</v>
      </c>
      <c r="M1252" s="229">
        <v>0</v>
      </c>
      <c r="N1252" s="229">
        <v>1</v>
      </c>
      <c r="O1252" s="229">
        <v>0</v>
      </c>
      <c r="P1252" s="26">
        <v>1</v>
      </c>
      <c r="Q1252" s="14">
        <v>2</v>
      </c>
      <c r="R1252" s="229">
        <v>0</v>
      </c>
      <c r="S1252" s="229">
        <v>8</v>
      </c>
      <c r="T1252" s="229">
        <v>0</v>
      </c>
      <c r="U1252" s="229">
        <v>0</v>
      </c>
      <c r="V1252" s="229">
        <v>0</v>
      </c>
      <c r="W1252" s="229">
        <v>0</v>
      </c>
      <c r="X1252" s="229">
        <v>0</v>
      </c>
      <c r="Y1252" s="229">
        <v>0</v>
      </c>
      <c r="Z1252" s="229">
        <v>0</v>
      </c>
      <c r="AA1252" s="229">
        <v>0</v>
      </c>
      <c r="AC1252" s="12">
        <v>2</v>
      </c>
      <c r="AD1252" s="14">
        <v>8</v>
      </c>
      <c r="AE1252" s="14">
        <v>56</v>
      </c>
      <c r="AF1252" s="26">
        <v>262</v>
      </c>
      <c r="AG1252" s="12">
        <v>121</v>
      </c>
      <c r="AH1252" s="14">
        <v>1</v>
      </c>
      <c r="AI1252" s="209"/>
      <c r="AJ1252" s="3"/>
      <c r="AK1252" s="3"/>
      <c r="AL1252" s="3"/>
      <c r="AM1252" s="3"/>
      <c r="AN1252" s="3"/>
      <c r="AO1252" s="40"/>
      <c r="AP1252" s="209"/>
      <c r="AQ1252" s="3"/>
      <c r="AR1252" s="40"/>
      <c r="AS1252" s="238"/>
    </row>
    <row r="1253" spans="1:45" s="229" customFormat="1">
      <c r="A1253" s="42" t="s">
        <v>326</v>
      </c>
      <c r="B1253" s="386">
        <v>46.86</v>
      </c>
      <c r="C1253" s="24" t="s">
        <v>133</v>
      </c>
      <c r="D1253" s="229" t="s">
        <v>748</v>
      </c>
      <c r="E1253" s="229" t="s">
        <v>0</v>
      </c>
      <c r="F1253" s="229">
        <v>577</v>
      </c>
      <c r="G1253" s="40">
        <f>F1253/162</f>
        <v>3.5617283950617282</v>
      </c>
      <c r="H1253" s="14">
        <v>1</v>
      </c>
      <c r="I1253" s="229">
        <v>0</v>
      </c>
      <c r="J1253" s="229">
        <v>0</v>
      </c>
      <c r="K1253" s="26">
        <v>1</v>
      </c>
      <c r="L1253" s="14">
        <v>0</v>
      </c>
      <c r="M1253" s="229">
        <v>0</v>
      </c>
      <c r="N1253" s="229">
        <v>0</v>
      </c>
      <c r="O1253" s="229">
        <v>0</v>
      </c>
      <c r="P1253" s="26">
        <v>0</v>
      </c>
      <c r="Q1253" s="14">
        <v>0</v>
      </c>
      <c r="R1253" s="229">
        <v>0</v>
      </c>
      <c r="S1253" s="229">
        <v>0</v>
      </c>
      <c r="T1253" s="229">
        <v>0</v>
      </c>
      <c r="U1253" s="229">
        <v>0</v>
      </c>
      <c r="V1253" s="229">
        <v>0</v>
      </c>
      <c r="W1253" s="229">
        <v>0</v>
      </c>
      <c r="X1253" s="229">
        <v>0</v>
      </c>
      <c r="Y1253" s="229">
        <v>0</v>
      </c>
      <c r="Z1253" s="229">
        <v>0</v>
      </c>
      <c r="AA1253" s="229">
        <v>0</v>
      </c>
      <c r="AC1253" s="12">
        <v>2</v>
      </c>
      <c r="AD1253" s="14">
        <v>4</v>
      </c>
      <c r="AE1253" s="14">
        <v>74</v>
      </c>
      <c r="AF1253" s="26">
        <v>264</v>
      </c>
      <c r="AG1253" s="12">
        <v>136</v>
      </c>
      <c r="AH1253" s="14">
        <v>1</v>
      </c>
      <c r="AI1253" s="209"/>
      <c r="AJ1253" s="3"/>
      <c r="AK1253" s="3"/>
      <c r="AL1253" s="3"/>
      <c r="AM1253" s="3"/>
      <c r="AN1253" s="3"/>
      <c r="AO1253" s="40"/>
      <c r="AP1253" s="209"/>
      <c r="AQ1253" s="3"/>
      <c r="AR1253" s="40"/>
      <c r="AS1253" s="238"/>
    </row>
    <row r="1254" spans="1:45" s="229" customFormat="1">
      <c r="A1254" s="42" t="s">
        <v>326</v>
      </c>
      <c r="B1254" s="386">
        <v>46.86</v>
      </c>
      <c r="C1254" s="24" t="s">
        <v>133</v>
      </c>
      <c r="D1254" s="229" t="s">
        <v>748</v>
      </c>
      <c r="E1254" s="229" t="s">
        <v>1</v>
      </c>
      <c r="F1254" s="229">
        <v>346</v>
      </c>
      <c r="G1254" s="40">
        <f>F1254/273</f>
        <v>1.2673992673992673</v>
      </c>
      <c r="H1254" s="14">
        <v>1</v>
      </c>
      <c r="I1254" s="229">
        <v>0</v>
      </c>
      <c r="J1254" s="229">
        <v>0</v>
      </c>
      <c r="K1254" s="26">
        <v>0</v>
      </c>
      <c r="L1254" s="14">
        <v>0</v>
      </c>
      <c r="M1254" s="229">
        <v>0</v>
      </c>
      <c r="N1254" s="229">
        <v>0</v>
      </c>
      <c r="O1254" s="229">
        <v>0</v>
      </c>
      <c r="P1254" s="26">
        <v>0</v>
      </c>
      <c r="Q1254" s="14">
        <v>0</v>
      </c>
      <c r="R1254" s="229">
        <v>0</v>
      </c>
      <c r="S1254" s="229">
        <v>0</v>
      </c>
      <c r="T1254" s="229">
        <v>0</v>
      </c>
      <c r="U1254" s="229">
        <v>0</v>
      </c>
      <c r="V1254" s="229">
        <v>0</v>
      </c>
      <c r="W1254" s="229">
        <v>0</v>
      </c>
      <c r="X1254" s="229">
        <v>0</v>
      </c>
      <c r="Y1254" s="229">
        <v>0</v>
      </c>
      <c r="Z1254" s="229">
        <v>0</v>
      </c>
      <c r="AA1254" s="229">
        <v>0</v>
      </c>
      <c r="AC1254" s="12">
        <v>1</v>
      </c>
      <c r="AD1254" s="14">
        <v>1</v>
      </c>
      <c r="AE1254" s="14">
        <v>0</v>
      </c>
      <c r="AF1254" s="26">
        <v>0</v>
      </c>
      <c r="AG1254" s="12">
        <v>136</v>
      </c>
      <c r="AH1254" s="14">
        <v>0</v>
      </c>
      <c r="AI1254" s="209"/>
      <c r="AJ1254" s="3"/>
      <c r="AK1254" s="3"/>
      <c r="AL1254" s="3"/>
      <c r="AM1254" s="3"/>
      <c r="AN1254" s="3"/>
      <c r="AO1254" s="40"/>
      <c r="AP1254" s="209"/>
      <c r="AQ1254" s="3"/>
      <c r="AR1254" s="40"/>
      <c r="AS1254" s="238"/>
    </row>
    <row r="1255" spans="1:45" s="229" customFormat="1">
      <c r="A1255" s="42" t="s">
        <v>326</v>
      </c>
      <c r="B1255" s="386">
        <v>46.86</v>
      </c>
      <c r="C1255" s="24" t="s">
        <v>133</v>
      </c>
      <c r="D1255" s="229" t="s">
        <v>748</v>
      </c>
      <c r="E1255" s="229" t="s">
        <v>2</v>
      </c>
      <c r="F1255" s="229">
        <v>1750</v>
      </c>
      <c r="G1255" s="40">
        <f>F1255/1128</f>
        <v>1.551418439716312</v>
      </c>
      <c r="H1255" s="14">
        <v>1</v>
      </c>
      <c r="I1255" s="229">
        <v>0</v>
      </c>
      <c r="J1255" s="229">
        <v>1</v>
      </c>
      <c r="K1255" s="26">
        <v>1</v>
      </c>
      <c r="L1255" s="14">
        <v>0</v>
      </c>
      <c r="M1255" s="229">
        <v>0</v>
      </c>
      <c r="N1255" s="229">
        <v>0</v>
      </c>
      <c r="O1255" s="229">
        <v>0</v>
      </c>
      <c r="P1255" s="26">
        <v>0</v>
      </c>
      <c r="Q1255" s="14">
        <v>0</v>
      </c>
      <c r="R1255" s="229">
        <v>0</v>
      </c>
      <c r="S1255" s="229">
        <v>0</v>
      </c>
      <c r="T1255" s="229">
        <v>0</v>
      </c>
      <c r="U1255" s="229">
        <v>0</v>
      </c>
      <c r="V1255" s="229">
        <v>0</v>
      </c>
      <c r="W1255" s="229">
        <v>0</v>
      </c>
      <c r="X1255" s="229">
        <v>0</v>
      </c>
      <c r="Y1255" s="229">
        <v>0</v>
      </c>
      <c r="Z1255" s="229">
        <v>0</v>
      </c>
      <c r="AA1255" s="229">
        <v>0</v>
      </c>
      <c r="AC1255" s="12">
        <v>2</v>
      </c>
      <c r="AD1255" s="14">
        <v>12</v>
      </c>
      <c r="AE1255" s="14">
        <v>70</v>
      </c>
      <c r="AF1255" s="26">
        <v>1013</v>
      </c>
      <c r="AG1255" s="12">
        <v>136</v>
      </c>
      <c r="AH1255" s="14">
        <v>1</v>
      </c>
      <c r="AI1255" s="209"/>
      <c r="AJ1255" s="3"/>
      <c r="AK1255" s="3"/>
      <c r="AL1255" s="3"/>
      <c r="AM1255" s="3"/>
      <c r="AN1255" s="3"/>
      <c r="AO1255" s="40"/>
      <c r="AP1255" s="209"/>
      <c r="AQ1255" s="3"/>
      <c r="AR1255" s="40"/>
      <c r="AS1255" s="238"/>
    </row>
    <row r="1256" spans="1:45" s="229" customFormat="1">
      <c r="A1256" s="42" t="s">
        <v>326</v>
      </c>
      <c r="B1256" s="386">
        <v>46.86</v>
      </c>
      <c r="C1256" s="24" t="s">
        <v>133</v>
      </c>
      <c r="D1256" s="229" t="s">
        <v>721</v>
      </c>
      <c r="F1256" s="229">
        <v>899</v>
      </c>
      <c r="G1256" s="40">
        <f>F1256/468</f>
        <v>1.920940170940171</v>
      </c>
      <c r="H1256" s="14">
        <v>0</v>
      </c>
      <c r="I1256" s="229">
        <v>0</v>
      </c>
      <c r="J1256" s="229">
        <v>0</v>
      </c>
      <c r="K1256" s="26">
        <v>1</v>
      </c>
      <c r="L1256" s="14">
        <v>0</v>
      </c>
      <c r="M1256" s="229">
        <v>0</v>
      </c>
      <c r="N1256" s="229">
        <v>1</v>
      </c>
      <c r="O1256" s="229">
        <v>0</v>
      </c>
      <c r="P1256" s="26">
        <v>1</v>
      </c>
      <c r="Q1256" s="14">
        <v>0</v>
      </c>
      <c r="R1256" s="229">
        <v>0</v>
      </c>
      <c r="S1256" s="229">
        <v>0</v>
      </c>
      <c r="T1256" s="229">
        <v>0</v>
      </c>
      <c r="U1256" s="229">
        <v>0</v>
      </c>
      <c r="V1256" s="229">
        <v>0</v>
      </c>
      <c r="W1256" s="229">
        <v>0</v>
      </c>
      <c r="X1256" s="229">
        <v>0</v>
      </c>
      <c r="Y1256" s="229">
        <v>0</v>
      </c>
      <c r="Z1256" s="229">
        <v>0</v>
      </c>
      <c r="AA1256" s="229">
        <v>0</v>
      </c>
      <c r="AC1256" s="12">
        <v>2</v>
      </c>
      <c r="AD1256" s="14">
        <v>9</v>
      </c>
      <c r="AE1256" s="14">
        <v>129</v>
      </c>
      <c r="AF1256" s="26">
        <v>317</v>
      </c>
      <c r="AG1256" s="12">
        <v>118</v>
      </c>
      <c r="AH1256" s="14">
        <v>1</v>
      </c>
      <c r="AI1256" s="209"/>
      <c r="AJ1256" s="3"/>
      <c r="AK1256" s="3"/>
      <c r="AL1256" s="3"/>
      <c r="AM1256" s="3"/>
      <c r="AN1256" s="3"/>
      <c r="AO1256" s="40"/>
      <c r="AP1256" s="209"/>
      <c r="AQ1256" s="3"/>
      <c r="AR1256" s="40"/>
      <c r="AS1256" s="238"/>
    </row>
    <row r="1257" spans="1:45" s="229" customFormat="1">
      <c r="A1257" s="42" t="s">
        <v>326</v>
      </c>
      <c r="B1257" s="386">
        <v>46.86</v>
      </c>
      <c r="C1257" s="24" t="s">
        <v>133</v>
      </c>
      <c r="D1257" s="229" t="s">
        <v>749</v>
      </c>
      <c r="F1257" s="229">
        <v>555</v>
      </c>
      <c r="G1257" s="40">
        <f>F1257/526</f>
        <v>1.0551330798479088</v>
      </c>
      <c r="H1257" s="14">
        <v>0</v>
      </c>
      <c r="I1257" s="229">
        <v>0</v>
      </c>
      <c r="J1257" s="229">
        <v>0</v>
      </c>
      <c r="K1257" s="26">
        <v>1</v>
      </c>
      <c r="L1257" s="14">
        <v>0</v>
      </c>
      <c r="M1257" s="229">
        <v>0</v>
      </c>
      <c r="N1257" s="229">
        <v>1</v>
      </c>
      <c r="O1257" s="229">
        <v>0</v>
      </c>
      <c r="P1257" s="26">
        <v>1</v>
      </c>
      <c r="Q1257" s="14">
        <v>0</v>
      </c>
      <c r="R1257" s="229">
        <v>0</v>
      </c>
      <c r="S1257" s="229">
        <v>0</v>
      </c>
      <c r="T1257" s="229">
        <v>0</v>
      </c>
      <c r="U1257" s="229">
        <v>0</v>
      </c>
      <c r="V1257" s="229">
        <v>0</v>
      </c>
      <c r="W1257" s="229">
        <v>0</v>
      </c>
      <c r="X1257" s="229">
        <v>0</v>
      </c>
      <c r="Y1257" s="229">
        <v>0</v>
      </c>
      <c r="Z1257" s="229">
        <v>0</v>
      </c>
      <c r="AA1257" s="229">
        <v>0</v>
      </c>
      <c r="AC1257" s="12">
        <v>2</v>
      </c>
      <c r="AD1257" s="14">
        <v>2</v>
      </c>
      <c r="AE1257" s="14">
        <v>311</v>
      </c>
      <c r="AF1257" s="26">
        <v>555</v>
      </c>
      <c r="AG1257" s="12">
        <v>99</v>
      </c>
      <c r="AH1257" s="14">
        <v>1</v>
      </c>
      <c r="AI1257" s="209"/>
      <c r="AJ1257" s="3"/>
      <c r="AK1257" s="3"/>
      <c r="AL1257" s="3"/>
      <c r="AM1257" s="3"/>
      <c r="AN1257" s="3"/>
      <c r="AO1257" s="40"/>
      <c r="AP1257" s="209"/>
      <c r="AQ1257" s="3"/>
      <c r="AR1257" s="40"/>
      <c r="AS1257" s="238"/>
    </row>
    <row r="1258" spans="1:45" s="229" customFormat="1">
      <c r="A1258" s="42" t="s">
        <v>326</v>
      </c>
      <c r="B1258" s="386">
        <v>46.86</v>
      </c>
      <c r="C1258" s="24" t="s">
        <v>133</v>
      </c>
      <c r="D1258" s="229" t="s">
        <v>722</v>
      </c>
      <c r="E1258" s="229" t="s">
        <v>0</v>
      </c>
      <c r="F1258" s="229">
        <v>581</v>
      </c>
      <c r="G1258" s="40">
        <f>F1258/526</f>
        <v>1.1045627376425855</v>
      </c>
      <c r="H1258" s="14">
        <v>1</v>
      </c>
      <c r="I1258" s="229">
        <v>0</v>
      </c>
      <c r="J1258" s="229">
        <v>0</v>
      </c>
      <c r="K1258" s="26">
        <v>1</v>
      </c>
      <c r="L1258" s="14">
        <v>0</v>
      </c>
      <c r="M1258" s="229">
        <v>0</v>
      </c>
      <c r="N1258" s="229">
        <v>0</v>
      </c>
      <c r="O1258" s="229">
        <v>0</v>
      </c>
      <c r="P1258" s="26">
        <v>0</v>
      </c>
      <c r="Q1258" s="14">
        <v>1</v>
      </c>
      <c r="R1258" s="229">
        <v>2</v>
      </c>
      <c r="S1258" s="229">
        <v>8</v>
      </c>
      <c r="T1258" s="229">
        <v>0</v>
      </c>
      <c r="U1258" s="229">
        <v>0</v>
      </c>
      <c r="V1258" s="229">
        <v>0</v>
      </c>
      <c r="W1258" s="229">
        <v>0</v>
      </c>
      <c r="X1258" s="229">
        <v>0</v>
      </c>
      <c r="Y1258" s="229">
        <v>0</v>
      </c>
      <c r="Z1258" s="229">
        <v>0</v>
      </c>
      <c r="AA1258" s="229">
        <v>0</v>
      </c>
      <c r="AC1258" s="12">
        <v>2</v>
      </c>
      <c r="AD1258" s="14">
        <v>4</v>
      </c>
      <c r="AE1258" s="14">
        <v>83</v>
      </c>
      <c r="AF1258" s="26">
        <v>375</v>
      </c>
      <c r="AG1258" s="12">
        <v>125</v>
      </c>
      <c r="AH1258" s="14">
        <v>1</v>
      </c>
      <c r="AI1258" s="209"/>
      <c r="AJ1258" s="3"/>
      <c r="AK1258" s="3"/>
      <c r="AL1258" s="3"/>
      <c r="AM1258" s="3"/>
      <c r="AN1258" s="3"/>
      <c r="AO1258" s="40"/>
      <c r="AP1258" s="209"/>
      <c r="AQ1258" s="3"/>
      <c r="AR1258" s="40"/>
      <c r="AS1258" s="238"/>
    </row>
    <row r="1259" spans="1:45" s="229" customFormat="1">
      <c r="A1259" s="42" t="s">
        <v>326</v>
      </c>
      <c r="B1259" s="386">
        <v>46.86</v>
      </c>
      <c r="C1259" s="24" t="s">
        <v>133</v>
      </c>
      <c r="D1259" s="229" t="s">
        <v>722</v>
      </c>
      <c r="E1259" s="229" t="s">
        <v>1</v>
      </c>
      <c r="F1259" s="229">
        <v>390</v>
      </c>
      <c r="G1259" s="40">
        <f>F1259/245</f>
        <v>1.5918367346938775</v>
      </c>
      <c r="H1259" s="14">
        <v>0</v>
      </c>
      <c r="I1259" s="229">
        <v>0</v>
      </c>
      <c r="J1259" s="229">
        <v>0</v>
      </c>
      <c r="K1259" s="26">
        <v>1</v>
      </c>
      <c r="L1259" s="14">
        <v>0</v>
      </c>
      <c r="M1259" s="229">
        <v>0</v>
      </c>
      <c r="N1259" s="229">
        <v>0</v>
      </c>
      <c r="O1259" s="229">
        <v>0</v>
      </c>
      <c r="P1259" s="26">
        <v>0</v>
      </c>
      <c r="Q1259" s="14">
        <v>0</v>
      </c>
      <c r="R1259" s="229">
        <v>0</v>
      </c>
      <c r="S1259" s="229">
        <v>0</v>
      </c>
      <c r="T1259" s="229">
        <v>0</v>
      </c>
      <c r="U1259" s="229">
        <v>0</v>
      </c>
      <c r="V1259" s="229">
        <v>0</v>
      </c>
      <c r="W1259" s="229">
        <v>0</v>
      </c>
      <c r="X1259" s="229">
        <v>0</v>
      </c>
      <c r="Y1259" s="229">
        <v>0</v>
      </c>
      <c r="Z1259" s="229">
        <v>0</v>
      </c>
      <c r="AA1259" s="229">
        <v>0</v>
      </c>
      <c r="AC1259" s="12">
        <v>2</v>
      </c>
      <c r="AD1259" s="14">
        <v>3</v>
      </c>
      <c r="AE1259" s="14">
        <v>100</v>
      </c>
      <c r="AF1259" s="26">
        <v>289</v>
      </c>
      <c r="AG1259" s="12">
        <v>125</v>
      </c>
      <c r="AH1259" s="14">
        <v>1</v>
      </c>
      <c r="AI1259" s="209"/>
      <c r="AJ1259" s="3"/>
      <c r="AK1259" s="3"/>
      <c r="AL1259" s="3"/>
      <c r="AM1259" s="3"/>
      <c r="AN1259" s="3"/>
      <c r="AO1259" s="40"/>
      <c r="AP1259" s="209"/>
      <c r="AQ1259" s="3"/>
      <c r="AR1259" s="40"/>
      <c r="AS1259" s="238"/>
    </row>
    <row r="1260" spans="1:45" s="229" customFormat="1">
      <c r="A1260" s="42" t="s">
        <v>326</v>
      </c>
      <c r="B1260" s="386">
        <v>46.86</v>
      </c>
      <c r="C1260" s="24" t="s">
        <v>133</v>
      </c>
      <c r="D1260" s="229" t="s">
        <v>723</v>
      </c>
      <c r="E1260" s="229" t="s">
        <v>0</v>
      </c>
      <c r="F1260" s="229">
        <v>1025</v>
      </c>
      <c r="G1260" s="40">
        <f>F1260/638</f>
        <v>1.6065830721003134</v>
      </c>
      <c r="H1260" s="14">
        <v>1</v>
      </c>
      <c r="I1260" s="229">
        <v>1</v>
      </c>
      <c r="J1260" s="229">
        <v>0</v>
      </c>
      <c r="K1260" s="26">
        <v>1</v>
      </c>
      <c r="L1260" s="14">
        <v>0</v>
      </c>
      <c r="M1260" s="229">
        <v>0</v>
      </c>
      <c r="N1260" s="229">
        <v>0</v>
      </c>
      <c r="O1260" s="229">
        <v>0</v>
      </c>
      <c r="P1260" s="26">
        <v>0</v>
      </c>
      <c r="Q1260" s="14">
        <v>0</v>
      </c>
      <c r="R1260" s="229">
        <v>0</v>
      </c>
      <c r="S1260" s="229">
        <v>0</v>
      </c>
      <c r="T1260" s="229">
        <v>0</v>
      </c>
      <c r="U1260" s="229">
        <v>0</v>
      </c>
      <c r="V1260" s="229">
        <v>0</v>
      </c>
      <c r="W1260" s="229">
        <v>0</v>
      </c>
      <c r="X1260" s="229">
        <v>0</v>
      </c>
      <c r="Y1260" s="229">
        <v>0</v>
      </c>
      <c r="Z1260" s="229">
        <v>0</v>
      </c>
      <c r="AA1260" s="229">
        <v>0</v>
      </c>
      <c r="AC1260" s="12">
        <v>2</v>
      </c>
      <c r="AD1260" s="14">
        <v>11</v>
      </c>
      <c r="AE1260" s="14">
        <v>49</v>
      </c>
      <c r="AF1260" s="26">
        <v>523</v>
      </c>
      <c r="AG1260" s="12">
        <v>118</v>
      </c>
      <c r="AH1260" s="14">
        <v>1</v>
      </c>
      <c r="AI1260" s="209"/>
      <c r="AJ1260" s="3"/>
      <c r="AK1260" s="3"/>
      <c r="AL1260" s="3"/>
      <c r="AM1260" s="3"/>
      <c r="AN1260" s="3"/>
      <c r="AO1260" s="40"/>
      <c r="AP1260" s="209"/>
      <c r="AQ1260" s="3"/>
      <c r="AR1260" s="40"/>
      <c r="AS1260" s="238"/>
    </row>
    <row r="1261" spans="1:45" s="229" customFormat="1">
      <c r="A1261" s="42" t="s">
        <v>326</v>
      </c>
      <c r="B1261" s="386">
        <v>46.86</v>
      </c>
      <c r="C1261" s="24" t="s">
        <v>133</v>
      </c>
      <c r="D1261" s="229" t="s">
        <v>723</v>
      </c>
      <c r="E1261" s="229" t="s">
        <v>1</v>
      </c>
      <c r="F1261" s="229">
        <v>99</v>
      </c>
      <c r="G1261" s="40">
        <f>F1261/65</f>
        <v>1.523076923076923</v>
      </c>
      <c r="H1261" s="14">
        <v>1</v>
      </c>
      <c r="I1261" s="229">
        <v>0</v>
      </c>
      <c r="J1261" s="229">
        <v>0</v>
      </c>
      <c r="K1261" s="26">
        <v>0</v>
      </c>
      <c r="L1261" s="14">
        <v>0</v>
      </c>
      <c r="M1261" s="229">
        <v>0</v>
      </c>
      <c r="N1261" s="229">
        <v>0</v>
      </c>
      <c r="O1261" s="229">
        <v>0</v>
      </c>
      <c r="P1261" s="26">
        <v>0</v>
      </c>
      <c r="Q1261" s="14">
        <v>0</v>
      </c>
      <c r="R1261" s="229">
        <v>0</v>
      </c>
      <c r="S1261" s="229">
        <v>0</v>
      </c>
      <c r="T1261" s="229">
        <v>0</v>
      </c>
      <c r="U1261" s="229">
        <v>0</v>
      </c>
      <c r="V1261" s="229">
        <v>0</v>
      </c>
      <c r="W1261" s="229">
        <v>0</v>
      </c>
      <c r="X1261" s="229">
        <v>0</v>
      </c>
      <c r="Y1261" s="229">
        <v>0</v>
      </c>
      <c r="Z1261" s="229">
        <v>0</v>
      </c>
      <c r="AA1261" s="229">
        <v>0</v>
      </c>
      <c r="AC1261" s="12">
        <v>1</v>
      </c>
      <c r="AD1261" s="14">
        <v>1</v>
      </c>
      <c r="AE1261" s="14">
        <v>0</v>
      </c>
      <c r="AF1261" s="26">
        <v>0</v>
      </c>
      <c r="AG1261" s="12">
        <v>118</v>
      </c>
      <c r="AH1261" s="14">
        <v>0</v>
      </c>
      <c r="AI1261" s="209"/>
      <c r="AJ1261" s="3"/>
      <c r="AK1261" s="3"/>
      <c r="AL1261" s="3"/>
      <c r="AM1261" s="3"/>
      <c r="AN1261" s="3"/>
      <c r="AO1261" s="40"/>
      <c r="AP1261" s="209"/>
      <c r="AQ1261" s="3"/>
      <c r="AR1261" s="40"/>
      <c r="AS1261" s="238"/>
    </row>
    <row r="1262" spans="1:45" s="229" customFormat="1">
      <c r="A1262" s="42" t="s">
        <v>326</v>
      </c>
      <c r="B1262" s="386">
        <v>46.86</v>
      </c>
      <c r="C1262" s="24" t="s">
        <v>133</v>
      </c>
      <c r="D1262" s="229" t="s">
        <v>723</v>
      </c>
      <c r="E1262" s="229" t="s">
        <v>2</v>
      </c>
      <c r="F1262" s="229">
        <v>130</v>
      </c>
      <c r="G1262" s="40">
        <f>F1262/88</f>
        <v>1.4772727272727273</v>
      </c>
      <c r="H1262" s="14">
        <v>0</v>
      </c>
      <c r="I1262" s="229">
        <v>0</v>
      </c>
      <c r="J1262" s="229">
        <v>0</v>
      </c>
      <c r="K1262" s="26">
        <v>1</v>
      </c>
      <c r="L1262" s="14">
        <v>0</v>
      </c>
      <c r="M1262" s="229">
        <v>0</v>
      </c>
      <c r="N1262" s="229">
        <v>0</v>
      </c>
      <c r="O1262" s="229">
        <v>0</v>
      </c>
      <c r="P1262" s="26">
        <v>0</v>
      </c>
      <c r="Q1262" s="14">
        <v>0</v>
      </c>
      <c r="R1262" s="229">
        <v>0</v>
      </c>
      <c r="S1262" s="229">
        <v>0</v>
      </c>
      <c r="T1262" s="229">
        <v>0</v>
      </c>
      <c r="U1262" s="229">
        <v>0</v>
      </c>
      <c r="V1262" s="229">
        <v>0</v>
      </c>
      <c r="W1262" s="229">
        <v>0</v>
      </c>
      <c r="X1262" s="229">
        <v>0</v>
      </c>
      <c r="Y1262" s="229">
        <v>0</v>
      </c>
      <c r="Z1262" s="229">
        <v>0</v>
      </c>
      <c r="AA1262" s="229">
        <v>0</v>
      </c>
      <c r="AC1262" s="12">
        <v>1</v>
      </c>
      <c r="AD1262" s="14">
        <v>1</v>
      </c>
      <c r="AE1262" s="14">
        <v>0</v>
      </c>
      <c r="AF1262" s="26">
        <v>0</v>
      </c>
      <c r="AG1262" s="12">
        <v>118</v>
      </c>
      <c r="AH1262" s="14">
        <v>1</v>
      </c>
      <c r="AI1262" s="209"/>
      <c r="AJ1262" s="3"/>
      <c r="AK1262" s="3"/>
      <c r="AL1262" s="3"/>
      <c r="AM1262" s="3"/>
      <c r="AN1262" s="3"/>
      <c r="AO1262" s="40"/>
      <c r="AP1262" s="209"/>
      <c r="AQ1262" s="3"/>
      <c r="AR1262" s="40"/>
      <c r="AS1262" s="238"/>
    </row>
    <row r="1263" spans="1:45" s="229" customFormat="1">
      <c r="A1263" s="42" t="s">
        <v>326</v>
      </c>
      <c r="B1263" s="386">
        <v>46.86</v>
      </c>
      <c r="C1263" s="24" t="s">
        <v>133</v>
      </c>
      <c r="D1263" s="229" t="s">
        <v>723</v>
      </c>
      <c r="E1263" s="229" t="s">
        <v>3</v>
      </c>
      <c r="F1263" s="229">
        <v>69</v>
      </c>
      <c r="G1263" s="40">
        <f>F1263/65</f>
        <v>1.0615384615384615</v>
      </c>
      <c r="H1263" s="14">
        <v>1</v>
      </c>
      <c r="I1263" s="229">
        <v>0</v>
      </c>
      <c r="J1263" s="229">
        <v>0</v>
      </c>
      <c r="K1263" s="26">
        <v>0</v>
      </c>
      <c r="L1263" s="14">
        <v>0</v>
      </c>
      <c r="M1263" s="229">
        <v>0</v>
      </c>
      <c r="N1263" s="229">
        <v>0</v>
      </c>
      <c r="O1263" s="229">
        <v>0</v>
      </c>
      <c r="P1263" s="26">
        <v>0</v>
      </c>
      <c r="Q1263" s="14">
        <v>5</v>
      </c>
      <c r="R1263" s="229">
        <v>0</v>
      </c>
      <c r="S1263" s="229">
        <v>8</v>
      </c>
      <c r="T1263" s="229">
        <v>0</v>
      </c>
      <c r="U1263" s="229">
        <v>0</v>
      </c>
      <c r="V1263" s="229">
        <v>0</v>
      </c>
      <c r="W1263" s="229">
        <v>0</v>
      </c>
      <c r="X1263" s="229">
        <v>0</v>
      </c>
      <c r="Y1263" s="229">
        <v>0</v>
      </c>
      <c r="Z1263" s="229">
        <v>0</v>
      </c>
      <c r="AA1263" s="229">
        <v>0</v>
      </c>
      <c r="AC1263" s="12">
        <v>1</v>
      </c>
      <c r="AD1263" s="14">
        <v>1</v>
      </c>
      <c r="AE1263" s="14">
        <v>0</v>
      </c>
      <c r="AF1263" s="26">
        <v>0</v>
      </c>
      <c r="AG1263" s="12">
        <v>118</v>
      </c>
      <c r="AH1263" s="14">
        <v>0</v>
      </c>
      <c r="AI1263" s="209"/>
      <c r="AJ1263" s="3"/>
      <c r="AK1263" s="3"/>
      <c r="AL1263" s="3"/>
      <c r="AM1263" s="3"/>
      <c r="AN1263" s="3"/>
      <c r="AO1263" s="40"/>
      <c r="AP1263" s="209"/>
      <c r="AQ1263" s="3"/>
      <c r="AR1263" s="40"/>
      <c r="AS1263" s="238"/>
    </row>
    <row r="1264" spans="1:45" s="229" customFormat="1">
      <c r="A1264" s="42" t="s">
        <v>326</v>
      </c>
      <c r="B1264" s="386">
        <v>46.86</v>
      </c>
      <c r="C1264" s="24" t="s">
        <v>133</v>
      </c>
      <c r="D1264" s="229" t="s">
        <v>723</v>
      </c>
      <c r="E1264" s="229" t="s">
        <v>4</v>
      </c>
      <c r="F1264" s="229">
        <v>140</v>
      </c>
      <c r="G1264" s="40">
        <f>F1264/131</f>
        <v>1.0687022900763359</v>
      </c>
      <c r="H1264" s="14">
        <v>1</v>
      </c>
      <c r="I1264" s="229">
        <v>0</v>
      </c>
      <c r="J1264" s="229">
        <v>0</v>
      </c>
      <c r="K1264" s="26">
        <v>0</v>
      </c>
      <c r="L1264" s="14">
        <v>0</v>
      </c>
      <c r="M1264" s="229">
        <v>0</v>
      </c>
      <c r="N1264" s="229">
        <v>0</v>
      </c>
      <c r="O1264" s="229">
        <v>0</v>
      </c>
      <c r="P1264" s="26">
        <v>0</v>
      </c>
      <c r="Q1264" s="14">
        <v>0</v>
      </c>
      <c r="R1264" s="229">
        <v>0</v>
      </c>
      <c r="S1264" s="229">
        <v>0</v>
      </c>
      <c r="T1264" s="229">
        <v>0</v>
      </c>
      <c r="U1264" s="229">
        <v>0</v>
      </c>
      <c r="V1264" s="229">
        <v>0</v>
      </c>
      <c r="W1264" s="229">
        <v>0</v>
      </c>
      <c r="X1264" s="229">
        <v>0</v>
      </c>
      <c r="Y1264" s="229">
        <v>0</v>
      </c>
      <c r="Z1264" s="229">
        <v>0</v>
      </c>
      <c r="AA1264" s="229">
        <v>0</v>
      </c>
      <c r="AC1264" s="12">
        <v>1</v>
      </c>
      <c r="AD1264" s="14">
        <v>1</v>
      </c>
      <c r="AE1264" s="14">
        <v>0</v>
      </c>
      <c r="AF1264" s="26">
        <v>0</v>
      </c>
      <c r="AG1264" s="12">
        <v>118</v>
      </c>
      <c r="AH1264" s="14">
        <v>1</v>
      </c>
      <c r="AI1264" s="209"/>
      <c r="AJ1264" s="3"/>
      <c r="AK1264" s="3"/>
      <c r="AL1264" s="3"/>
      <c r="AM1264" s="3"/>
      <c r="AN1264" s="3"/>
      <c r="AO1264" s="40"/>
      <c r="AP1264" s="209"/>
      <c r="AQ1264" s="3"/>
      <c r="AR1264" s="40"/>
      <c r="AS1264" s="238"/>
    </row>
    <row r="1265" spans="1:45" s="229" customFormat="1">
      <c r="A1265" s="42" t="s">
        <v>326</v>
      </c>
      <c r="B1265" s="386">
        <v>46.86</v>
      </c>
      <c r="C1265" s="24" t="s">
        <v>133</v>
      </c>
      <c r="D1265" s="229" t="s">
        <v>723</v>
      </c>
      <c r="E1265" s="229" t="s">
        <v>5</v>
      </c>
      <c r="F1265" s="229">
        <v>657</v>
      </c>
      <c r="G1265" s="40">
        <f>F1265/418</f>
        <v>1.5717703349282297</v>
      </c>
      <c r="H1265" s="14">
        <v>1</v>
      </c>
      <c r="I1265" s="229">
        <v>0</v>
      </c>
      <c r="J1265" s="229">
        <v>0</v>
      </c>
      <c r="K1265" s="26">
        <v>1</v>
      </c>
      <c r="L1265" s="14">
        <v>0</v>
      </c>
      <c r="M1265" s="229">
        <v>0</v>
      </c>
      <c r="N1265" s="229">
        <v>0</v>
      </c>
      <c r="O1265" s="229">
        <v>0</v>
      </c>
      <c r="P1265" s="26">
        <v>0</v>
      </c>
      <c r="Q1265" s="14">
        <v>2</v>
      </c>
      <c r="R1265" s="229">
        <v>0</v>
      </c>
      <c r="S1265" s="229">
        <v>0</v>
      </c>
      <c r="T1265" s="229">
        <v>0</v>
      </c>
      <c r="U1265" s="229">
        <v>0</v>
      </c>
      <c r="V1265" s="229">
        <v>0</v>
      </c>
      <c r="W1265" s="229">
        <v>0</v>
      </c>
      <c r="X1265" s="229">
        <v>0</v>
      </c>
      <c r="Y1265" s="229">
        <v>21</v>
      </c>
      <c r="Z1265" s="229">
        <v>0</v>
      </c>
      <c r="AA1265" s="229">
        <v>0</v>
      </c>
      <c r="AC1265" s="12">
        <v>2</v>
      </c>
      <c r="AD1265" s="14">
        <v>6</v>
      </c>
      <c r="AE1265" s="14">
        <v>74</v>
      </c>
      <c r="AF1265" s="26">
        <v>420</v>
      </c>
      <c r="AG1265" s="12">
        <v>118</v>
      </c>
      <c r="AH1265" s="14">
        <v>1</v>
      </c>
      <c r="AI1265" s="209"/>
      <c r="AJ1265" s="3"/>
      <c r="AK1265" s="3"/>
      <c r="AL1265" s="3"/>
      <c r="AM1265" s="3"/>
      <c r="AN1265" s="3"/>
      <c r="AO1265" s="40"/>
      <c r="AP1265" s="209"/>
      <c r="AQ1265" s="3"/>
      <c r="AR1265" s="40"/>
      <c r="AS1265" s="238"/>
    </row>
    <row r="1266" spans="1:45" s="229" customFormat="1">
      <c r="A1266" s="42" t="s">
        <v>326</v>
      </c>
      <c r="B1266" s="386">
        <v>46.86</v>
      </c>
      <c r="C1266" s="24" t="s">
        <v>133</v>
      </c>
      <c r="D1266" s="229" t="s">
        <v>736</v>
      </c>
      <c r="E1266" s="229" t="s">
        <v>0</v>
      </c>
      <c r="F1266" s="229">
        <v>195</v>
      </c>
      <c r="G1266" s="40">
        <f>F1266/118</f>
        <v>1.652542372881356</v>
      </c>
      <c r="H1266" s="14">
        <v>1</v>
      </c>
      <c r="I1266" s="229">
        <v>0</v>
      </c>
      <c r="J1266" s="229">
        <v>0</v>
      </c>
      <c r="K1266" s="26">
        <v>0</v>
      </c>
      <c r="L1266" s="14">
        <v>0</v>
      </c>
      <c r="M1266" s="229">
        <v>0</v>
      </c>
      <c r="N1266" s="229">
        <v>0</v>
      </c>
      <c r="O1266" s="229">
        <v>0</v>
      </c>
      <c r="P1266" s="26">
        <v>0</v>
      </c>
      <c r="Q1266" s="14">
        <v>0</v>
      </c>
      <c r="R1266" s="229">
        <v>0</v>
      </c>
      <c r="S1266" s="229">
        <v>0</v>
      </c>
      <c r="T1266" s="229">
        <v>0</v>
      </c>
      <c r="U1266" s="229">
        <v>0</v>
      </c>
      <c r="V1266" s="229">
        <v>0</v>
      </c>
      <c r="W1266" s="229">
        <v>0</v>
      </c>
      <c r="X1266" s="229">
        <v>0</v>
      </c>
      <c r="Y1266" s="229">
        <v>0</v>
      </c>
      <c r="Z1266" s="229">
        <v>0</v>
      </c>
      <c r="AA1266" s="229">
        <v>0</v>
      </c>
      <c r="AC1266" s="12">
        <v>1</v>
      </c>
      <c r="AD1266" s="14">
        <v>1</v>
      </c>
      <c r="AE1266" s="14">
        <v>0</v>
      </c>
      <c r="AF1266" s="26">
        <v>0</v>
      </c>
      <c r="AG1266" s="12">
        <v>151</v>
      </c>
      <c r="AH1266" s="14">
        <v>0</v>
      </c>
      <c r="AI1266" s="209"/>
      <c r="AJ1266" s="3"/>
      <c r="AK1266" s="3"/>
      <c r="AL1266" s="3"/>
      <c r="AM1266" s="3"/>
      <c r="AN1266" s="3"/>
      <c r="AO1266" s="40"/>
      <c r="AP1266" s="209"/>
      <c r="AQ1266" s="3"/>
      <c r="AR1266" s="40"/>
      <c r="AS1266" s="238"/>
    </row>
    <row r="1267" spans="1:45" s="229" customFormat="1">
      <c r="A1267" s="42" t="s">
        <v>326</v>
      </c>
      <c r="B1267" s="386">
        <v>46.86</v>
      </c>
      <c r="C1267" s="24" t="s">
        <v>133</v>
      </c>
      <c r="D1267" s="229" t="s">
        <v>736</v>
      </c>
      <c r="E1267" s="229" t="s">
        <v>1</v>
      </c>
      <c r="F1267" s="229">
        <v>1483</v>
      </c>
      <c r="G1267" s="40">
        <f>F1267/529</f>
        <v>2.8034026465028354</v>
      </c>
      <c r="H1267" s="14">
        <v>1</v>
      </c>
      <c r="I1267" s="229">
        <v>0</v>
      </c>
      <c r="J1267" s="229">
        <v>0</v>
      </c>
      <c r="K1267" s="26">
        <v>1</v>
      </c>
      <c r="L1267" s="14">
        <v>0</v>
      </c>
      <c r="M1267" s="229">
        <v>0</v>
      </c>
      <c r="N1267" s="229">
        <v>0</v>
      </c>
      <c r="O1267" s="229">
        <v>0</v>
      </c>
      <c r="P1267" s="26">
        <v>0</v>
      </c>
      <c r="Q1267" s="14">
        <v>0</v>
      </c>
      <c r="R1267" s="229">
        <v>0</v>
      </c>
      <c r="S1267" s="229">
        <v>0</v>
      </c>
      <c r="T1267" s="229">
        <v>0</v>
      </c>
      <c r="U1267" s="229">
        <v>0</v>
      </c>
      <c r="V1267" s="229">
        <v>0</v>
      </c>
      <c r="W1267" s="229">
        <v>0</v>
      </c>
      <c r="X1267" s="229">
        <v>0</v>
      </c>
      <c r="Y1267" s="229">
        <v>0</v>
      </c>
      <c r="Z1267" s="229">
        <v>0</v>
      </c>
      <c r="AA1267" s="229">
        <v>0</v>
      </c>
      <c r="AC1267" s="12">
        <v>2</v>
      </c>
      <c r="AD1267" s="14">
        <v>11</v>
      </c>
      <c r="AE1267" s="14">
        <v>73</v>
      </c>
      <c r="AF1267" s="26">
        <v>690</v>
      </c>
      <c r="AG1267" s="12">
        <v>151</v>
      </c>
      <c r="AH1267" s="14">
        <v>1</v>
      </c>
      <c r="AI1267" s="209">
        <v>86.578090277242765</v>
      </c>
      <c r="AJ1267" s="3">
        <v>86.543148204804879</v>
      </c>
      <c r="AK1267" s="3">
        <v>86.594855187087603</v>
      </c>
      <c r="AL1267" s="3">
        <v>86.488558188795281</v>
      </c>
      <c r="AM1267" s="3"/>
      <c r="AN1267" s="3"/>
      <c r="AO1267" s="40"/>
      <c r="AP1267" s="209">
        <v>86.48237285309439</v>
      </c>
      <c r="AQ1267" s="3"/>
      <c r="AR1267" s="40"/>
      <c r="AS1267" s="238"/>
    </row>
    <row r="1268" spans="1:45" s="229" customFormat="1">
      <c r="A1268" s="42" t="s">
        <v>326</v>
      </c>
      <c r="B1268" s="386">
        <v>46.86</v>
      </c>
      <c r="C1268" s="24" t="s">
        <v>133</v>
      </c>
      <c r="D1268" s="229" t="s">
        <v>736</v>
      </c>
      <c r="E1268" s="229" t="s">
        <v>2</v>
      </c>
      <c r="F1268" s="229">
        <v>1464</v>
      </c>
      <c r="G1268" s="40">
        <f>F1268/1136</f>
        <v>1.2887323943661972</v>
      </c>
      <c r="H1268" s="14">
        <v>1</v>
      </c>
      <c r="I1268" s="229">
        <v>1</v>
      </c>
      <c r="J1268" s="229">
        <v>0</v>
      </c>
      <c r="K1268" s="26">
        <v>1</v>
      </c>
      <c r="L1268" s="14">
        <v>0</v>
      </c>
      <c r="M1268" s="229">
        <v>0</v>
      </c>
      <c r="N1268" s="229">
        <v>1</v>
      </c>
      <c r="O1268" s="229">
        <v>0</v>
      </c>
      <c r="P1268" s="26">
        <v>1</v>
      </c>
      <c r="Q1268" s="14">
        <v>1</v>
      </c>
      <c r="R1268" s="229">
        <v>0</v>
      </c>
      <c r="S1268" s="229">
        <v>20</v>
      </c>
      <c r="T1268" s="229">
        <v>0</v>
      </c>
      <c r="U1268" s="229">
        <v>0</v>
      </c>
      <c r="V1268" s="229">
        <v>0</v>
      </c>
      <c r="W1268" s="229">
        <v>0</v>
      </c>
      <c r="X1268" s="229">
        <v>0</v>
      </c>
      <c r="Y1268" s="229">
        <v>0</v>
      </c>
      <c r="Z1268" s="229">
        <v>0</v>
      </c>
      <c r="AA1268" s="229">
        <v>0</v>
      </c>
      <c r="AC1268" s="12">
        <v>2</v>
      </c>
      <c r="AD1268" s="14">
        <v>11</v>
      </c>
      <c r="AE1268" s="14">
        <v>92</v>
      </c>
      <c r="AF1268" s="26">
        <v>1021</v>
      </c>
      <c r="AG1268" s="12">
        <v>151</v>
      </c>
      <c r="AH1268" s="14">
        <v>1</v>
      </c>
      <c r="AI1268" s="209"/>
      <c r="AJ1268" s="3"/>
      <c r="AK1268" s="3"/>
      <c r="AL1268" s="3"/>
      <c r="AM1268" s="3"/>
      <c r="AN1268" s="3"/>
      <c r="AO1268" s="40"/>
      <c r="AP1268" s="209"/>
      <c r="AQ1268" s="3"/>
      <c r="AR1268" s="40"/>
      <c r="AS1268" s="238"/>
    </row>
    <row r="1269" spans="1:45" s="229" customFormat="1">
      <c r="A1269" s="42" t="s">
        <v>326</v>
      </c>
      <c r="B1269" s="386">
        <v>46.86</v>
      </c>
      <c r="C1269" s="24" t="s">
        <v>133</v>
      </c>
      <c r="D1269" s="229" t="s">
        <v>736</v>
      </c>
      <c r="E1269" s="229" t="s">
        <v>3</v>
      </c>
      <c r="F1269" s="229">
        <v>240</v>
      </c>
      <c r="G1269" s="40">
        <f>F1269/224</f>
        <v>1.0714285714285714</v>
      </c>
      <c r="H1269" s="14">
        <v>1</v>
      </c>
      <c r="I1269" s="229">
        <v>0</v>
      </c>
      <c r="J1269" s="229">
        <v>0</v>
      </c>
      <c r="K1269" s="26">
        <v>0</v>
      </c>
      <c r="L1269" s="14">
        <v>0</v>
      </c>
      <c r="M1269" s="229">
        <v>0</v>
      </c>
      <c r="N1269" s="229">
        <v>0</v>
      </c>
      <c r="O1269" s="229">
        <v>0</v>
      </c>
      <c r="P1269" s="26">
        <v>0</v>
      </c>
      <c r="Q1269" s="14">
        <v>2</v>
      </c>
      <c r="R1269" s="229">
        <v>0</v>
      </c>
      <c r="S1269" s="229">
        <v>0</v>
      </c>
      <c r="T1269" s="229">
        <v>0</v>
      </c>
      <c r="U1269" s="229">
        <v>0</v>
      </c>
      <c r="V1269" s="229">
        <v>0</v>
      </c>
      <c r="W1269" s="229">
        <v>16</v>
      </c>
      <c r="X1269" s="229">
        <v>0</v>
      </c>
      <c r="Y1269" s="229">
        <v>34</v>
      </c>
      <c r="Z1269" s="229">
        <v>0</v>
      </c>
      <c r="AA1269" s="229">
        <v>0</v>
      </c>
      <c r="AC1269" s="12">
        <v>1</v>
      </c>
      <c r="AD1269" s="14">
        <v>1</v>
      </c>
      <c r="AE1269" s="14">
        <v>0</v>
      </c>
      <c r="AF1269" s="26">
        <v>0</v>
      </c>
      <c r="AG1269" s="12">
        <v>151</v>
      </c>
      <c r="AH1269" s="14">
        <v>1</v>
      </c>
      <c r="AI1269" s="209"/>
      <c r="AJ1269" s="3"/>
      <c r="AK1269" s="3"/>
      <c r="AL1269" s="3"/>
      <c r="AM1269" s="3"/>
      <c r="AN1269" s="3"/>
      <c r="AO1269" s="40"/>
      <c r="AP1269" s="209"/>
      <c r="AQ1269" s="3"/>
      <c r="AR1269" s="40"/>
      <c r="AS1269" s="238"/>
    </row>
    <row r="1270" spans="1:45" s="229" customFormat="1">
      <c r="A1270" s="42" t="s">
        <v>326</v>
      </c>
      <c r="B1270" s="386">
        <v>46.86</v>
      </c>
      <c r="C1270" s="24" t="s">
        <v>133</v>
      </c>
      <c r="D1270" s="229" t="s">
        <v>724</v>
      </c>
      <c r="E1270" s="229" t="s">
        <v>0</v>
      </c>
      <c r="F1270" s="229">
        <v>177</v>
      </c>
      <c r="G1270" s="40">
        <f>F1270/115</f>
        <v>1.5391304347826087</v>
      </c>
      <c r="H1270" s="14">
        <v>1</v>
      </c>
      <c r="I1270" s="229">
        <v>0</v>
      </c>
      <c r="J1270" s="229">
        <v>0</v>
      </c>
      <c r="K1270" s="26">
        <v>0</v>
      </c>
      <c r="L1270" s="14">
        <v>0</v>
      </c>
      <c r="M1270" s="229">
        <v>0</v>
      </c>
      <c r="N1270" s="229">
        <v>0</v>
      </c>
      <c r="O1270" s="229">
        <v>0</v>
      </c>
      <c r="P1270" s="26">
        <v>0</v>
      </c>
      <c r="Q1270" s="14">
        <v>0</v>
      </c>
      <c r="R1270" s="229">
        <v>0</v>
      </c>
      <c r="S1270" s="229">
        <v>0</v>
      </c>
      <c r="T1270" s="229">
        <v>0</v>
      </c>
      <c r="U1270" s="229">
        <v>0</v>
      </c>
      <c r="V1270" s="229">
        <v>0</v>
      </c>
      <c r="W1270" s="229">
        <v>0</v>
      </c>
      <c r="X1270" s="229">
        <v>0</v>
      </c>
      <c r="Y1270" s="229">
        <v>0</v>
      </c>
      <c r="Z1270" s="229">
        <v>0</v>
      </c>
      <c r="AA1270" s="229">
        <v>0</v>
      </c>
      <c r="AC1270" s="12">
        <v>1</v>
      </c>
      <c r="AD1270" s="14">
        <v>1</v>
      </c>
      <c r="AE1270" s="14">
        <v>0</v>
      </c>
      <c r="AF1270" s="26">
        <v>0</v>
      </c>
      <c r="AG1270" s="12">
        <v>133</v>
      </c>
      <c r="AH1270" s="14">
        <v>0</v>
      </c>
      <c r="AI1270" s="209"/>
      <c r="AJ1270" s="3"/>
      <c r="AK1270" s="3"/>
      <c r="AL1270" s="3"/>
      <c r="AM1270" s="3"/>
      <c r="AN1270" s="3"/>
      <c r="AO1270" s="40"/>
      <c r="AP1270" s="209"/>
      <c r="AQ1270" s="3"/>
      <c r="AR1270" s="40"/>
      <c r="AS1270" s="238"/>
    </row>
    <row r="1271" spans="1:45" s="229" customFormat="1">
      <c r="A1271" s="42" t="s">
        <v>326</v>
      </c>
      <c r="B1271" s="386">
        <v>46.86</v>
      </c>
      <c r="C1271" s="24" t="s">
        <v>133</v>
      </c>
      <c r="D1271" s="229" t="s">
        <v>724</v>
      </c>
      <c r="E1271" s="229" t="s">
        <v>1</v>
      </c>
      <c r="F1271" s="229">
        <v>752</v>
      </c>
      <c r="G1271" s="40">
        <f>F1271/342</f>
        <v>2.198830409356725</v>
      </c>
      <c r="H1271" s="14">
        <v>1</v>
      </c>
      <c r="I1271" s="229">
        <v>0</v>
      </c>
      <c r="J1271" s="229">
        <v>0</v>
      </c>
      <c r="K1271" s="26">
        <v>0</v>
      </c>
      <c r="L1271" s="14">
        <v>0</v>
      </c>
      <c r="M1271" s="229">
        <v>0</v>
      </c>
      <c r="N1271" s="229">
        <v>0</v>
      </c>
      <c r="O1271" s="229">
        <v>0</v>
      </c>
      <c r="P1271" s="26">
        <v>0</v>
      </c>
      <c r="Q1271" s="14">
        <v>1</v>
      </c>
      <c r="R1271" s="229">
        <v>0</v>
      </c>
      <c r="S1271" s="229">
        <v>11</v>
      </c>
      <c r="T1271" s="229">
        <v>0</v>
      </c>
      <c r="U1271" s="229">
        <v>0</v>
      </c>
      <c r="V1271" s="229">
        <v>0</v>
      </c>
      <c r="W1271" s="229">
        <v>0</v>
      </c>
      <c r="X1271" s="229">
        <v>0</v>
      </c>
      <c r="Y1271" s="229">
        <v>0</v>
      </c>
      <c r="Z1271" s="229">
        <v>0</v>
      </c>
      <c r="AA1271" s="229">
        <v>0</v>
      </c>
      <c r="AC1271" s="12">
        <v>2</v>
      </c>
      <c r="AD1271" s="14">
        <v>4</v>
      </c>
      <c r="AE1271" s="14">
        <v>205</v>
      </c>
      <c r="AF1271" s="26">
        <v>341</v>
      </c>
      <c r="AG1271" s="12">
        <v>133</v>
      </c>
      <c r="AH1271" s="14">
        <v>1</v>
      </c>
      <c r="AI1271" s="209"/>
      <c r="AJ1271" s="3"/>
      <c r="AK1271" s="3"/>
      <c r="AL1271" s="3"/>
      <c r="AM1271" s="3"/>
      <c r="AN1271" s="3"/>
      <c r="AO1271" s="40"/>
      <c r="AP1271" s="209"/>
      <c r="AQ1271" s="3"/>
      <c r="AR1271" s="40"/>
      <c r="AS1271" s="238"/>
    </row>
    <row r="1272" spans="1:45" s="229" customFormat="1">
      <c r="A1272" s="42" t="s">
        <v>326</v>
      </c>
      <c r="B1272" s="386">
        <v>46.86</v>
      </c>
      <c r="C1272" s="24" t="s">
        <v>133</v>
      </c>
      <c r="D1272" s="229" t="s">
        <v>724</v>
      </c>
      <c r="E1272" s="229" t="s">
        <v>2</v>
      </c>
      <c r="F1272" s="229">
        <v>461</v>
      </c>
      <c r="G1272" s="40">
        <f>F1272/327</f>
        <v>1.4097859327217126</v>
      </c>
      <c r="H1272" s="14">
        <v>1</v>
      </c>
      <c r="I1272" s="229">
        <v>0</v>
      </c>
      <c r="J1272" s="229">
        <v>0</v>
      </c>
      <c r="K1272" s="26">
        <v>1</v>
      </c>
      <c r="L1272" s="14">
        <v>0</v>
      </c>
      <c r="M1272" s="229">
        <v>0</v>
      </c>
      <c r="N1272" s="229">
        <v>0</v>
      </c>
      <c r="O1272" s="229">
        <v>0</v>
      </c>
      <c r="P1272" s="26">
        <v>0</v>
      </c>
      <c r="Q1272" s="14">
        <v>10</v>
      </c>
      <c r="R1272" s="229">
        <v>0</v>
      </c>
      <c r="S1272" s="229">
        <v>75</v>
      </c>
      <c r="T1272" s="229">
        <v>0</v>
      </c>
      <c r="U1272" s="229">
        <v>0</v>
      </c>
      <c r="V1272" s="229">
        <v>0</v>
      </c>
      <c r="W1272" s="229">
        <v>0</v>
      </c>
      <c r="X1272" s="229">
        <v>0</v>
      </c>
      <c r="Y1272" s="229">
        <v>0</v>
      </c>
      <c r="Z1272" s="229">
        <v>0</v>
      </c>
      <c r="AA1272" s="229">
        <v>0</v>
      </c>
      <c r="AC1272" s="12">
        <v>2</v>
      </c>
      <c r="AD1272" s="14">
        <v>2</v>
      </c>
      <c r="AE1272" s="14">
        <v>83</v>
      </c>
      <c r="AF1272" s="26">
        <v>399</v>
      </c>
      <c r="AG1272" s="12">
        <v>133</v>
      </c>
      <c r="AH1272" s="14">
        <v>1</v>
      </c>
      <c r="AI1272" s="209"/>
      <c r="AJ1272" s="3"/>
      <c r="AK1272" s="3"/>
      <c r="AL1272" s="3"/>
      <c r="AM1272" s="3"/>
      <c r="AN1272" s="3"/>
      <c r="AO1272" s="40"/>
      <c r="AP1272" s="209"/>
      <c r="AQ1272" s="3"/>
      <c r="AR1272" s="40"/>
      <c r="AS1272" s="238"/>
    </row>
    <row r="1273" spans="1:45" s="229" customFormat="1">
      <c r="A1273" s="42" t="s">
        <v>326</v>
      </c>
      <c r="B1273" s="386">
        <v>46.86</v>
      </c>
      <c r="C1273" s="24" t="s">
        <v>133</v>
      </c>
      <c r="D1273" s="229" t="s">
        <v>724</v>
      </c>
      <c r="E1273" s="229" t="s">
        <v>3</v>
      </c>
      <c r="F1273" s="229">
        <v>926</v>
      </c>
      <c r="G1273" s="40">
        <f>F1273/519</f>
        <v>1.7842003853564548</v>
      </c>
      <c r="H1273" s="14">
        <v>1</v>
      </c>
      <c r="I1273" s="229">
        <v>0</v>
      </c>
      <c r="J1273" s="229">
        <v>0</v>
      </c>
      <c r="K1273" s="26">
        <v>1</v>
      </c>
      <c r="L1273" s="14">
        <v>0</v>
      </c>
      <c r="M1273" s="229">
        <v>0</v>
      </c>
      <c r="N1273" s="229">
        <v>1</v>
      </c>
      <c r="O1273" s="229">
        <v>0</v>
      </c>
      <c r="P1273" s="26">
        <v>1</v>
      </c>
      <c r="Q1273" s="14">
        <v>0</v>
      </c>
      <c r="R1273" s="229">
        <v>0</v>
      </c>
      <c r="S1273" s="229">
        <v>0</v>
      </c>
      <c r="T1273" s="229">
        <v>0</v>
      </c>
      <c r="U1273" s="229">
        <v>0</v>
      </c>
      <c r="V1273" s="229">
        <v>0</v>
      </c>
      <c r="W1273" s="229">
        <v>0</v>
      </c>
      <c r="X1273" s="229">
        <v>0</v>
      </c>
      <c r="Y1273" s="229">
        <v>0</v>
      </c>
      <c r="Z1273" s="229">
        <v>0</v>
      </c>
      <c r="AA1273" s="229">
        <v>0</v>
      </c>
      <c r="AC1273" s="12">
        <v>2</v>
      </c>
      <c r="AD1273" s="14">
        <v>7</v>
      </c>
      <c r="AE1273" s="14">
        <v>140</v>
      </c>
      <c r="AF1273" s="26">
        <v>479</v>
      </c>
      <c r="AG1273" s="12">
        <v>133</v>
      </c>
      <c r="AH1273" s="14">
        <v>1</v>
      </c>
      <c r="AI1273" s="209"/>
      <c r="AJ1273" s="3"/>
      <c r="AK1273" s="3"/>
      <c r="AL1273" s="3"/>
      <c r="AM1273" s="3"/>
      <c r="AN1273" s="3"/>
      <c r="AO1273" s="40"/>
      <c r="AP1273" s="209"/>
      <c r="AQ1273" s="3"/>
      <c r="AR1273" s="40"/>
      <c r="AS1273" s="238"/>
    </row>
    <row r="1274" spans="1:45" s="229" customFormat="1">
      <c r="A1274" s="42" t="s">
        <v>326</v>
      </c>
      <c r="B1274" s="386">
        <v>46.86</v>
      </c>
      <c r="C1274" s="24" t="s">
        <v>133</v>
      </c>
      <c r="D1274" s="229" t="s">
        <v>724</v>
      </c>
      <c r="E1274" s="229" t="s">
        <v>4</v>
      </c>
      <c r="F1274" s="229">
        <v>132</v>
      </c>
      <c r="G1274" s="40">
        <f>F1274/76</f>
        <v>1.736842105263158</v>
      </c>
      <c r="H1274" s="14">
        <v>1</v>
      </c>
      <c r="I1274" s="229">
        <v>0</v>
      </c>
      <c r="J1274" s="229">
        <v>0</v>
      </c>
      <c r="K1274" s="26">
        <v>0</v>
      </c>
      <c r="L1274" s="14">
        <v>0</v>
      </c>
      <c r="M1274" s="229">
        <v>0</v>
      </c>
      <c r="N1274" s="229">
        <v>0</v>
      </c>
      <c r="O1274" s="229">
        <v>0</v>
      </c>
      <c r="P1274" s="26">
        <v>0</v>
      </c>
      <c r="Q1274" s="14">
        <v>0</v>
      </c>
      <c r="R1274" s="229">
        <v>0</v>
      </c>
      <c r="S1274" s="229">
        <v>0</v>
      </c>
      <c r="T1274" s="229">
        <v>0</v>
      </c>
      <c r="U1274" s="229">
        <v>0</v>
      </c>
      <c r="V1274" s="229">
        <v>0</v>
      </c>
      <c r="W1274" s="229">
        <v>0</v>
      </c>
      <c r="X1274" s="229">
        <v>0</v>
      </c>
      <c r="Y1274" s="229">
        <v>0</v>
      </c>
      <c r="Z1274" s="229">
        <v>0</v>
      </c>
      <c r="AA1274" s="229">
        <v>0</v>
      </c>
      <c r="AC1274" s="12">
        <v>1</v>
      </c>
      <c r="AD1274" s="14">
        <v>1</v>
      </c>
      <c r="AE1274" s="14">
        <v>0</v>
      </c>
      <c r="AF1274" s="26">
        <v>0</v>
      </c>
      <c r="AG1274" s="12">
        <v>133</v>
      </c>
      <c r="AH1274" s="14">
        <v>1</v>
      </c>
      <c r="AI1274" s="209"/>
      <c r="AJ1274" s="3"/>
      <c r="AK1274" s="3"/>
      <c r="AL1274" s="3"/>
      <c r="AM1274" s="3"/>
      <c r="AN1274" s="3"/>
      <c r="AO1274" s="40"/>
      <c r="AP1274" s="209"/>
      <c r="AQ1274" s="3"/>
      <c r="AR1274" s="40"/>
      <c r="AS1274" s="238"/>
    </row>
    <row r="1275" spans="1:45" s="229" customFormat="1">
      <c r="A1275" s="42" t="s">
        <v>326</v>
      </c>
      <c r="B1275" s="386">
        <v>46.86</v>
      </c>
      <c r="C1275" s="24" t="s">
        <v>133</v>
      </c>
      <c r="D1275" s="229" t="s">
        <v>724</v>
      </c>
      <c r="E1275" s="229" t="s">
        <v>5</v>
      </c>
      <c r="F1275" s="229">
        <v>520</v>
      </c>
      <c r="G1275" s="40">
        <f>F1275/406</f>
        <v>1.2807881773399015</v>
      </c>
      <c r="H1275" s="14">
        <v>1</v>
      </c>
      <c r="I1275" s="229">
        <v>0</v>
      </c>
      <c r="J1275" s="229">
        <v>0</v>
      </c>
      <c r="K1275" s="26">
        <v>1</v>
      </c>
      <c r="L1275" s="14">
        <v>0</v>
      </c>
      <c r="M1275" s="229">
        <v>0</v>
      </c>
      <c r="N1275" s="229">
        <v>0</v>
      </c>
      <c r="O1275" s="229">
        <v>0</v>
      </c>
      <c r="P1275" s="26">
        <v>0</v>
      </c>
      <c r="Q1275" s="14">
        <v>0</v>
      </c>
      <c r="R1275" s="229">
        <v>0</v>
      </c>
      <c r="S1275" s="229">
        <v>0</v>
      </c>
      <c r="T1275" s="229">
        <v>0</v>
      </c>
      <c r="U1275" s="229">
        <v>0</v>
      </c>
      <c r="V1275" s="229">
        <v>0</v>
      </c>
      <c r="W1275" s="229">
        <v>0</v>
      </c>
      <c r="X1275" s="229">
        <v>0</v>
      </c>
      <c r="Y1275" s="229">
        <v>0</v>
      </c>
      <c r="Z1275" s="229">
        <v>0</v>
      </c>
      <c r="AA1275" s="229">
        <v>0</v>
      </c>
      <c r="AC1275" s="12">
        <v>2</v>
      </c>
      <c r="AD1275" s="14">
        <v>3</v>
      </c>
      <c r="AE1275" s="14">
        <v>69</v>
      </c>
      <c r="AF1275" s="26">
        <v>406</v>
      </c>
      <c r="AG1275" s="12">
        <v>133</v>
      </c>
      <c r="AH1275" s="14">
        <v>1</v>
      </c>
      <c r="AI1275" s="209"/>
      <c r="AJ1275" s="3"/>
      <c r="AK1275" s="3"/>
      <c r="AL1275" s="3"/>
      <c r="AM1275" s="3"/>
      <c r="AN1275" s="3"/>
      <c r="AO1275" s="40"/>
      <c r="AP1275" s="209"/>
      <c r="AQ1275" s="3"/>
      <c r="AR1275" s="40"/>
      <c r="AS1275" s="238"/>
    </row>
    <row r="1276" spans="1:45" s="229" customFormat="1">
      <c r="A1276" s="42" t="s">
        <v>326</v>
      </c>
      <c r="B1276" s="386">
        <v>46.86</v>
      </c>
      <c r="C1276" s="24" t="s">
        <v>133</v>
      </c>
      <c r="D1276" s="229" t="s">
        <v>724</v>
      </c>
      <c r="E1276" s="229" t="s">
        <v>750</v>
      </c>
      <c r="F1276" s="229">
        <v>920</v>
      </c>
      <c r="G1276" s="40">
        <f>F1276/555</f>
        <v>1.6576576576576576</v>
      </c>
      <c r="H1276" s="14">
        <v>1</v>
      </c>
      <c r="I1276" s="229">
        <v>1</v>
      </c>
      <c r="J1276" s="229">
        <v>0</v>
      </c>
      <c r="K1276" s="26">
        <v>0</v>
      </c>
      <c r="L1276" s="14">
        <v>0</v>
      </c>
      <c r="M1276" s="229">
        <v>0</v>
      </c>
      <c r="N1276" s="229">
        <v>1</v>
      </c>
      <c r="O1276" s="229">
        <v>0</v>
      </c>
      <c r="P1276" s="26">
        <v>1</v>
      </c>
      <c r="Q1276" s="14">
        <v>0</v>
      </c>
      <c r="R1276" s="229">
        <v>0</v>
      </c>
      <c r="S1276" s="229">
        <v>0</v>
      </c>
      <c r="T1276" s="229">
        <v>0</v>
      </c>
      <c r="U1276" s="229">
        <v>0</v>
      </c>
      <c r="V1276" s="229">
        <v>0</v>
      </c>
      <c r="W1276" s="229">
        <v>0</v>
      </c>
      <c r="X1276" s="229">
        <v>0</v>
      </c>
      <c r="Y1276" s="229">
        <v>0</v>
      </c>
      <c r="Z1276" s="229">
        <v>0</v>
      </c>
      <c r="AA1276" s="229">
        <v>0</v>
      </c>
      <c r="AC1276" s="12">
        <v>2</v>
      </c>
      <c r="AD1276" s="14">
        <v>2</v>
      </c>
      <c r="AE1276" s="14">
        <v>278</v>
      </c>
      <c r="AF1276" s="26">
        <v>758</v>
      </c>
      <c r="AG1276" s="12">
        <v>133</v>
      </c>
      <c r="AH1276" s="14">
        <v>1</v>
      </c>
      <c r="AI1276" s="209"/>
      <c r="AJ1276" s="3"/>
      <c r="AK1276" s="3"/>
      <c r="AL1276" s="3"/>
      <c r="AM1276" s="3"/>
      <c r="AN1276" s="3"/>
      <c r="AO1276" s="40"/>
      <c r="AP1276" s="209"/>
      <c r="AQ1276" s="3"/>
      <c r="AR1276" s="40"/>
      <c r="AS1276" s="238"/>
    </row>
    <row r="1277" spans="1:45" s="229" customFormat="1">
      <c r="A1277" s="42" t="s">
        <v>326</v>
      </c>
      <c r="B1277" s="386">
        <v>46.86</v>
      </c>
      <c r="C1277" s="24" t="s">
        <v>133</v>
      </c>
      <c r="D1277" s="229" t="s">
        <v>724</v>
      </c>
      <c r="E1277" s="229" t="s">
        <v>751</v>
      </c>
      <c r="F1277" s="229">
        <v>963</v>
      </c>
      <c r="G1277" s="40">
        <f>F1277/503</f>
        <v>1.9145129224652087</v>
      </c>
      <c r="H1277" s="14">
        <v>1</v>
      </c>
      <c r="I1277" s="229">
        <v>0</v>
      </c>
      <c r="J1277" s="229">
        <v>0</v>
      </c>
      <c r="K1277" s="26">
        <v>1</v>
      </c>
      <c r="L1277" s="14">
        <v>0</v>
      </c>
      <c r="M1277" s="229">
        <v>0</v>
      </c>
      <c r="N1277" s="229">
        <v>0</v>
      </c>
      <c r="O1277" s="229">
        <v>0</v>
      </c>
      <c r="P1277" s="26">
        <v>0</v>
      </c>
      <c r="Q1277" s="14">
        <v>0</v>
      </c>
      <c r="R1277" s="229">
        <v>0</v>
      </c>
      <c r="S1277" s="229">
        <v>0</v>
      </c>
      <c r="T1277" s="229">
        <v>0</v>
      </c>
      <c r="U1277" s="229">
        <v>0</v>
      </c>
      <c r="V1277" s="229">
        <v>0</v>
      </c>
      <c r="W1277" s="229">
        <v>0</v>
      </c>
      <c r="X1277" s="229">
        <v>0</v>
      </c>
      <c r="Y1277" s="229">
        <v>0</v>
      </c>
      <c r="Z1277" s="229">
        <v>0</v>
      </c>
      <c r="AA1277" s="229">
        <v>0</v>
      </c>
      <c r="AC1277" s="12">
        <v>2</v>
      </c>
      <c r="AD1277" s="14">
        <v>6</v>
      </c>
      <c r="AE1277" s="14">
        <v>92</v>
      </c>
      <c r="AF1277" s="26">
        <v>408</v>
      </c>
      <c r="AG1277" s="12">
        <v>133</v>
      </c>
      <c r="AH1277" s="14">
        <v>1</v>
      </c>
      <c r="AI1277" s="209"/>
      <c r="AJ1277" s="3"/>
      <c r="AK1277" s="3"/>
      <c r="AL1277" s="3"/>
      <c r="AM1277" s="3"/>
      <c r="AN1277" s="3"/>
      <c r="AO1277" s="40"/>
      <c r="AP1277" s="209"/>
      <c r="AQ1277" s="3"/>
      <c r="AR1277" s="40"/>
      <c r="AS1277" s="238"/>
    </row>
    <row r="1278" spans="1:45" s="229" customFormat="1">
      <c r="A1278" s="42" t="s">
        <v>326</v>
      </c>
      <c r="B1278" s="386">
        <v>46.86</v>
      </c>
      <c r="C1278" s="24" t="s">
        <v>133</v>
      </c>
      <c r="D1278" s="229" t="s">
        <v>724</v>
      </c>
      <c r="E1278" s="229" t="s">
        <v>752</v>
      </c>
      <c r="F1278" s="229">
        <v>699</v>
      </c>
      <c r="G1278" s="40">
        <f>F1278/450</f>
        <v>1.5533333333333332</v>
      </c>
      <c r="H1278" s="14">
        <v>1</v>
      </c>
      <c r="I1278" s="229">
        <v>0</v>
      </c>
      <c r="J1278" s="229">
        <v>0</v>
      </c>
      <c r="K1278" s="26">
        <v>1</v>
      </c>
      <c r="L1278" s="14">
        <v>0</v>
      </c>
      <c r="M1278" s="229">
        <v>0</v>
      </c>
      <c r="N1278" s="229">
        <v>0</v>
      </c>
      <c r="O1278" s="229">
        <v>0</v>
      </c>
      <c r="P1278" s="26">
        <v>0</v>
      </c>
      <c r="Q1278" s="14">
        <v>0</v>
      </c>
      <c r="R1278" s="229">
        <v>0</v>
      </c>
      <c r="S1278" s="229">
        <v>0</v>
      </c>
      <c r="T1278" s="229">
        <v>0</v>
      </c>
      <c r="U1278" s="229">
        <v>0</v>
      </c>
      <c r="V1278" s="229">
        <v>0</v>
      </c>
      <c r="W1278" s="229">
        <v>0</v>
      </c>
      <c r="X1278" s="229">
        <v>0</v>
      </c>
      <c r="Y1278" s="229">
        <v>0</v>
      </c>
      <c r="Z1278" s="229">
        <v>0</v>
      </c>
      <c r="AA1278" s="229">
        <v>0</v>
      </c>
      <c r="AC1278" s="12">
        <v>2</v>
      </c>
      <c r="AD1278" s="14">
        <v>13</v>
      </c>
      <c r="AE1278" s="14">
        <v>88</v>
      </c>
      <c r="AF1278" s="26">
        <v>281</v>
      </c>
      <c r="AG1278" s="12">
        <v>133</v>
      </c>
      <c r="AH1278" s="14">
        <v>1</v>
      </c>
      <c r="AI1278" s="209"/>
      <c r="AJ1278" s="3"/>
      <c r="AK1278" s="3"/>
      <c r="AL1278" s="3"/>
      <c r="AM1278" s="3"/>
      <c r="AN1278" s="3"/>
      <c r="AO1278" s="40"/>
      <c r="AP1278" s="209"/>
      <c r="AQ1278" s="3"/>
      <c r="AR1278" s="40"/>
      <c r="AS1278" s="238"/>
    </row>
    <row r="1279" spans="1:45" s="229" customFormat="1">
      <c r="A1279" s="42" t="s">
        <v>326</v>
      </c>
      <c r="B1279" s="386">
        <v>46.86</v>
      </c>
      <c r="C1279" s="24" t="s">
        <v>133</v>
      </c>
      <c r="D1279" s="229" t="s">
        <v>725</v>
      </c>
      <c r="E1279" s="229" t="s">
        <v>0</v>
      </c>
      <c r="F1279" s="229">
        <v>307</v>
      </c>
      <c r="G1279" s="40">
        <f>F1279/217</f>
        <v>1.4147465437788018</v>
      </c>
      <c r="H1279" s="14">
        <v>1</v>
      </c>
      <c r="I1279" s="229">
        <v>0</v>
      </c>
      <c r="J1279" s="229">
        <v>0</v>
      </c>
      <c r="K1279" s="26">
        <v>1</v>
      </c>
      <c r="L1279" s="14">
        <v>0</v>
      </c>
      <c r="M1279" s="229">
        <v>0</v>
      </c>
      <c r="N1279" s="229">
        <v>0</v>
      </c>
      <c r="O1279" s="229">
        <v>0</v>
      </c>
      <c r="P1279" s="26">
        <v>0</v>
      </c>
      <c r="Q1279" s="14">
        <v>1</v>
      </c>
      <c r="R1279" s="229">
        <v>0</v>
      </c>
      <c r="S1279" s="229">
        <v>0</v>
      </c>
      <c r="T1279" s="229">
        <v>0</v>
      </c>
      <c r="U1279" s="229">
        <v>0</v>
      </c>
      <c r="V1279" s="229">
        <v>0</v>
      </c>
      <c r="W1279" s="229">
        <v>9</v>
      </c>
      <c r="X1279" s="229">
        <v>0</v>
      </c>
      <c r="Y1279" s="229">
        <v>0</v>
      </c>
      <c r="Z1279" s="229">
        <v>0</v>
      </c>
      <c r="AA1279" s="229">
        <v>0</v>
      </c>
      <c r="AC1279" s="12">
        <v>2</v>
      </c>
      <c r="AD1279" s="14">
        <v>3</v>
      </c>
      <c r="AE1279" s="14">
        <v>100</v>
      </c>
      <c r="AF1279" s="26">
        <v>263</v>
      </c>
      <c r="AG1279" s="12">
        <v>105</v>
      </c>
      <c r="AH1279" s="14">
        <v>1</v>
      </c>
      <c r="AI1279" s="209"/>
      <c r="AJ1279" s="3"/>
      <c r="AK1279" s="3"/>
      <c r="AL1279" s="3"/>
      <c r="AM1279" s="3"/>
      <c r="AN1279" s="3"/>
      <c r="AO1279" s="40"/>
      <c r="AP1279" s="209"/>
      <c r="AQ1279" s="3"/>
      <c r="AR1279" s="40"/>
      <c r="AS1279" s="238"/>
    </row>
    <row r="1280" spans="1:45" s="229" customFormat="1">
      <c r="A1280" s="42" t="s">
        <v>326</v>
      </c>
      <c r="B1280" s="386">
        <v>46.86</v>
      </c>
      <c r="C1280" s="24" t="s">
        <v>133</v>
      </c>
      <c r="D1280" s="229" t="s">
        <v>725</v>
      </c>
      <c r="E1280" s="229" t="s">
        <v>1</v>
      </c>
      <c r="F1280" s="229">
        <v>158</v>
      </c>
      <c r="G1280" s="40">
        <f>F1280/96</f>
        <v>1.6458333333333333</v>
      </c>
      <c r="H1280" s="14">
        <v>0</v>
      </c>
      <c r="I1280" s="229">
        <v>0</v>
      </c>
      <c r="J1280" s="229">
        <v>0</v>
      </c>
      <c r="K1280" s="26">
        <v>1</v>
      </c>
      <c r="L1280" s="14">
        <v>0</v>
      </c>
      <c r="M1280" s="229">
        <v>0</v>
      </c>
      <c r="N1280" s="229">
        <v>0</v>
      </c>
      <c r="O1280" s="229">
        <v>0</v>
      </c>
      <c r="P1280" s="26">
        <v>0</v>
      </c>
      <c r="Q1280" s="14">
        <v>0</v>
      </c>
      <c r="R1280" s="229">
        <v>0</v>
      </c>
      <c r="S1280" s="229">
        <v>0</v>
      </c>
      <c r="T1280" s="229">
        <v>0</v>
      </c>
      <c r="U1280" s="229">
        <v>0</v>
      </c>
      <c r="V1280" s="229">
        <v>0</v>
      </c>
      <c r="W1280" s="229">
        <v>0</v>
      </c>
      <c r="X1280" s="229">
        <v>0</v>
      </c>
      <c r="Y1280" s="229">
        <v>0</v>
      </c>
      <c r="Z1280" s="229">
        <v>0</v>
      </c>
      <c r="AA1280" s="229">
        <v>0</v>
      </c>
      <c r="AC1280" s="12">
        <v>2</v>
      </c>
      <c r="AD1280" s="14">
        <v>2</v>
      </c>
      <c r="AE1280" s="14">
        <v>88</v>
      </c>
      <c r="AF1280" s="26">
        <v>113</v>
      </c>
      <c r="AG1280" s="12">
        <v>105</v>
      </c>
      <c r="AH1280" s="14">
        <v>1</v>
      </c>
      <c r="AI1280" s="209"/>
      <c r="AJ1280" s="3"/>
      <c r="AK1280" s="3"/>
      <c r="AL1280" s="3"/>
      <c r="AM1280" s="3"/>
      <c r="AN1280" s="3"/>
      <c r="AO1280" s="40"/>
      <c r="AP1280" s="209"/>
      <c r="AQ1280" s="3"/>
      <c r="AR1280" s="40"/>
      <c r="AS1280" s="238"/>
    </row>
    <row r="1281" spans="1:45" s="229" customFormat="1">
      <c r="A1281" s="42" t="s">
        <v>326</v>
      </c>
      <c r="B1281" s="386">
        <v>46.86</v>
      </c>
      <c r="C1281" s="24" t="s">
        <v>133</v>
      </c>
      <c r="D1281" s="229" t="s">
        <v>725</v>
      </c>
      <c r="E1281" s="229" t="s">
        <v>2</v>
      </c>
      <c r="F1281" s="229">
        <v>114</v>
      </c>
      <c r="G1281" s="40">
        <f>F1281/102</f>
        <v>1.1176470588235294</v>
      </c>
      <c r="H1281" s="14">
        <v>0</v>
      </c>
      <c r="I1281" s="229">
        <v>0</v>
      </c>
      <c r="J1281" s="229">
        <v>0</v>
      </c>
      <c r="K1281" s="26">
        <v>1</v>
      </c>
      <c r="L1281" s="14">
        <v>0</v>
      </c>
      <c r="M1281" s="229">
        <v>0</v>
      </c>
      <c r="N1281" s="229">
        <v>0</v>
      </c>
      <c r="O1281" s="229">
        <v>0</v>
      </c>
      <c r="P1281" s="26">
        <v>0</v>
      </c>
      <c r="Q1281" s="14">
        <v>0</v>
      </c>
      <c r="R1281" s="229">
        <v>0</v>
      </c>
      <c r="S1281" s="229">
        <v>0</v>
      </c>
      <c r="T1281" s="229">
        <v>0</v>
      </c>
      <c r="U1281" s="229">
        <v>0</v>
      </c>
      <c r="V1281" s="229">
        <v>0</v>
      </c>
      <c r="W1281" s="229">
        <v>0</v>
      </c>
      <c r="X1281" s="229">
        <v>0</v>
      </c>
      <c r="Y1281" s="229">
        <v>0</v>
      </c>
      <c r="Z1281" s="229">
        <v>0</v>
      </c>
      <c r="AA1281" s="229">
        <v>0</v>
      </c>
      <c r="AC1281" s="12">
        <v>2</v>
      </c>
      <c r="AD1281" s="14">
        <v>2</v>
      </c>
      <c r="AE1281" s="14">
        <v>98</v>
      </c>
      <c r="AF1281" s="26">
        <v>106</v>
      </c>
      <c r="AG1281" s="12">
        <v>105</v>
      </c>
      <c r="AH1281" s="14">
        <v>1</v>
      </c>
      <c r="AI1281" s="209"/>
      <c r="AJ1281" s="3"/>
      <c r="AK1281" s="3"/>
      <c r="AL1281" s="3"/>
      <c r="AM1281" s="3"/>
      <c r="AN1281" s="3"/>
      <c r="AO1281" s="40"/>
      <c r="AP1281" s="209"/>
      <c r="AQ1281" s="3"/>
      <c r="AR1281" s="40"/>
      <c r="AS1281" s="238"/>
    </row>
    <row r="1282" spans="1:45" s="229" customFormat="1">
      <c r="A1282" s="42" t="s">
        <v>326</v>
      </c>
      <c r="B1282" s="386">
        <v>46.86</v>
      </c>
      <c r="C1282" s="24" t="s">
        <v>133</v>
      </c>
      <c r="D1282" s="229" t="s">
        <v>725</v>
      </c>
      <c r="E1282" s="229" t="s">
        <v>3</v>
      </c>
      <c r="F1282" s="229">
        <v>206</v>
      </c>
      <c r="G1282" s="40">
        <f>F1282/192</f>
        <v>1.0729166666666667</v>
      </c>
      <c r="H1282" s="14">
        <v>1</v>
      </c>
      <c r="I1282" s="229">
        <v>0</v>
      </c>
      <c r="J1282" s="229">
        <v>0</v>
      </c>
      <c r="K1282" s="26">
        <v>1</v>
      </c>
      <c r="L1282" s="14">
        <v>0</v>
      </c>
      <c r="M1282" s="229">
        <v>0</v>
      </c>
      <c r="N1282" s="229">
        <v>0</v>
      </c>
      <c r="O1282" s="229">
        <v>0</v>
      </c>
      <c r="P1282" s="26">
        <v>0</v>
      </c>
      <c r="Q1282" s="14">
        <v>0</v>
      </c>
      <c r="R1282" s="229">
        <v>0</v>
      </c>
      <c r="S1282" s="229">
        <v>0</v>
      </c>
      <c r="T1282" s="229">
        <v>0</v>
      </c>
      <c r="U1282" s="229">
        <v>0</v>
      </c>
      <c r="V1282" s="229">
        <v>0</v>
      </c>
      <c r="W1282" s="229">
        <v>0</v>
      </c>
      <c r="X1282" s="229">
        <v>0</v>
      </c>
      <c r="Y1282" s="229">
        <v>0</v>
      </c>
      <c r="Z1282" s="229">
        <v>0</v>
      </c>
      <c r="AA1282" s="229">
        <v>0</v>
      </c>
      <c r="AC1282" s="12">
        <v>2</v>
      </c>
      <c r="AD1282" s="14">
        <v>2</v>
      </c>
      <c r="AE1282" s="14">
        <v>63</v>
      </c>
      <c r="AF1282" s="26">
        <v>192</v>
      </c>
      <c r="AG1282" s="12">
        <v>105</v>
      </c>
      <c r="AH1282" s="14">
        <v>1</v>
      </c>
      <c r="AI1282" s="209"/>
      <c r="AJ1282" s="3"/>
      <c r="AK1282" s="3"/>
      <c r="AL1282" s="3"/>
      <c r="AM1282" s="3"/>
      <c r="AN1282" s="3"/>
      <c r="AO1282" s="40"/>
      <c r="AP1282" s="209"/>
      <c r="AQ1282" s="3"/>
      <c r="AR1282" s="40"/>
      <c r="AS1282" s="238"/>
    </row>
    <row r="1283" spans="1:45" s="229" customFormat="1">
      <c r="A1283" s="42" t="s">
        <v>326</v>
      </c>
      <c r="B1283" s="386">
        <v>46.86</v>
      </c>
      <c r="C1283" s="24" t="s">
        <v>133</v>
      </c>
      <c r="D1283" s="229" t="s">
        <v>725</v>
      </c>
      <c r="E1283" s="229" t="s">
        <v>4</v>
      </c>
      <c r="F1283" s="229">
        <v>532</v>
      </c>
      <c r="G1283" s="40">
        <f>F1283/302</f>
        <v>1.7615894039735098</v>
      </c>
      <c r="H1283" s="14">
        <v>1</v>
      </c>
      <c r="I1283" s="229">
        <v>0</v>
      </c>
      <c r="J1283" s="229">
        <v>0</v>
      </c>
      <c r="K1283" s="26">
        <v>1</v>
      </c>
      <c r="L1283" s="14">
        <v>0</v>
      </c>
      <c r="M1283" s="229">
        <v>0</v>
      </c>
      <c r="N1283" s="229">
        <v>1</v>
      </c>
      <c r="O1283" s="229">
        <v>0</v>
      </c>
      <c r="P1283" s="26">
        <v>1</v>
      </c>
      <c r="Q1283" s="14">
        <v>0</v>
      </c>
      <c r="R1283" s="229">
        <v>0</v>
      </c>
      <c r="S1283" s="229">
        <v>0</v>
      </c>
      <c r="T1283" s="229">
        <v>0</v>
      </c>
      <c r="U1283" s="229">
        <v>0</v>
      </c>
      <c r="V1283" s="229">
        <v>0</v>
      </c>
      <c r="W1283" s="229">
        <v>0</v>
      </c>
      <c r="X1283" s="229">
        <v>0</v>
      </c>
      <c r="Y1283" s="229">
        <v>0</v>
      </c>
      <c r="Z1283" s="229">
        <v>0</v>
      </c>
      <c r="AA1283" s="229">
        <v>0</v>
      </c>
      <c r="AC1283" s="12">
        <v>2</v>
      </c>
      <c r="AD1283" s="14">
        <v>9</v>
      </c>
      <c r="AE1283" s="14">
        <v>59</v>
      </c>
      <c r="AF1283" s="26">
        <v>267</v>
      </c>
      <c r="AG1283" s="12">
        <v>105</v>
      </c>
      <c r="AH1283" s="14">
        <v>1</v>
      </c>
      <c r="AI1283" s="209"/>
      <c r="AJ1283" s="3"/>
      <c r="AK1283" s="3"/>
      <c r="AL1283" s="3"/>
      <c r="AM1283" s="3"/>
      <c r="AN1283" s="3"/>
      <c r="AO1283" s="40"/>
      <c r="AP1283" s="209"/>
      <c r="AQ1283" s="3"/>
      <c r="AR1283" s="40"/>
      <c r="AS1283" s="238"/>
    </row>
    <row r="1284" spans="1:45" s="229" customFormat="1">
      <c r="A1284" s="42" t="s">
        <v>326</v>
      </c>
      <c r="B1284" s="386">
        <v>46.86</v>
      </c>
      <c r="C1284" s="24" t="s">
        <v>133</v>
      </c>
      <c r="D1284" s="229" t="s">
        <v>737</v>
      </c>
      <c r="E1284" s="229" t="s">
        <v>0</v>
      </c>
      <c r="F1284" s="229">
        <v>181</v>
      </c>
      <c r="G1284" s="40">
        <f>F1284/90</f>
        <v>2.0111111111111111</v>
      </c>
      <c r="H1284" s="14">
        <v>0</v>
      </c>
      <c r="I1284" s="229">
        <v>0</v>
      </c>
      <c r="J1284" s="229">
        <v>0</v>
      </c>
      <c r="K1284" s="26">
        <v>1</v>
      </c>
      <c r="L1284" s="14">
        <v>0</v>
      </c>
      <c r="M1284" s="229">
        <v>0</v>
      </c>
      <c r="N1284" s="229">
        <v>0</v>
      </c>
      <c r="O1284" s="229">
        <v>0</v>
      </c>
      <c r="P1284" s="26">
        <v>0</v>
      </c>
      <c r="Q1284" s="14">
        <v>0</v>
      </c>
      <c r="R1284" s="229">
        <v>0</v>
      </c>
      <c r="S1284" s="229">
        <v>0</v>
      </c>
      <c r="T1284" s="229">
        <v>0</v>
      </c>
      <c r="U1284" s="229">
        <v>0</v>
      </c>
      <c r="V1284" s="229">
        <v>0</v>
      </c>
      <c r="W1284" s="229">
        <v>0</v>
      </c>
      <c r="X1284" s="229">
        <v>0</v>
      </c>
      <c r="Y1284" s="229">
        <v>0</v>
      </c>
      <c r="Z1284" s="229">
        <v>0</v>
      </c>
      <c r="AA1284" s="229">
        <v>0</v>
      </c>
      <c r="AC1284" s="12">
        <v>2</v>
      </c>
      <c r="AD1284" s="14">
        <v>2</v>
      </c>
      <c r="AE1284" s="14">
        <v>94</v>
      </c>
      <c r="AF1284" s="26">
        <v>106</v>
      </c>
      <c r="AG1284" s="12">
        <v>140</v>
      </c>
      <c r="AH1284" s="14">
        <v>0</v>
      </c>
      <c r="AI1284" s="209"/>
      <c r="AJ1284" s="3"/>
      <c r="AK1284" s="3"/>
      <c r="AL1284" s="3"/>
      <c r="AM1284" s="3"/>
      <c r="AN1284" s="3"/>
      <c r="AO1284" s="40"/>
      <c r="AP1284" s="209"/>
      <c r="AQ1284" s="3"/>
      <c r="AR1284" s="40"/>
      <c r="AS1284" s="238"/>
    </row>
    <row r="1285" spans="1:45" s="229" customFormat="1">
      <c r="A1285" s="42" t="s">
        <v>326</v>
      </c>
      <c r="B1285" s="386">
        <v>46.86</v>
      </c>
      <c r="C1285" s="24" t="s">
        <v>133</v>
      </c>
      <c r="D1285" s="229" t="s">
        <v>737</v>
      </c>
      <c r="E1285" s="229" t="s">
        <v>1</v>
      </c>
      <c r="F1285" s="229">
        <v>249</v>
      </c>
      <c r="G1285" s="40">
        <f>F1285/170</f>
        <v>1.4647058823529411</v>
      </c>
      <c r="H1285" s="14">
        <v>0</v>
      </c>
      <c r="I1285" s="229">
        <v>0</v>
      </c>
      <c r="J1285" s="229">
        <v>0</v>
      </c>
      <c r="K1285" s="26">
        <v>1</v>
      </c>
      <c r="L1285" s="14">
        <v>0</v>
      </c>
      <c r="M1285" s="229">
        <v>0</v>
      </c>
      <c r="N1285" s="229">
        <v>0</v>
      </c>
      <c r="O1285" s="229">
        <v>0</v>
      </c>
      <c r="P1285" s="26">
        <v>0</v>
      </c>
      <c r="Q1285" s="14">
        <v>0</v>
      </c>
      <c r="R1285" s="229">
        <v>0</v>
      </c>
      <c r="S1285" s="229">
        <v>0</v>
      </c>
      <c r="T1285" s="229">
        <v>0</v>
      </c>
      <c r="U1285" s="229">
        <v>0</v>
      </c>
      <c r="V1285" s="229">
        <v>0</v>
      </c>
      <c r="W1285" s="229">
        <v>0</v>
      </c>
      <c r="X1285" s="229">
        <v>0</v>
      </c>
      <c r="Y1285" s="229">
        <v>0</v>
      </c>
      <c r="Z1285" s="229">
        <v>0</v>
      </c>
      <c r="AA1285" s="229">
        <v>0</v>
      </c>
      <c r="AC1285" s="12">
        <v>1</v>
      </c>
      <c r="AD1285" s="14">
        <v>1</v>
      </c>
      <c r="AE1285" s="14">
        <v>0</v>
      </c>
      <c r="AF1285" s="26">
        <v>0</v>
      </c>
      <c r="AG1285" s="12">
        <v>140</v>
      </c>
      <c r="AH1285" s="14">
        <v>0</v>
      </c>
      <c r="AI1285" s="209"/>
      <c r="AJ1285" s="3"/>
      <c r="AK1285" s="3"/>
      <c r="AL1285" s="3"/>
      <c r="AM1285" s="3"/>
      <c r="AN1285" s="3"/>
      <c r="AO1285" s="40"/>
      <c r="AP1285" s="209"/>
      <c r="AQ1285" s="3"/>
      <c r="AR1285" s="40"/>
      <c r="AS1285" s="238"/>
    </row>
    <row r="1286" spans="1:45" s="229" customFormat="1">
      <c r="A1286" s="42" t="s">
        <v>326</v>
      </c>
      <c r="B1286" s="386">
        <v>46.86</v>
      </c>
      <c r="C1286" s="24" t="s">
        <v>133</v>
      </c>
      <c r="D1286" s="229" t="s">
        <v>737</v>
      </c>
      <c r="E1286" s="229" t="s">
        <v>2</v>
      </c>
      <c r="F1286" s="229">
        <v>672</v>
      </c>
      <c r="G1286" s="40">
        <f>F1286/336</f>
        <v>2</v>
      </c>
      <c r="H1286" s="14">
        <v>0</v>
      </c>
      <c r="I1286" s="229">
        <v>0</v>
      </c>
      <c r="J1286" s="229">
        <v>0</v>
      </c>
      <c r="K1286" s="26">
        <v>1</v>
      </c>
      <c r="L1286" s="14">
        <v>0</v>
      </c>
      <c r="M1286" s="229">
        <v>0</v>
      </c>
      <c r="N1286" s="229">
        <v>0</v>
      </c>
      <c r="O1286" s="229">
        <v>0</v>
      </c>
      <c r="P1286" s="26">
        <v>0</v>
      </c>
      <c r="Q1286" s="14">
        <v>0</v>
      </c>
      <c r="R1286" s="229">
        <v>0</v>
      </c>
      <c r="S1286" s="229">
        <v>0</v>
      </c>
      <c r="T1286" s="229">
        <v>0</v>
      </c>
      <c r="U1286" s="229">
        <v>0</v>
      </c>
      <c r="V1286" s="229">
        <v>0</v>
      </c>
      <c r="W1286" s="229">
        <v>0</v>
      </c>
      <c r="X1286" s="229">
        <v>0</v>
      </c>
      <c r="Y1286" s="229">
        <v>0</v>
      </c>
      <c r="Z1286" s="229">
        <v>0</v>
      </c>
      <c r="AA1286" s="229">
        <v>0</v>
      </c>
      <c r="AC1286" s="12">
        <v>2</v>
      </c>
      <c r="AD1286" s="14">
        <v>3</v>
      </c>
      <c r="AE1286" s="14">
        <v>224</v>
      </c>
      <c r="AF1286" s="26">
        <v>377</v>
      </c>
      <c r="AG1286" s="12">
        <v>140</v>
      </c>
      <c r="AH1286" s="14">
        <v>1</v>
      </c>
      <c r="AI1286" s="209"/>
      <c r="AJ1286" s="3"/>
      <c r="AK1286" s="3"/>
      <c r="AL1286" s="3"/>
      <c r="AM1286" s="3"/>
      <c r="AN1286" s="3"/>
      <c r="AO1286" s="40"/>
      <c r="AP1286" s="209"/>
      <c r="AQ1286" s="3"/>
      <c r="AR1286" s="40"/>
      <c r="AS1286" s="238"/>
    </row>
    <row r="1287" spans="1:45" s="229" customFormat="1">
      <c r="A1287" s="42" t="s">
        <v>326</v>
      </c>
      <c r="B1287" s="386">
        <v>46.86</v>
      </c>
      <c r="C1287" s="24" t="s">
        <v>133</v>
      </c>
      <c r="D1287" s="229" t="s">
        <v>737</v>
      </c>
      <c r="E1287" s="229" t="s">
        <v>3</v>
      </c>
      <c r="F1287" s="229">
        <v>363</v>
      </c>
      <c r="G1287" s="40">
        <f>F1287/154</f>
        <v>2.3571428571428572</v>
      </c>
      <c r="H1287" s="14">
        <v>0</v>
      </c>
      <c r="I1287" s="229">
        <v>0</v>
      </c>
      <c r="J1287" s="229">
        <v>0</v>
      </c>
      <c r="K1287" s="26">
        <v>1</v>
      </c>
      <c r="L1287" s="14">
        <v>0</v>
      </c>
      <c r="M1287" s="229">
        <v>0</v>
      </c>
      <c r="N1287" s="229">
        <v>0</v>
      </c>
      <c r="O1287" s="229">
        <v>0</v>
      </c>
      <c r="P1287" s="26">
        <v>0</v>
      </c>
      <c r="Q1287" s="14">
        <v>0</v>
      </c>
      <c r="R1287" s="229">
        <v>0</v>
      </c>
      <c r="S1287" s="229">
        <v>0</v>
      </c>
      <c r="T1287" s="229">
        <v>0</v>
      </c>
      <c r="U1287" s="229">
        <v>0</v>
      </c>
      <c r="V1287" s="229">
        <v>0</v>
      </c>
      <c r="W1287" s="229">
        <v>0</v>
      </c>
      <c r="X1287" s="229">
        <v>0</v>
      </c>
      <c r="Y1287" s="229">
        <v>0</v>
      </c>
      <c r="Z1287" s="229">
        <v>0</v>
      </c>
      <c r="AA1287" s="229">
        <v>0</v>
      </c>
      <c r="AC1287" s="12">
        <v>1</v>
      </c>
      <c r="AD1287" s="14">
        <v>1</v>
      </c>
      <c r="AE1287" s="14">
        <v>0</v>
      </c>
      <c r="AF1287" s="26">
        <v>0</v>
      </c>
      <c r="AG1287" s="12">
        <v>140</v>
      </c>
      <c r="AH1287" s="14">
        <v>0</v>
      </c>
      <c r="AI1287" s="209"/>
      <c r="AJ1287" s="3"/>
      <c r="AK1287" s="3"/>
      <c r="AL1287" s="3"/>
      <c r="AM1287" s="3"/>
      <c r="AN1287" s="3"/>
      <c r="AO1287" s="40"/>
      <c r="AP1287" s="209"/>
      <c r="AQ1287" s="3"/>
      <c r="AR1287" s="40"/>
      <c r="AS1287" s="238"/>
    </row>
    <row r="1288" spans="1:45" s="229" customFormat="1">
      <c r="A1288" s="42" t="s">
        <v>326</v>
      </c>
      <c r="B1288" s="386">
        <v>46.86</v>
      </c>
      <c r="C1288" s="24" t="s">
        <v>133</v>
      </c>
      <c r="D1288" s="229" t="s">
        <v>738</v>
      </c>
      <c r="E1288" s="229" t="s">
        <v>0</v>
      </c>
      <c r="F1288" s="229">
        <v>173</v>
      </c>
      <c r="G1288" s="40">
        <f>F1288/112</f>
        <v>1.5446428571428572</v>
      </c>
      <c r="H1288" s="14">
        <v>1</v>
      </c>
      <c r="I1288" s="229">
        <v>0</v>
      </c>
      <c r="J1288" s="229">
        <v>0</v>
      </c>
      <c r="K1288" s="26">
        <v>0</v>
      </c>
      <c r="L1288" s="14">
        <v>0</v>
      </c>
      <c r="M1288" s="229">
        <v>0</v>
      </c>
      <c r="N1288" s="229">
        <v>0</v>
      </c>
      <c r="O1288" s="229">
        <v>0</v>
      </c>
      <c r="P1288" s="26">
        <v>0</v>
      </c>
      <c r="Q1288" s="14">
        <v>0</v>
      </c>
      <c r="R1288" s="229">
        <v>0</v>
      </c>
      <c r="S1288" s="229">
        <v>0</v>
      </c>
      <c r="T1288" s="229">
        <v>0</v>
      </c>
      <c r="U1288" s="229">
        <v>0</v>
      </c>
      <c r="V1288" s="229">
        <v>0</v>
      </c>
      <c r="W1288" s="229">
        <v>0</v>
      </c>
      <c r="X1288" s="229">
        <v>0</v>
      </c>
      <c r="Y1288" s="229">
        <v>0</v>
      </c>
      <c r="Z1288" s="229">
        <v>0</v>
      </c>
      <c r="AA1288" s="229">
        <v>0</v>
      </c>
      <c r="AC1288" s="12">
        <v>1</v>
      </c>
      <c r="AD1288" s="14">
        <v>1</v>
      </c>
      <c r="AE1288" s="14">
        <v>0</v>
      </c>
      <c r="AF1288" s="26">
        <v>0</v>
      </c>
      <c r="AG1288" s="12"/>
      <c r="AH1288" s="14">
        <v>0</v>
      </c>
      <c r="AI1288" s="209"/>
      <c r="AJ1288" s="3"/>
      <c r="AK1288" s="3"/>
      <c r="AL1288" s="3"/>
      <c r="AM1288" s="3"/>
      <c r="AN1288" s="3"/>
      <c r="AO1288" s="40"/>
      <c r="AP1288" s="209"/>
      <c r="AQ1288" s="3"/>
      <c r="AR1288" s="40"/>
      <c r="AS1288" s="238"/>
    </row>
    <row r="1289" spans="1:45" s="229" customFormat="1">
      <c r="A1289" s="42" t="s">
        <v>326</v>
      </c>
      <c r="B1289" s="386">
        <v>46.86</v>
      </c>
      <c r="C1289" s="24" t="s">
        <v>133</v>
      </c>
      <c r="D1289" s="229" t="s">
        <v>738</v>
      </c>
      <c r="E1289" s="229" t="s">
        <v>1</v>
      </c>
      <c r="F1289" s="229">
        <v>67</v>
      </c>
      <c r="G1289" s="40">
        <f>F1289/55</f>
        <v>1.2181818181818183</v>
      </c>
      <c r="H1289" s="14">
        <v>1</v>
      </c>
      <c r="I1289" s="229">
        <v>0</v>
      </c>
      <c r="J1289" s="229">
        <v>0</v>
      </c>
      <c r="K1289" s="26">
        <v>0</v>
      </c>
      <c r="L1289" s="14">
        <v>0</v>
      </c>
      <c r="M1289" s="229">
        <v>0</v>
      </c>
      <c r="N1289" s="229">
        <v>0</v>
      </c>
      <c r="O1289" s="229">
        <v>0</v>
      </c>
      <c r="P1289" s="26">
        <v>0</v>
      </c>
      <c r="Q1289" s="14">
        <v>0</v>
      </c>
      <c r="R1289" s="229">
        <v>0</v>
      </c>
      <c r="S1289" s="229">
        <v>0</v>
      </c>
      <c r="T1289" s="229">
        <v>0</v>
      </c>
      <c r="U1289" s="229">
        <v>0</v>
      </c>
      <c r="V1289" s="229">
        <v>0</v>
      </c>
      <c r="W1289" s="229">
        <v>0</v>
      </c>
      <c r="X1289" s="229">
        <v>0</v>
      </c>
      <c r="Y1289" s="229">
        <v>0</v>
      </c>
      <c r="Z1289" s="229">
        <v>0</v>
      </c>
      <c r="AA1289" s="229">
        <v>0</v>
      </c>
      <c r="AC1289" s="12">
        <v>1</v>
      </c>
      <c r="AD1289" s="14">
        <v>1</v>
      </c>
      <c r="AE1289" s="14">
        <v>0</v>
      </c>
      <c r="AF1289" s="26">
        <v>0</v>
      </c>
      <c r="AG1289" s="12"/>
      <c r="AH1289" s="14">
        <v>0</v>
      </c>
      <c r="AI1289" s="209"/>
      <c r="AJ1289" s="3"/>
      <c r="AK1289" s="3"/>
      <c r="AL1289" s="3"/>
      <c r="AM1289" s="3"/>
      <c r="AN1289" s="3"/>
      <c r="AO1289" s="40"/>
      <c r="AP1289" s="209"/>
      <c r="AQ1289" s="3"/>
      <c r="AR1289" s="40"/>
      <c r="AS1289" s="238"/>
    </row>
    <row r="1290" spans="1:45" s="229" customFormat="1">
      <c r="A1290" s="42" t="s">
        <v>326</v>
      </c>
      <c r="B1290" s="386">
        <v>46.86</v>
      </c>
      <c r="C1290" s="24" t="s">
        <v>133</v>
      </c>
      <c r="D1290" s="229" t="s">
        <v>738</v>
      </c>
      <c r="E1290" s="229" t="s">
        <v>2</v>
      </c>
      <c r="F1290" s="229">
        <v>781</v>
      </c>
      <c r="G1290" s="40">
        <f>F1290/533</f>
        <v>1.4652908067542214</v>
      </c>
      <c r="H1290" s="14">
        <v>1</v>
      </c>
      <c r="I1290" s="229">
        <v>0</v>
      </c>
      <c r="J1290" s="229">
        <v>0</v>
      </c>
      <c r="K1290" s="26">
        <v>1</v>
      </c>
      <c r="L1290" s="14">
        <v>0</v>
      </c>
      <c r="M1290" s="229">
        <v>0</v>
      </c>
      <c r="N1290" s="229">
        <v>0</v>
      </c>
      <c r="O1290" s="229">
        <v>0</v>
      </c>
      <c r="P1290" s="26">
        <v>0</v>
      </c>
      <c r="Q1290" s="14">
        <v>2</v>
      </c>
      <c r="R1290" s="229">
        <v>0</v>
      </c>
      <c r="S1290" s="229">
        <v>6</v>
      </c>
      <c r="T1290" s="229">
        <v>0</v>
      </c>
      <c r="U1290" s="229">
        <v>0</v>
      </c>
      <c r="V1290" s="229">
        <v>0</v>
      </c>
      <c r="W1290" s="229">
        <v>15</v>
      </c>
      <c r="X1290" s="229">
        <v>0</v>
      </c>
      <c r="Y1290" s="229">
        <v>0</v>
      </c>
      <c r="Z1290" s="229">
        <v>0</v>
      </c>
      <c r="AA1290" s="229">
        <v>0</v>
      </c>
      <c r="AC1290" s="12">
        <v>2</v>
      </c>
      <c r="AD1290" s="14">
        <v>3</v>
      </c>
      <c r="AE1290" s="14">
        <v>188</v>
      </c>
      <c r="AF1290" s="26">
        <v>729</v>
      </c>
      <c r="AG1290" s="12"/>
      <c r="AH1290" s="14">
        <v>1</v>
      </c>
      <c r="AI1290" s="209"/>
      <c r="AJ1290" s="3"/>
      <c r="AK1290" s="3"/>
      <c r="AL1290" s="3"/>
      <c r="AM1290" s="3"/>
      <c r="AN1290" s="3"/>
      <c r="AO1290" s="40"/>
      <c r="AP1290" s="209"/>
      <c r="AQ1290" s="3"/>
      <c r="AR1290" s="40"/>
      <c r="AS1290" s="238"/>
    </row>
    <row r="1291" spans="1:45" s="229" customFormat="1">
      <c r="A1291" s="42" t="s">
        <v>326</v>
      </c>
      <c r="B1291" s="386">
        <v>46.86</v>
      </c>
      <c r="C1291" s="24" t="s">
        <v>133</v>
      </c>
      <c r="D1291" s="229" t="s">
        <v>739</v>
      </c>
      <c r="E1291" s="229" t="s">
        <v>0</v>
      </c>
      <c r="F1291" s="229">
        <v>325</v>
      </c>
      <c r="G1291" s="40">
        <f>F1291/266</f>
        <v>1.2218045112781954</v>
      </c>
      <c r="H1291" s="14">
        <v>0</v>
      </c>
      <c r="I1291" s="229">
        <v>0</v>
      </c>
      <c r="J1291" s="229">
        <v>1</v>
      </c>
      <c r="K1291" s="26">
        <v>0</v>
      </c>
      <c r="L1291" s="14">
        <v>0</v>
      </c>
      <c r="M1291" s="229">
        <v>0</v>
      </c>
      <c r="N1291" s="229">
        <v>0</v>
      </c>
      <c r="O1291" s="229">
        <v>0</v>
      </c>
      <c r="P1291" s="26">
        <v>0</v>
      </c>
      <c r="Q1291" s="14">
        <v>2</v>
      </c>
      <c r="R1291" s="229">
        <v>0</v>
      </c>
      <c r="S1291" s="229">
        <v>0</v>
      </c>
      <c r="T1291" s="229">
        <v>0</v>
      </c>
      <c r="U1291" s="229">
        <v>0</v>
      </c>
      <c r="V1291" s="229">
        <v>0</v>
      </c>
      <c r="W1291" s="229">
        <v>10</v>
      </c>
      <c r="X1291" s="229">
        <v>0</v>
      </c>
      <c r="Y1291" s="229">
        <v>0</v>
      </c>
      <c r="Z1291" s="229">
        <v>0</v>
      </c>
      <c r="AA1291" s="229">
        <v>0</v>
      </c>
      <c r="AC1291" s="12">
        <v>2</v>
      </c>
      <c r="AD1291" s="14">
        <v>2</v>
      </c>
      <c r="AE1291" s="14">
        <v>139</v>
      </c>
      <c r="AF1291" s="26">
        <v>325</v>
      </c>
      <c r="AG1291" s="12">
        <v>96</v>
      </c>
      <c r="AH1291" s="14">
        <v>1</v>
      </c>
      <c r="AI1291" s="209"/>
      <c r="AJ1291" s="3"/>
      <c r="AK1291" s="3"/>
      <c r="AL1291" s="3"/>
      <c r="AM1291" s="3"/>
      <c r="AN1291" s="3"/>
      <c r="AO1291" s="40"/>
      <c r="AP1291" s="209"/>
      <c r="AQ1291" s="3"/>
      <c r="AR1291" s="40"/>
      <c r="AS1291" s="238"/>
    </row>
    <row r="1292" spans="1:45" s="229" customFormat="1">
      <c r="A1292" s="42" t="s">
        <v>326</v>
      </c>
      <c r="B1292" s="386">
        <v>46.86</v>
      </c>
      <c r="C1292" s="24" t="s">
        <v>133</v>
      </c>
      <c r="D1292" s="229" t="s">
        <v>739</v>
      </c>
      <c r="E1292" s="229" t="s">
        <v>1</v>
      </c>
      <c r="F1292" s="229">
        <v>192</v>
      </c>
      <c r="G1292" s="40">
        <f>F1292/39</f>
        <v>4.9230769230769234</v>
      </c>
      <c r="H1292" s="14">
        <v>0</v>
      </c>
      <c r="I1292" s="229">
        <v>0</v>
      </c>
      <c r="J1292" s="229">
        <v>1</v>
      </c>
      <c r="K1292" s="26">
        <v>0</v>
      </c>
      <c r="L1292" s="14">
        <v>0</v>
      </c>
      <c r="M1292" s="229">
        <v>0</v>
      </c>
      <c r="N1292" s="229">
        <v>0</v>
      </c>
      <c r="O1292" s="229">
        <v>0</v>
      </c>
      <c r="P1292" s="26">
        <v>0</v>
      </c>
      <c r="Q1292" s="14">
        <v>15</v>
      </c>
      <c r="R1292" s="229">
        <v>0</v>
      </c>
      <c r="S1292" s="229">
        <v>0</v>
      </c>
      <c r="T1292" s="229">
        <v>0</v>
      </c>
      <c r="U1292" s="229">
        <v>0</v>
      </c>
      <c r="V1292" s="229">
        <v>0</v>
      </c>
      <c r="W1292" s="229">
        <v>45</v>
      </c>
      <c r="X1292" s="229">
        <v>0</v>
      </c>
      <c r="Y1292" s="229">
        <v>0</v>
      </c>
      <c r="Z1292" s="229">
        <v>0</v>
      </c>
      <c r="AA1292" s="229">
        <v>0</v>
      </c>
      <c r="AC1292" s="12">
        <v>1</v>
      </c>
      <c r="AD1292" s="14">
        <v>1</v>
      </c>
      <c r="AE1292" s="14">
        <v>0</v>
      </c>
      <c r="AF1292" s="26">
        <v>0</v>
      </c>
      <c r="AG1292" s="12">
        <v>96</v>
      </c>
      <c r="AH1292" s="14">
        <v>0</v>
      </c>
      <c r="AI1292" s="209"/>
      <c r="AJ1292" s="3"/>
      <c r="AK1292" s="3"/>
      <c r="AL1292" s="3"/>
      <c r="AM1292" s="3"/>
      <c r="AN1292" s="3"/>
      <c r="AO1292" s="40"/>
      <c r="AP1292" s="209"/>
      <c r="AQ1292" s="3"/>
      <c r="AR1292" s="40"/>
      <c r="AS1292" s="238"/>
    </row>
    <row r="1293" spans="1:45" s="229" customFormat="1">
      <c r="A1293" s="42" t="s">
        <v>326</v>
      </c>
      <c r="B1293" s="386">
        <v>46.86</v>
      </c>
      <c r="C1293" s="24" t="s">
        <v>133</v>
      </c>
      <c r="D1293" s="229" t="s">
        <v>739</v>
      </c>
      <c r="E1293" s="229" t="s">
        <v>2</v>
      </c>
      <c r="F1293" s="229">
        <v>344</v>
      </c>
      <c r="G1293" s="40">
        <f>F1293/297</f>
        <v>1.1582491582491583</v>
      </c>
      <c r="H1293" s="14">
        <v>0</v>
      </c>
      <c r="I1293" s="229">
        <v>0</v>
      </c>
      <c r="J1293" s="229">
        <v>0</v>
      </c>
      <c r="K1293" s="26">
        <v>1</v>
      </c>
      <c r="L1293" s="14">
        <v>0</v>
      </c>
      <c r="M1293" s="229">
        <v>0</v>
      </c>
      <c r="N1293" s="229">
        <v>0</v>
      </c>
      <c r="O1293" s="229">
        <v>0</v>
      </c>
      <c r="P1293" s="26">
        <v>0</v>
      </c>
      <c r="Q1293" s="14">
        <v>0</v>
      </c>
      <c r="R1293" s="229">
        <v>0</v>
      </c>
      <c r="S1293" s="229">
        <v>0</v>
      </c>
      <c r="T1293" s="229">
        <v>0</v>
      </c>
      <c r="U1293" s="229">
        <v>0</v>
      </c>
      <c r="V1293" s="229">
        <v>0</v>
      </c>
      <c r="W1293" s="229">
        <v>0</v>
      </c>
      <c r="X1293" s="229">
        <v>0</v>
      </c>
      <c r="Y1293" s="229">
        <v>0</v>
      </c>
      <c r="Z1293" s="229">
        <v>0</v>
      </c>
      <c r="AA1293" s="229">
        <v>0</v>
      </c>
      <c r="AC1293" s="12">
        <v>2</v>
      </c>
      <c r="AD1293" s="14">
        <v>2</v>
      </c>
      <c r="AE1293" s="14">
        <v>249</v>
      </c>
      <c r="AF1293" s="26">
        <v>267</v>
      </c>
      <c r="AG1293" s="12">
        <v>96</v>
      </c>
      <c r="AH1293" s="14">
        <v>1</v>
      </c>
      <c r="AI1293" s="209"/>
      <c r="AJ1293" s="3"/>
      <c r="AK1293" s="3"/>
      <c r="AL1293" s="3"/>
      <c r="AM1293" s="3"/>
      <c r="AN1293" s="3"/>
      <c r="AO1293" s="40"/>
      <c r="AP1293" s="209"/>
      <c r="AQ1293" s="3"/>
      <c r="AR1293" s="40"/>
      <c r="AS1293" s="238"/>
    </row>
    <row r="1294" spans="1:45" s="229" customFormat="1">
      <c r="A1294" s="42" t="s">
        <v>326</v>
      </c>
      <c r="B1294" s="386">
        <v>46.86</v>
      </c>
      <c r="C1294" s="24" t="s">
        <v>133</v>
      </c>
      <c r="D1294" s="229" t="s">
        <v>727</v>
      </c>
      <c r="E1294" s="229" t="s">
        <v>0</v>
      </c>
      <c r="F1294" s="229">
        <v>345</v>
      </c>
      <c r="G1294" s="40">
        <f>F1294/199</f>
        <v>1.7336683417085428</v>
      </c>
      <c r="H1294" s="14">
        <v>0</v>
      </c>
      <c r="I1294" s="229">
        <v>0</v>
      </c>
      <c r="J1294" s="229">
        <v>0</v>
      </c>
      <c r="K1294" s="26">
        <v>1</v>
      </c>
      <c r="L1294" s="14">
        <v>0</v>
      </c>
      <c r="M1294" s="229">
        <v>0</v>
      </c>
      <c r="N1294" s="229">
        <v>0</v>
      </c>
      <c r="O1294" s="229">
        <v>0</v>
      </c>
      <c r="P1294" s="26">
        <v>0</v>
      </c>
      <c r="Q1294" s="14">
        <v>5</v>
      </c>
      <c r="R1294" s="229">
        <v>0</v>
      </c>
      <c r="S1294" s="229">
        <v>44</v>
      </c>
      <c r="T1294" s="229">
        <v>0</v>
      </c>
      <c r="U1294" s="229">
        <v>0</v>
      </c>
      <c r="V1294" s="229">
        <v>0</v>
      </c>
      <c r="W1294" s="229">
        <v>0</v>
      </c>
      <c r="X1294" s="229">
        <v>0</v>
      </c>
      <c r="Y1294" s="229">
        <v>0</v>
      </c>
      <c r="Z1294" s="229">
        <v>0</v>
      </c>
      <c r="AA1294" s="229">
        <v>0</v>
      </c>
      <c r="AC1294" s="12">
        <v>1</v>
      </c>
      <c r="AD1294" s="14">
        <v>1</v>
      </c>
      <c r="AE1294" s="14">
        <v>0</v>
      </c>
      <c r="AF1294" s="26">
        <v>0</v>
      </c>
      <c r="AG1294" s="12">
        <v>194</v>
      </c>
      <c r="AH1294" s="14">
        <v>0</v>
      </c>
      <c r="AI1294" s="209"/>
      <c r="AJ1294" s="3"/>
      <c r="AK1294" s="3"/>
      <c r="AL1294" s="3"/>
      <c r="AM1294" s="3"/>
      <c r="AN1294" s="3"/>
      <c r="AO1294" s="40"/>
      <c r="AP1294" s="209"/>
      <c r="AQ1294" s="3"/>
      <c r="AR1294" s="40"/>
      <c r="AS1294" s="238"/>
    </row>
    <row r="1295" spans="1:45" s="229" customFormat="1">
      <c r="A1295" s="42" t="s">
        <v>326</v>
      </c>
      <c r="B1295" s="386">
        <v>46.86</v>
      </c>
      <c r="C1295" s="24" t="s">
        <v>133</v>
      </c>
      <c r="D1295" s="229" t="s">
        <v>680</v>
      </c>
      <c r="E1295" s="229" t="s">
        <v>1</v>
      </c>
      <c r="F1295" s="229">
        <v>555</v>
      </c>
      <c r="G1295" s="40">
        <f>F1295/381</f>
        <v>1.4566929133858268</v>
      </c>
      <c r="H1295" s="14">
        <v>1</v>
      </c>
      <c r="I1295" s="229">
        <v>0</v>
      </c>
      <c r="J1295" s="229">
        <v>1</v>
      </c>
      <c r="K1295" s="26">
        <v>1</v>
      </c>
      <c r="L1295" s="14">
        <v>0</v>
      </c>
      <c r="M1295" s="229">
        <v>0</v>
      </c>
      <c r="N1295" s="229">
        <v>0</v>
      </c>
      <c r="O1295" s="229">
        <v>0</v>
      </c>
      <c r="P1295" s="26">
        <v>0</v>
      </c>
      <c r="Q1295" s="14">
        <v>2</v>
      </c>
      <c r="R1295" s="229">
        <v>0</v>
      </c>
      <c r="S1295" s="229">
        <v>0</v>
      </c>
      <c r="T1295" s="229">
        <v>0</v>
      </c>
      <c r="U1295" s="229">
        <v>0</v>
      </c>
      <c r="V1295" s="229">
        <v>0</v>
      </c>
      <c r="W1295" s="229">
        <v>27</v>
      </c>
      <c r="X1295" s="229">
        <v>0</v>
      </c>
      <c r="Y1295" s="229">
        <v>0</v>
      </c>
      <c r="Z1295" s="229">
        <v>0</v>
      </c>
      <c r="AA1295" s="229">
        <v>0</v>
      </c>
      <c r="AC1295" s="12">
        <v>2</v>
      </c>
      <c r="AD1295" s="14">
        <v>4</v>
      </c>
      <c r="AE1295" s="14">
        <v>66</v>
      </c>
      <c r="AF1295" s="26">
        <v>469</v>
      </c>
      <c r="AG1295" s="12">
        <v>194</v>
      </c>
      <c r="AH1295" s="14">
        <v>1</v>
      </c>
      <c r="AI1295" s="209"/>
      <c r="AJ1295" s="3"/>
      <c r="AK1295" s="3"/>
      <c r="AL1295" s="3"/>
      <c r="AM1295" s="3"/>
      <c r="AN1295" s="3"/>
      <c r="AO1295" s="40"/>
      <c r="AP1295" s="209"/>
      <c r="AQ1295" s="3"/>
      <c r="AR1295" s="40"/>
      <c r="AS1295" s="238"/>
    </row>
    <row r="1296" spans="1:45" s="229" customFormat="1">
      <c r="A1296" s="42" t="s">
        <v>326</v>
      </c>
      <c r="B1296" s="386">
        <v>46.86</v>
      </c>
      <c r="C1296" s="24" t="s">
        <v>133</v>
      </c>
      <c r="D1296" s="229" t="s">
        <v>680</v>
      </c>
      <c r="E1296" s="229" t="s">
        <v>2</v>
      </c>
      <c r="F1296" s="229">
        <v>164</v>
      </c>
      <c r="G1296" s="40">
        <f>F1296/117</f>
        <v>1.4017094017094016</v>
      </c>
      <c r="H1296" s="14">
        <v>0</v>
      </c>
      <c r="I1296" s="229">
        <v>0</v>
      </c>
      <c r="J1296" s="229">
        <v>0</v>
      </c>
      <c r="K1296" s="26">
        <v>1</v>
      </c>
      <c r="L1296" s="14">
        <v>0</v>
      </c>
      <c r="M1296" s="229">
        <v>0</v>
      </c>
      <c r="N1296" s="229">
        <v>0</v>
      </c>
      <c r="O1296" s="229">
        <v>0</v>
      </c>
      <c r="P1296" s="26">
        <v>0</v>
      </c>
      <c r="Q1296" s="14">
        <v>0</v>
      </c>
      <c r="R1296" s="229">
        <v>0</v>
      </c>
      <c r="S1296" s="229">
        <v>0</v>
      </c>
      <c r="T1296" s="229">
        <v>0</v>
      </c>
      <c r="U1296" s="229">
        <v>0</v>
      </c>
      <c r="V1296" s="229">
        <v>0</v>
      </c>
      <c r="W1296" s="229">
        <v>0</v>
      </c>
      <c r="X1296" s="229">
        <v>0</v>
      </c>
      <c r="Y1296" s="229">
        <v>0</v>
      </c>
      <c r="Z1296" s="229">
        <v>0</v>
      </c>
      <c r="AA1296" s="229">
        <v>0</v>
      </c>
      <c r="AC1296" s="12">
        <v>1</v>
      </c>
      <c r="AD1296" s="14">
        <v>1</v>
      </c>
      <c r="AE1296" s="14">
        <v>0</v>
      </c>
      <c r="AF1296" s="26">
        <v>0</v>
      </c>
      <c r="AG1296" s="12">
        <v>194</v>
      </c>
      <c r="AH1296" s="14">
        <v>0</v>
      </c>
      <c r="AI1296" s="209"/>
      <c r="AJ1296" s="3"/>
      <c r="AK1296" s="3"/>
      <c r="AL1296" s="3"/>
      <c r="AM1296" s="3"/>
      <c r="AN1296" s="3"/>
      <c r="AO1296" s="40"/>
      <c r="AP1296" s="209"/>
      <c r="AQ1296" s="3"/>
      <c r="AR1296" s="40"/>
      <c r="AS1296" s="238"/>
    </row>
    <row r="1297" spans="1:45" s="229" customFormat="1">
      <c r="A1297" s="42" t="s">
        <v>326</v>
      </c>
      <c r="B1297" s="386">
        <v>46.86</v>
      </c>
      <c r="C1297" s="24" t="s">
        <v>133</v>
      </c>
      <c r="D1297" s="229" t="s">
        <v>680</v>
      </c>
      <c r="E1297" s="229" t="s">
        <v>3</v>
      </c>
      <c r="F1297" s="229">
        <v>420</v>
      </c>
      <c r="G1297" s="40">
        <f>F1297/288</f>
        <v>1.4583333333333333</v>
      </c>
      <c r="H1297" s="14">
        <v>0</v>
      </c>
      <c r="I1297" s="229">
        <v>0</v>
      </c>
      <c r="J1297" s="229">
        <v>0</v>
      </c>
      <c r="K1297" s="26">
        <v>1</v>
      </c>
      <c r="L1297" s="14">
        <v>0</v>
      </c>
      <c r="M1297" s="229">
        <v>0</v>
      </c>
      <c r="N1297" s="229">
        <v>0</v>
      </c>
      <c r="O1297" s="229">
        <v>0</v>
      </c>
      <c r="P1297" s="26">
        <v>0</v>
      </c>
      <c r="Q1297" s="14">
        <v>1</v>
      </c>
      <c r="R1297" s="229">
        <v>0</v>
      </c>
      <c r="S1297" s="229">
        <v>0</v>
      </c>
      <c r="T1297" s="229">
        <v>0</v>
      </c>
      <c r="U1297" s="229">
        <v>0</v>
      </c>
      <c r="V1297" s="229">
        <v>0</v>
      </c>
      <c r="W1297" s="229">
        <v>10</v>
      </c>
      <c r="X1297" s="229">
        <v>0</v>
      </c>
      <c r="Y1297" s="229">
        <v>0</v>
      </c>
      <c r="Z1297" s="229">
        <v>0</v>
      </c>
      <c r="AA1297" s="229">
        <v>0</v>
      </c>
      <c r="AC1297" s="12">
        <v>2</v>
      </c>
      <c r="AD1297" s="14">
        <v>5</v>
      </c>
      <c r="AE1297" s="14">
        <v>53</v>
      </c>
      <c r="AF1297" s="26">
        <v>263</v>
      </c>
      <c r="AG1297" s="12">
        <v>194</v>
      </c>
      <c r="AH1297" s="14">
        <v>1</v>
      </c>
      <c r="AI1297" s="209"/>
      <c r="AJ1297" s="3"/>
      <c r="AK1297" s="3"/>
      <c r="AL1297" s="3"/>
      <c r="AM1297" s="3"/>
      <c r="AN1297" s="3"/>
      <c r="AO1297" s="40"/>
      <c r="AP1297" s="209"/>
      <c r="AQ1297" s="3"/>
      <c r="AR1297" s="40"/>
      <c r="AS1297" s="238"/>
    </row>
    <row r="1298" spans="1:45" s="229" customFormat="1">
      <c r="A1298" s="42" t="s">
        <v>326</v>
      </c>
      <c r="B1298" s="386">
        <v>46.86</v>
      </c>
      <c r="C1298" s="24" t="s">
        <v>133</v>
      </c>
      <c r="D1298" s="229" t="s">
        <v>727</v>
      </c>
      <c r="E1298" s="229" t="s">
        <v>4</v>
      </c>
      <c r="F1298" s="229">
        <v>920</v>
      </c>
      <c r="G1298" s="40">
        <f>F1298/431</f>
        <v>2.1345707656612527</v>
      </c>
      <c r="H1298" s="14">
        <v>1</v>
      </c>
      <c r="I1298" s="229">
        <v>0</v>
      </c>
      <c r="J1298" s="229">
        <v>0</v>
      </c>
      <c r="K1298" s="26">
        <v>1</v>
      </c>
      <c r="L1298" s="14">
        <v>0</v>
      </c>
      <c r="M1298" s="229">
        <v>1</v>
      </c>
      <c r="N1298" s="229">
        <v>0</v>
      </c>
      <c r="O1298" s="229">
        <v>0</v>
      </c>
      <c r="P1298" s="26">
        <v>1</v>
      </c>
      <c r="Q1298" s="14">
        <v>0</v>
      </c>
      <c r="R1298" s="229">
        <v>0</v>
      </c>
      <c r="S1298" s="229">
        <v>0</v>
      </c>
      <c r="T1298" s="229">
        <v>0</v>
      </c>
      <c r="U1298" s="229">
        <v>0</v>
      </c>
      <c r="V1298" s="229">
        <v>0</v>
      </c>
      <c r="W1298" s="229">
        <v>0</v>
      </c>
      <c r="X1298" s="229">
        <v>0</v>
      </c>
      <c r="Y1298" s="229">
        <v>0</v>
      </c>
      <c r="Z1298" s="229">
        <v>0</v>
      </c>
      <c r="AA1298" s="229">
        <v>0</v>
      </c>
      <c r="AC1298" s="12">
        <v>2</v>
      </c>
      <c r="AD1298" s="14">
        <v>5</v>
      </c>
      <c r="AE1298" s="14">
        <v>122</v>
      </c>
      <c r="AF1298" s="26">
        <v>655</v>
      </c>
      <c r="AG1298" s="12">
        <v>194</v>
      </c>
      <c r="AH1298" s="14">
        <v>1</v>
      </c>
      <c r="AI1298" s="209"/>
      <c r="AJ1298" s="3"/>
      <c r="AK1298" s="3"/>
      <c r="AL1298" s="3"/>
      <c r="AM1298" s="3"/>
      <c r="AN1298" s="3"/>
      <c r="AO1298" s="40"/>
      <c r="AP1298" s="209"/>
      <c r="AQ1298" s="3"/>
      <c r="AR1298" s="40"/>
      <c r="AS1298" s="238"/>
    </row>
    <row r="1299" spans="1:45" s="229" customFormat="1" ht="14" customHeight="1">
      <c r="A1299" s="42" t="s">
        <v>326</v>
      </c>
      <c r="B1299" s="386">
        <v>46.86</v>
      </c>
      <c r="C1299" s="24" t="s">
        <v>133</v>
      </c>
      <c r="D1299" s="229" t="s">
        <v>194</v>
      </c>
      <c r="F1299" s="229">
        <v>612</v>
      </c>
      <c r="G1299" s="40">
        <f>F1299/463</f>
        <v>1.3218142548596112</v>
      </c>
      <c r="H1299" s="14">
        <v>0</v>
      </c>
      <c r="I1299" s="229">
        <v>0</v>
      </c>
      <c r="J1299" s="229">
        <v>1</v>
      </c>
      <c r="K1299" s="26">
        <v>1</v>
      </c>
      <c r="L1299" s="14">
        <v>0</v>
      </c>
      <c r="M1299" s="229">
        <v>0</v>
      </c>
      <c r="N1299" s="229">
        <v>1</v>
      </c>
      <c r="O1299" s="229">
        <v>0</v>
      </c>
      <c r="P1299" s="26">
        <v>1</v>
      </c>
      <c r="Q1299" s="14">
        <v>0</v>
      </c>
      <c r="R1299" s="229">
        <v>0</v>
      </c>
      <c r="S1299" s="229">
        <v>0</v>
      </c>
      <c r="T1299" s="229">
        <v>0</v>
      </c>
      <c r="U1299" s="229">
        <v>0</v>
      </c>
      <c r="V1299" s="229">
        <v>0</v>
      </c>
      <c r="W1299" s="229">
        <v>0</v>
      </c>
      <c r="X1299" s="229">
        <v>0</v>
      </c>
      <c r="Y1299" s="229">
        <v>0</v>
      </c>
      <c r="Z1299" s="229">
        <v>0</v>
      </c>
      <c r="AA1299" s="229">
        <v>0</v>
      </c>
      <c r="AB1299" s="229">
        <v>0</v>
      </c>
      <c r="AC1299" s="12">
        <v>2</v>
      </c>
      <c r="AD1299" s="14">
        <v>2</v>
      </c>
      <c r="AE1299" s="14">
        <v>412</v>
      </c>
      <c r="AF1299" s="26">
        <v>612</v>
      </c>
      <c r="AG1299" s="12"/>
      <c r="AH1299" s="14">
        <v>1</v>
      </c>
      <c r="AI1299" s="209"/>
      <c r="AJ1299" s="3"/>
      <c r="AK1299" s="3"/>
      <c r="AL1299" s="3"/>
      <c r="AM1299" s="3"/>
      <c r="AN1299" s="3"/>
      <c r="AO1299" s="40"/>
      <c r="AP1299" s="209"/>
      <c r="AQ1299" s="3"/>
      <c r="AR1299" s="40"/>
      <c r="AS1299" s="238"/>
    </row>
    <row r="1300" spans="1:45" s="229" customFormat="1">
      <c r="A1300" s="42" t="s">
        <v>326</v>
      </c>
      <c r="B1300" s="386">
        <v>46.86</v>
      </c>
      <c r="C1300" s="24" t="s">
        <v>133</v>
      </c>
      <c r="D1300" s="229" t="s">
        <v>389</v>
      </c>
      <c r="E1300" s="229" t="s">
        <v>0</v>
      </c>
      <c r="F1300" s="229">
        <v>260</v>
      </c>
      <c r="G1300" s="40">
        <f>F1300/183</f>
        <v>1.4207650273224044</v>
      </c>
      <c r="H1300" s="14">
        <v>0</v>
      </c>
      <c r="I1300" s="229">
        <v>0</v>
      </c>
      <c r="J1300" s="229">
        <v>1</v>
      </c>
      <c r="K1300" s="26">
        <v>0</v>
      </c>
      <c r="L1300" s="14">
        <v>0</v>
      </c>
      <c r="M1300" s="229">
        <v>0</v>
      </c>
      <c r="N1300" s="229">
        <v>1</v>
      </c>
      <c r="O1300" s="229">
        <v>0</v>
      </c>
      <c r="P1300" s="26">
        <v>1</v>
      </c>
      <c r="Q1300" s="14">
        <v>0</v>
      </c>
      <c r="R1300" s="229">
        <v>0</v>
      </c>
      <c r="S1300" s="229">
        <v>0</v>
      </c>
      <c r="T1300" s="229">
        <v>0</v>
      </c>
      <c r="U1300" s="229">
        <v>0</v>
      </c>
      <c r="V1300" s="229">
        <v>0</v>
      </c>
      <c r="W1300" s="229">
        <v>0</v>
      </c>
      <c r="X1300" s="229">
        <v>0</v>
      </c>
      <c r="Y1300" s="229">
        <v>0</v>
      </c>
      <c r="Z1300" s="229">
        <v>0</v>
      </c>
      <c r="AA1300" s="229">
        <v>0</v>
      </c>
      <c r="AB1300" s="229">
        <v>0</v>
      </c>
      <c r="AC1300" s="12">
        <v>1</v>
      </c>
      <c r="AD1300" s="14">
        <v>1</v>
      </c>
      <c r="AE1300" s="14">
        <v>0</v>
      </c>
      <c r="AF1300" s="26">
        <v>0</v>
      </c>
      <c r="AG1300" s="12">
        <v>130</v>
      </c>
      <c r="AH1300" s="14">
        <v>1</v>
      </c>
      <c r="AI1300" s="209"/>
      <c r="AJ1300" s="3"/>
      <c r="AK1300" s="3"/>
      <c r="AL1300" s="3"/>
      <c r="AM1300" s="3"/>
      <c r="AN1300" s="3"/>
      <c r="AO1300" s="40"/>
      <c r="AP1300" s="209"/>
      <c r="AQ1300" s="3"/>
      <c r="AR1300" s="40"/>
      <c r="AS1300" s="238"/>
    </row>
    <row r="1301" spans="1:45" s="229" customFormat="1">
      <c r="A1301" s="42" t="s">
        <v>326</v>
      </c>
      <c r="B1301" s="386">
        <v>46.86</v>
      </c>
      <c r="C1301" s="24" t="s">
        <v>133</v>
      </c>
      <c r="D1301" s="229" t="s">
        <v>389</v>
      </c>
      <c r="E1301" s="229" t="s">
        <v>1</v>
      </c>
      <c r="F1301" s="229">
        <v>1062</v>
      </c>
      <c r="G1301" s="40">
        <f>F1301/761</f>
        <v>1.3955321944809462</v>
      </c>
      <c r="H1301" s="14">
        <v>0</v>
      </c>
      <c r="I1301" s="229">
        <v>0</v>
      </c>
      <c r="J1301" s="229">
        <v>1</v>
      </c>
      <c r="K1301" s="26">
        <v>1</v>
      </c>
      <c r="L1301" s="14">
        <v>0</v>
      </c>
      <c r="M1301" s="229">
        <v>0</v>
      </c>
      <c r="N1301" s="229">
        <v>1</v>
      </c>
      <c r="O1301" s="229">
        <v>0</v>
      </c>
      <c r="P1301" s="26">
        <v>1</v>
      </c>
      <c r="Q1301" s="14">
        <v>0</v>
      </c>
      <c r="R1301" s="229">
        <v>0</v>
      </c>
      <c r="S1301" s="229">
        <v>0</v>
      </c>
      <c r="T1301" s="229">
        <v>0</v>
      </c>
      <c r="U1301" s="229">
        <v>0</v>
      </c>
      <c r="V1301" s="229">
        <v>0</v>
      </c>
      <c r="W1301" s="229">
        <v>0</v>
      </c>
      <c r="X1301" s="229">
        <v>0</v>
      </c>
      <c r="Y1301" s="229">
        <v>0</v>
      </c>
      <c r="Z1301" s="229">
        <v>0</v>
      </c>
      <c r="AA1301" s="229">
        <v>0</v>
      </c>
      <c r="AB1301" s="229">
        <v>0</v>
      </c>
      <c r="AC1301" s="12">
        <v>2</v>
      </c>
      <c r="AD1301" s="14">
        <v>3</v>
      </c>
      <c r="AE1301" s="14">
        <v>265</v>
      </c>
      <c r="AF1301" s="26">
        <v>261</v>
      </c>
      <c r="AG1301" s="12">
        <v>130</v>
      </c>
      <c r="AH1301" s="14">
        <v>1</v>
      </c>
      <c r="AI1301" s="209"/>
      <c r="AJ1301" s="3"/>
      <c r="AK1301" s="3"/>
      <c r="AL1301" s="3"/>
      <c r="AM1301" s="3"/>
      <c r="AN1301" s="3"/>
      <c r="AO1301" s="40"/>
      <c r="AP1301" s="209"/>
      <c r="AQ1301" s="3"/>
      <c r="AR1301" s="40"/>
      <c r="AS1301" s="238"/>
    </row>
    <row r="1302" spans="1:45" s="229" customFormat="1" ht="17" thickBot="1">
      <c r="A1302" s="42" t="s">
        <v>326</v>
      </c>
      <c r="B1302" s="385">
        <v>46.86</v>
      </c>
      <c r="C1302" s="103" t="s">
        <v>133</v>
      </c>
      <c r="D1302" s="36" t="s">
        <v>388</v>
      </c>
      <c r="E1302" s="36"/>
      <c r="F1302" s="36">
        <v>410</v>
      </c>
      <c r="G1302" s="48">
        <f>F1302/307</f>
        <v>1.3355048859934853</v>
      </c>
      <c r="H1302" s="34">
        <v>0</v>
      </c>
      <c r="I1302" s="36">
        <v>0</v>
      </c>
      <c r="J1302" s="36">
        <v>0</v>
      </c>
      <c r="K1302" s="35">
        <v>1</v>
      </c>
      <c r="L1302" s="34">
        <v>0</v>
      </c>
      <c r="M1302" s="36">
        <v>0</v>
      </c>
      <c r="N1302" s="36">
        <v>1</v>
      </c>
      <c r="O1302" s="36">
        <v>0</v>
      </c>
      <c r="P1302" s="35">
        <v>1</v>
      </c>
      <c r="Q1302" s="34">
        <v>1</v>
      </c>
      <c r="R1302" s="36">
        <v>0</v>
      </c>
      <c r="S1302" s="36">
        <v>8</v>
      </c>
      <c r="T1302" s="36">
        <v>0</v>
      </c>
      <c r="U1302" s="36">
        <v>0</v>
      </c>
      <c r="V1302" s="36">
        <v>0</v>
      </c>
      <c r="W1302" s="36">
        <v>0</v>
      </c>
      <c r="X1302" s="36">
        <v>0</v>
      </c>
      <c r="Y1302" s="36">
        <v>0</v>
      </c>
      <c r="Z1302" s="36">
        <v>0</v>
      </c>
      <c r="AA1302" s="36">
        <v>0</v>
      </c>
      <c r="AB1302" s="36">
        <v>1</v>
      </c>
      <c r="AC1302" s="33">
        <v>2</v>
      </c>
      <c r="AD1302" s="34">
        <v>2</v>
      </c>
      <c r="AE1302" s="34">
        <v>189</v>
      </c>
      <c r="AF1302" s="35">
        <v>307</v>
      </c>
      <c r="AG1302" s="33">
        <v>105</v>
      </c>
      <c r="AH1302" s="34">
        <v>1</v>
      </c>
      <c r="AI1302" s="210"/>
      <c r="AJ1302" s="51"/>
      <c r="AK1302" s="51"/>
      <c r="AL1302" s="51"/>
      <c r="AM1302" s="51"/>
      <c r="AN1302" s="51"/>
      <c r="AO1302" s="48"/>
      <c r="AP1302" s="210"/>
      <c r="AQ1302" s="51"/>
      <c r="AR1302" s="48"/>
      <c r="AS1302" s="239"/>
    </row>
    <row r="1303" spans="1:45" s="229" customFormat="1">
      <c r="A1303" s="87" t="s">
        <v>326</v>
      </c>
      <c r="B1303" s="384">
        <v>46.86</v>
      </c>
      <c r="C1303" s="24" t="s">
        <v>127</v>
      </c>
      <c r="D1303" s="229" t="s">
        <v>618</v>
      </c>
      <c r="F1303" s="229">
        <v>511</v>
      </c>
      <c r="G1303" s="40">
        <f>F1303/272</f>
        <v>1.8786764705882353</v>
      </c>
      <c r="H1303" s="14">
        <v>0</v>
      </c>
      <c r="I1303" s="229">
        <v>0</v>
      </c>
      <c r="J1303" s="229">
        <v>1</v>
      </c>
      <c r="K1303" s="26">
        <v>0</v>
      </c>
      <c r="L1303" s="14">
        <v>0</v>
      </c>
      <c r="M1303" s="229">
        <v>0</v>
      </c>
      <c r="N1303" s="229">
        <v>0</v>
      </c>
      <c r="O1303" s="229">
        <v>0</v>
      </c>
      <c r="P1303" s="26">
        <v>0</v>
      </c>
      <c r="Q1303" s="14">
        <v>5</v>
      </c>
      <c r="R1303" s="229">
        <v>0</v>
      </c>
      <c r="S1303" s="229">
        <v>0</v>
      </c>
      <c r="T1303" s="229">
        <v>0</v>
      </c>
      <c r="U1303" s="229">
        <v>0</v>
      </c>
      <c r="V1303" s="229">
        <v>0</v>
      </c>
      <c r="W1303" s="229">
        <v>0</v>
      </c>
      <c r="X1303" s="229">
        <v>0</v>
      </c>
      <c r="Y1303" s="229">
        <v>0</v>
      </c>
      <c r="Z1303" s="229">
        <v>0</v>
      </c>
      <c r="AA1303" s="229">
        <v>131</v>
      </c>
      <c r="AB1303" s="229">
        <v>0</v>
      </c>
      <c r="AC1303" s="12">
        <v>1</v>
      </c>
      <c r="AD1303" s="14">
        <v>1</v>
      </c>
      <c r="AE1303" s="14">
        <v>0</v>
      </c>
      <c r="AF1303" s="26">
        <v>0</v>
      </c>
      <c r="AG1303" s="12">
        <v>73</v>
      </c>
      <c r="AH1303" s="14">
        <v>1</v>
      </c>
      <c r="AI1303" s="209">
        <v>87.166570493610038</v>
      </c>
      <c r="AJ1303" s="3"/>
      <c r="AK1303" s="3"/>
      <c r="AL1303" s="3"/>
      <c r="AM1303" s="3"/>
      <c r="AN1303" s="3"/>
      <c r="AO1303" s="40"/>
      <c r="AP1303" s="209">
        <v>87.339995263755085</v>
      </c>
      <c r="AQ1303" s="3"/>
      <c r="AR1303" s="40"/>
      <c r="AS1303" s="238"/>
    </row>
    <row r="1304" spans="1:45" s="229" customFormat="1">
      <c r="A1304" s="42" t="s">
        <v>326</v>
      </c>
      <c r="B1304" s="386">
        <v>46.86</v>
      </c>
      <c r="C1304" s="24" t="s">
        <v>127</v>
      </c>
      <c r="D1304" s="229" t="s">
        <v>621</v>
      </c>
      <c r="F1304" s="229">
        <v>410</v>
      </c>
      <c r="G1304" s="40">
        <f>F1304/287</f>
        <v>1.4285714285714286</v>
      </c>
      <c r="H1304" s="14">
        <v>0</v>
      </c>
      <c r="I1304" s="229">
        <v>1</v>
      </c>
      <c r="J1304" s="229">
        <v>0</v>
      </c>
      <c r="K1304" s="26">
        <v>1</v>
      </c>
      <c r="L1304" s="14">
        <v>1</v>
      </c>
      <c r="M1304" s="229">
        <v>0</v>
      </c>
      <c r="N1304" s="229">
        <v>0</v>
      </c>
      <c r="O1304" s="229">
        <v>0</v>
      </c>
      <c r="P1304" s="26">
        <v>1</v>
      </c>
      <c r="Q1304" s="14">
        <v>2</v>
      </c>
      <c r="R1304" s="229">
        <v>8</v>
      </c>
      <c r="S1304" s="229">
        <v>10</v>
      </c>
      <c r="T1304" s="229">
        <v>0</v>
      </c>
      <c r="U1304" s="229">
        <v>0</v>
      </c>
      <c r="V1304" s="229">
        <v>0</v>
      </c>
      <c r="W1304" s="229">
        <v>11</v>
      </c>
      <c r="X1304" s="229">
        <v>0</v>
      </c>
      <c r="Y1304" s="229">
        <v>0</v>
      </c>
      <c r="Z1304" s="229">
        <v>0</v>
      </c>
      <c r="AA1304" s="229">
        <v>0</v>
      </c>
      <c r="AB1304" s="229">
        <v>1</v>
      </c>
      <c r="AC1304" s="12">
        <v>2</v>
      </c>
      <c r="AD1304" s="14">
        <v>4</v>
      </c>
      <c r="AE1304" s="14">
        <v>154</v>
      </c>
      <c r="AF1304" s="26">
        <v>213</v>
      </c>
      <c r="AG1304" s="12">
        <v>84</v>
      </c>
      <c r="AH1304" s="14">
        <v>0</v>
      </c>
      <c r="AI1304" s="209">
        <v>86.840374259891774</v>
      </c>
      <c r="AJ1304" s="3">
        <v>86.4786587899805</v>
      </c>
      <c r="AK1304" s="3">
        <v>86.846554117972943</v>
      </c>
      <c r="AL1304" s="3"/>
      <c r="AM1304" s="3"/>
      <c r="AN1304" s="3"/>
      <c r="AO1304" s="40"/>
      <c r="AP1304" s="212">
        <v>86.5</v>
      </c>
      <c r="AQ1304" s="250">
        <v>86.8</v>
      </c>
      <c r="AR1304" s="40"/>
      <c r="AS1304" s="238"/>
    </row>
    <row r="1305" spans="1:45" s="229" customFormat="1">
      <c r="A1305" s="42" t="s">
        <v>326</v>
      </c>
      <c r="B1305" s="386">
        <v>46.86</v>
      </c>
      <c r="C1305" s="24" t="s">
        <v>127</v>
      </c>
      <c r="D1305" s="229" t="s">
        <v>619</v>
      </c>
      <c r="F1305" s="229">
        <v>1116</v>
      </c>
      <c r="G1305" s="40">
        <f>F1305/856</f>
        <v>1.3037383177570094</v>
      </c>
      <c r="H1305" s="14">
        <v>0</v>
      </c>
      <c r="I1305" s="229">
        <v>0</v>
      </c>
      <c r="J1305" s="229">
        <v>1</v>
      </c>
      <c r="K1305" s="26">
        <v>1</v>
      </c>
      <c r="L1305" s="14">
        <v>0</v>
      </c>
      <c r="M1305" s="229">
        <v>0</v>
      </c>
      <c r="N1305" s="229">
        <v>0</v>
      </c>
      <c r="O1305" s="229">
        <v>0</v>
      </c>
      <c r="P1305" s="26">
        <v>0</v>
      </c>
      <c r="Q1305" s="14">
        <v>0</v>
      </c>
      <c r="R1305" s="229">
        <v>0</v>
      </c>
      <c r="S1305" s="229">
        <v>0</v>
      </c>
      <c r="T1305" s="229">
        <v>0</v>
      </c>
      <c r="U1305" s="229">
        <v>0</v>
      </c>
      <c r="V1305" s="229">
        <v>0</v>
      </c>
      <c r="W1305" s="229">
        <v>0</v>
      </c>
      <c r="X1305" s="229">
        <v>0</v>
      </c>
      <c r="Y1305" s="229">
        <v>0</v>
      </c>
      <c r="Z1305" s="229">
        <v>0</v>
      </c>
      <c r="AA1305" s="229">
        <v>0</v>
      </c>
      <c r="AB1305" s="229">
        <v>0</v>
      </c>
      <c r="AC1305" s="12">
        <v>2</v>
      </c>
      <c r="AD1305" s="14">
        <v>2</v>
      </c>
      <c r="AE1305" s="14">
        <v>115</v>
      </c>
      <c r="AF1305" s="26">
        <v>1116</v>
      </c>
      <c r="AG1305" s="12">
        <v>101</v>
      </c>
      <c r="AH1305" s="14">
        <v>1</v>
      </c>
      <c r="AI1305" s="209"/>
      <c r="AJ1305" s="3"/>
      <c r="AK1305" s="3"/>
      <c r="AL1305" s="3"/>
      <c r="AM1305" s="3"/>
      <c r="AN1305" s="3"/>
      <c r="AO1305" s="40"/>
      <c r="AP1305" s="209"/>
      <c r="AQ1305" s="3"/>
      <c r="AR1305" s="40"/>
      <c r="AS1305" s="238"/>
    </row>
    <row r="1306" spans="1:45" s="229" customFormat="1">
      <c r="A1306" s="42" t="s">
        <v>326</v>
      </c>
      <c r="B1306" s="386">
        <v>46.86</v>
      </c>
      <c r="C1306" s="24" t="s">
        <v>127</v>
      </c>
      <c r="D1306" s="229" t="s">
        <v>633</v>
      </c>
      <c r="E1306" s="229" t="s">
        <v>0</v>
      </c>
      <c r="F1306" s="229">
        <v>81</v>
      </c>
      <c r="G1306" s="40">
        <f>F1306/59</f>
        <v>1.3728813559322033</v>
      </c>
      <c r="H1306" s="14">
        <v>1</v>
      </c>
      <c r="I1306" s="229">
        <v>0</v>
      </c>
      <c r="J1306" s="229">
        <v>0</v>
      </c>
      <c r="K1306" s="26">
        <v>0</v>
      </c>
      <c r="L1306" s="14">
        <v>0</v>
      </c>
      <c r="M1306" s="229">
        <v>0</v>
      </c>
      <c r="N1306" s="229">
        <v>0</v>
      </c>
      <c r="O1306" s="229">
        <v>0</v>
      </c>
      <c r="P1306" s="26">
        <v>0</v>
      </c>
      <c r="Q1306" s="14">
        <v>0</v>
      </c>
      <c r="R1306" s="229">
        <v>0</v>
      </c>
      <c r="S1306" s="229">
        <v>0</v>
      </c>
      <c r="T1306" s="229">
        <v>0</v>
      </c>
      <c r="U1306" s="229">
        <v>0</v>
      </c>
      <c r="V1306" s="229">
        <v>0</v>
      </c>
      <c r="W1306" s="229">
        <v>0</v>
      </c>
      <c r="X1306" s="229">
        <v>0</v>
      </c>
      <c r="Y1306" s="229">
        <v>0</v>
      </c>
      <c r="Z1306" s="229">
        <v>0</v>
      </c>
      <c r="AA1306" s="229">
        <v>0</v>
      </c>
      <c r="AB1306" s="229">
        <v>0</v>
      </c>
      <c r="AC1306" s="12">
        <v>1</v>
      </c>
      <c r="AD1306" s="14">
        <v>1</v>
      </c>
      <c r="AE1306" s="14">
        <v>0</v>
      </c>
      <c r="AF1306" s="26">
        <v>0</v>
      </c>
      <c r="AG1306" s="12">
        <v>75</v>
      </c>
      <c r="AH1306" s="14">
        <v>1</v>
      </c>
      <c r="AI1306" s="209"/>
      <c r="AJ1306" s="3"/>
      <c r="AK1306" s="3"/>
      <c r="AL1306" s="3"/>
      <c r="AM1306" s="3"/>
      <c r="AN1306" s="3"/>
      <c r="AO1306" s="40"/>
      <c r="AP1306" s="209"/>
      <c r="AQ1306" s="3"/>
      <c r="AR1306" s="40"/>
      <c r="AS1306" s="238"/>
    </row>
    <row r="1307" spans="1:45" s="229" customFormat="1">
      <c r="A1307" s="42" t="s">
        <v>326</v>
      </c>
      <c r="B1307" s="386">
        <v>46.86</v>
      </c>
      <c r="C1307" s="24" t="s">
        <v>127</v>
      </c>
      <c r="D1307" s="229" t="s">
        <v>633</v>
      </c>
      <c r="E1307" s="229" t="s">
        <v>1</v>
      </c>
      <c r="F1307" s="229">
        <v>144</v>
      </c>
      <c r="G1307" s="40">
        <f>F1307/66</f>
        <v>2.1818181818181817</v>
      </c>
      <c r="H1307" s="14">
        <v>0</v>
      </c>
      <c r="I1307" s="229">
        <v>0</v>
      </c>
      <c r="J1307" s="229">
        <v>0</v>
      </c>
      <c r="K1307" s="26">
        <v>1</v>
      </c>
      <c r="L1307" s="14">
        <v>0</v>
      </c>
      <c r="M1307" s="229">
        <v>0</v>
      </c>
      <c r="N1307" s="229">
        <v>0</v>
      </c>
      <c r="O1307" s="229">
        <v>0</v>
      </c>
      <c r="P1307" s="26">
        <v>0</v>
      </c>
      <c r="Q1307" s="14">
        <v>1</v>
      </c>
      <c r="R1307" s="229">
        <v>0</v>
      </c>
      <c r="S1307" s="229">
        <v>3</v>
      </c>
      <c r="T1307" s="229">
        <v>0</v>
      </c>
      <c r="U1307" s="229">
        <v>0</v>
      </c>
      <c r="V1307" s="229">
        <v>0</v>
      </c>
      <c r="W1307" s="229">
        <v>0</v>
      </c>
      <c r="X1307" s="229">
        <v>0</v>
      </c>
      <c r="Y1307" s="229">
        <v>0</v>
      </c>
      <c r="Z1307" s="229">
        <v>0</v>
      </c>
      <c r="AA1307" s="229">
        <v>0</v>
      </c>
      <c r="AB1307" s="229">
        <v>1</v>
      </c>
      <c r="AC1307" s="12">
        <v>2</v>
      </c>
      <c r="AD1307" s="14">
        <v>2</v>
      </c>
      <c r="AE1307" s="14">
        <v>49</v>
      </c>
      <c r="AF1307" s="26">
        <v>108</v>
      </c>
      <c r="AG1307" s="12">
        <v>75</v>
      </c>
      <c r="AH1307" s="14">
        <v>0</v>
      </c>
      <c r="AI1307" s="209"/>
      <c r="AJ1307" s="3"/>
      <c r="AK1307" s="3"/>
      <c r="AL1307" s="3"/>
      <c r="AM1307" s="3"/>
      <c r="AN1307" s="3"/>
      <c r="AO1307" s="40"/>
      <c r="AP1307" s="209"/>
      <c r="AQ1307" s="3"/>
      <c r="AR1307" s="40"/>
      <c r="AS1307" s="238"/>
    </row>
    <row r="1308" spans="1:45" s="229" customFormat="1">
      <c r="A1308" s="42" t="s">
        <v>326</v>
      </c>
      <c r="B1308" s="386">
        <v>46.86</v>
      </c>
      <c r="C1308" s="24" t="s">
        <v>127</v>
      </c>
      <c r="D1308" s="229" t="s">
        <v>633</v>
      </c>
      <c r="E1308" s="229" t="s">
        <v>2</v>
      </c>
      <c r="F1308" s="229">
        <v>61</v>
      </c>
      <c r="G1308" s="40">
        <f>F1308/44</f>
        <v>1.3863636363636365</v>
      </c>
      <c r="H1308" s="14">
        <v>0</v>
      </c>
      <c r="I1308" s="229">
        <v>0</v>
      </c>
      <c r="J1308" s="229">
        <v>0</v>
      </c>
      <c r="K1308" s="26">
        <v>1</v>
      </c>
      <c r="L1308" s="14">
        <v>0</v>
      </c>
      <c r="M1308" s="229">
        <v>0</v>
      </c>
      <c r="N1308" s="229">
        <v>0</v>
      </c>
      <c r="O1308" s="229">
        <v>0</v>
      </c>
      <c r="P1308" s="26">
        <v>0</v>
      </c>
      <c r="Q1308" s="14">
        <v>1</v>
      </c>
      <c r="R1308" s="229">
        <v>0</v>
      </c>
      <c r="S1308" s="229">
        <v>0</v>
      </c>
      <c r="T1308" s="229">
        <v>0</v>
      </c>
      <c r="U1308" s="229">
        <v>0</v>
      </c>
      <c r="V1308" s="229">
        <v>0</v>
      </c>
      <c r="W1308" s="229">
        <v>4</v>
      </c>
      <c r="X1308" s="229">
        <v>0</v>
      </c>
      <c r="Y1308" s="229">
        <v>0</v>
      </c>
      <c r="Z1308" s="229">
        <v>0</v>
      </c>
      <c r="AA1308" s="229">
        <v>0</v>
      </c>
      <c r="AB1308" s="229">
        <v>1</v>
      </c>
      <c r="AC1308" s="12">
        <v>2</v>
      </c>
      <c r="AD1308" s="14">
        <v>2</v>
      </c>
      <c r="AE1308" s="14">
        <v>58</v>
      </c>
      <c r="AF1308" s="26">
        <v>61</v>
      </c>
      <c r="AG1308" s="12">
        <v>75</v>
      </c>
      <c r="AH1308" s="14">
        <v>0</v>
      </c>
      <c r="AI1308" s="209"/>
      <c r="AJ1308" s="3"/>
      <c r="AK1308" s="3"/>
      <c r="AL1308" s="3"/>
      <c r="AM1308" s="3"/>
      <c r="AN1308" s="3"/>
      <c r="AO1308" s="40"/>
      <c r="AP1308" s="209"/>
      <c r="AQ1308" s="3"/>
      <c r="AR1308" s="40"/>
      <c r="AS1308" s="238"/>
    </row>
    <row r="1309" spans="1:45" s="229" customFormat="1">
      <c r="A1309" s="42" t="s">
        <v>326</v>
      </c>
      <c r="B1309" s="386">
        <v>46.86</v>
      </c>
      <c r="C1309" s="24" t="s">
        <v>127</v>
      </c>
      <c r="D1309" s="229" t="s">
        <v>633</v>
      </c>
      <c r="E1309" s="229" t="s">
        <v>3</v>
      </c>
      <c r="F1309" s="229">
        <v>40</v>
      </c>
      <c r="G1309" s="40">
        <f>F1309/27</f>
        <v>1.4814814814814814</v>
      </c>
      <c r="H1309" s="14">
        <v>1</v>
      </c>
      <c r="I1309" s="229">
        <v>0</v>
      </c>
      <c r="J1309" s="229">
        <v>0</v>
      </c>
      <c r="K1309" s="26">
        <v>0</v>
      </c>
      <c r="L1309" s="14">
        <v>0</v>
      </c>
      <c r="M1309" s="229">
        <v>0</v>
      </c>
      <c r="N1309" s="229">
        <v>0</v>
      </c>
      <c r="O1309" s="229">
        <v>0</v>
      </c>
      <c r="P1309" s="26">
        <v>0</v>
      </c>
      <c r="Q1309" s="14">
        <v>0</v>
      </c>
      <c r="R1309" s="229">
        <v>0</v>
      </c>
      <c r="S1309" s="229">
        <v>0</v>
      </c>
      <c r="T1309" s="229">
        <v>0</v>
      </c>
      <c r="U1309" s="229">
        <v>0</v>
      </c>
      <c r="V1309" s="229">
        <v>0</v>
      </c>
      <c r="W1309" s="229">
        <v>0</v>
      </c>
      <c r="X1309" s="229">
        <v>0</v>
      </c>
      <c r="Y1309" s="229">
        <v>0</v>
      </c>
      <c r="Z1309" s="229">
        <v>0</v>
      </c>
      <c r="AA1309" s="229">
        <v>0</v>
      </c>
      <c r="AB1309" s="229">
        <v>0</v>
      </c>
      <c r="AC1309" s="12">
        <v>1</v>
      </c>
      <c r="AD1309" s="14">
        <v>1</v>
      </c>
      <c r="AE1309" s="14">
        <v>0</v>
      </c>
      <c r="AF1309" s="26">
        <v>0</v>
      </c>
      <c r="AG1309" s="12">
        <v>75</v>
      </c>
      <c r="AH1309" s="14">
        <v>0</v>
      </c>
      <c r="AI1309" s="209"/>
      <c r="AJ1309" s="3"/>
      <c r="AK1309" s="3"/>
      <c r="AL1309" s="3"/>
      <c r="AM1309" s="3"/>
      <c r="AN1309" s="3"/>
      <c r="AO1309" s="40"/>
      <c r="AP1309" s="209"/>
      <c r="AQ1309" s="3"/>
      <c r="AR1309" s="40"/>
      <c r="AS1309" s="238"/>
    </row>
    <row r="1310" spans="1:45" s="229" customFormat="1">
      <c r="A1310" s="42" t="s">
        <v>326</v>
      </c>
      <c r="B1310" s="386">
        <v>46.86</v>
      </c>
      <c r="C1310" s="24" t="s">
        <v>127</v>
      </c>
      <c r="D1310" s="229" t="s">
        <v>633</v>
      </c>
      <c r="E1310" s="229" t="s">
        <v>4</v>
      </c>
      <c r="F1310" s="229">
        <v>113</v>
      </c>
      <c r="G1310" s="40">
        <f>F1310/55</f>
        <v>2.0545454545454547</v>
      </c>
      <c r="H1310" s="14">
        <v>0</v>
      </c>
      <c r="I1310" s="229">
        <v>0</v>
      </c>
      <c r="J1310" s="229">
        <v>0</v>
      </c>
      <c r="K1310" s="26">
        <v>1</v>
      </c>
      <c r="L1310" s="14">
        <v>0</v>
      </c>
      <c r="M1310" s="229">
        <v>0</v>
      </c>
      <c r="N1310" s="229">
        <v>0</v>
      </c>
      <c r="O1310" s="229">
        <v>0</v>
      </c>
      <c r="P1310" s="26">
        <v>0</v>
      </c>
      <c r="Q1310" s="14">
        <v>0</v>
      </c>
      <c r="R1310" s="229">
        <v>0</v>
      </c>
      <c r="S1310" s="229">
        <v>0</v>
      </c>
      <c r="T1310" s="229">
        <v>0</v>
      </c>
      <c r="U1310" s="229">
        <v>0</v>
      </c>
      <c r="V1310" s="229">
        <v>0</v>
      </c>
      <c r="W1310" s="229">
        <v>0</v>
      </c>
      <c r="X1310" s="229">
        <v>0</v>
      </c>
      <c r="Y1310" s="229">
        <v>0</v>
      </c>
      <c r="Z1310" s="229">
        <v>0</v>
      </c>
      <c r="AA1310" s="229">
        <v>0</v>
      </c>
      <c r="AB1310" s="229">
        <v>0</v>
      </c>
      <c r="AC1310" s="12">
        <v>2</v>
      </c>
      <c r="AD1310" s="14">
        <v>3</v>
      </c>
      <c r="AE1310" s="14">
        <v>29</v>
      </c>
      <c r="AF1310" s="26">
        <v>75</v>
      </c>
      <c r="AG1310" s="12">
        <v>75</v>
      </c>
      <c r="AH1310" s="14">
        <v>0</v>
      </c>
      <c r="AI1310" s="209"/>
      <c r="AJ1310" s="3"/>
      <c r="AK1310" s="3"/>
      <c r="AL1310" s="3"/>
      <c r="AM1310" s="3"/>
      <c r="AN1310" s="3"/>
      <c r="AO1310" s="40"/>
      <c r="AP1310" s="209"/>
      <c r="AQ1310" s="3"/>
      <c r="AR1310" s="40"/>
      <c r="AS1310" s="238"/>
    </row>
    <row r="1311" spans="1:45" s="229" customFormat="1">
      <c r="A1311" s="42" t="s">
        <v>326</v>
      </c>
      <c r="B1311" s="386">
        <v>46.86</v>
      </c>
      <c r="C1311" s="24" t="s">
        <v>127</v>
      </c>
      <c r="D1311" s="229" t="s">
        <v>633</v>
      </c>
      <c r="E1311" s="229" t="s">
        <v>5</v>
      </c>
      <c r="F1311" s="229">
        <v>252</v>
      </c>
      <c r="G1311" s="40">
        <f>F1311/161</f>
        <v>1.5652173913043479</v>
      </c>
      <c r="H1311" s="14">
        <v>1</v>
      </c>
      <c r="I1311" s="229">
        <v>0</v>
      </c>
      <c r="J1311" s="229">
        <v>0</v>
      </c>
      <c r="K1311" s="26">
        <v>1</v>
      </c>
      <c r="L1311" s="14">
        <v>0</v>
      </c>
      <c r="M1311" s="229">
        <v>0</v>
      </c>
      <c r="N1311" s="229">
        <v>0</v>
      </c>
      <c r="O1311" s="229">
        <v>0</v>
      </c>
      <c r="P1311" s="26">
        <v>0</v>
      </c>
      <c r="Q1311" s="14">
        <v>1</v>
      </c>
      <c r="R1311" s="229">
        <v>0</v>
      </c>
      <c r="S1311" s="229">
        <v>3</v>
      </c>
      <c r="T1311" s="229">
        <v>0</v>
      </c>
      <c r="U1311" s="229">
        <v>0</v>
      </c>
      <c r="V1311" s="229">
        <v>3</v>
      </c>
      <c r="W1311" s="229">
        <v>8</v>
      </c>
      <c r="X1311" s="229">
        <v>0</v>
      </c>
      <c r="Y1311" s="229">
        <v>0</v>
      </c>
      <c r="Z1311" s="229">
        <v>0</v>
      </c>
      <c r="AA1311" s="229">
        <v>0</v>
      </c>
      <c r="AB1311" s="229">
        <v>1</v>
      </c>
      <c r="AC1311" s="12">
        <v>2</v>
      </c>
      <c r="AD1311" s="14">
        <v>5</v>
      </c>
      <c r="AE1311" s="14">
        <v>69</v>
      </c>
      <c r="AF1311" s="26">
        <v>135</v>
      </c>
      <c r="AG1311" s="12">
        <v>75</v>
      </c>
      <c r="AH1311" s="14">
        <v>0</v>
      </c>
      <c r="AI1311" s="209"/>
      <c r="AJ1311" s="3"/>
      <c r="AK1311" s="3"/>
      <c r="AL1311" s="3"/>
      <c r="AM1311" s="3"/>
      <c r="AN1311" s="3"/>
      <c r="AO1311" s="40"/>
      <c r="AP1311" s="209"/>
      <c r="AQ1311" s="3"/>
      <c r="AR1311" s="40"/>
      <c r="AS1311" s="238"/>
    </row>
    <row r="1312" spans="1:45" s="229" customFormat="1">
      <c r="A1312" s="42" t="s">
        <v>326</v>
      </c>
      <c r="B1312" s="386">
        <v>46.86</v>
      </c>
      <c r="C1312" s="24" t="s">
        <v>127</v>
      </c>
      <c r="D1312" s="229" t="s">
        <v>624</v>
      </c>
      <c r="F1312" s="229">
        <v>185</v>
      </c>
      <c r="G1312" s="40">
        <f>F1312/118</f>
        <v>1.5677966101694916</v>
      </c>
      <c r="H1312" s="14">
        <v>1</v>
      </c>
      <c r="I1312" s="229">
        <v>0</v>
      </c>
      <c r="J1312" s="229">
        <v>0</v>
      </c>
      <c r="K1312" s="26">
        <v>0</v>
      </c>
      <c r="L1312" s="14">
        <v>0</v>
      </c>
      <c r="M1312" s="229">
        <v>0</v>
      </c>
      <c r="N1312" s="229">
        <v>1</v>
      </c>
      <c r="O1312" s="229">
        <v>0</v>
      </c>
      <c r="P1312" s="26">
        <v>1</v>
      </c>
      <c r="Q1312" s="14">
        <v>5</v>
      </c>
      <c r="R1312" s="229">
        <v>0</v>
      </c>
      <c r="S1312" s="229">
        <v>0</v>
      </c>
      <c r="T1312" s="229">
        <v>0</v>
      </c>
      <c r="U1312" s="229">
        <v>0</v>
      </c>
      <c r="V1312" s="229">
        <v>0</v>
      </c>
      <c r="W1312" s="229">
        <v>47</v>
      </c>
      <c r="X1312" s="229">
        <v>0</v>
      </c>
      <c r="Y1312" s="229">
        <v>0</v>
      </c>
      <c r="Z1312" s="229">
        <v>0</v>
      </c>
      <c r="AA1312" s="229">
        <v>0</v>
      </c>
      <c r="AB1312" s="229">
        <v>0</v>
      </c>
      <c r="AC1312" s="12">
        <v>1</v>
      </c>
      <c r="AD1312" s="14">
        <v>1</v>
      </c>
      <c r="AE1312" s="14">
        <v>0</v>
      </c>
      <c r="AF1312" s="26">
        <v>0</v>
      </c>
      <c r="AG1312" s="12">
        <v>46</v>
      </c>
      <c r="AH1312" s="14">
        <v>0</v>
      </c>
      <c r="AI1312" s="209"/>
      <c r="AJ1312" s="3"/>
      <c r="AK1312" s="3"/>
      <c r="AL1312" s="3"/>
      <c r="AM1312" s="3"/>
      <c r="AN1312" s="3"/>
      <c r="AO1312" s="40"/>
      <c r="AP1312" s="209"/>
      <c r="AQ1312" s="3"/>
      <c r="AR1312" s="40"/>
      <c r="AS1312" s="238"/>
    </row>
    <row r="1313" spans="1:45" s="229" customFormat="1">
      <c r="A1313" s="42" t="s">
        <v>326</v>
      </c>
      <c r="B1313" s="386">
        <v>46.86</v>
      </c>
      <c r="C1313" s="24" t="s">
        <v>127</v>
      </c>
      <c r="D1313" s="229" t="s">
        <v>626</v>
      </c>
      <c r="F1313" s="229">
        <v>608</v>
      </c>
      <c r="G1313" s="40">
        <f>F1313/220</f>
        <v>2.7636363636363637</v>
      </c>
      <c r="H1313" s="14">
        <v>1</v>
      </c>
      <c r="I1313" s="229">
        <v>0</v>
      </c>
      <c r="J1313" s="229">
        <v>0</v>
      </c>
      <c r="K1313" s="26">
        <v>1</v>
      </c>
      <c r="L1313" s="14">
        <v>0</v>
      </c>
      <c r="M1313" s="229">
        <v>0</v>
      </c>
      <c r="N1313" s="229">
        <v>0</v>
      </c>
      <c r="O1313" s="229">
        <v>0</v>
      </c>
      <c r="P1313" s="26">
        <v>0</v>
      </c>
      <c r="Q1313" s="14">
        <v>1</v>
      </c>
      <c r="R1313" s="229">
        <v>0</v>
      </c>
      <c r="S1313" s="229">
        <v>10</v>
      </c>
      <c r="T1313" s="229">
        <v>0</v>
      </c>
      <c r="U1313" s="229">
        <v>0</v>
      </c>
      <c r="V1313" s="229">
        <v>0</v>
      </c>
      <c r="W1313" s="229">
        <v>0</v>
      </c>
      <c r="X1313" s="229">
        <v>0</v>
      </c>
      <c r="Y1313" s="229">
        <v>0</v>
      </c>
      <c r="Z1313" s="229">
        <v>0</v>
      </c>
      <c r="AA1313" s="229">
        <v>0</v>
      </c>
      <c r="AB1313" s="229">
        <v>1</v>
      </c>
      <c r="AC1313" s="12">
        <v>2</v>
      </c>
      <c r="AD1313" s="14">
        <v>11</v>
      </c>
      <c r="AE1313" s="14">
        <v>27</v>
      </c>
      <c r="AF1313" s="26">
        <v>266</v>
      </c>
      <c r="AG1313" s="12">
        <v>56</v>
      </c>
      <c r="AH1313" s="14">
        <v>1</v>
      </c>
      <c r="AI1313" s="209"/>
      <c r="AJ1313" s="3"/>
      <c r="AK1313" s="3"/>
      <c r="AL1313" s="3"/>
      <c r="AM1313" s="3"/>
      <c r="AN1313" s="3"/>
      <c r="AO1313" s="40"/>
      <c r="AP1313" s="209"/>
      <c r="AQ1313" s="3"/>
      <c r="AR1313" s="40"/>
      <c r="AS1313" s="238"/>
    </row>
    <row r="1314" spans="1:45" s="229" customFormat="1">
      <c r="A1314" s="42" t="s">
        <v>326</v>
      </c>
      <c r="B1314" s="386">
        <v>46.86</v>
      </c>
      <c r="C1314" s="24" t="s">
        <v>127</v>
      </c>
      <c r="D1314" s="229" t="s">
        <v>719</v>
      </c>
      <c r="E1314" s="229" t="s">
        <v>0</v>
      </c>
      <c r="F1314" s="229">
        <v>238</v>
      </c>
      <c r="G1314" s="40">
        <f>F1314/211</f>
        <v>1.127962085308057</v>
      </c>
      <c r="H1314" s="14">
        <v>1</v>
      </c>
      <c r="I1314" s="229">
        <v>0</v>
      </c>
      <c r="J1314" s="229">
        <v>0</v>
      </c>
      <c r="K1314" s="26">
        <v>0</v>
      </c>
      <c r="L1314" s="14">
        <v>0</v>
      </c>
      <c r="M1314" s="229">
        <v>0</v>
      </c>
      <c r="N1314" s="229">
        <v>0</v>
      </c>
      <c r="O1314" s="229">
        <v>0</v>
      </c>
      <c r="P1314" s="26">
        <v>0</v>
      </c>
      <c r="Q1314" s="14">
        <v>1</v>
      </c>
      <c r="R1314" s="229">
        <v>0</v>
      </c>
      <c r="S1314" s="229">
        <v>0</v>
      </c>
      <c r="T1314" s="229">
        <v>0</v>
      </c>
      <c r="U1314" s="229">
        <v>0</v>
      </c>
      <c r="V1314" s="229">
        <v>0</v>
      </c>
      <c r="W1314" s="229">
        <v>20</v>
      </c>
      <c r="X1314" s="229">
        <v>0</v>
      </c>
      <c r="Y1314" s="229">
        <v>0</v>
      </c>
      <c r="Z1314" s="229">
        <v>0</v>
      </c>
      <c r="AA1314" s="229">
        <v>0</v>
      </c>
      <c r="AB1314" s="229">
        <v>0</v>
      </c>
      <c r="AC1314" s="12">
        <v>1</v>
      </c>
      <c r="AD1314" s="14">
        <v>1</v>
      </c>
      <c r="AE1314" s="14">
        <v>0</v>
      </c>
      <c r="AF1314" s="26">
        <v>0</v>
      </c>
      <c r="AG1314" s="12">
        <v>77</v>
      </c>
      <c r="AH1314" s="14">
        <v>1</v>
      </c>
      <c r="AI1314" s="209"/>
      <c r="AJ1314" s="3"/>
      <c r="AK1314" s="3"/>
      <c r="AL1314" s="3"/>
      <c r="AM1314" s="3"/>
      <c r="AN1314" s="3"/>
      <c r="AO1314" s="40"/>
      <c r="AP1314" s="209"/>
      <c r="AQ1314" s="3"/>
      <c r="AR1314" s="40"/>
      <c r="AS1314" s="238"/>
    </row>
    <row r="1315" spans="1:45" s="229" customFormat="1">
      <c r="A1315" s="42" t="s">
        <v>326</v>
      </c>
      <c r="B1315" s="386">
        <v>46.86</v>
      </c>
      <c r="C1315" s="24" t="s">
        <v>127</v>
      </c>
      <c r="D1315" s="229" t="s">
        <v>719</v>
      </c>
      <c r="E1315" s="229" t="s">
        <v>1</v>
      </c>
      <c r="F1315" s="229">
        <v>251</v>
      </c>
      <c r="G1315" s="40">
        <f>F1315/119</f>
        <v>2.1092436974789917</v>
      </c>
      <c r="H1315" s="14">
        <v>1</v>
      </c>
      <c r="I1315" s="229">
        <v>0</v>
      </c>
      <c r="J1315" s="229">
        <v>0</v>
      </c>
      <c r="K1315" s="26">
        <v>1</v>
      </c>
      <c r="L1315" s="14">
        <v>0</v>
      </c>
      <c r="M1315" s="229">
        <v>0</v>
      </c>
      <c r="N1315" s="229">
        <v>0</v>
      </c>
      <c r="O1315" s="229">
        <v>0</v>
      </c>
      <c r="P1315" s="26">
        <v>0</v>
      </c>
      <c r="Q1315" s="14">
        <v>0</v>
      </c>
      <c r="R1315" s="229">
        <v>0</v>
      </c>
      <c r="S1315" s="229">
        <v>0</v>
      </c>
      <c r="T1315" s="229">
        <v>0</v>
      </c>
      <c r="U1315" s="229">
        <v>0</v>
      </c>
      <c r="V1315" s="229">
        <v>0</v>
      </c>
      <c r="W1315" s="229">
        <v>0</v>
      </c>
      <c r="X1315" s="229">
        <v>0</v>
      </c>
      <c r="Y1315" s="229">
        <v>0</v>
      </c>
      <c r="Z1315" s="229">
        <v>0</v>
      </c>
      <c r="AA1315" s="229">
        <v>0</v>
      </c>
      <c r="AB1315" s="229">
        <v>0</v>
      </c>
      <c r="AC1315" s="12">
        <v>2</v>
      </c>
      <c r="AD1315" s="14">
        <v>4</v>
      </c>
      <c r="AE1315" s="14">
        <v>66</v>
      </c>
      <c r="AF1315" s="26">
        <v>147</v>
      </c>
      <c r="AG1315" s="12">
        <v>77</v>
      </c>
      <c r="AH1315" s="14">
        <v>1</v>
      </c>
      <c r="AI1315" s="209"/>
      <c r="AJ1315" s="3"/>
      <c r="AK1315" s="3"/>
      <c r="AL1315" s="3"/>
      <c r="AM1315" s="3"/>
      <c r="AN1315" s="3"/>
      <c r="AO1315" s="40"/>
      <c r="AP1315" s="209"/>
      <c r="AQ1315" s="3"/>
      <c r="AR1315" s="40"/>
      <c r="AS1315" s="238"/>
    </row>
    <row r="1316" spans="1:45" s="229" customFormat="1">
      <c r="A1316" s="42" t="s">
        <v>326</v>
      </c>
      <c r="B1316" s="386">
        <v>46.86</v>
      </c>
      <c r="C1316" s="24" t="s">
        <v>127</v>
      </c>
      <c r="D1316" s="229" t="s">
        <v>719</v>
      </c>
      <c r="E1316" s="229" t="s">
        <v>2</v>
      </c>
      <c r="F1316" s="229">
        <v>170</v>
      </c>
      <c r="G1316" s="40">
        <f>F1316/105</f>
        <v>1.6190476190476191</v>
      </c>
      <c r="H1316" s="14">
        <v>1</v>
      </c>
      <c r="I1316" s="229">
        <v>0</v>
      </c>
      <c r="J1316" s="229">
        <v>0</v>
      </c>
      <c r="K1316" s="26">
        <v>0</v>
      </c>
      <c r="L1316" s="14">
        <v>0</v>
      </c>
      <c r="M1316" s="229">
        <v>0</v>
      </c>
      <c r="N1316" s="229">
        <v>0</v>
      </c>
      <c r="O1316" s="229">
        <v>0</v>
      </c>
      <c r="P1316" s="26">
        <v>0</v>
      </c>
      <c r="Q1316" s="14">
        <v>5</v>
      </c>
      <c r="R1316" s="229">
        <v>0</v>
      </c>
      <c r="S1316" s="229">
        <v>0</v>
      </c>
      <c r="T1316" s="229">
        <v>0</v>
      </c>
      <c r="U1316" s="229">
        <v>0</v>
      </c>
      <c r="V1316" s="229">
        <v>0</v>
      </c>
      <c r="W1316" s="229">
        <v>0</v>
      </c>
      <c r="X1316" s="229">
        <v>0</v>
      </c>
      <c r="Y1316" s="229">
        <v>0</v>
      </c>
      <c r="Z1316" s="229">
        <v>0</v>
      </c>
      <c r="AA1316" s="229">
        <v>36</v>
      </c>
      <c r="AB1316" s="229">
        <v>0</v>
      </c>
      <c r="AC1316" s="12">
        <v>2</v>
      </c>
      <c r="AD1316" s="14">
        <v>2</v>
      </c>
      <c r="AE1316" s="14">
        <v>86</v>
      </c>
      <c r="AF1316" s="26">
        <v>170</v>
      </c>
      <c r="AG1316" s="12">
        <v>77</v>
      </c>
      <c r="AH1316" s="14">
        <v>1</v>
      </c>
      <c r="AI1316" s="209"/>
      <c r="AJ1316" s="3"/>
      <c r="AK1316" s="3"/>
      <c r="AL1316" s="3"/>
      <c r="AM1316" s="3"/>
      <c r="AN1316" s="3"/>
      <c r="AO1316" s="40"/>
      <c r="AP1316" s="209"/>
      <c r="AQ1316" s="3"/>
      <c r="AR1316" s="40"/>
      <c r="AS1316" s="238"/>
    </row>
    <row r="1317" spans="1:45" s="229" customFormat="1">
      <c r="A1317" s="42" t="s">
        <v>326</v>
      </c>
      <c r="B1317" s="386">
        <v>46.86</v>
      </c>
      <c r="C1317" s="24" t="s">
        <v>127</v>
      </c>
      <c r="D1317" s="229" t="s">
        <v>706</v>
      </c>
      <c r="E1317" s="229" t="s">
        <v>0</v>
      </c>
      <c r="F1317" s="229">
        <v>150</v>
      </c>
      <c r="G1317" s="40">
        <f>F1317/89</f>
        <v>1.6853932584269662</v>
      </c>
      <c r="H1317" s="14">
        <v>1</v>
      </c>
      <c r="I1317" s="229">
        <v>0</v>
      </c>
      <c r="J1317" s="229">
        <v>0</v>
      </c>
      <c r="K1317" s="26">
        <v>0</v>
      </c>
      <c r="L1317" s="14">
        <v>0</v>
      </c>
      <c r="M1317" s="229">
        <v>0</v>
      </c>
      <c r="N1317" s="229">
        <v>0</v>
      </c>
      <c r="O1317" s="229">
        <v>0</v>
      </c>
      <c r="P1317" s="26">
        <v>0</v>
      </c>
      <c r="Q1317" s="14">
        <v>0</v>
      </c>
      <c r="R1317" s="229">
        <v>0</v>
      </c>
      <c r="S1317" s="229">
        <v>0</v>
      </c>
      <c r="T1317" s="229">
        <v>0</v>
      </c>
      <c r="U1317" s="229">
        <v>0</v>
      </c>
      <c r="V1317" s="229">
        <v>0</v>
      </c>
      <c r="W1317" s="229">
        <v>0</v>
      </c>
      <c r="X1317" s="229">
        <v>0</v>
      </c>
      <c r="Y1317" s="229">
        <v>0</v>
      </c>
      <c r="Z1317" s="229">
        <v>0</v>
      </c>
      <c r="AA1317" s="229">
        <v>0</v>
      </c>
      <c r="AB1317" s="229">
        <v>0</v>
      </c>
      <c r="AC1317" s="12">
        <v>2</v>
      </c>
      <c r="AD1317" s="14">
        <v>2</v>
      </c>
      <c r="AE1317" s="14">
        <v>55</v>
      </c>
      <c r="AF1317" s="26">
        <v>112</v>
      </c>
      <c r="AG1317" s="12">
        <v>75</v>
      </c>
      <c r="AH1317" s="14">
        <v>1</v>
      </c>
      <c r="AI1317" s="209"/>
      <c r="AJ1317" s="3"/>
      <c r="AK1317" s="3"/>
      <c r="AL1317" s="3"/>
      <c r="AM1317" s="3"/>
      <c r="AN1317" s="3"/>
      <c r="AO1317" s="40"/>
      <c r="AP1317" s="209"/>
      <c r="AQ1317" s="3"/>
      <c r="AR1317" s="40"/>
      <c r="AS1317" s="238"/>
    </row>
    <row r="1318" spans="1:45" s="229" customFormat="1">
      <c r="A1318" s="42" t="s">
        <v>326</v>
      </c>
      <c r="B1318" s="386">
        <v>46.86</v>
      </c>
      <c r="C1318" s="24" t="s">
        <v>127</v>
      </c>
      <c r="D1318" s="229" t="s">
        <v>706</v>
      </c>
      <c r="E1318" s="229" t="s">
        <v>1</v>
      </c>
      <c r="F1318" s="229">
        <v>377</v>
      </c>
      <c r="G1318" s="40">
        <f>F1318/180</f>
        <v>2.0944444444444446</v>
      </c>
      <c r="H1318" s="14">
        <v>1</v>
      </c>
      <c r="I1318" s="229">
        <v>1</v>
      </c>
      <c r="J1318" s="229">
        <v>1</v>
      </c>
      <c r="K1318" s="26">
        <v>1</v>
      </c>
      <c r="L1318" s="14">
        <v>0</v>
      </c>
      <c r="M1318" s="229">
        <v>0</v>
      </c>
      <c r="N1318" s="229">
        <v>0</v>
      </c>
      <c r="O1318" s="229">
        <v>0</v>
      </c>
      <c r="P1318" s="26">
        <v>0</v>
      </c>
      <c r="Q1318" s="14">
        <v>1</v>
      </c>
      <c r="R1318" s="229">
        <v>0</v>
      </c>
      <c r="S1318" s="229">
        <v>0</v>
      </c>
      <c r="T1318" s="229">
        <v>0</v>
      </c>
      <c r="U1318" s="229">
        <v>0</v>
      </c>
      <c r="V1318" s="229">
        <v>0</v>
      </c>
      <c r="W1318" s="229">
        <v>11</v>
      </c>
      <c r="X1318" s="229">
        <v>0</v>
      </c>
      <c r="Y1318" s="229">
        <v>0</v>
      </c>
      <c r="Z1318" s="229">
        <v>0</v>
      </c>
      <c r="AA1318" s="229">
        <v>0</v>
      </c>
      <c r="AB1318" s="229">
        <v>1</v>
      </c>
      <c r="AC1318" s="12">
        <v>2</v>
      </c>
      <c r="AD1318" s="14">
        <v>5</v>
      </c>
      <c r="AE1318" s="14">
        <v>91</v>
      </c>
      <c r="AF1318" s="26">
        <v>223</v>
      </c>
      <c r="AG1318" s="12">
        <v>75</v>
      </c>
      <c r="AH1318" s="14">
        <v>1</v>
      </c>
      <c r="AI1318" s="209"/>
      <c r="AJ1318" s="3"/>
      <c r="AK1318" s="3"/>
      <c r="AL1318" s="3"/>
      <c r="AM1318" s="3"/>
      <c r="AN1318" s="3"/>
      <c r="AO1318" s="40"/>
      <c r="AP1318" s="209"/>
      <c r="AQ1318" s="3"/>
      <c r="AR1318" s="40"/>
      <c r="AS1318" s="238"/>
    </row>
    <row r="1319" spans="1:45" s="229" customFormat="1">
      <c r="A1319" s="42" t="s">
        <v>326</v>
      </c>
      <c r="B1319" s="386">
        <v>46.86</v>
      </c>
      <c r="C1319" s="24" t="s">
        <v>127</v>
      </c>
      <c r="D1319" s="229" t="s">
        <v>706</v>
      </c>
      <c r="E1319" s="229" t="s">
        <v>2</v>
      </c>
      <c r="F1319" s="229">
        <v>68</v>
      </c>
      <c r="G1319" s="40">
        <f>F1319/38</f>
        <v>1.7894736842105263</v>
      </c>
      <c r="H1319" s="14">
        <v>1</v>
      </c>
      <c r="I1319" s="229">
        <v>0</v>
      </c>
      <c r="J1319" s="229">
        <v>0</v>
      </c>
      <c r="K1319" s="26">
        <v>0</v>
      </c>
      <c r="L1319" s="14">
        <v>0</v>
      </c>
      <c r="M1319" s="229">
        <v>0</v>
      </c>
      <c r="N1319" s="229">
        <v>0</v>
      </c>
      <c r="O1319" s="229">
        <v>0</v>
      </c>
      <c r="P1319" s="26">
        <v>0</v>
      </c>
      <c r="Q1319" s="14">
        <v>0</v>
      </c>
      <c r="R1319" s="229">
        <v>0</v>
      </c>
      <c r="S1319" s="229">
        <v>0</v>
      </c>
      <c r="T1319" s="229">
        <v>0</v>
      </c>
      <c r="U1319" s="229">
        <v>0</v>
      </c>
      <c r="V1319" s="229">
        <v>0</v>
      </c>
      <c r="W1319" s="229">
        <v>0</v>
      </c>
      <c r="X1319" s="229">
        <v>0</v>
      </c>
      <c r="Y1319" s="229">
        <v>0</v>
      </c>
      <c r="Z1319" s="229">
        <v>0</v>
      </c>
      <c r="AA1319" s="229">
        <v>0</v>
      </c>
      <c r="AB1319" s="229">
        <v>0</v>
      </c>
      <c r="AC1319" s="12">
        <v>1</v>
      </c>
      <c r="AD1319" s="14">
        <v>1</v>
      </c>
      <c r="AE1319" s="14">
        <v>0</v>
      </c>
      <c r="AF1319" s="26">
        <v>0</v>
      </c>
      <c r="AG1319" s="12">
        <v>75</v>
      </c>
      <c r="AH1319" s="14">
        <v>0</v>
      </c>
      <c r="AI1319" s="209"/>
      <c r="AJ1319" s="3"/>
      <c r="AK1319" s="3"/>
      <c r="AL1319" s="3"/>
      <c r="AM1319" s="3"/>
      <c r="AN1319" s="3"/>
      <c r="AO1319" s="40"/>
      <c r="AP1319" s="209"/>
      <c r="AQ1319" s="3"/>
      <c r="AR1319" s="40"/>
      <c r="AS1319" s="238"/>
    </row>
    <row r="1320" spans="1:45" s="229" customFormat="1">
      <c r="A1320" s="42" t="s">
        <v>326</v>
      </c>
      <c r="B1320" s="386">
        <v>46.86</v>
      </c>
      <c r="C1320" s="24" t="s">
        <v>127</v>
      </c>
      <c r="D1320" s="229" t="s">
        <v>707</v>
      </c>
      <c r="F1320" s="229">
        <v>531</v>
      </c>
      <c r="G1320" s="40">
        <f>F1320/363</f>
        <v>1.4628099173553719</v>
      </c>
      <c r="H1320" s="14">
        <v>1</v>
      </c>
      <c r="I1320" s="229">
        <v>0</v>
      </c>
      <c r="J1320" s="229">
        <v>1</v>
      </c>
      <c r="K1320" s="26">
        <v>1</v>
      </c>
      <c r="L1320" s="14">
        <v>0</v>
      </c>
      <c r="M1320" s="229">
        <v>0</v>
      </c>
      <c r="N1320" s="229">
        <v>0</v>
      </c>
      <c r="O1320" s="229">
        <v>0</v>
      </c>
      <c r="P1320" s="26">
        <v>0</v>
      </c>
      <c r="Q1320" s="14">
        <v>1</v>
      </c>
      <c r="R1320" s="229">
        <v>0</v>
      </c>
      <c r="S1320" s="229">
        <v>0</v>
      </c>
      <c r="T1320" s="229">
        <v>0</v>
      </c>
      <c r="U1320" s="229">
        <v>0</v>
      </c>
      <c r="V1320" s="229">
        <v>0</v>
      </c>
      <c r="W1320" s="229">
        <v>46</v>
      </c>
      <c r="X1320" s="229">
        <v>0</v>
      </c>
      <c r="Y1320" s="229">
        <v>0</v>
      </c>
      <c r="Z1320" s="229">
        <v>0</v>
      </c>
      <c r="AA1320" s="229">
        <v>0</v>
      </c>
      <c r="AB1320" s="229">
        <v>0</v>
      </c>
      <c r="AC1320" s="12">
        <v>2</v>
      </c>
      <c r="AD1320" s="14">
        <v>5</v>
      </c>
      <c r="AE1320" s="14">
        <v>46</v>
      </c>
      <c r="AF1320" s="26">
        <v>406</v>
      </c>
      <c r="AG1320" s="12">
        <v>82</v>
      </c>
      <c r="AH1320" s="14">
        <v>1</v>
      </c>
      <c r="AI1320" s="209">
        <v>87.21731764686217</v>
      </c>
      <c r="AJ1320" s="3">
        <v>87.170760752553079</v>
      </c>
      <c r="AK1320" s="3"/>
      <c r="AL1320" s="3"/>
      <c r="AM1320" s="3"/>
      <c r="AN1320" s="3"/>
      <c r="AO1320" s="40"/>
      <c r="AP1320" s="209">
        <v>87.006033415229552</v>
      </c>
      <c r="AQ1320" s="3"/>
      <c r="AR1320" s="40"/>
      <c r="AS1320" s="238"/>
    </row>
    <row r="1321" spans="1:45" s="229" customFormat="1">
      <c r="A1321" s="42" t="s">
        <v>326</v>
      </c>
      <c r="B1321" s="386">
        <v>46.86</v>
      </c>
      <c r="C1321" s="24" t="s">
        <v>127</v>
      </c>
      <c r="D1321" s="229" t="s">
        <v>753</v>
      </c>
      <c r="F1321" s="229">
        <v>529</v>
      </c>
      <c r="G1321" s="40">
        <f>F1321/418</f>
        <v>1.2655502392344498</v>
      </c>
      <c r="H1321" s="14">
        <v>0</v>
      </c>
      <c r="I1321" s="229">
        <v>1</v>
      </c>
      <c r="J1321" s="229">
        <v>0</v>
      </c>
      <c r="K1321" s="26">
        <v>1</v>
      </c>
      <c r="L1321" s="14">
        <v>0</v>
      </c>
      <c r="M1321" s="229">
        <v>0</v>
      </c>
      <c r="N1321" s="229">
        <v>1</v>
      </c>
      <c r="O1321" s="229">
        <v>0</v>
      </c>
      <c r="P1321" s="26">
        <v>1</v>
      </c>
      <c r="Q1321" s="14">
        <v>1</v>
      </c>
      <c r="R1321" s="229">
        <v>0</v>
      </c>
      <c r="S1321" s="229">
        <v>0</v>
      </c>
      <c r="T1321" s="229">
        <v>0</v>
      </c>
      <c r="U1321" s="229">
        <v>0</v>
      </c>
      <c r="V1321" s="229">
        <v>0</v>
      </c>
      <c r="W1321" s="229">
        <v>27</v>
      </c>
      <c r="X1321" s="229">
        <v>0</v>
      </c>
      <c r="Y1321" s="229">
        <v>0</v>
      </c>
      <c r="Z1321" s="229">
        <v>0</v>
      </c>
      <c r="AA1321" s="229">
        <v>0</v>
      </c>
      <c r="AB1321" s="229">
        <v>1</v>
      </c>
      <c r="AC1321" s="12">
        <v>2</v>
      </c>
      <c r="AD1321" s="14">
        <v>2</v>
      </c>
      <c r="AE1321" s="14">
        <v>410</v>
      </c>
      <c r="AF1321" s="26">
        <v>510</v>
      </c>
      <c r="AG1321" s="12">
        <v>92</v>
      </c>
      <c r="AH1321" s="14">
        <v>1</v>
      </c>
      <c r="AI1321" s="209">
        <v>87.180457826444965</v>
      </c>
      <c r="AJ1321" s="3"/>
      <c r="AK1321" s="3"/>
      <c r="AL1321" s="3"/>
      <c r="AM1321" s="3"/>
      <c r="AN1321" s="3"/>
      <c r="AO1321" s="40"/>
      <c r="AP1321" s="209">
        <v>86.623561401604789</v>
      </c>
      <c r="AQ1321" s="3"/>
      <c r="AR1321" s="40"/>
      <c r="AS1321" s="238"/>
    </row>
    <row r="1322" spans="1:45" s="229" customFormat="1">
      <c r="A1322" s="42" t="s">
        <v>326</v>
      </c>
      <c r="B1322" s="386">
        <v>46.86</v>
      </c>
      <c r="C1322" s="24" t="s">
        <v>127</v>
      </c>
      <c r="D1322" s="229" t="s">
        <v>721</v>
      </c>
      <c r="E1322" s="229" t="s">
        <v>0</v>
      </c>
      <c r="F1322" s="229">
        <v>445</v>
      </c>
      <c r="G1322" s="40">
        <f>F1322/257</f>
        <v>1.7315175097276265</v>
      </c>
      <c r="H1322" s="14">
        <v>0</v>
      </c>
      <c r="I1322" s="229">
        <v>0</v>
      </c>
      <c r="J1322" s="229">
        <v>1</v>
      </c>
      <c r="K1322" s="26">
        <v>0</v>
      </c>
      <c r="L1322" s="14">
        <v>0</v>
      </c>
      <c r="M1322" s="229">
        <v>0</v>
      </c>
      <c r="N1322" s="229">
        <v>1</v>
      </c>
      <c r="O1322" s="229">
        <v>0</v>
      </c>
      <c r="P1322" s="26">
        <v>1</v>
      </c>
      <c r="Q1322" s="14">
        <v>0</v>
      </c>
      <c r="R1322" s="229">
        <v>0</v>
      </c>
      <c r="S1322" s="229">
        <v>0</v>
      </c>
      <c r="T1322" s="229">
        <v>0</v>
      </c>
      <c r="U1322" s="229">
        <v>0</v>
      </c>
      <c r="V1322" s="229">
        <v>0</v>
      </c>
      <c r="W1322" s="229">
        <v>0</v>
      </c>
      <c r="X1322" s="229">
        <v>0</v>
      </c>
      <c r="Y1322" s="229">
        <v>0</v>
      </c>
      <c r="Z1322" s="229">
        <v>0</v>
      </c>
      <c r="AB1322" s="229">
        <v>0</v>
      </c>
      <c r="AC1322" s="12">
        <v>1</v>
      </c>
      <c r="AD1322" s="14">
        <v>1</v>
      </c>
      <c r="AE1322" s="14">
        <v>0</v>
      </c>
      <c r="AF1322" s="26">
        <v>0</v>
      </c>
      <c r="AG1322" s="12">
        <v>70</v>
      </c>
      <c r="AH1322" s="14">
        <v>1</v>
      </c>
      <c r="AI1322" s="209"/>
      <c r="AJ1322" s="3"/>
      <c r="AK1322" s="3"/>
      <c r="AL1322" s="3"/>
      <c r="AM1322" s="3"/>
      <c r="AN1322" s="3"/>
      <c r="AO1322" s="40"/>
      <c r="AP1322" s="209"/>
      <c r="AQ1322" s="3"/>
      <c r="AR1322" s="40"/>
      <c r="AS1322" s="238"/>
    </row>
    <row r="1323" spans="1:45" s="229" customFormat="1">
      <c r="A1323" s="42" t="s">
        <v>326</v>
      </c>
      <c r="B1323" s="386">
        <v>46.86</v>
      </c>
      <c r="C1323" s="24" t="s">
        <v>127</v>
      </c>
      <c r="D1323" s="229" t="s">
        <v>721</v>
      </c>
      <c r="E1323" s="229" t="s">
        <v>1</v>
      </c>
      <c r="F1323" s="229">
        <v>376</v>
      </c>
      <c r="G1323" s="40">
        <f>F1323/224</f>
        <v>1.6785714285714286</v>
      </c>
      <c r="H1323" s="14">
        <v>1</v>
      </c>
      <c r="I1323" s="229">
        <v>0</v>
      </c>
      <c r="J1323" s="229">
        <v>0</v>
      </c>
      <c r="K1323" s="26">
        <v>0</v>
      </c>
      <c r="L1323" s="14">
        <v>0</v>
      </c>
      <c r="M1323" s="229">
        <v>0</v>
      </c>
      <c r="N1323" s="229">
        <v>0</v>
      </c>
      <c r="O1323" s="229">
        <v>0</v>
      </c>
      <c r="P1323" s="26">
        <v>0</v>
      </c>
      <c r="Q1323" s="14">
        <v>1</v>
      </c>
      <c r="R1323" s="229">
        <v>0</v>
      </c>
      <c r="S1323" s="229">
        <v>17</v>
      </c>
      <c r="T1323" s="229">
        <v>0</v>
      </c>
      <c r="U1323" s="229">
        <v>0</v>
      </c>
      <c r="V1323" s="229">
        <v>0</v>
      </c>
      <c r="W1323" s="229">
        <v>0</v>
      </c>
      <c r="X1323" s="229">
        <v>0</v>
      </c>
      <c r="Y1323" s="229">
        <v>0</v>
      </c>
      <c r="Z1323" s="229">
        <v>0</v>
      </c>
      <c r="AA1323" s="229">
        <v>0</v>
      </c>
      <c r="AB1323" s="229">
        <v>1</v>
      </c>
      <c r="AC1323" s="12">
        <v>2</v>
      </c>
      <c r="AD1323" s="14">
        <v>3</v>
      </c>
      <c r="AE1323" s="14">
        <v>59</v>
      </c>
      <c r="AF1323" s="26">
        <v>236</v>
      </c>
      <c r="AG1323" s="12">
        <v>70</v>
      </c>
      <c r="AH1323" s="14">
        <v>1</v>
      </c>
      <c r="AI1323" s="209"/>
      <c r="AJ1323" s="3"/>
      <c r="AK1323" s="3"/>
      <c r="AL1323" s="3"/>
      <c r="AM1323" s="3"/>
      <c r="AN1323" s="3"/>
      <c r="AO1323" s="40"/>
      <c r="AP1323" s="209"/>
      <c r="AQ1323" s="3"/>
      <c r="AR1323" s="40"/>
      <c r="AS1323" s="238"/>
    </row>
    <row r="1324" spans="1:45" s="229" customFormat="1">
      <c r="A1324" s="42" t="s">
        <v>326</v>
      </c>
      <c r="B1324" s="386">
        <v>46.86</v>
      </c>
      <c r="C1324" s="24" t="s">
        <v>127</v>
      </c>
      <c r="D1324" s="229" t="s">
        <v>736</v>
      </c>
      <c r="E1324" s="229" t="s">
        <v>0</v>
      </c>
      <c r="F1324" s="229">
        <v>160</v>
      </c>
      <c r="G1324" s="40">
        <f>F1324/141</f>
        <v>1.1347517730496455</v>
      </c>
      <c r="H1324" s="14">
        <v>1</v>
      </c>
      <c r="I1324" s="229">
        <v>0</v>
      </c>
      <c r="J1324" s="229">
        <v>0</v>
      </c>
      <c r="K1324" s="26">
        <v>1</v>
      </c>
      <c r="L1324" s="14">
        <v>0</v>
      </c>
      <c r="M1324" s="229">
        <v>0</v>
      </c>
      <c r="N1324" s="229">
        <v>1</v>
      </c>
      <c r="O1324" s="229">
        <v>0</v>
      </c>
      <c r="P1324" s="26">
        <v>1</v>
      </c>
      <c r="Q1324" s="14">
        <v>5</v>
      </c>
      <c r="R1324" s="229">
        <v>0</v>
      </c>
      <c r="S1324" s="229">
        <v>0</v>
      </c>
      <c r="T1324" s="229">
        <v>0</v>
      </c>
      <c r="U1324" s="229">
        <v>0</v>
      </c>
      <c r="V1324" s="229">
        <v>13</v>
      </c>
      <c r="W1324" s="229">
        <v>42</v>
      </c>
      <c r="X1324" s="229">
        <v>0</v>
      </c>
      <c r="Y1324" s="229">
        <v>0</v>
      </c>
      <c r="Z1324" s="229">
        <v>0</v>
      </c>
      <c r="AA1324" s="229">
        <v>0</v>
      </c>
      <c r="AB1324" s="229">
        <v>0</v>
      </c>
      <c r="AC1324" s="12">
        <v>2</v>
      </c>
      <c r="AD1324" s="14">
        <v>3</v>
      </c>
      <c r="AE1324" s="14">
        <v>27</v>
      </c>
      <c r="AF1324" s="26">
        <v>160</v>
      </c>
      <c r="AG1324" s="12">
        <v>51</v>
      </c>
      <c r="AH1324" s="14">
        <v>1</v>
      </c>
      <c r="AI1324" s="209"/>
      <c r="AJ1324" s="3"/>
      <c r="AK1324" s="3"/>
      <c r="AL1324" s="3"/>
      <c r="AM1324" s="3"/>
      <c r="AN1324" s="3"/>
      <c r="AO1324" s="40"/>
      <c r="AP1324" s="209"/>
      <c r="AQ1324" s="3"/>
      <c r="AR1324" s="40"/>
      <c r="AS1324" s="238"/>
    </row>
    <row r="1325" spans="1:45" s="229" customFormat="1">
      <c r="A1325" s="42" t="s">
        <v>326</v>
      </c>
      <c r="B1325" s="386">
        <v>46.86</v>
      </c>
      <c r="C1325" s="24" t="s">
        <v>127</v>
      </c>
      <c r="D1325" s="229" t="s">
        <v>736</v>
      </c>
      <c r="E1325" s="229" t="s">
        <v>1</v>
      </c>
      <c r="F1325" s="229">
        <v>118</v>
      </c>
      <c r="G1325" s="40">
        <f>F1325/58</f>
        <v>2.0344827586206895</v>
      </c>
      <c r="H1325" s="14">
        <v>0</v>
      </c>
      <c r="I1325" s="229">
        <v>0</v>
      </c>
      <c r="J1325" s="229">
        <v>1</v>
      </c>
      <c r="K1325" s="26">
        <v>0</v>
      </c>
      <c r="L1325" s="14">
        <v>0</v>
      </c>
      <c r="M1325" s="229">
        <v>0</v>
      </c>
      <c r="N1325" s="229">
        <v>1</v>
      </c>
      <c r="O1325" s="229">
        <v>0</v>
      </c>
      <c r="P1325" s="26">
        <v>1</v>
      </c>
      <c r="Q1325" s="14">
        <v>0</v>
      </c>
      <c r="R1325" s="229">
        <v>0</v>
      </c>
      <c r="S1325" s="229">
        <v>0</v>
      </c>
      <c r="T1325" s="229">
        <v>0</v>
      </c>
      <c r="U1325" s="229">
        <v>0</v>
      </c>
      <c r="V1325" s="229">
        <v>0</v>
      </c>
      <c r="W1325" s="229">
        <v>0</v>
      </c>
      <c r="X1325" s="229">
        <v>0</v>
      </c>
      <c r="Y1325" s="229">
        <v>0</v>
      </c>
      <c r="Z1325" s="229">
        <v>0</v>
      </c>
      <c r="AA1325" s="229">
        <v>0</v>
      </c>
      <c r="AB1325" s="229">
        <v>0</v>
      </c>
      <c r="AC1325" s="12">
        <v>1</v>
      </c>
      <c r="AD1325" s="14">
        <v>1</v>
      </c>
      <c r="AE1325" s="14">
        <v>0</v>
      </c>
      <c r="AF1325" s="26">
        <v>0</v>
      </c>
      <c r="AG1325" s="12">
        <v>51</v>
      </c>
      <c r="AH1325" s="14">
        <v>1</v>
      </c>
      <c r="AI1325" s="209"/>
      <c r="AJ1325" s="3"/>
      <c r="AK1325" s="3"/>
      <c r="AL1325" s="3"/>
      <c r="AM1325" s="3"/>
      <c r="AN1325" s="3"/>
      <c r="AO1325" s="40"/>
      <c r="AP1325" s="209"/>
      <c r="AQ1325" s="3"/>
      <c r="AR1325" s="40"/>
      <c r="AS1325" s="238"/>
    </row>
    <row r="1326" spans="1:45" s="229" customFormat="1">
      <c r="A1326" s="42" t="s">
        <v>326</v>
      </c>
      <c r="B1326" s="386">
        <v>46.86</v>
      </c>
      <c r="C1326" s="24" t="s">
        <v>127</v>
      </c>
      <c r="D1326" s="229" t="s">
        <v>726</v>
      </c>
      <c r="E1326" s="229" t="s">
        <v>0</v>
      </c>
      <c r="F1326" s="229">
        <v>218</v>
      </c>
      <c r="G1326" s="40">
        <f>F1326/164</f>
        <v>1.3292682926829269</v>
      </c>
      <c r="H1326" s="14">
        <v>1</v>
      </c>
      <c r="I1326" s="229">
        <v>0</v>
      </c>
      <c r="J1326" s="229">
        <v>0</v>
      </c>
      <c r="K1326" s="26">
        <v>0</v>
      </c>
      <c r="L1326" s="14">
        <v>0</v>
      </c>
      <c r="M1326" s="229">
        <v>0</v>
      </c>
      <c r="N1326" s="229">
        <v>0</v>
      </c>
      <c r="O1326" s="229">
        <v>0</v>
      </c>
      <c r="P1326" s="26">
        <v>0</v>
      </c>
      <c r="Q1326" s="14">
        <v>0</v>
      </c>
      <c r="R1326" s="229">
        <v>0</v>
      </c>
      <c r="S1326" s="229">
        <v>0</v>
      </c>
      <c r="T1326" s="229">
        <v>0</v>
      </c>
      <c r="U1326" s="229">
        <v>0</v>
      </c>
      <c r="V1326" s="229">
        <v>0</v>
      </c>
      <c r="W1326" s="229">
        <v>0</v>
      </c>
      <c r="X1326" s="229">
        <v>0</v>
      </c>
      <c r="Y1326" s="229">
        <v>0</v>
      </c>
      <c r="Z1326" s="229">
        <v>0</v>
      </c>
      <c r="AA1326" s="229">
        <v>0</v>
      </c>
      <c r="AB1326" s="229">
        <v>0</v>
      </c>
      <c r="AC1326" s="12">
        <v>1</v>
      </c>
      <c r="AD1326" s="14">
        <v>1</v>
      </c>
      <c r="AE1326" s="14">
        <v>0</v>
      </c>
      <c r="AF1326" s="26">
        <v>0</v>
      </c>
      <c r="AG1326" s="12">
        <v>53</v>
      </c>
      <c r="AH1326" s="14">
        <v>0</v>
      </c>
      <c r="AI1326" s="209"/>
      <c r="AJ1326" s="3"/>
      <c r="AK1326" s="3"/>
      <c r="AL1326" s="3"/>
      <c r="AM1326" s="3"/>
      <c r="AN1326" s="3"/>
      <c r="AO1326" s="40"/>
      <c r="AP1326" s="209"/>
      <c r="AQ1326" s="3"/>
      <c r="AR1326" s="40"/>
      <c r="AS1326" s="238"/>
    </row>
    <row r="1327" spans="1:45" s="229" customFormat="1">
      <c r="A1327" s="42" t="s">
        <v>326</v>
      </c>
      <c r="B1327" s="386">
        <v>46.86</v>
      </c>
      <c r="C1327" s="24" t="s">
        <v>127</v>
      </c>
      <c r="D1327" s="229" t="s">
        <v>726</v>
      </c>
      <c r="E1327" s="229" t="s">
        <v>1</v>
      </c>
      <c r="F1327" s="229">
        <v>319</v>
      </c>
      <c r="G1327" s="40">
        <f>F1327/309</f>
        <v>1.0323624595469256</v>
      </c>
      <c r="H1327" s="14">
        <v>0</v>
      </c>
      <c r="I1327" s="229">
        <v>0</v>
      </c>
      <c r="J1327" s="229">
        <v>0</v>
      </c>
      <c r="K1327" s="26">
        <v>1</v>
      </c>
      <c r="L1327" s="14">
        <v>0</v>
      </c>
      <c r="M1327" s="229">
        <v>0</v>
      </c>
      <c r="N1327" s="229">
        <v>0</v>
      </c>
      <c r="O1327" s="229">
        <v>0</v>
      </c>
      <c r="P1327" s="26">
        <v>0</v>
      </c>
      <c r="Q1327" s="14">
        <v>1</v>
      </c>
      <c r="R1327" s="229">
        <v>0</v>
      </c>
      <c r="S1327" s="229">
        <v>0</v>
      </c>
      <c r="T1327" s="229">
        <v>0</v>
      </c>
      <c r="U1327" s="229">
        <v>0</v>
      </c>
      <c r="V1327" s="229">
        <v>0</v>
      </c>
      <c r="W1327" s="229">
        <v>10</v>
      </c>
      <c r="X1327" s="229">
        <v>0</v>
      </c>
      <c r="Y1327" s="229">
        <v>0</v>
      </c>
      <c r="Z1327" s="229">
        <v>0</v>
      </c>
      <c r="AA1327" s="229">
        <v>0</v>
      </c>
      <c r="AB1327" s="229">
        <v>0</v>
      </c>
      <c r="AC1327" s="12">
        <v>2</v>
      </c>
      <c r="AD1327" s="14">
        <v>3</v>
      </c>
      <c r="AE1327" s="14">
        <v>65</v>
      </c>
      <c r="AF1327" s="26">
        <v>319</v>
      </c>
      <c r="AG1327" s="12">
        <v>53</v>
      </c>
      <c r="AH1327" s="14">
        <v>1</v>
      </c>
      <c r="AI1327" s="209"/>
      <c r="AJ1327" s="3"/>
      <c r="AK1327" s="3"/>
      <c r="AL1327" s="3"/>
      <c r="AM1327" s="3"/>
      <c r="AN1327" s="3"/>
      <c r="AO1327" s="40"/>
      <c r="AP1327" s="209"/>
      <c r="AQ1327" s="3"/>
      <c r="AR1327" s="40"/>
      <c r="AS1327" s="238"/>
    </row>
    <row r="1328" spans="1:45" s="229" customFormat="1">
      <c r="A1328" s="42" t="s">
        <v>326</v>
      </c>
      <c r="B1328" s="386">
        <v>46.86</v>
      </c>
      <c r="C1328" s="24" t="s">
        <v>127</v>
      </c>
      <c r="D1328" s="229" t="s">
        <v>726</v>
      </c>
      <c r="E1328" s="229" t="s">
        <v>2</v>
      </c>
      <c r="F1328" s="229">
        <v>118</v>
      </c>
      <c r="G1328" s="40">
        <f>F1328/74</f>
        <v>1.5945945945945945</v>
      </c>
      <c r="H1328" s="14">
        <v>1</v>
      </c>
      <c r="I1328" s="229">
        <v>0</v>
      </c>
      <c r="J1328" s="229">
        <v>0</v>
      </c>
      <c r="K1328" s="26">
        <v>0</v>
      </c>
      <c r="L1328" s="14">
        <v>0</v>
      </c>
      <c r="M1328" s="229">
        <v>0</v>
      </c>
      <c r="N1328" s="229">
        <v>0</v>
      </c>
      <c r="O1328" s="229">
        <v>0</v>
      </c>
      <c r="P1328" s="26">
        <v>0</v>
      </c>
      <c r="Q1328" s="14">
        <v>0</v>
      </c>
      <c r="R1328" s="229">
        <v>0</v>
      </c>
      <c r="S1328" s="229">
        <v>0</v>
      </c>
      <c r="T1328" s="229">
        <v>0</v>
      </c>
      <c r="U1328" s="229">
        <v>0</v>
      </c>
      <c r="V1328" s="229">
        <v>0</v>
      </c>
      <c r="W1328" s="229">
        <v>0</v>
      </c>
      <c r="X1328" s="229">
        <v>0</v>
      </c>
      <c r="Y1328" s="229">
        <v>0</v>
      </c>
      <c r="Z1328" s="229">
        <v>0</v>
      </c>
      <c r="AA1328" s="229">
        <v>0</v>
      </c>
      <c r="AB1328" s="229">
        <v>0</v>
      </c>
      <c r="AC1328" s="12">
        <v>1</v>
      </c>
      <c r="AD1328" s="14">
        <v>1</v>
      </c>
      <c r="AE1328" s="14">
        <v>0</v>
      </c>
      <c r="AF1328" s="26">
        <v>0</v>
      </c>
      <c r="AG1328" s="12">
        <v>53</v>
      </c>
      <c r="AH1328" s="14">
        <v>1</v>
      </c>
      <c r="AI1328" s="209"/>
      <c r="AJ1328" s="3"/>
      <c r="AK1328" s="3"/>
      <c r="AL1328" s="3"/>
      <c r="AM1328" s="3"/>
      <c r="AN1328" s="3"/>
      <c r="AO1328" s="40"/>
      <c r="AP1328" s="209"/>
      <c r="AQ1328" s="3"/>
      <c r="AR1328" s="40"/>
      <c r="AS1328" s="238"/>
    </row>
    <row r="1329" spans="1:45" s="229" customFormat="1">
      <c r="A1329" s="42" t="s">
        <v>326</v>
      </c>
      <c r="B1329" s="386">
        <v>46.86</v>
      </c>
      <c r="C1329" s="24" t="s">
        <v>127</v>
      </c>
      <c r="D1329" s="229" t="s">
        <v>741</v>
      </c>
      <c r="E1329" s="229" t="s">
        <v>0</v>
      </c>
      <c r="F1329" s="229">
        <v>1124</v>
      </c>
      <c r="G1329" s="40">
        <f>F1329/1053</f>
        <v>1.0674264007597341</v>
      </c>
      <c r="H1329" s="14">
        <v>0</v>
      </c>
      <c r="I1329" s="229">
        <v>0</v>
      </c>
      <c r="J1329" s="229">
        <v>1</v>
      </c>
      <c r="K1329" s="26">
        <v>0</v>
      </c>
      <c r="L1329" s="14">
        <v>0</v>
      </c>
      <c r="M1329" s="229">
        <v>0</v>
      </c>
      <c r="N1329" s="229">
        <v>0</v>
      </c>
      <c r="O1329" s="229">
        <v>0</v>
      </c>
      <c r="P1329" s="26">
        <v>0</v>
      </c>
      <c r="Q1329" s="14">
        <v>0</v>
      </c>
      <c r="R1329" s="229">
        <v>0</v>
      </c>
      <c r="S1329" s="229">
        <v>0</v>
      </c>
      <c r="T1329" s="229">
        <v>0</v>
      </c>
      <c r="U1329" s="229">
        <v>0</v>
      </c>
      <c r="V1329" s="229">
        <v>0</v>
      </c>
      <c r="W1329" s="229">
        <v>0</v>
      </c>
      <c r="X1329" s="229">
        <v>0</v>
      </c>
      <c r="Y1329" s="229">
        <v>0</v>
      </c>
      <c r="Z1329" s="229">
        <v>0</v>
      </c>
      <c r="AA1329" s="229">
        <v>0</v>
      </c>
      <c r="AB1329" s="229">
        <v>0</v>
      </c>
      <c r="AC1329" s="12">
        <v>1</v>
      </c>
      <c r="AD1329" s="14">
        <v>1</v>
      </c>
      <c r="AE1329" s="14">
        <v>0</v>
      </c>
      <c r="AF1329" s="26">
        <v>0</v>
      </c>
      <c r="AG1329" s="12">
        <v>89</v>
      </c>
      <c r="AH1329" s="14">
        <v>1</v>
      </c>
      <c r="AI1329" s="209">
        <v>87.384736712099837</v>
      </c>
      <c r="AJ1329" s="3"/>
      <c r="AK1329" s="3"/>
      <c r="AL1329" s="3"/>
      <c r="AM1329" s="3"/>
      <c r="AN1329" s="3"/>
      <c r="AO1329" s="40"/>
      <c r="AP1329" s="209">
        <v>87.191505218182954</v>
      </c>
      <c r="AQ1329" s="3"/>
      <c r="AR1329" s="40"/>
      <c r="AS1329" s="238"/>
    </row>
    <row r="1330" spans="1:45" s="229" customFormat="1">
      <c r="A1330" s="42" t="s">
        <v>326</v>
      </c>
      <c r="B1330" s="386">
        <v>46.86</v>
      </c>
      <c r="C1330" s="24" t="s">
        <v>127</v>
      </c>
      <c r="D1330" s="229" t="s">
        <v>741</v>
      </c>
      <c r="E1330" s="229" t="s">
        <v>1</v>
      </c>
      <c r="F1330" s="229">
        <v>1655</v>
      </c>
      <c r="G1330" s="40">
        <f>F1330/1408</f>
        <v>1.1754261363636365</v>
      </c>
      <c r="H1330" s="14">
        <v>0</v>
      </c>
      <c r="I1330" s="229">
        <v>0</v>
      </c>
      <c r="J1330" s="229">
        <v>1</v>
      </c>
      <c r="K1330" s="26">
        <v>0</v>
      </c>
      <c r="L1330" s="14">
        <v>0</v>
      </c>
      <c r="M1330" s="229">
        <v>0</v>
      </c>
      <c r="N1330" s="229">
        <v>0</v>
      </c>
      <c r="O1330" s="229">
        <v>0</v>
      </c>
      <c r="P1330" s="26">
        <v>0</v>
      </c>
      <c r="Q1330" s="14">
        <v>1</v>
      </c>
      <c r="R1330" s="229">
        <v>0</v>
      </c>
      <c r="S1330" s="229">
        <v>27</v>
      </c>
      <c r="T1330" s="229">
        <v>0</v>
      </c>
      <c r="U1330" s="229">
        <v>0</v>
      </c>
      <c r="V1330" s="229">
        <v>0</v>
      </c>
      <c r="W1330" s="229">
        <v>34</v>
      </c>
      <c r="X1330" s="229">
        <v>0</v>
      </c>
      <c r="Y1330" s="229">
        <v>0</v>
      </c>
      <c r="Z1330" s="229">
        <v>0</v>
      </c>
      <c r="AA1330" s="229">
        <v>0</v>
      </c>
      <c r="AB1330" s="229">
        <v>1</v>
      </c>
      <c r="AC1330" s="12">
        <v>2</v>
      </c>
      <c r="AD1330" s="14">
        <v>2</v>
      </c>
      <c r="AE1330" s="14">
        <v>651</v>
      </c>
      <c r="AF1330" s="26">
        <v>1655</v>
      </c>
      <c r="AG1330" s="12">
        <v>89</v>
      </c>
      <c r="AH1330" s="14">
        <v>1</v>
      </c>
      <c r="AI1330" s="209"/>
      <c r="AJ1330" s="3"/>
      <c r="AK1330" s="3"/>
      <c r="AL1330" s="3"/>
      <c r="AM1330" s="3"/>
      <c r="AN1330" s="3"/>
      <c r="AO1330" s="40"/>
      <c r="AP1330" s="209"/>
      <c r="AQ1330" s="3"/>
      <c r="AR1330" s="40"/>
      <c r="AS1330" s="238"/>
    </row>
    <row r="1331" spans="1:45" s="229" customFormat="1">
      <c r="A1331" s="42" t="s">
        <v>326</v>
      </c>
      <c r="B1331" s="386">
        <v>46.86</v>
      </c>
      <c r="C1331" s="24" t="s">
        <v>127</v>
      </c>
      <c r="D1331" s="229" t="s">
        <v>728</v>
      </c>
      <c r="F1331" s="229">
        <v>514</v>
      </c>
      <c r="G1331" s="40">
        <f>F1331/384</f>
        <v>1.3385416666666667</v>
      </c>
      <c r="H1331" s="14">
        <v>1</v>
      </c>
      <c r="I1331" s="229">
        <v>0</v>
      </c>
      <c r="J1331" s="229">
        <v>0</v>
      </c>
      <c r="K1331" s="26">
        <v>0</v>
      </c>
      <c r="L1331" s="14">
        <v>0</v>
      </c>
      <c r="M1331" s="229">
        <v>0</v>
      </c>
      <c r="N1331" s="229">
        <v>1</v>
      </c>
      <c r="O1331" s="229">
        <v>0</v>
      </c>
      <c r="P1331" s="26">
        <v>1</v>
      </c>
      <c r="Q1331" s="14">
        <v>2</v>
      </c>
      <c r="R1331" s="229">
        <v>0</v>
      </c>
      <c r="S1331" s="229">
        <v>0</v>
      </c>
      <c r="T1331" s="229">
        <v>0</v>
      </c>
      <c r="U1331" s="229">
        <v>0</v>
      </c>
      <c r="V1331" s="229">
        <v>0</v>
      </c>
      <c r="W1331" s="229">
        <v>26</v>
      </c>
      <c r="X1331" s="229">
        <v>0</v>
      </c>
      <c r="Y1331" s="229">
        <v>34</v>
      </c>
      <c r="Z1331" s="229">
        <v>0</v>
      </c>
      <c r="AA1331" s="229">
        <v>0</v>
      </c>
      <c r="AB1331" s="229">
        <v>1</v>
      </c>
      <c r="AC1331" s="12">
        <v>1</v>
      </c>
      <c r="AD1331" s="14">
        <v>1</v>
      </c>
      <c r="AE1331" s="14">
        <v>0</v>
      </c>
      <c r="AF1331" s="26">
        <v>0</v>
      </c>
      <c r="AG1331" s="12" t="s">
        <v>331</v>
      </c>
      <c r="AH1331" s="14">
        <v>1</v>
      </c>
      <c r="AI1331" s="209">
        <v>87.636668020548214</v>
      </c>
      <c r="AJ1331" s="3"/>
      <c r="AK1331" s="3"/>
      <c r="AL1331" s="3"/>
      <c r="AM1331" s="3"/>
      <c r="AN1331" s="3"/>
      <c r="AO1331" s="40"/>
      <c r="AP1331" s="209">
        <v>87.174185732808979</v>
      </c>
      <c r="AQ1331" s="3"/>
      <c r="AR1331" s="40"/>
      <c r="AS1331" s="238"/>
    </row>
    <row r="1332" spans="1:45" s="229" customFormat="1">
      <c r="A1332" s="42" t="s">
        <v>326</v>
      </c>
      <c r="B1332" s="386">
        <v>46.86</v>
      </c>
      <c r="C1332" s="24" t="s">
        <v>127</v>
      </c>
      <c r="D1332" s="229" t="s">
        <v>729</v>
      </c>
      <c r="E1332" s="229" t="s">
        <v>0</v>
      </c>
      <c r="F1332" s="229">
        <v>165</v>
      </c>
      <c r="G1332" s="40">
        <f>F1332/139</f>
        <v>1.1870503597122302</v>
      </c>
      <c r="H1332" s="14">
        <v>1</v>
      </c>
      <c r="I1332" s="229">
        <v>0</v>
      </c>
      <c r="J1332" s="229">
        <v>0</v>
      </c>
      <c r="K1332" s="26">
        <v>0</v>
      </c>
      <c r="L1332" s="14">
        <v>0</v>
      </c>
      <c r="M1332" s="229">
        <v>0</v>
      </c>
      <c r="N1332" s="229">
        <v>1</v>
      </c>
      <c r="O1332" s="229">
        <v>0</v>
      </c>
      <c r="P1332" s="26">
        <v>1</v>
      </c>
      <c r="Q1332" s="14">
        <v>1</v>
      </c>
      <c r="R1332" s="229">
        <v>0</v>
      </c>
      <c r="S1332" s="229">
        <v>3</v>
      </c>
      <c r="T1332" s="229">
        <v>0</v>
      </c>
      <c r="U1332" s="229">
        <v>0</v>
      </c>
      <c r="V1332" s="229">
        <v>0</v>
      </c>
      <c r="W1332" s="229">
        <v>0</v>
      </c>
      <c r="X1332" s="229">
        <v>0</v>
      </c>
      <c r="Y1332" s="229">
        <v>0</v>
      </c>
      <c r="Z1332" s="229">
        <v>0</v>
      </c>
      <c r="AA1332" s="229">
        <v>0</v>
      </c>
      <c r="AB1332" s="229">
        <v>1</v>
      </c>
      <c r="AC1332" s="12">
        <v>1</v>
      </c>
      <c r="AD1332" s="14">
        <v>1</v>
      </c>
      <c r="AE1332" s="14">
        <v>0</v>
      </c>
      <c r="AF1332" s="26">
        <v>0</v>
      </c>
      <c r="AG1332" s="12">
        <v>73</v>
      </c>
      <c r="AH1332" s="14">
        <v>1</v>
      </c>
      <c r="AI1332" s="209"/>
      <c r="AJ1332" s="3"/>
      <c r="AK1332" s="3"/>
      <c r="AL1332" s="3"/>
      <c r="AM1332" s="3"/>
      <c r="AN1332" s="3"/>
      <c r="AO1332" s="40"/>
      <c r="AP1332" s="209"/>
      <c r="AQ1332" s="3"/>
      <c r="AR1332" s="40"/>
      <c r="AS1332" s="238"/>
    </row>
    <row r="1333" spans="1:45" s="229" customFormat="1">
      <c r="A1333" s="42" t="s">
        <v>326</v>
      </c>
      <c r="B1333" s="386">
        <v>46.86</v>
      </c>
      <c r="C1333" s="24" t="s">
        <v>127</v>
      </c>
      <c r="D1333" s="229" t="s">
        <v>729</v>
      </c>
      <c r="E1333" s="229" t="s">
        <v>1</v>
      </c>
      <c r="F1333" s="229">
        <v>219</v>
      </c>
      <c r="G1333" s="40">
        <f>F1333/162</f>
        <v>1.3518518518518519</v>
      </c>
      <c r="H1333" s="14">
        <v>0</v>
      </c>
      <c r="I1333" s="229">
        <v>0</v>
      </c>
      <c r="J1333" s="229">
        <v>0</v>
      </c>
      <c r="K1333" s="26">
        <v>1</v>
      </c>
      <c r="L1333" s="14">
        <v>0</v>
      </c>
      <c r="M1333" s="229">
        <v>0</v>
      </c>
      <c r="N1333" s="229">
        <v>0</v>
      </c>
      <c r="O1333" s="229">
        <v>0</v>
      </c>
      <c r="P1333" s="26">
        <v>0</v>
      </c>
      <c r="Q1333" s="14">
        <v>1</v>
      </c>
      <c r="R1333" s="229">
        <v>0</v>
      </c>
      <c r="S1333" s="229">
        <v>4</v>
      </c>
      <c r="T1333" s="229">
        <v>0</v>
      </c>
      <c r="U1333" s="229">
        <v>0</v>
      </c>
      <c r="V1333" s="229">
        <v>0</v>
      </c>
      <c r="W1333" s="229">
        <v>0</v>
      </c>
      <c r="X1333" s="229">
        <v>0</v>
      </c>
      <c r="Y1333" s="229">
        <v>0</v>
      </c>
      <c r="Z1333" s="229">
        <v>0</v>
      </c>
      <c r="AA1333" s="229">
        <v>0</v>
      </c>
      <c r="AB1333" s="229">
        <v>1</v>
      </c>
      <c r="AC1333" s="12">
        <v>2</v>
      </c>
      <c r="AD1333" s="14">
        <v>3</v>
      </c>
      <c r="AE1333" s="14">
        <v>59</v>
      </c>
      <c r="AF1333" s="26">
        <v>138</v>
      </c>
      <c r="AG1333" s="12">
        <v>73</v>
      </c>
      <c r="AH1333" s="14">
        <v>1</v>
      </c>
      <c r="AI1333" s="209"/>
      <c r="AJ1333" s="3"/>
      <c r="AK1333" s="3"/>
      <c r="AL1333" s="3"/>
      <c r="AM1333" s="3"/>
      <c r="AN1333" s="3"/>
      <c r="AO1333" s="40"/>
      <c r="AP1333" s="209"/>
      <c r="AQ1333" s="3"/>
      <c r="AR1333" s="40"/>
      <c r="AS1333" s="238"/>
    </row>
    <row r="1334" spans="1:45" s="229" customFormat="1">
      <c r="A1334" s="42" t="s">
        <v>326</v>
      </c>
      <c r="B1334" s="386">
        <v>46.86</v>
      </c>
      <c r="C1334" s="24" t="s">
        <v>127</v>
      </c>
      <c r="D1334" s="229" t="s">
        <v>729</v>
      </c>
      <c r="E1334" s="229" t="s">
        <v>2</v>
      </c>
      <c r="F1334" s="229">
        <v>249</v>
      </c>
      <c r="G1334" s="40">
        <f>F1334/173</f>
        <v>1.4393063583815029</v>
      </c>
      <c r="H1334" s="14">
        <v>0</v>
      </c>
      <c r="I1334" s="229">
        <v>0</v>
      </c>
      <c r="J1334" s="229">
        <v>1</v>
      </c>
      <c r="K1334" s="26">
        <v>1</v>
      </c>
      <c r="L1334" s="14">
        <v>0</v>
      </c>
      <c r="M1334" s="229">
        <v>0</v>
      </c>
      <c r="N1334" s="229">
        <v>0</v>
      </c>
      <c r="O1334" s="229">
        <v>0</v>
      </c>
      <c r="P1334" s="26">
        <v>0</v>
      </c>
      <c r="Q1334" s="14">
        <v>0</v>
      </c>
      <c r="R1334" s="229">
        <v>0</v>
      </c>
      <c r="S1334" s="229">
        <v>0</v>
      </c>
      <c r="T1334" s="229">
        <v>0</v>
      </c>
      <c r="U1334" s="229">
        <v>0</v>
      </c>
      <c r="V1334" s="229">
        <v>0</v>
      </c>
      <c r="W1334" s="229">
        <v>0</v>
      </c>
      <c r="X1334" s="229">
        <v>0</v>
      </c>
      <c r="Y1334" s="229">
        <v>0</v>
      </c>
      <c r="Z1334" s="229">
        <v>0</v>
      </c>
      <c r="AA1334" s="229">
        <v>0</v>
      </c>
      <c r="AB1334" s="229">
        <v>0</v>
      </c>
      <c r="AC1334" s="12">
        <v>2</v>
      </c>
      <c r="AD1334" s="14">
        <v>2</v>
      </c>
      <c r="AE1334" s="14">
        <v>94</v>
      </c>
      <c r="AF1334" s="26">
        <v>190</v>
      </c>
      <c r="AG1334" s="12">
        <v>73</v>
      </c>
      <c r="AH1334" s="14">
        <v>1</v>
      </c>
      <c r="AI1334" s="209"/>
      <c r="AJ1334" s="3"/>
      <c r="AK1334" s="3"/>
      <c r="AL1334" s="3"/>
      <c r="AM1334" s="3"/>
      <c r="AN1334" s="3"/>
      <c r="AO1334" s="40"/>
      <c r="AP1334" s="209"/>
      <c r="AQ1334" s="3"/>
      <c r="AR1334" s="40"/>
      <c r="AS1334" s="238"/>
    </row>
    <row r="1335" spans="1:45" s="229" customFormat="1">
      <c r="A1335" s="42" t="s">
        <v>326</v>
      </c>
      <c r="B1335" s="386">
        <v>46.86</v>
      </c>
      <c r="C1335" s="24" t="s">
        <v>127</v>
      </c>
      <c r="D1335" s="229" t="s">
        <v>729</v>
      </c>
      <c r="E1335" s="229" t="s">
        <v>3</v>
      </c>
      <c r="F1335" s="229">
        <v>142</v>
      </c>
      <c r="G1335" s="40">
        <f>F1335/127</f>
        <v>1.1181102362204725</v>
      </c>
      <c r="H1335" s="14">
        <v>0</v>
      </c>
      <c r="I1335" s="229">
        <v>0</v>
      </c>
      <c r="J1335" s="229">
        <v>0</v>
      </c>
      <c r="K1335" s="26">
        <v>1</v>
      </c>
      <c r="L1335" s="14">
        <v>0</v>
      </c>
      <c r="M1335" s="229">
        <v>0</v>
      </c>
      <c r="N1335" s="229">
        <v>0</v>
      </c>
      <c r="O1335" s="229">
        <v>0</v>
      </c>
      <c r="P1335" s="26">
        <v>0</v>
      </c>
      <c r="Q1335" s="14">
        <v>0</v>
      </c>
      <c r="R1335" s="229">
        <v>0</v>
      </c>
      <c r="S1335" s="229">
        <v>0</v>
      </c>
      <c r="T1335" s="229">
        <v>0</v>
      </c>
      <c r="U1335" s="229">
        <v>0</v>
      </c>
      <c r="V1335" s="229">
        <v>0</v>
      </c>
      <c r="W1335" s="229">
        <v>0</v>
      </c>
      <c r="X1335" s="229">
        <v>0</v>
      </c>
      <c r="Y1335" s="229">
        <v>0</v>
      </c>
      <c r="Z1335" s="229">
        <v>0</v>
      </c>
      <c r="AA1335" s="229">
        <v>0</v>
      </c>
      <c r="AB1335" s="229">
        <v>0</v>
      </c>
      <c r="AC1335" s="12">
        <v>2</v>
      </c>
      <c r="AD1335" s="14">
        <v>2</v>
      </c>
      <c r="AE1335" s="14">
        <v>102</v>
      </c>
      <c r="AF1335" s="26">
        <v>127</v>
      </c>
      <c r="AG1335" s="12">
        <v>73</v>
      </c>
      <c r="AH1335" s="14">
        <v>1</v>
      </c>
      <c r="AI1335" s="209"/>
      <c r="AJ1335" s="3"/>
      <c r="AK1335" s="3"/>
      <c r="AL1335" s="3"/>
      <c r="AM1335" s="3"/>
      <c r="AN1335" s="3"/>
      <c r="AO1335" s="40"/>
      <c r="AP1335" s="209"/>
      <c r="AQ1335" s="3"/>
      <c r="AR1335" s="40"/>
      <c r="AS1335" s="238"/>
    </row>
    <row r="1336" spans="1:45" s="229" customFormat="1">
      <c r="A1336" s="42" t="s">
        <v>326</v>
      </c>
      <c r="B1336" s="386">
        <v>46.86</v>
      </c>
      <c r="C1336" s="24" t="s">
        <v>127</v>
      </c>
      <c r="D1336" s="229" t="s">
        <v>731</v>
      </c>
      <c r="F1336" s="229">
        <v>545</v>
      </c>
      <c r="G1336" s="40">
        <f>F1336/271</f>
        <v>2.0110701107011071</v>
      </c>
      <c r="H1336" s="14">
        <v>1</v>
      </c>
      <c r="I1336" s="229">
        <v>0</v>
      </c>
      <c r="J1336" s="229">
        <v>0</v>
      </c>
      <c r="K1336" s="26">
        <v>0</v>
      </c>
      <c r="L1336" s="14">
        <v>0</v>
      </c>
      <c r="M1336" s="229">
        <v>0</v>
      </c>
      <c r="N1336" s="229">
        <v>0</v>
      </c>
      <c r="O1336" s="229">
        <v>0</v>
      </c>
      <c r="P1336" s="26">
        <v>0</v>
      </c>
      <c r="Q1336" s="14">
        <v>1</v>
      </c>
      <c r="R1336" s="229">
        <v>0</v>
      </c>
      <c r="S1336" s="229">
        <v>0</v>
      </c>
      <c r="T1336" s="229">
        <v>0</v>
      </c>
      <c r="U1336" s="229">
        <v>0</v>
      </c>
      <c r="V1336" s="229">
        <v>0</v>
      </c>
      <c r="W1336" s="229">
        <v>24</v>
      </c>
      <c r="X1336" s="229">
        <v>0</v>
      </c>
      <c r="Y1336" s="229">
        <v>0</v>
      </c>
      <c r="Z1336" s="229">
        <v>0</v>
      </c>
      <c r="AA1336" s="229">
        <v>0</v>
      </c>
      <c r="AB1336" s="229">
        <v>1</v>
      </c>
      <c r="AC1336" s="12">
        <v>1</v>
      </c>
      <c r="AD1336" s="14">
        <v>1</v>
      </c>
      <c r="AE1336" s="14">
        <v>0</v>
      </c>
      <c r="AF1336" s="26">
        <v>0</v>
      </c>
      <c r="AG1336" s="12" t="s">
        <v>331</v>
      </c>
      <c r="AH1336" s="14">
        <v>1</v>
      </c>
      <c r="AI1336" s="209">
        <v>87.472894161900896</v>
      </c>
      <c r="AJ1336" s="3"/>
      <c r="AK1336" s="3"/>
      <c r="AL1336" s="3"/>
      <c r="AM1336" s="3"/>
      <c r="AN1336" s="3"/>
      <c r="AO1336" s="40"/>
      <c r="AP1336" s="209">
        <v>87.139227412761798</v>
      </c>
      <c r="AQ1336" s="3"/>
      <c r="AR1336" s="40"/>
      <c r="AS1336" s="238"/>
    </row>
    <row r="1337" spans="1:45" s="229" customFormat="1">
      <c r="A1337" s="42" t="s">
        <v>326</v>
      </c>
      <c r="B1337" s="386">
        <v>46.86</v>
      </c>
      <c r="C1337" s="24" t="s">
        <v>127</v>
      </c>
      <c r="D1337" s="229" t="s">
        <v>744</v>
      </c>
      <c r="F1337" s="229">
        <v>342</v>
      </c>
      <c r="G1337" s="40">
        <f>F1337/159</f>
        <v>2.1509433962264151</v>
      </c>
      <c r="H1337" s="14">
        <v>0</v>
      </c>
      <c r="I1337" s="229">
        <v>0</v>
      </c>
      <c r="J1337" s="229">
        <v>1</v>
      </c>
      <c r="K1337" s="26">
        <v>0</v>
      </c>
      <c r="L1337" s="14">
        <v>0</v>
      </c>
      <c r="M1337" s="229">
        <v>0</v>
      </c>
      <c r="N1337" s="229">
        <v>0</v>
      </c>
      <c r="O1337" s="229">
        <v>1</v>
      </c>
      <c r="P1337" s="26">
        <v>1</v>
      </c>
      <c r="Q1337" s="14">
        <v>2</v>
      </c>
      <c r="R1337" s="229">
        <v>0</v>
      </c>
      <c r="S1337" s="229">
        <v>9</v>
      </c>
      <c r="T1337" s="229">
        <v>0</v>
      </c>
      <c r="U1337" s="229">
        <v>0</v>
      </c>
      <c r="V1337" s="229">
        <v>0</v>
      </c>
      <c r="W1337" s="229">
        <v>16</v>
      </c>
      <c r="X1337" s="229">
        <v>0</v>
      </c>
      <c r="Y1337" s="229">
        <v>0</v>
      </c>
      <c r="Z1337" s="229">
        <v>0</v>
      </c>
      <c r="AA1337" s="229">
        <v>0</v>
      </c>
      <c r="AB1337" s="229">
        <v>1</v>
      </c>
      <c r="AC1337" s="12">
        <v>1</v>
      </c>
      <c r="AD1337" s="14">
        <v>1</v>
      </c>
      <c r="AE1337" s="14">
        <v>0</v>
      </c>
      <c r="AF1337" s="26">
        <v>0</v>
      </c>
      <c r="AG1337" s="12" t="s">
        <v>331</v>
      </c>
      <c r="AH1337" s="14">
        <v>0</v>
      </c>
      <c r="AI1337" s="209"/>
      <c r="AJ1337" s="3"/>
      <c r="AK1337" s="3"/>
      <c r="AL1337" s="3"/>
      <c r="AM1337" s="3"/>
      <c r="AN1337" s="3"/>
      <c r="AO1337" s="40"/>
      <c r="AP1337" s="209"/>
      <c r="AQ1337" s="3"/>
      <c r="AR1337" s="40"/>
      <c r="AS1337" s="238"/>
    </row>
    <row r="1338" spans="1:45" s="229" customFormat="1" ht="16" customHeight="1">
      <c r="A1338" s="42" t="s">
        <v>326</v>
      </c>
      <c r="B1338" s="386">
        <v>46.86</v>
      </c>
      <c r="C1338" s="24" t="s">
        <v>127</v>
      </c>
      <c r="D1338" s="229" t="s">
        <v>732</v>
      </c>
      <c r="F1338" s="229">
        <v>376</v>
      </c>
      <c r="G1338" s="40">
        <f>F1338/307</f>
        <v>1.224755700325733</v>
      </c>
      <c r="H1338" s="14">
        <v>0</v>
      </c>
      <c r="I1338" s="229">
        <v>1</v>
      </c>
      <c r="J1338" s="229">
        <v>0</v>
      </c>
      <c r="K1338" s="26">
        <v>1</v>
      </c>
      <c r="L1338" s="14">
        <v>0</v>
      </c>
      <c r="M1338" s="229">
        <v>0</v>
      </c>
      <c r="N1338" s="229">
        <v>0</v>
      </c>
      <c r="O1338" s="229">
        <v>0</v>
      </c>
      <c r="P1338" s="26">
        <v>0</v>
      </c>
      <c r="Q1338" s="14">
        <v>15</v>
      </c>
      <c r="R1338" s="229">
        <v>6</v>
      </c>
      <c r="S1338" s="229">
        <v>29</v>
      </c>
      <c r="T1338" s="229">
        <v>0</v>
      </c>
      <c r="U1338" s="229">
        <v>0</v>
      </c>
      <c r="V1338" s="229">
        <v>5</v>
      </c>
      <c r="W1338" s="229">
        <v>18</v>
      </c>
      <c r="X1338" s="229">
        <v>0</v>
      </c>
      <c r="Y1338" s="229">
        <v>57</v>
      </c>
      <c r="Z1338" s="229">
        <v>0</v>
      </c>
      <c r="AA1338" s="229">
        <v>0</v>
      </c>
      <c r="AB1338" s="229">
        <v>1</v>
      </c>
      <c r="AC1338" s="12">
        <v>2</v>
      </c>
      <c r="AD1338" s="14">
        <v>4</v>
      </c>
      <c r="AE1338" s="14">
        <v>96</v>
      </c>
      <c r="AF1338" s="26">
        <v>232</v>
      </c>
      <c r="AG1338" s="12" t="s">
        <v>331</v>
      </c>
      <c r="AH1338" s="14">
        <v>0</v>
      </c>
      <c r="AI1338" s="209">
        <v>87.331001869069752</v>
      </c>
      <c r="AJ1338" s="3">
        <v>87.138754145855287</v>
      </c>
      <c r="AK1338" s="3"/>
      <c r="AL1338" s="3"/>
      <c r="AM1338" s="3"/>
      <c r="AN1338" s="3"/>
      <c r="AO1338" s="40"/>
      <c r="AP1338" s="209"/>
      <c r="AQ1338" s="3"/>
      <c r="AR1338" s="40"/>
      <c r="AS1338" s="238"/>
    </row>
    <row r="1339" spans="1:45" s="229" customFormat="1">
      <c r="A1339" s="42" t="s">
        <v>326</v>
      </c>
      <c r="B1339" s="386">
        <v>46.86</v>
      </c>
      <c r="C1339" s="24" t="s">
        <v>127</v>
      </c>
      <c r="D1339" s="229" t="s">
        <v>733</v>
      </c>
      <c r="E1339" s="229" t="s">
        <v>0</v>
      </c>
      <c r="F1339" s="229">
        <v>112</v>
      </c>
      <c r="G1339" s="40">
        <f>F1339/71</f>
        <v>1.5774647887323943</v>
      </c>
      <c r="H1339" s="14">
        <v>0</v>
      </c>
      <c r="I1339" s="229">
        <v>0</v>
      </c>
      <c r="J1339" s="229">
        <v>0</v>
      </c>
      <c r="K1339" s="26">
        <v>1</v>
      </c>
      <c r="L1339" s="14">
        <v>0</v>
      </c>
      <c r="M1339" s="229">
        <v>0</v>
      </c>
      <c r="N1339" s="229">
        <v>0</v>
      </c>
      <c r="O1339" s="229">
        <v>0</v>
      </c>
      <c r="P1339" s="26">
        <v>0</v>
      </c>
      <c r="Q1339" s="14">
        <v>5</v>
      </c>
      <c r="R1339" s="229">
        <v>0</v>
      </c>
      <c r="S1339" s="229">
        <v>0</v>
      </c>
      <c r="T1339" s="229">
        <v>0</v>
      </c>
      <c r="U1339" s="229">
        <v>0</v>
      </c>
      <c r="V1339" s="229">
        <v>0</v>
      </c>
      <c r="W1339" s="229">
        <v>16</v>
      </c>
      <c r="X1339" s="229">
        <v>0</v>
      </c>
      <c r="Y1339" s="229">
        <v>0</v>
      </c>
      <c r="Z1339" s="229">
        <v>0</v>
      </c>
      <c r="AA1339" s="229">
        <v>0</v>
      </c>
      <c r="AB1339" s="229">
        <v>0</v>
      </c>
      <c r="AC1339" s="12">
        <v>1</v>
      </c>
      <c r="AD1339" s="14">
        <v>1</v>
      </c>
      <c r="AE1339" s="14">
        <v>0</v>
      </c>
      <c r="AF1339" s="26">
        <v>0</v>
      </c>
      <c r="AG1339" s="12" t="s">
        <v>331</v>
      </c>
      <c r="AH1339" s="14">
        <v>1</v>
      </c>
      <c r="AI1339" s="209"/>
      <c r="AJ1339" s="3"/>
      <c r="AK1339" s="3"/>
      <c r="AL1339" s="3"/>
      <c r="AM1339" s="3"/>
      <c r="AN1339" s="3"/>
      <c r="AO1339" s="40"/>
      <c r="AP1339" s="209"/>
      <c r="AQ1339" s="3"/>
      <c r="AR1339" s="40"/>
      <c r="AS1339" s="238"/>
    </row>
    <row r="1340" spans="1:45" s="229" customFormat="1">
      <c r="A1340" s="42" t="s">
        <v>326</v>
      </c>
      <c r="B1340" s="386">
        <v>46.86</v>
      </c>
      <c r="C1340" s="24" t="s">
        <v>127</v>
      </c>
      <c r="D1340" s="229" t="s">
        <v>733</v>
      </c>
      <c r="E1340" s="229" t="s">
        <v>1</v>
      </c>
      <c r="F1340" s="229">
        <v>746</v>
      </c>
      <c r="G1340" s="40">
        <f>F1340/447</f>
        <v>1.6689038031319912</v>
      </c>
      <c r="H1340" s="14">
        <v>1</v>
      </c>
      <c r="I1340" s="229">
        <v>0</v>
      </c>
      <c r="J1340" s="229">
        <v>1</v>
      </c>
      <c r="K1340" s="26">
        <v>0</v>
      </c>
      <c r="L1340" s="14">
        <v>0</v>
      </c>
      <c r="M1340" s="229">
        <v>0</v>
      </c>
      <c r="N1340" s="229">
        <v>1</v>
      </c>
      <c r="O1340" s="229">
        <v>0</v>
      </c>
      <c r="P1340" s="26">
        <v>1</v>
      </c>
      <c r="Q1340" s="14">
        <v>1</v>
      </c>
      <c r="R1340" s="229">
        <v>0</v>
      </c>
      <c r="S1340" s="229">
        <v>0</v>
      </c>
      <c r="T1340" s="229">
        <v>0</v>
      </c>
      <c r="U1340" s="229">
        <v>0</v>
      </c>
      <c r="V1340" s="229">
        <v>0</v>
      </c>
      <c r="W1340" s="229">
        <v>25</v>
      </c>
      <c r="X1340" s="229">
        <v>0</v>
      </c>
      <c r="Y1340" s="229">
        <v>0</v>
      </c>
      <c r="Z1340" s="229">
        <v>0</v>
      </c>
      <c r="AA1340" s="229">
        <v>0</v>
      </c>
      <c r="AB1340" s="229">
        <v>0</v>
      </c>
      <c r="AC1340" s="12">
        <v>2</v>
      </c>
      <c r="AD1340" s="14">
        <v>3</v>
      </c>
      <c r="AE1340" s="14">
        <v>104</v>
      </c>
      <c r="AF1340" s="26">
        <v>698</v>
      </c>
      <c r="AG1340" s="12" t="s">
        <v>331</v>
      </c>
      <c r="AH1340" s="14">
        <v>1</v>
      </c>
      <c r="AI1340" s="209"/>
      <c r="AJ1340" s="3"/>
      <c r="AK1340" s="3"/>
      <c r="AL1340" s="3"/>
      <c r="AM1340" s="3"/>
      <c r="AN1340" s="3"/>
      <c r="AO1340" s="40"/>
      <c r="AP1340" s="209"/>
      <c r="AQ1340" s="3"/>
      <c r="AR1340" s="40"/>
      <c r="AS1340" s="238"/>
    </row>
    <row r="1341" spans="1:45" s="229" customFormat="1">
      <c r="A1341" s="42" t="s">
        <v>326</v>
      </c>
      <c r="B1341" s="386">
        <v>46.86</v>
      </c>
      <c r="C1341" s="24" t="s">
        <v>127</v>
      </c>
      <c r="D1341" s="229" t="s">
        <v>745</v>
      </c>
      <c r="E1341" s="229" t="s">
        <v>0</v>
      </c>
      <c r="F1341" s="229">
        <v>190</v>
      </c>
      <c r="G1341" s="40">
        <f>F1341/116</f>
        <v>1.6379310344827587</v>
      </c>
      <c r="H1341" s="14">
        <v>1</v>
      </c>
      <c r="I1341" s="229">
        <v>0</v>
      </c>
      <c r="J1341" s="229">
        <v>0</v>
      </c>
      <c r="K1341" s="26">
        <v>0</v>
      </c>
      <c r="L1341" s="14">
        <v>0</v>
      </c>
      <c r="M1341" s="229">
        <v>0</v>
      </c>
      <c r="N1341" s="229">
        <v>0</v>
      </c>
      <c r="O1341" s="229">
        <v>0</v>
      </c>
      <c r="P1341" s="26">
        <v>0</v>
      </c>
      <c r="Q1341" s="14">
        <v>0</v>
      </c>
      <c r="R1341" s="229">
        <v>0</v>
      </c>
      <c r="S1341" s="229">
        <v>0</v>
      </c>
      <c r="T1341" s="229">
        <v>0</v>
      </c>
      <c r="U1341" s="229">
        <v>0</v>
      </c>
      <c r="V1341" s="229">
        <v>0</v>
      </c>
      <c r="W1341" s="229">
        <v>0</v>
      </c>
      <c r="X1341" s="229">
        <v>0</v>
      </c>
      <c r="Y1341" s="229">
        <v>0</v>
      </c>
      <c r="Z1341" s="229">
        <v>0</v>
      </c>
      <c r="AA1341" s="229">
        <v>0</v>
      </c>
      <c r="AB1341" s="229">
        <v>0</v>
      </c>
      <c r="AC1341" s="12">
        <v>1</v>
      </c>
      <c r="AD1341" s="14">
        <v>1</v>
      </c>
      <c r="AE1341" s="14">
        <v>0</v>
      </c>
      <c r="AF1341" s="26">
        <v>0</v>
      </c>
      <c r="AG1341" s="12">
        <v>63</v>
      </c>
      <c r="AH1341" s="14">
        <v>1</v>
      </c>
      <c r="AI1341" s="209">
        <v>87.197824555556707</v>
      </c>
      <c r="AJ1341" s="3"/>
      <c r="AK1341" s="3"/>
      <c r="AL1341" s="3"/>
      <c r="AM1341" s="3"/>
      <c r="AN1341" s="3"/>
      <c r="AO1341" s="40"/>
      <c r="AP1341" s="209">
        <v>86.743845120364909</v>
      </c>
      <c r="AQ1341" s="3"/>
      <c r="AR1341" s="40"/>
      <c r="AS1341" s="238"/>
    </row>
    <row r="1342" spans="1:45" s="229" customFormat="1">
      <c r="A1342" s="42" t="s">
        <v>326</v>
      </c>
      <c r="B1342" s="386">
        <v>46.86</v>
      </c>
      <c r="C1342" s="24" t="s">
        <v>127</v>
      </c>
      <c r="D1342" s="229" t="s">
        <v>745</v>
      </c>
      <c r="E1342" s="229" t="s">
        <v>1</v>
      </c>
      <c r="F1342" s="229">
        <v>109</v>
      </c>
      <c r="G1342" s="40">
        <f>F1342/85</f>
        <v>1.2823529411764707</v>
      </c>
      <c r="H1342" s="14">
        <v>1</v>
      </c>
      <c r="I1342" s="229">
        <v>0</v>
      </c>
      <c r="J1342" s="229">
        <v>0</v>
      </c>
      <c r="K1342" s="26">
        <v>1</v>
      </c>
      <c r="L1342" s="14">
        <v>0</v>
      </c>
      <c r="M1342" s="229">
        <v>0</v>
      </c>
      <c r="N1342" s="229">
        <v>0</v>
      </c>
      <c r="O1342" s="229">
        <v>0</v>
      </c>
      <c r="P1342" s="26">
        <v>0</v>
      </c>
      <c r="Q1342" s="14">
        <v>0</v>
      </c>
      <c r="R1342" s="229">
        <v>0</v>
      </c>
      <c r="S1342" s="229">
        <v>0</v>
      </c>
      <c r="T1342" s="229">
        <v>0</v>
      </c>
      <c r="U1342" s="229">
        <v>0</v>
      </c>
      <c r="V1342" s="229">
        <v>0</v>
      </c>
      <c r="W1342" s="229">
        <v>0</v>
      </c>
      <c r="X1342" s="229">
        <v>0</v>
      </c>
      <c r="Y1342" s="229">
        <v>0</v>
      </c>
      <c r="Z1342" s="229">
        <v>0</v>
      </c>
      <c r="AA1342" s="229">
        <v>0</v>
      </c>
      <c r="AB1342" s="229">
        <v>0</v>
      </c>
      <c r="AC1342" s="12">
        <v>2</v>
      </c>
      <c r="AD1342" s="14">
        <v>2</v>
      </c>
      <c r="AE1342" s="14">
        <v>78</v>
      </c>
      <c r="AF1342" s="26">
        <v>92</v>
      </c>
      <c r="AG1342" s="12">
        <v>63</v>
      </c>
      <c r="AH1342" s="14">
        <v>1</v>
      </c>
      <c r="AI1342" s="209"/>
      <c r="AJ1342" s="3"/>
      <c r="AK1342" s="3"/>
      <c r="AL1342" s="3"/>
      <c r="AM1342" s="3"/>
      <c r="AN1342" s="3"/>
      <c r="AO1342" s="40"/>
      <c r="AP1342" s="209"/>
      <c r="AQ1342" s="3"/>
      <c r="AR1342" s="40"/>
      <c r="AS1342" s="238"/>
    </row>
    <row r="1343" spans="1:45" s="229" customFormat="1">
      <c r="A1343" s="42" t="s">
        <v>326</v>
      </c>
      <c r="B1343" s="386">
        <v>46.86</v>
      </c>
      <c r="C1343" s="24" t="s">
        <v>127</v>
      </c>
      <c r="D1343" s="229" t="s">
        <v>745</v>
      </c>
      <c r="E1343" s="229" t="s">
        <v>2</v>
      </c>
      <c r="F1343" s="229">
        <v>442</v>
      </c>
      <c r="G1343" s="40">
        <f>F1343/176</f>
        <v>2.5113636363636362</v>
      </c>
      <c r="H1343" s="14">
        <v>0</v>
      </c>
      <c r="I1343" s="229">
        <v>0</v>
      </c>
      <c r="J1343" s="229">
        <v>0</v>
      </c>
      <c r="K1343" s="26">
        <v>1</v>
      </c>
      <c r="L1343" s="14">
        <v>0</v>
      </c>
      <c r="M1343" s="229">
        <v>0</v>
      </c>
      <c r="N1343" s="229">
        <v>0</v>
      </c>
      <c r="O1343" s="229">
        <v>0</v>
      </c>
      <c r="P1343" s="26">
        <v>0</v>
      </c>
      <c r="Q1343" s="14">
        <v>2</v>
      </c>
      <c r="R1343" s="229">
        <v>0</v>
      </c>
      <c r="S1343" s="229">
        <v>0</v>
      </c>
      <c r="T1343" s="229">
        <v>0</v>
      </c>
      <c r="U1343" s="229">
        <v>0</v>
      </c>
      <c r="V1343" s="229">
        <v>29</v>
      </c>
      <c r="W1343" s="229">
        <v>62</v>
      </c>
      <c r="X1343" s="229">
        <v>0</v>
      </c>
      <c r="Y1343" s="229">
        <v>0</v>
      </c>
      <c r="Z1343" s="229">
        <v>0</v>
      </c>
      <c r="AA1343" s="229">
        <v>0</v>
      </c>
      <c r="AB1343" s="229">
        <v>0</v>
      </c>
      <c r="AC1343" s="12">
        <v>2</v>
      </c>
      <c r="AD1343" s="14">
        <v>4</v>
      </c>
      <c r="AE1343" s="14">
        <v>111</v>
      </c>
      <c r="AF1343" s="26">
        <v>224</v>
      </c>
      <c r="AG1343" s="12">
        <v>63</v>
      </c>
      <c r="AH1343" s="14">
        <v>1</v>
      </c>
      <c r="AI1343" s="209"/>
      <c r="AJ1343" s="3"/>
      <c r="AK1343" s="3"/>
      <c r="AL1343" s="3"/>
      <c r="AM1343" s="3"/>
      <c r="AN1343" s="3"/>
      <c r="AO1343" s="40"/>
      <c r="AP1343" s="209"/>
      <c r="AQ1343" s="3"/>
      <c r="AR1343" s="40"/>
      <c r="AS1343" s="238"/>
    </row>
    <row r="1344" spans="1:45" s="229" customFormat="1">
      <c r="A1344" s="42" t="s">
        <v>326</v>
      </c>
      <c r="B1344" s="386">
        <v>46.86</v>
      </c>
      <c r="C1344" s="24" t="s">
        <v>127</v>
      </c>
      <c r="D1344" s="24" t="s">
        <v>745</v>
      </c>
      <c r="E1344" s="229" t="s">
        <v>3</v>
      </c>
      <c r="F1344" s="229">
        <v>604</v>
      </c>
      <c r="G1344" s="40">
        <f>F1344/178</f>
        <v>3.393258426966292</v>
      </c>
      <c r="H1344" s="14">
        <v>0</v>
      </c>
      <c r="I1344" s="229">
        <v>0</v>
      </c>
      <c r="J1344" s="229">
        <v>0</v>
      </c>
      <c r="K1344" s="26">
        <v>1</v>
      </c>
      <c r="L1344" s="14">
        <v>0</v>
      </c>
      <c r="M1344" s="229">
        <v>0</v>
      </c>
      <c r="N1344" s="229">
        <v>0</v>
      </c>
      <c r="O1344" s="229">
        <v>0</v>
      </c>
      <c r="P1344" s="26">
        <v>0</v>
      </c>
      <c r="Q1344" s="14">
        <v>1</v>
      </c>
      <c r="R1344" s="229">
        <v>0</v>
      </c>
      <c r="S1344" s="229">
        <v>0</v>
      </c>
      <c r="T1344" s="229">
        <v>0</v>
      </c>
      <c r="U1344" s="229">
        <v>0</v>
      </c>
      <c r="V1344" s="229">
        <v>0</v>
      </c>
      <c r="W1344" s="229">
        <v>19</v>
      </c>
      <c r="X1344" s="229">
        <v>0</v>
      </c>
      <c r="Y1344" s="229">
        <v>0</v>
      </c>
      <c r="Z1344" s="229">
        <v>0</v>
      </c>
      <c r="AA1344" s="229">
        <v>0</v>
      </c>
      <c r="AB1344" s="229">
        <v>1</v>
      </c>
      <c r="AC1344" s="12">
        <v>2</v>
      </c>
      <c r="AD1344" s="14">
        <v>9</v>
      </c>
      <c r="AE1344" s="14">
        <v>27</v>
      </c>
      <c r="AF1344" s="26">
        <v>280</v>
      </c>
      <c r="AG1344" s="12">
        <v>63</v>
      </c>
      <c r="AH1344" s="14">
        <v>1</v>
      </c>
      <c r="AI1344" s="209">
        <v>87.256139999755916</v>
      </c>
      <c r="AJ1344" s="3">
        <v>87.146944702252341</v>
      </c>
      <c r="AK1344" s="3">
        <v>87.201326629686662</v>
      </c>
      <c r="AL1344" s="3">
        <v>87.195004982594057</v>
      </c>
      <c r="AM1344" s="3"/>
      <c r="AN1344" s="3"/>
      <c r="AO1344" s="40"/>
      <c r="AP1344" s="209">
        <v>86.873573798469295</v>
      </c>
      <c r="AQ1344" s="3"/>
      <c r="AR1344" s="40"/>
      <c r="AS1344" s="238"/>
    </row>
    <row r="1345" spans="1:45" s="229" customFormat="1">
      <c r="A1345" s="42" t="s">
        <v>326</v>
      </c>
      <c r="B1345" s="386">
        <v>46.86</v>
      </c>
      <c r="C1345" s="24" t="s">
        <v>127</v>
      </c>
      <c r="D1345" s="229" t="s">
        <v>734</v>
      </c>
      <c r="E1345" s="229" t="s">
        <v>0</v>
      </c>
      <c r="F1345" s="229">
        <v>217</v>
      </c>
      <c r="G1345" s="40">
        <f>F1345/189</f>
        <v>1.1481481481481481</v>
      </c>
      <c r="H1345" s="14">
        <v>0</v>
      </c>
      <c r="I1345" s="229">
        <v>0</v>
      </c>
      <c r="J1345" s="229">
        <v>0</v>
      </c>
      <c r="K1345" s="26">
        <v>1</v>
      </c>
      <c r="L1345" s="14">
        <v>0</v>
      </c>
      <c r="M1345" s="229">
        <v>0</v>
      </c>
      <c r="N1345" s="229">
        <v>0</v>
      </c>
      <c r="O1345" s="229">
        <v>0</v>
      </c>
      <c r="P1345" s="26">
        <v>0</v>
      </c>
      <c r="Q1345" s="14">
        <v>2</v>
      </c>
      <c r="R1345" s="229">
        <v>5</v>
      </c>
      <c r="S1345" s="229">
        <v>11</v>
      </c>
      <c r="T1345" s="229">
        <v>0</v>
      </c>
      <c r="U1345" s="229">
        <v>0</v>
      </c>
      <c r="V1345" s="229">
        <v>0</v>
      </c>
      <c r="W1345" s="229">
        <v>0</v>
      </c>
      <c r="X1345" s="229">
        <v>0</v>
      </c>
      <c r="Y1345" s="229">
        <v>0</v>
      </c>
      <c r="Z1345" s="229">
        <v>0</v>
      </c>
      <c r="AA1345" s="229">
        <v>0</v>
      </c>
      <c r="AB1345" s="229">
        <v>1</v>
      </c>
      <c r="AC1345" s="12">
        <v>2</v>
      </c>
      <c r="AD1345" s="14">
        <v>6</v>
      </c>
      <c r="AE1345" s="14">
        <v>50</v>
      </c>
      <c r="AF1345" s="26">
        <v>132</v>
      </c>
      <c r="AG1345" s="12">
        <v>68</v>
      </c>
      <c r="AH1345" s="14">
        <v>0</v>
      </c>
      <c r="AI1345" s="209"/>
      <c r="AJ1345" s="3"/>
      <c r="AK1345" s="3"/>
      <c r="AL1345" s="3"/>
      <c r="AM1345" s="3"/>
      <c r="AN1345" s="3"/>
      <c r="AO1345" s="40"/>
      <c r="AP1345" s="209"/>
      <c r="AQ1345" s="3"/>
      <c r="AR1345" s="40"/>
      <c r="AS1345" s="238"/>
    </row>
    <row r="1346" spans="1:45" s="229" customFormat="1">
      <c r="A1346" s="42" t="s">
        <v>326</v>
      </c>
      <c r="B1346" s="386">
        <v>46.86</v>
      </c>
      <c r="C1346" s="24" t="s">
        <v>127</v>
      </c>
      <c r="D1346" s="229" t="s">
        <v>734</v>
      </c>
      <c r="E1346" s="229" t="s">
        <v>1</v>
      </c>
      <c r="F1346" s="229">
        <v>130</v>
      </c>
      <c r="G1346" s="40">
        <f>F1346/96</f>
        <v>1.3541666666666667</v>
      </c>
      <c r="H1346" s="14">
        <v>0</v>
      </c>
      <c r="I1346" s="229">
        <v>0</v>
      </c>
      <c r="J1346" s="229">
        <v>0</v>
      </c>
      <c r="K1346" s="26">
        <v>1</v>
      </c>
      <c r="L1346" s="14">
        <v>0</v>
      </c>
      <c r="M1346" s="229">
        <v>0</v>
      </c>
      <c r="N1346" s="229">
        <v>0</v>
      </c>
      <c r="O1346" s="229">
        <v>0</v>
      </c>
      <c r="P1346" s="26">
        <v>0</v>
      </c>
      <c r="Q1346" s="14">
        <v>0</v>
      </c>
      <c r="R1346" s="229">
        <v>0</v>
      </c>
      <c r="S1346" s="229">
        <v>0</v>
      </c>
      <c r="T1346" s="229">
        <v>0</v>
      </c>
      <c r="U1346" s="229">
        <v>0</v>
      </c>
      <c r="V1346" s="229">
        <v>0</v>
      </c>
      <c r="W1346" s="229">
        <v>0</v>
      </c>
      <c r="X1346" s="229">
        <v>0</v>
      </c>
      <c r="Y1346" s="229">
        <v>0</v>
      </c>
      <c r="Z1346" s="229">
        <v>0</v>
      </c>
      <c r="AA1346" s="229">
        <v>0</v>
      </c>
      <c r="AB1346" s="229">
        <v>0</v>
      </c>
      <c r="AC1346" s="12">
        <v>2</v>
      </c>
      <c r="AD1346" s="14">
        <v>3</v>
      </c>
      <c r="AE1346" s="14">
        <v>34</v>
      </c>
      <c r="AF1346" s="26">
        <v>105</v>
      </c>
      <c r="AG1346" s="12">
        <v>68</v>
      </c>
      <c r="AH1346" s="14">
        <v>1</v>
      </c>
      <c r="AI1346" s="209"/>
      <c r="AJ1346" s="3"/>
      <c r="AK1346" s="3"/>
      <c r="AL1346" s="3"/>
      <c r="AM1346" s="3"/>
      <c r="AN1346" s="3"/>
      <c r="AO1346" s="40"/>
      <c r="AP1346" s="209"/>
      <c r="AQ1346" s="3"/>
      <c r="AR1346" s="40"/>
      <c r="AS1346" s="238"/>
    </row>
    <row r="1347" spans="1:45" s="229" customFormat="1" ht="17" thickBot="1">
      <c r="A1347" s="55" t="s">
        <v>326</v>
      </c>
      <c r="B1347" s="385">
        <v>46.86</v>
      </c>
      <c r="C1347" s="24" t="s">
        <v>127</v>
      </c>
      <c r="D1347" s="229" t="s">
        <v>734</v>
      </c>
      <c r="E1347" s="229" t="s">
        <v>2</v>
      </c>
      <c r="F1347" s="229">
        <v>361</v>
      </c>
      <c r="G1347" s="40">
        <f>F1347/204</f>
        <v>1.7696078431372548</v>
      </c>
      <c r="H1347" s="14">
        <v>1</v>
      </c>
      <c r="I1347" s="229">
        <v>0</v>
      </c>
      <c r="J1347" s="229">
        <v>0</v>
      </c>
      <c r="K1347" s="26">
        <v>1</v>
      </c>
      <c r="L1347" s="14">
        <v>0</v>
      </c>
      <c r="M1347" s="229">
        <v>0</v>
      </c>
      <c r="N1347" s="229">
        <v>0</v>
      </c>
      <c r="O1347" s="229">
        <v>0</v>
      </c>
      <c r="P1347" s="26">
        <v>0</v>
      </c>
      <c r="Q1347" s="14">
        <v>3</v>
      </c>
      <c r="R1347" s="229">
        <v>0</v>
      </c>
      <c r="S1347" s="229">
        <v>30</v>
      </c>
      <c r="T1347" s="229">
        <v>0</v>
      </c>
      <c r="U1347" s="229">
        <v>0</v>
      </c>
      <c r="V1347" s="229">
        <v>8</v>
      </c>
      <c r="W1347" s="229">
        <v>25</v>
      </c>
      <c r="X1347" s="229">
        <v>0</v>
      </c>
      <c r="Y1347" s="229">
        <v>14</v>
      </c>
      <c r="Z1347" s="229">
        <v>0</v>
      </c>
      <c r="AA1347" s="229">
        <v>0</v>
      </c>
      <c r="AB1347" s="229">
        <v>1</v>
      </c>
      <c r="AC1347" s="12">
        <v>2</v>
      </c>
      <c r="AD1347" s="14">
        <v>4</v>
      </c>
      <c r="AE1347" s="14">
        <v>40</v>
      </c>
      <c r="AF1347" s="26">
        <v>219</v>
      </c>
      <c r="AG1347" s="12">
        <v>68</v>
      </c>
      <c r="AH1347" s="14">
        <v>1</v>
      </c>
      <c r="AI1347" s="209"/>
      <c r="AJ1347" s="3"/>
      <c r="AK1347" s="3"/>
      <c r="AL1347" s="3"/>
      <c r="AM1347" s="3"/>
      <c r="AN1347" s="3"/>
      <c r="AO1347" s="40"/>
      <c r="AP1347" s="209"/>
      <c r="AQ1347" s="3"/>
      <c r="AR1347" s="40"/>
      <c r="AS1347" s="238"/>
    </row>
    <row r="1348" spans="1:45" s="229" customFormat="1">
      <c r="A1348" s="83" t="s">
        <v>326</v>
      </c>
      <c r="B1348" s="386">
        <v>46.86</v>
      </c>
      <c r="C1348" s="100" t="s">
        <v>128</v>
      </c>
      <c r="D1348" s="8" t="s">
        <v>618</v>
      </c>
      <c r="E1348" s="8" t="s">
        <v>1</v>
      </c>
      <c r="F1348" s="8">
        <v>152</v>
      </c>
      <c r="G1348" s="10">
        <f>F1348/111</f>
        <v>1.3693693693693694</v>
      </c>
      <c r="H1348" s="11">
        <v>0</v>
      </c>
      <c r="I1348" s="8">
        <v>0</v>
      </c>
      <c r="J1348" s="8">
        <v>0</v>
      </c>
      <c r="K1348" s="41">
        <v>1</v>
      </c>
      <c r="L1348" s="11">
        <v>0</v>
      </c>
      <c r="M1348" s="8">
        <v>0</v>
      </c>
      <c r="N1348" s="8">
        <v>1</v>
      </c>
      <c r="O1348" s="8">
        <v>0</v>
      </c>
      <c r="P1348" s="41">
        <v>1</v>
      </c>
      <c r="Q1348" s="11">
        <v>1</v>
      </c>
      <c r="R1348" s="8">
        <v>0</v>
      </c>
      <c r="S1348" s="8">
        <v>0</v>
      </c>
      <c r="T1348" s="8">
        <v>0</v>
      </c>
      <c r="U1348" s="8">
        <v>0</v>
      </c>
      <c r="V1348" s="8">
        <v>0</v>
      </c>
      <c r="W1348" s="8">
        <v>7</v>
      </c>
      <c r="X1348" s="8">
        <v>0</v>
      </c>
      <c r="Y1348" s="8">
        <v>0</v>
      </c>
      <c r="Z1348" s="8">
        <v>0</v>
      </c>
      <c r="AA1348" s="8">
        <v>0</v>
      </c>
      <c r="AB1348" s="8"/>
      <c r="AC1348" s="9">
        <v>2</v>
      </c>
      <c r="AD1348" s="11">
        <v>2</v>
      </c>
      <c r="AE1348" s="11">
        <v>70</v>
      </c>
      <c r="AF1348" s="41">
        <v>152</v>
      </c>
      <c r="AG1348" s="9">
        <v>115</v>
      </c>
      <c r="AH1348" s="11">
        <v>1</v>
      </c>
      <c r="AI1348" s="208"/>
      <c r="AJ1348" s="54"/>
      <c r="AK1348" s="54"/>
      <c r="AL1348" s="54"/>
      <c r="AM1348" s="54"/>
      <c r="AN1348" s="54"/>
      <c r="AO1348" s="10"/>
      <c r="AP1348" s="208"/>
      <c r="AQ1348" s="54"/>
      <c r="AR1348" s="10"/>
      <c r="AS1348" s="237"/>
    </row>
    <row r="1349" spans="1:45" s="229" customFormat="1">
      <c r="A1349" s="83" t="s">
        <v>326</v>
      </c>
      <c r="B1349" s="386">
        <v>46.86</v>
      </c>
      <c r="C1349" s="24" t="s">
        <v>128</v>
      </c>
      <c r="D1349" s="229" t="s">
        <v>618</v>
      </c>
      <c r="E1349" s="229" t="s">
        <v>2</v>
      </c>
      <c r="F1349" s="229">
        <v>178</v>
      </c>
      <c r="G1349" s="40">
        <f>F1349/78</f>
        <v>2.2820512820512819</v>
      </c>
      <c r="H1349" s="14">
        <v>1</v>
      </c>
      <c r="I1349" s="229">
        <v>0</v>
      </c>
      <c r="J1349" s="229">
        <v>0</v>
      </c>
      <c r="K1349" s="26">
        <v>0</v>
      </c>
      <c r="L1349" s="14">
        <v>0</v>
      </c>
      <c r="M1349" s="229">
        <v>0</v>
      </c>
      <c r="N1349" s="229">
        <v>0</v>
      </c>
      <c r="O1349" s="229">
        <v>0</v>
      </c>
      <c r="P1349" s="26">
        <v>0</v>
      </c>
      <c r="Q1349" s="14">
        <v>0</v>
      </c>
      <c r="R1349" s="229">
        <v>0</v>
      </c>
      <c r="S1349" s="229">
        <v>0</v>
      </c>
      <c r="T1349" s="229">
        <v>0</v>
      </c>
      <c r="U1349" s="229">
        <v>0</v>
      </c>
      <c r="V1349" s="229">
        <v>0</v>
      </c>
      <c r="W1349" s="229">
        <v>0</v>
      </c>
      <c r="X1349" s="229">
        <v>0</v>
      </c>
      <c r="Y1349" s="229">
        <v>0</v>
      </c>
      <c r="Z1349" s="229">
        <v>0</v>
      </c>
      <c r="AA1349" s="229">
        <v>0</v>
      </c>
      <c r="AC1349" s="12">
        <v>1</v>
      </c>
      <c r="AD1349" s="14">
        <v>1</v>
      </c>
      <c r="AE1349" s="14">
        <v>0</v>
      </c>
      <c r="AF1349" s="26">
        <v>0</v>
      </c>
      <c r="AG1349" s="12">
        <v>115</v>
      </c>
      <c r="AH1349" s="14">
        <v>1</v>
      </c>
      <c r="AI1349" s="209"/>
      <c r="AJ1349" s="3"/>
      <c r="AK1349" s="3"/>
      <c r="AL1349" s="3"/>
      <c r="AM1349" s="3"/>
      <c r="AN1349" s="3"/>
      <c r="AO1349" s="40"/>
      <c r="AP1349" s="209"/>
      <c r="AQ1349" s="3"/>
      <c r="AR1349" s="40"/>
      <c r="AS1349" s="238"/>
    </row>
    <row r="1350" spans="1:45" s="229" customFormat="1">
      <c r="A1350" s="83" t="s">
        <v>326</v>
      </c>
      <c r="B1350" s="386">
        <v>46.86</v>
      </c>
      <c r="C1350" s="24" t="s">
        <v>128</v>
      </c>
      <c r="D1350" s="229" t="s">
        <v>618</v>
      </c>
      <c r="E1350" s="229" t="s">
        <v>3</v>
      </c>
      <c r="F1350" s="229">
        <v>607</v>
      </c>
      <c r="G1350" s="40">
        <f>F1350/411</f>
        <v>1.4768856447688565</v>
      </c>
      <c r="H1350" s="14">
        <v>0</v>
      </c>
      <c r="I1350" s="229">
        <v>1</v>
      </c>
      <c r="J1350" s="229">
        <v>0</v>
      </c>
      <c r="K1350" s="26">
        <v>1</v>
      </c>
      <c r="L1350" s="14">
        <v>0</v>
      </c>
      <c r="M1350" s="229">
        <v>0</v>
      </c>
      <c r="N1350" s="229">
        <v>0</v>
      </c>
      <c r="O1350" s="229">
        <v>0</v>
      </c>
      <c r="P1350" s="26">
        <v>0</v>
      </c>
      <c r="Q1350" s="14">
        <v>1</v>
      </c>
      <c r="R1350" s="229">
        <v>0</v>
      </c>
      <c r="S1350" s="229">
        <v>6</v>
      </c>
      <c r="T1350" s="229">
        <v>0</v>
      </c>
      <c r="U1350" s="229">
        <v>0</v>
      </c>
      <c r="V1350" s="229">
        <v>5</v>
      </c>
      <c r="W1350" s="229">
        <v>19</v>
      </c>
      <c r="X1350" s="229">
        <v>0</v>
      </c>
      <c r="Y1350" s="229">
        <v>0</v>
      </c>
      <c r="Z1350" s="229">
        <v>0</v>
      </c>
      <c r="AA1350" s="229">
        <v>0</v>
      </c>
      <c r="AC1350" s="12">
        <v>2</v>
      </c>
      <c r="AD1350" s="14">
        <v>2</v>
      </c>
      <c r="AE1350" s="14">
        <v>123</v>
      </c>
      <c r="AF1350" s="26">
        <v>527</v>
      </c>
      <c r="AG1350" s="12">
        <v>115</v>
      </c>
      <c r="AH1350" s="14">
        <v>0</v>
      </c>
      <c r="AI1350" s="209"/>
      <c r="AJ1350" s="3"/>
      <c r="AK1350" s="3"/>
      <c r="AL1350" s="3"/>
      <c r="AM1350" s="3"/>
      <c r="AN1350" s="3"/>
      <c r="AO1350" s="40"/>
      <c r="AP1350" s="209"/>
      <c r="AQ1350" s="3"/>
      <c r="AR1350" s="40"/>
      <c r="AS1350" s="238"/>
    </row>
    <row r="1351" spans="1:45" s="229" customFormat="1">
      <c r="A1351" s="83" t="s">
        <v>326</v>
      </c>
      <c r="B1351" s="386">
        <v>46.86</v>
      </c>
      <c r="C1351" s="24" t="s">
        <v>128</v>
      </c>
      <c r="D1351" s="229" t="s">
        <v>618</v>
      </c>
      <c r="E1351" s="229" t="s">
        <v>4</v>
      </c>
      <c r="F1351" s="229">
        <v>108</v>
      </c>
      <c r="G1351" s="40">
        <f>F1351/96</f>
        <v>1.125</v>
      </c>
      <c r="H1351" s="14">
        <v>1</v>
      </c>
      <c r="I1351" s="229">
        <v>0</v>
      </c>
      <c r="J1351" s="229">
        <v>0</v>
      </c>
      <c r="K1351" s="26">
        <v>0</v>
      </c>
      <c r="L1351" s="14">
        <v>0</v>
      </c>
      <c r="M1351" s="229">
        <v>0</v>
      </c>
      <c r="N1351" s="229">
        <v>0</v>
      </c>
      <c r="O1351" s="229">
        <v>0</v>
      </c>
      <c r="P1351" s="26">
        <v>0</v>
      </c>
      <c r="Q1351" s="14">
        <v>0</v>
      </c>
      <c r="R1351" s="229">
        <v>0</v>
      </c>
      <c r="S1351" s="229">
        <v>0</v>
      </c>
      <c r="T1351" s="229">
        <v>0</v>
      </c>
      <c r="U1351" s="229">
        <v>0</v>
      </c>
      <c r="V1351" s="229">
        <v>0</v>
      </c>
      <c r="W1351" s="229">
        <v>0</v>
      </c>
      <c r="X1351" s="229">
        <v>0</v>
      </c>
      <c r="Y1351" s="229">
        <v>0</v>
      </c>
      <c r="Z1351" s="229">
        <v>0</v>
      </c>
      <c r="AA1351" s="229">
        <v>0</v>
      </c>
      <c r="AC1351" s="12">
        <v>1</v>
      </c>
      <c r="AD1351" s="14">
        <v>1</v>
      </c>
      <c r="AE1351" s="14">
        <v>0</v>
      </c>
      <c r="AF1351" s="26">
        <v>0</v>
      </c>
      <c r="AG1351" s="12">
        <v>115</v>
      </c>
      <c r="AH1351" s="14">
        <v>0</v>
      </c>
      <c r="AI1351" s="209"/>
      <c r="AJ1351" s="3"/>
      <c r="AK1351" s="3"/>
      <c r="AL1351" s="3"/>
      <c r="AM1351" s="3"/>
      <c r="AN1351" s="3"/>
      <c r="AO1351" s="40"/>
      <c r="AP1351" s="209"/>
      <c r="AQ1351" s="3"/>
      <c r="AR1351" s="40"/>
      <c r="AS1351" s="238"/>
    </row>
    <row r="1352" spans="1:45" s="229" customFormat="1">
      <c r="A1352" s="83" t="s">
        <v>326</v>
      </c>
      <c r="B1352" s="386">
        <v>46.86</v>
      </c>
      <c r="C1352" s="24" t="s">
        <v>128</v>
      </c>
      <c r="D1352" s="229" t="s">
        <v>618</v>
      </c>
      <c r="E1352" s="229" t="s">
        <v>5</v>
      </c>
      <c r="F1352" s="229">
        <v>367</v>
      </c>
      <c r="G1352" s="40">
        <f>F1352/323</f>
        <v>1.1362229102167183</v>
      </c>
      <c r="H1352" s="14">
        <v>1</v>
      </c>
      <c r="I1352" s="229">
        <v>0</v>
      </c>
      <c r="J1352" s="229">
        <v>0</v>
      </c>
      <c r="K1352" s="26">
        <v>0</v>
      </c>
      <c r="L1352" s="14">
        <v>0</v>
      </c>
      <c r="M1352" s="229">
        <v>0</v>
      </c>
      <c r="N1352" s="229">
        <v>0</v>
      </c>
      <c r="O1352" s="229">
        <v>0</v>
      </c>
      <c r="P1352" s="26">
        <v>0</v>
      </c>
      <c r="Q1352" s="14">
        <v>0</v>
      </c>
      <c r="R1352" s="229">
        <v>0</v>
      </c>
      <c r="S1352" s="229">
        <v>0</v>
      </c>
      <c r="T1352" s="229">
        <v>0</v>
      </c>
      <c r="U1352" s="229">
        <v>0</v>
      </c>
      <c r="V1352" s="229">
        <v>0</v>
      </c>
      <c r="W1352" s="229">
        <v>0</v>
      </c>
      <c r="X1352" s="229">
        <v>0</v>
      </c>
      <c r="Y1352" s="229">
        <v>0</v>
      </c>
      <c r="Z1352" s="229">
        <v>0</v>
      </c>
      <c r="AA1352" s="229">
        <v>0</v>
      </c>
      <c r="AC1352" s="12">
        <v>2</v>
      </c>
      <c r="AD1352" s="14">
        <v>2</v>
      </c>
      <c r="AE1352" s="14">
        <v>169</v>
      </c>
      <c r="AF1352" s="26">
        <v>287</v>
      </c>
      <c r="AG1352" s="12">
        <v>115</v>
      </c>
      <c r="AH1352" s="14">
        <v>1</v>
      </c>
      <c r="AI1352" s="209"/>
      <c r="AJ1352" s="3"/>
      <c r="AK1352" s="3"/>
      <c r="AL1352" s="3"/>
      <c r="AM1352" s="3"/>
      <c r="AN1352" s="3"/>
      <c r="AO1352" s="40"/>
      <c r="AP1352" s="209"/>
      <c r="AQ1352" s="3"/>
      <c r="AR1352" s="40"/>
      <c r="AS1352" s="238"/>
    </row>
    <row r="1353" spans="1:45" s="229" customFormat="1">
      <c r="A1353" s="83" t="s">
        <v>326</v>
      </c>
      <c r="B1353" s="386">
        <v>46.86</v>
      </c>
      <c r="C1353" s="24" t="s">
        <v>128</v>
      </c>
      <c r="D1353" s="229" t="s">
        <v>621</v>
      </c>
      <c r="E1353" s="229" t="s">
        <v>0</v>
      </c>
      <c r="F1353" s="229">
        <v>186</v>
      </c>
      <c r="G1353" s="40">
        <f>F1353/163</f>
        <v>1.1411042944785277</v>
      </c>
      <c r="H1353" s="14">
        <v>0</v>
      </c>
      <c r="I1353" s="229">
        <v>0</v>
      </c>
      <c r="J1353" s="229">
        <v>0</v>
      </c>
      <c r="K1353" s="26">
        <v>1</v>
      </c>
      <c r="L1353" s="14">
        <v>0</v>
      </c>
      <c r="M1353" s="229">
        <v>0</v>
      </c>
      <c r="N1353" s="229">
        <v>0</v>
      </c>
      <c r="O1353" s="229">
        <v>0</v>
      </c>
      <c r="P1353" s="26">
        <v>0</v>
      </c>
      <c r="Q1353" s="14">
        <v>2</v>
      </c>
      <c r="R1353" s="229">
        <v>0</v>
      </c>
      <c r="S1353" s="229">
        <v>12</v>
      </c>
      <c r="T1353" s="229">
        <v>0</v>
      </c>
      <c r="U1353" s="229">
        <v>0</v>
      </c>
      <c r="V1353" s="229">
        <v>0</v>
      </c>
      <c r="W1353" s="229">
        <v>0</v>
      </c>
      <c r="X1353" s="229">
        <v>0</v>
      </c>
      <c r="Y1353" s="229">
        <v>0</v>
      </c>
      <c r="Z1353" s="229">
        <v>0</v>
      </c>
      <c r="AA1353" s="229">
        <v>0</v>
      </c>
      <c r="AC1353" s="12">
        <v>2</v>
      </c>
      <c r="AD1353" s="14">
        <v>2</v>
      </c>
      <c r="AE1353" s="14">
        <v>104</v>
      </c>
      <c r="AF1353" s="26">
        <v>163</v>
      </c>
      <c r="AG1353" s="12">
        <v>123</v>
      </c>
      <c r="AH1353" s="14">
        <v>1</v>
      </c>
      <c r="AI1353" s="209"/>
      <c r="AJ1353" s="3"/>
      <c r="AK1353" s="3"/>
      <c r="AL1353" s="3"/>
      <c r="AM1353" s="3"/>
      <c r="AN1353" s="3"/>
      <c r="AO1353" s="40"/>
      <c r="AP1353" s="209"/>
      <c r="AQ1353" s="3"/>
      <c r="AR1353" s="40"/>
      <c r="AS1353" s="238"/>
    </row>
    <row r="1354" spans="1:45" s="229" customFormat="1">
      <c r="A1354" s="83" t="s">
        <v>326</v>
      </c>
      <c r="B1354" s="386">
        <v>46.86</v>
      </c>
      <c r="C1354" s="24" t="s">
        <v>128</v>
      </c>
      <c r="D1354" s="229" t="s">
        <v>621</v>
      </c>
      <c r="E1354" s="229" t="s">
        <v>1</v>
      </c>
      <c r="F1354" s="229">
        <v>98</v>
      </c>
      <c r="G1354" s="40">
        <f>F1354/93</f>
        <v>1.053763440860215</v>
      </c>
      <c r="H1354" s="14">
        <v>0</v>
      </c>
      <c r="I1354" s="229">
        <v>0</v>
      </c>
      <c r="J1354" s="229">
        <v>0</v>
      </c>
      <c r="K1354" s="26">
        <v>1</v>
      </c>
      <c r="L1354" s="14">
        <v>0</v>
      </c>
      <c r="M1354" s="229">
        <v>0</v>
      </c>
      <c r="N1354" s="229">
        <v>0</v>
      </c>
      <c r="O1354" s="229">
        <v>0</v>
      </c>
      <c r="P1354" s="26">
        <v>0</v>
      </c>
      <c r="Q1354" s="14">
        <v>4</v>
      </c>
      <c r="R1354" s="229">
        <v>0</v>
      </c>
      <c r="S1354" s="229">
        <v>10</v>
      </c>
      <c r="T1354" s="229">
        <v>0</v>
      </c>
      <c r="U1354" s="229">
        <v>0</v>
      </c>
      <c r="V1354" s="229">
        <v>0</v>
      </c>
      <c r="W1354" s="229">
        <v>0</v>
      </c>
      <c r="X1354" s="229">
        <v>0</v>
      </c>
      <c r="Y1354" s="229">
        <v>0</v>
      </c>
      <c r="Z1354" s="229">
        <v>0</v>
      </c>
      <c r="AA1354" s="229">
        <v>0</v>
      </c>
      <c r="AC1354" s="12">
        <v>1</v>
      </c>
      <c r="AD1354" s="14">
        <v>1</v>
      </c>
      <c r="AE1354" s="14">
        <v>0</v>
      </c>
      <c r="AF1354" s="26">
        <v>0</v>
      </c>
      <c r="AG1354" s="12">
        <v>123</v>
      </c>
      <c r="AH1354" s="14">
        <v>1</v>
      </c>
      <c r="AI1354" s="209"/>
      <c r="AJ1354" s="3"/>
      <c r="AK1354" s="3"/>
      <c r="AL1354" s="3"/>
      <c r="AM1354" s="3"/>
      <c r="AN1354" s="3"/>
      <c r="AO1354" s="40"/>
      <c r="AP1354" s="209"/>
      <c r="AQ1354" s="3"/>
      <c r="AR1354" s="40"/>
      <c r="AS1354" s="238"/>
    </row>
    <row r="1355" spans="1:45" s="229" customFormat="1">
      <c r="A1355" s="83" t="s">
        <v>326</v>
      </c>
      <c r="B1355" s="386">
        <v>46.86</v>
      </c>
      <c r="C1355" s="24" t="s">
        <v>128</v>
      </c>
      <c r="D1355" s="229" t="s">
        <v>621</v>
      </c>
      <c r="E1355" s="229" t="s">
        <v>2</v>
      </c>
      <c r="F1355" s="229">
        <v>438</v>
      </c>
      <c r="G1355" s="40">
        <f>F1355/295</f>
        <v>1.4847457627118643</v>
      </c>
      <c r="H1355" s="14">
        <v>0</v>
      </c>
      <c r="I1355" s="229">
        <v>0</v>
      </c>
      <c r="J1355" s="229">
        <v>0</v>
      </c>
      <c r="K1355" s="26">
        <v>1</v>
      </c>
      <c r="L1355" s="14">
        <v>0</v>
      </c>
      <c r="M1355" s="229">
        <v>0</v>
      </c>
      <c r="N1355" s="229">
        <v>0</v>
      </c>
      <c r="O1355" s="229">
        <v>0</v>
      </c>
      <c r="P1355" s="26">
        <v>0</v>
      </c>
      <c r="Q1355" s="14">
        <v>0</v>
      </c>
      <c r="R1355" s="229">
        <v>0</v>
      </c>
      <c r="S1355" s="229">
        <v>0</v>
      </c>
      <c r="T1355" s="229">
        <v>0</v>
      </c>
      <c r="U1355" s="229">
        <v>0</v>
      </c>
      <c r="V1355" s="229">
        <v>0</v>
      </c>
      <c r="W1355" s="229">
        <v>0</v>
      </c>
      <c r="X1355" s="229">
        <v>0</v>
      </c>
      <c r="Y1355" s="229">
        <v>0</v>
      </c>
      <c r="Z1355" s="229">
        <v>0</v>
      </c>
      <c r="AA1355" s="229">
        <v>0</v>
      </c>
      <c r="AC1355" s="12">
        <v>2</v>
      </c>
      <c r="AD1355" s="14">
        <v>2</v>
      </c>
      <c r="AE1355" s="14">
        <v>139</v>
      </c>
      <c r="AF1355" s="26">
        <v>295</v>
      </c>
      <c r="AG1355" s="12">
        <v>123</v>
      </c>
      <c r="AH1355" s="14">
        <v>1</v>
      </c>
      <c r="AI1355" s="209"/>
      <c r="AJ1355" s="3"/>
      <c r="AK1355" s="3"/>
      <c r="AL1355" s="3"/>
      <c r="AM1355" s="3"/>
      <c r="AN1355" s="3"/>
      <c r="AO1355" s="40"/>
      <c r="AP1355" s="209"/>
      <c r="AQ1355" s="3"/>
      <c r="AR1355" s="40"/>
      <c r="AS1355" s="238"/>
    </row>
    <row r="1356" spans="1:45" s="229" customFormat="1">
      <c r="A1356" s="83" t="s">
        <v>326</v>
      </c>
      <c r="B1356" s="386">
        <v>46.86</v>
      </c>
      <c r="C1356" s="24" t="s">
        <v>128</v>
      </c>
      <c r="D1356" s="229" t="s">
        <v>621</v>
      </c>
      <c r="E1356" s="229" t="s">
        <v>3</v>
      </c>
      <c r="F1356" s="229">
        <v>816</v>
      </c>
      <c r="G1356" s="40">
        <f>F1356/512</f>
        <v>1.59375</v>
      </c>
      <c r="H1356" s="14">
        <v>0</v>
      </c>
      <c r="I1356" s="229">
        <v>0</v>
      </c>
      <c r="J1356" s="229">
        <v>0</v>
      </c>
      <c r="K1356" s="26">
        <v>1</v>
      </c>
      <c r="L1356" s="14">
        <v>0</v>
      </c>
      <c r="M1356" s="229">
        <v>0</v>
      </c>
      <c r="N1356" s="229">
        <v>0</v>
      </c>
      <c r="O1356" s="229">
        <v>0</v>
      </c>
      <c r="P1356" s="26">
        <v>0</v>
      </c>
      <c r="Q1356" s="14">
        <v>0</v>
      </c>
      <c r="R1356" s="229">
        <v>0</v>
      </c>
      <c r="S1356" s="229">
        <v>0</v>
      </c>
      <c r="T1356" s="229">
        <v>0</v>
      </c>
      <c r="U1356" s="229">
        <v>0</v>
      </c>
      <c r="V1356" s="229">
        <v>0</v>
      </c>
      <c r="W1356" s="229">
        <v>0</v>
      </c>
      <c r="X1356" s="229">
        <v>0</v>
      </c>
      <c r="Y1356" s="229">
        <v>0</v>
      </c>
      <c r="Z1356" s="229">
        <v>0</v>
      </c>
      <c r="AA1356" s="229">
        <v>0</v>
      </c>
      <c r="AC1356" s="12">
        <v>2</v>
      </c>
      <c r="AD1356" s="14">
        <v>3</v>
      </c>
      <c r="AE1356" s="14">
        <v>128</v>
      </c>
      <c r="AF1356" s="26">
        <v>585</v>
      </c>
      <c r="AG1356" s="12">
        <v>123</v>
      </c>
      <c r="AH1356" s="14">
        <v>1</v>
      </c>
      <c r="AI1356" s="209"/>
      <c r="AJ1356" s="3"/>
      <c r="AK1356" s="3"/>
      <c r="AL1356" s="3"/>
      <c r="AM1356" s="3"/>
      <c r="AN1356" s="3"/>
      <c r="AO1356" s="40"/>
      <c r="AP1356" s="209"/>
      <c r="AQ1356" s="3"/>
      <c r="AR1356" s="40"/>
      <c r="AS1356" s="238"/>
    </row>
    <row r="1357" spans="1:45" s="229" customFormat="1">
      <c r="A1357" s="83" t="s">
        <v>326</v>
      </c>
      <c r="B1357" s="386">
        <v>46.86</v>
      </c>
      <c r="C1357" s="24" t="s">
        <v>128</v>
      </c>
      <c r="D1357" s="229" t="s">
        <v>619</v>
      </c>
      <c r="F1357" s="229">
        <v>596</v>
      </c>
      <c r="G1357" s="40">
        <f>F1357/493</f>
        <v>1.2089249492900609</v>
      </c>
      <c r="H1357" s="14">
        <v>0</v>
      </c>
      <c r="I1357" s="229">
        <v>0</v>
      </c>
      <c r="J1357" s="229">
        <v>0</v>
      </c>
      <c r="K1357" s="26">
        <v>1</v>
      </c>
      <c r="L1357" s="14">
        <v>0</v>
      </c>
      <c r="M1357" s="229">
        <v>0</v>
      </c>
      <c r="N1357" s="229">
        <v>1</v>
      </c>
      <c r="O1357" s="229">
        <v>0</v>
      </c>
      <c r="P1357" s="26">
        <v>1</v>
      </c>
      <c r="Q1357" s="14">
        <v>2</v>
      </c>
      <c r="R1357" s="229">
        <v>0</v>
      </c>
      <c r="S1357" s="229">
        <v>26</v>
      </c>
      <c r="T1357" s="229">
        <v>0</v>
      </c>
      <c r="U1357" s="229">
        <v>0</v>
      </c>
      <c r="V1357" s="229">
        <v>0</v>
      </c>
      <c r="W1357" s="229">
        <v>0</v>
      </c>
      <c r="X1357" s="229">
        <v>0</v>
      </c>
      <c r="Y1357" s="229">
        <v>0</v>
      </c>
      <c r="Z1357" s="229">
        <v>0</v>
      </c>
      <c r="AA1357" s="229">
        <v>0</v>
      </c>
      <c r="AC1357" s="12">
        <v>1</v>
      </c>
      <c r="AD1357" s="14">
        <v>1</v>
      </c>
      <c r="AE1357" s="14">
        <v>0</v>
      </c>
      <c r="AF1357" s="26">
        <v>0</v>
      </c>
      <c r="AG1357" s="12">
        <v>120</v>
      </c>
      <c r="AH1357" s="14">
        <v>0</v>
      </c>
      <c r="AI1357" s="209"/>
      <c r="AJ1357" s="3"/>
      <c r="AK1357" s="3"/>
      <c r="AL1357" s="3"/>
      <c r="AM1357" s="3"/>
      <c r="AN1357" s="3"/>
      <c r="AO1357" s="40"/>
      <c r="AP1357" s="209"/>
      <c r="AQ1357" s="3"/>
      <c r="AR1357" s="40"/>
      <c r="AS1357" s="238"/>
    </row>
    <row r="1358" spans="1:45" s="229" customFormat="1">
      <c r="A1358" s="83" t="s">
        <v>326</v>
      </c>
      <c r="B1358" s="386">
        <v>46.86</v>
      </c>
      <c r="C1358" s="24" t="s">
        <v>128</v>
      </c>
      <c r="D1358" s="229" t="s">
        <v>623</v>
      </c>
      <c r="E1358" s="229" t="s">
        <v>0</v>
      </c>
      <c r="F1358" s="229">
        <v>706</v>
      </c>
      <c r="G1358" s="40">
        <f>F1358/283</f>
        <v>2.4946996466431095</v>
      </c>
      <c r="H1358" s="14">
        <v>0</v>
      </c>
      <c r="I1358" s="229">
        <v>0</v>
      </c>
      <c r="J1358" s="229">
        <v>0</v>
      </c>
      <c r="K1358" s="26">
        <v>1</v>
      </c>
      <c r="L1358" s="14">
        <v>0</v>
      </c>
      <c r="M1358" s="229">
        <v>0</v>
      </c>
      <c r="N1358" s="229">
        <v>1</v>
      </c>
      <c r="O1358" s="229">
        <v>0</v>
      </c>
      <c r="P1358" s="26">
        <v>1</v>
      </c>
      <c r="Q1358" s="14">
        <v>0</v>
      </c>
      <c r="R1358" s="229">
        <v>0</v>
      </c>
      <c r="S1358" s="229">
        <v>0</v>
      </c>
      <c r="T1358" s="229">
        <v>0</v>
      </c>
      <c r="U1358" s="229">
        <v>0</v>
      </c>
      <c r="V1358" s="229">
        <v>0</v>
      </c>
      <c r="W1358" s="229">
        <v>0</v>
      </c>
      <c r="X1358" s="229">
        <v>0</v>
      </c>
      <c r="Y1358" s="229">
        <v>0</v>
      </c>
      <c r="Z1358" s="229">
        <v>0</v>
      </c>
      <c r="AA1358" s="229">
        <v>0</v>
      </c>
      <c r="AC1358" s="12">
        <v>1</v>
      </c>
      <c r="AD1358" s="14">
        <v>1</v>
      </c>
      <c r="AE1358" s="14">
        <v>0</v>
      </c>
      <c r="AF1358" s="26">
        <v>0</v>
      </c>
      <c r="AG1358" s="12">
        <v>133</v>
      </c>
      <c r="AH1358" s="14">
        <v>1</v>
      </c>
      <c r="AI1358" s="209"/>
      <c r="AJ1358" s="3"/>
      <c r="AK1358" s="3"/>
      <c r="AL1358" s="3"/>
      <c r="AM1358" s="3"/>
      <c r="AN1358" s="3"/>
      <c r="AO1358" s="40"/>
      <c r="AP1358" s="209"/>
      <c r="AQ1358" s="3"/>
      <c r="AR1358" s="40"/>
      <c r="AS1358" s="238"/>
    </row>
    <row r="1359" spans="1:45" s="229" customFormat="1">
      <c r="A1359" s="83" t="s">
        <v>326</v>
      </c>
      <c r="B1359" s="386">
        <v>46.86</v>
      </c>
      <c r="C1359" s="24" t="s">
        <v>128</v>
      </c>
      <c r="D1359" s="229" t="s">
        <v>623</v>
      </c>
      <c r="E1359" s="229" t="s">
        <v>1</v>
      </c>
      <c r="F1359" s="229">
        <v>658</v>
      </c>
      <c r="G1359" s="40">
        <f>F1359/545</f>
        <v>1.2073394495412844</v>
      </c>
      <c r="H1359" s="14">
        <v>0</v>
      </c>
      <c r="I1359" s="229">
        <v>1</v>
      </c>
      <c r="J1359" s="229">
        <v>0</v>
      </c>
      <c r="K1359" s="26">
        <v>1</v>
      </c>
      <c r="L1359" s="14">
        <v>0</v>
      </c>
      <c r="M1359" s="229">
        <v>0</v>
      </c>
      <c r="N1359" s="229">
        <v>1</v>
      </c>
      <c r="O1359" s="229">
        <v>0</v>
      </c>
      <c r="P1359" s="26">
        <v>1</v>
      </c>
      <c r="Q1359" s="14">
        <v>5</v>
      </c>
      <c r="R1359" s="229">
        <v>0</v>
      </c>
      <c r="S1359" s="229">
        <v>66</v>
      </c>
      <c r="T1359" s="229">
        <v>0</v>
      </c>
      <c r="U1359" s="229">
        <v>0</v>
      </c>
      <c r="V1359" s="229">
        <v>0</v>
      </c>
      <c r="W1359" s="229">
        <v>113</v>
      </c>
      <c r="X1359" s="229">
        <v>0</v>
      </c>
      <c r="Y1359" s="229">
        <v>0</v>
      </c>
      <c r="Z1359" s="229">
        <v>0</v>
      </c>
      <c r="AA1359" s="229">
        <v>0</v>
      </c>
      <c r="AC1359" s="12">
        <v>2</v>
      </c>
      <c r="AD1359" s="14">
        <v>3</v>
      </c>
      <c r="AE1359" s="14">
        <v>195</v>
      </c>
      <c r="AF1359" s="26">
        <v>454</v>
      </c>
      <c r="AG1359" s="12">
        <v>133</v>
      </c>
      <c r="AH1359" s="14">
        <v>1</v>
      </c>
      <c r="AI1359" s="209"/>
      <c r="AJ1359" s="3"/>
      <c r="AK1359" s="3"/>
      <c r="AL1359" s="3"/>
      <c r="AM1359" s="3"/>
      <c r="AN1359" s="3"/>
      <c r="AO1359" s="40"/>
      <c r="AP1359" s="209"/>
      <c r="AQ1359" s="3"/>
      <c r="AR1359" s="40"/>
      <c r="AS1359" s="238"/>
    </row>
    <row r="1360" spans="1:45" s="229" customFormat="1">
      <c r="A1360" s="83" t="s">
        <v>326</v>
      </c>
      <c r="B1360" s="386">
        <v>46.86</v>
      </c>
      <c r="C1360" s="24" t="s">
        <v>128</v>
      </c>
      <c r="D1360" s="229" t="s">
        <v>633</v>
      </c>
      <c r="E1360" s="229" t="s">
        <v>0</v>
      </c>
      <c r="F1360" s="229">
        <v>365</v>
      </c>
      <c r="G1360" s="40">
        <f>F1360/138</f>
        <v>2.6449275362318843</v>
      </c>
      <c r="H1360" s="14">
        <v>1</v>
      </c>
      <c r="I1360" s="229">
        <v>0</v>
      </c>
      <c r="J1360" s="229">
        <v>0</v>
      </c>
      <c r="K1360" s="26">
        <v>0</v>
      </c>
      <c r="L1360" s="14">
        <v>0</v>
      </c>
      <c r="M1360" s="229">
        <v>0</v>
      </c>
      <c r="N1360" s="229">
        <v>0</v>
      </c>
      <c r="O1360" s="229">
        <v>0</v>
      </c>
      <c r="P1360" s="26">
        <v>0</v>
      </c>
      <c r="Q1360" s="14">
        <v>1</v>
      </c>
      <c r="R1360" s="229">
        <v>0</v>
      </c>
      <c r="S1360" s="229">
        <v>0</v>
      </c>
      <c r="T1360" s="229">
        <v>0</v>
      </c>
      <c r="U1360" s="229">
        <v>0</v>
      </c>
      <c r="V1360" s="229">
        <v>0</v>
      </c>
      <c r="W1360" s="229">
        <v>13</v>
      </c>
      <c r="X1360" s="229">
        <v>0</v>
      </c>
      <c r="Y1360" s="229">
        <v>0</v>
      </c>
      <c r="Z1360" s="229">
        <v>0</v>
      </c>
      <c r="AA1360" s="229">
        <v>0</v>
      </c>
      <c r="AC1360" s="12">
        <v>1</v>
      </c>
      <c r="AD1360" s="14">
        <v>1</v>
      </c>
      <c r="AE1360" s="14">
        <v>0</v>
      </c>
      <c r="AF1360" s="26">
        <v>0</v>
      </c>
      <c r="AG1360" s="12">
        <v>129</v>
      </c>
      <c r="AH1360" s="14">
        <v>1</v>
      </c>
      <c r="AI1360" s="209"/>
      <c r="AJ1360" s="3"/>
      <c r="AK1360" s="3"/>
      <c r="AL1360" s="3"/>
      <c r="AM1360" s="3"/>
      <c r="AN1360" s="3"/>
      <c r="AO1360" s="40"/>
      <c r="AP1360" s="209"/>
      <c r="AQ1360" s="3"/>
      <c r="AR1360" s="40"/>
      <c r="AS1360" s="238"/>
    </row>
    <row r="1361" spans="1:45" s="229" customFormat="1">
      <c r="A1361" s="83" t="s">
        <v>326</v>
      </c>
      <c r="B1361" s="386">
        <v>46.86</v>
      </c>
      <c r="C1361" s="24" t="s">
        <v>128</v>
      </c>
      <c r="D1361" s="229" t="s">
        <v>633</v>
      </c>
      <c r="E1361" s="229" t="s">
        <v>1</v>
      </c>
      <c r="F1361" s="229">
        <v>720</v>
      </c>
      <c r="G1361" s="40">
        <f>F1361/460</f>
        <v>1.5652173913043479</v>
      </c>
      <c r="H1361" s="14">
        <v>1</v>
      </c>
      <c r="I1361" s="229">
        <v>0</v>
      </c>
      <c r="J1361" s="229">
        <v>1</v>
      </c>
      <c r="K1361" s="26">
        <v>1</v>
      </c>
      <c r="L1361" s="14">
        <v>0</v>
      </c>
      <c r="M1361" s="229">
        <v>0</v>
      </c>
      <c r="N1361" s="229">
        <v>0</v>
      </c>
      <c r="O1361" s="229">
        <v>0</v>
      </c>
      <c r="P1361" s="26">
        <v>0</v>
      </c>
      <c r="Q1361" s="14">
        <v>2</v>
      </c>
      <c r="R1361" s="229">
        <v>7</v>
      </c>
      <c r="S1361" s="229">
        <v>17</v>
      </c>
      <c r="T1361" s="229">
        <v>0</v>
      </c>
      <c r="U1361" s="229">
        <v>0</v>
      </c>
      <c r="V1361" s="229">
        <v>0</v>
      </c>
      <c r="W1361" s="229">
        <v>0</v>
      </c>
      <c r="X1361" s="229">
        <v>0</v>
      </c>
      <c r="Y1361" s="229">
        <v>0</v>
      </c>
      <c r="Z1361" s="229">
        <v>0</v>
      </c>
      <c r="AA1361" s="229">
        <v>0</v>
      </c>
      <c r="AC1361" s="12">
        <v>2</v>
      </c>
      <c r="AD1361" s="14">
        <v>5</v>
      </c>
      <c r="AE1361" s="14">
        <v>80</v>
      </c>
      <c r="AF1361" s="26">
        <v>360</v>
      </c>
      <c r="AG1361" s="12">
        <v>129</v>
      </c>
      <c r="AH1361" s="14">
        <v>1</v>
      </c>
      <c r="AI1361" s="209"/>
      <c r="AJ1361" s="3"/>
      <c r="AK1361" s="3"/>
      <c r="AL1361" s="3"/>
      <c r="AM1361" s="3"/>
      <c r="AN1361" s="3"/>
      <c r="AO1361" s="40"/>
      <c r="AP1361" s="209"/>
      <c r="AQ1361" s="3"/>
      <c r="AR1361" s="40"/>
      <c r="AS1361" s="238"/>
    </row>
    <row r="1362" spans="1:45" s="229" customFormat="1">
      <c r="A1362" s="83" t="s">
        <v>326</v>
      </c>
      <c r="B1362" s="386">
        <v>46.86</v>
      </c>
      <c r="C1362" s="24" t="s">
        <v>128</v>
      </c>
      <c r="D1362" s="229" t="s">
        <v>633</v>
      </c>
      <c r="E1362" s="229" t="s">
        <v>2</v>
      </c>
      <c r="F1362" s="229">
        <v>119</v>
      </c>
      <c r="G1362" s="40">
        <f>F1362/115</f>
        <v>1.0347826086956522</v>
      </c>
      <c r="H1362" s="14">
        <v>0</v>
      </c>
      <c r="I1362" s="229">
        <v>0</v>
      </c>
      <c r="J1362" s="229">
        <v>1</v>
      </c>
      <c r="K1362" s="26">
        <v>0</v>
      </c>
      <c r="L1362" s="14">
        <v>0</v>
      </c>
      <c r="M1362" s="229">
        <v>0</v>
      </c>
      <c r="N1362" s="229">
        <v>0</v>
      </c>
      <c r="O1362" s="229">
        <v>0</v>
      </c>
      <c r="P1362" s="26">
        <v>0</v>
      </c>
      <c r="Q1362" s="14">
        <v>10</v>
      </c>
      <c r="R1362" s="229">
        <v>0</v>
      </c>
      <c r="S1362" s="229">
        <v>0</v>
      </c>
      <c r="T1362" s="229">
        <v>0</v>
      </c>
      <c r="U1362" s="229">
        <v>0</v>
      </c>
      <c r="V1362" s="229">
        <v>17</v>
      </c>
      <c r="W1362" s="229">
        <v>58</v>
      </c>
      <c r="X1362" s="229">
        <v>0</v>
      </c>
      <c r="Y1362" s="229">
        <v>0</v>
      </c>
      <c r="Z1362" s="229">
        <v>0</v>
      </c>
      <c r="AA1362" s="229">
        <v>22</v>
      </c>
      <c r="AC1362" s="12">
        <v>1</v>
      </c>
      <c r="AD1362" s="14">
        <v>1</v>
      </c>
      <c r="AE1362" s="14">
        <v>0</v>
      </c>
      <c r="AF1362" s="26">
        <v>0</v>
      </c>
      <c r="AG1362" s="12">
        <v>129</v>
      </c>
      <c r="AH1362" s="14">
        <v>1</v>
      </c>
      <c r="AI1362" s="209"/>
      <c r="AJ1362" s="3"/>
      <c r="AK1362" s="3"/>
      <c r="AL1362" s="3"/>
      <c r="AM1362" s="3"/>
      <c r="AN1362" s="3"/>
      <c r="AO1362" s="40"/>
      <c r="AP1362" s="209"/>
      <c r="AQ1362" s="3"/>
      <c r="AR1362" s="40"/>
      <c r="AS1362" s="238"/>
    </row>
    <row r="1363" spans="1:45" s="229" customFormat="1">
      <c r="A1363" s="83" t="s">
        <v>326</v>
      </c>
      <c r="B1363" s="386">
        <v>46.86</v>
      </c>
      <c r="C1363" s="24" t="s">
        <v>128</v>
      </c>
      <c r="D1363" s="229" t="s">
        <v>624</v>
      </c>
      <c r="E1363" s="229" t="s">
        <v>0</v>
      </c>
      <c r="F1363" s="229">
        <v>211</v>
      </c>
      <c r="G1363" s="40">
        <f>F1363/140</f>
        <v>1.5071428571428571</v>
      </c>
      <c r="H1363" s="14">
        <v>0</v>
      </c>
      <c r="I1363" s="229">
        <v>0</v>
      </c>
      <c r="J1363" s="229">
        <v>1</v>
      </c>
      <c r="K1363" s="26">
        <v>0</v>
      </c>
      <c r="L1363" s="14">
        <v>0</v>
      </c>
      <c r="M1363" s="229">
        <v>0</v>
      </c>
      <c r="N1363" s="229">
        <v>1</v>
      </c>
      <c r="O1363" s="229">
        <v>0</v>
      </c>
      <c r="P1363" s="26">
        <v>1</v>
      </c>
      <c r="Q1363" s="14">
        <v>30</v>
      </c>
      <c r="R1363" s="229">
        <v>0</v>
      </c>
      <c r="S1363" s="229">
        <v>0</v>
      </c>
      <c r="T1363" s="229">
        <v>0</v>
      </c>
      <c r="U1363" s="229">
        <v>0</v>
      </c>
      <c r="V1363" s="229">
        <v>82</v>
      </c>
      <c r="W1363" s="229">
        <v>98</v>
      </c>
      <c r="X1363" s="229">
        <v>0</v>
      </c>
      <c r="Y1363" s="229">
        <v>0</v>
      </c>
      <c r="Z1363" s="229">
        <v>0</v>
      </c>
      <c r="AA1363" s="229">
        <v>0</v>
      </c>
      <c r="AC1363" s="12">
        <v>1</v>
      </c>
      <c r="AD1363" s="14">
        <v>1</v>
      </c>
      <c r="AE1363" s="14">
        <v>0</v>
      </c>
      <c r="AF1363" s="26">
        <v>0</v>
      </c>
      <c r="AG1363" s="12">
        <v>99</v>
      </c>
      <c r="AH1363" s="14">
        <v>0</v>
      </c>
      <c r="AI1363" s="209"/>
      <c r="AJ1363" s="3"/>
      <c r="AK1363" s="3"/>
      <c r="AL1363" s="3"/>
      <c r="AM1363" s="3"/>
      <c r="AN1363" s="3"/>
      <c r="AO1363" s="40"/>
      <c r="AP1363" s="209"/>
      <c r="AQ1363" s="3"/>
      <c r="AR1363" s="40"/>
      <c r="AS1363" s="238"/>
    </row>
    <row r="1364" spans="1:45" s="229" customFormat="1">
      <c r="A1364" s="83" t="s">
        <v>326</v>
      </c>
      <c r="B1364" s="386">
        <v>46.86</v>
      </c>
      <c r="C1364" s="24" t="s">
        <v>128</v>
      </c>
      <c r="D1364" s="229" t="s">
        <v>624</v>
      </c>
      <c r="E1364" s="229" t="s">
        <v>1</v>
      </c>
      <c r="F1364" s="229">
        <v>242</v>
      </c>
      <c r="G1364" s="40">
        <f>F1364/167</f>
        <v>1.4491017964071857</v>
      </c>
      <c r="H1364" s="14">
        <v>0</v>
      </c>
      <c r="I1364" s="229">
        <v>0</v>
      </c>
      <c r="J1364" s="229">
        <v>0</v>
      </c>
      <c r="K1364" s="26">
        <v>1</v>
      </c>
      <c r="L1364" s="14">
        <v>0</v>
      </c>
      <c r="M1364" s="229">
        <v>0</v>
      </c>
      <c r="N1364" s="229">
        <v>1</v>
      </c>
      <c r="O1364" s="229">
        <v>0</v>
      </c>
      <c r="P1364" s="26">
        <v>1</v>
      </c>
      <c r="Q1364" s="14">
        <v>0</v>
      </c>
      <c r="R1364" s="229">
        <v>0</v>
      </c>
      <c r="S1364" s="229">
        <v>0</v>
      </c>
      <c r="T1364" s="229">
        <v>0</v>
      </c>
      <c r="U1364" s="229">
        <v>0</v>
      </c>
      <c r="V1364" s="229">
        <v>0</v>
      </c>
      <c r="W1364" s="229">
        <v>0</v>
      </c>
      <c r="X1364" s="229">
        <v>0</v>
      </c>
      <c r="Y1364" s="229">
        <v>0</v>
      </c>
      <c r="Z1364" s="229">
        <v>0</v>
      </c>
      <c r="AA1364" s="229">
        <v>0</v>
      </c>
      <c r="AC1364" s="12">
        <v>2</v>
      </c>
      <c r="AD1364" s="14">
        <v>2</v>
      </c>
      <c r="AE1364" s="14">
        <v>55</v>
      </c>
      <c r="AF1364" s="26">
        <v>233</v>
      </c>
      <c r="AG1364" s="12">
        <v>99</v>
      </c>
      <c r="AH1364" s="14">
        <v>1</v>
      </c>
      <c r="AI1364" s="209"/>
      <c r="AJ1364" s="3"/>
      <c r="AK1364" s="3"/>
      <c r="AL1364" s="3"/>
      <c r="AM1364" s="3"/>
      <c r="AN1364" s="3"/>
      <c r="AO1364" s="40"/>
      <c r="AP1364" s="209"/>
      <c r="AQ1364" s="3"/>
      <c r="AR1364" s="40"/>
      <c r="AS1364" s="238"/>
    </row>
    <row r="1365" spans="1:45" s="229" customFormat="1">
      <c r="A1365" s="83" t="s">
        <v>326</v>
      </c>
      <c r="B1365" s="386">
        <v>46.86</v>
      </c>
      <c r="C1365" s="24" t="s">
        <v>128</v>
      </c>
      <c r="D1365" s="229" t="s">
        <v>624</v>
      </c>
      <c r="E1365" s="229" t="s">
        <v>2</v>
      </c>
      <c r="F1365" s="229">
        <v>233</v>
      </c>
      <c r="G1365" s="40">
        <f>F1365/176</f>
        <v>1.3238636363636365</v>
      </c>
      <c r="H1365" s="14">
        <v>0</v>
      </c>
      <c r="I1365" s="229">
        <v>0</v>
      </c>
      <c r="J1365" s="229">
        <v>0</v>
      </c>
      <c r="K1365" s="26">
        <v>1</v>
      </c>
      <c r="L1365" s="14">
        <v>0</v>
      </c>
      <c r="M1365" s="229">
        <v>0</v>
      </c>
      <c r="N1365" s="229">
        <v>1</v>
      </c>
      <c r="O1365" s="229">
        <v>0</v>
      </c>
      <c r="P1365" s="26">
        <v>1</v>
      </c>
      <c r="Q1365" s="14">
        <v>2</v>
      </c>
      <c r="R1365" s="229">
        <v>0</v>
      </c>
      <c r="S1365" s="229">
        <v>5</v>
      </c>
      <c r="T1365" s="229">
        <v>0</v>
      </c>
      <c r="U1365" s="229">
        <v>0</v>
      </c>
      <c r="V1365" s="229">
        <v>0</v>
      </c>
      <c r="W1365" s="229">
        <v>0</v>
      </c>
      <c r="X1365" s="229">
        <v>0</v>
      </c>
      <c r="Y1365" s="229">
        <v>0</v>
      </c>
      <c r="Z1365" s="229">
        <v>0</v>
      </c>
      <c r="AA1365" s="229">
        <v>0</v>
      </c>
      <c r="AC1365" s="12">
        <v>2</v>
      </c>
      <c r="AD1365" s="14">
        <v>4</v>
      </c>
      <c r="AE1365" s="14">
        <v>53</v>
      </c>
      <c r="AF1365" s="26">
        <v>172</v>
      </c>
      <c r="AG1365" s="12">
        <v>99</v>
      </c>
      <c r="AH1365" s="14">
        <v>1</v>
      </c>
      <c r="AI1365" s="209"/>
      <c r="AJ1365" s="3"/>
      <c r="AK1365" s="3"/>
      <c r="AL1365" s="3"/>
      <c r="AM1365" s="3"/>
      <c r="AN1365" s="3"/>
      <c r="AO1365" s="40"/>
      <c r="AP1365" s="209"/>
      <c r="AQ1365" s="3"/>
      <c r="AR1365" s="40"/>
      <c r="AS1365" s="238"/>
    </row>
    <row r="1366" spans="1:45" s="229" customFormat="1">
      <c r="A1366" s="83" t="s">
        <v>326</v>
      </c>
      <c r="B1366" s="386">
        <v>46.86</v>
      </c>
      <c r="C1366" s="24" t="s">
        <v>128</v>
      </c>
      <c r="D1366" s="229" t="s">
        <v>624</v>
      </c>
      <c r="E1366" s="229" t="s">
        <v>3</v>
      </c>
      <c r="F1366" s="229">
        <v>125</v>
      </c>
      <c r="G1366" s="40">
        <f>F1366/85</f>
        <v>1.4705882352941178</v>
      </c>
      <c r="H1366" s="14">
        <v>0</v>
      </c>
      <c r="I1366" s="229">
        <v>0</v>
      </c>
      <c r="J1366" s="229">
        <v>0</v>
      </c>
      <c r="K1366" s="26">
        <v>1</v>
      </c>
      <c r="L1366" s="14">
        <v>0</v>
      </c>
      <c r="M1366" s="229">
        <v>0</v>
      </c>
      <c r="N1366" s="229">
        <v>1</v>
      </c>
      <c r="O1366" s="229">
        <v>0</v>
      </c>
      <c r="P1366" s="26">
        <v>1</v>
      </c>
      <c r="Q1366" s="14">
        <v>0</v>
      </c>
      <c r="R1366" s="229">
        <v>0</v>
      </c>
      <c r="S1366" s="229">
        <v>0</v>
      </c>
      <c r="T1366" s="229">
        <v>0</v>
      </c>
      <c r="U1366" s="229">
        <v>0</v>
      </c>
      <c r="V1366" s="229">
        <v>0</v>
      </c>
      <c r="W1366" s="229">
        <v>0</v>
      </c>
      <c r="X1366" s="229">
        <v>0</v>
      </c>
      <c r="Y1366" s="229">
        <v>0</v>
      </c>
      <c r="Z1366" s="229">
        <v>0</v>
      </c>
      <c r="AA1366" s="229">
        <v>0</v>
      </c>
      <c r="AC1366" s="12">
        <v>1</v>
      </c>
      <c r="AD1366" s="14">
        <v>1</v>
      </c>
      <c r="AE1366" s="14">
        <v>0</v>
      </c>
      <c r="AF1366" s="26">
        <v>0</v>
      </c>
      <c r="AG1366" s="12">
        <v>99</v>
      </c>
      <c r="AH1366" s="14">
        <v>1</v>
      </c>
      <c r="AI1366" s="209"/>
      <c r="AJ1366" s="3"/>
      <c r="AK1366" s="3"/>
      <c r="AL1366" s="3"/>
      <c r="AM1366" s="3"/>
      <c r="AN1366" s="3"/>
      <c r="AO1366" s="40"/>
      <c r="AP1366" s="209"/>
      <c r="AQ1366" s="3"/>
      <c r="AR1366" s="40"/>
      <c r="AS1366" s="238"/>
    </row>
    <row r="1367" spans="1:45" s="229" customFormat="1">
      <c r="A1367" s="83" t="s">
        <v>326</v>
      </c>
      <c r="B1367" s="386">
        <v>46.86</v>
      </c>
      <c r="C1367" s="24" t="s">
        <v>128</v>
      </c>
      <c r="D1367" s="229" t="s">
        <v>626</v>
      </c>
      <c r="F1367" s="229">
        <v>667</v>
      </c>
      <c r="G1367" s="40">
        <f>F1367/339</f>
        <v>1.9675516224188792</v>
      </c>
      <c r="H1367" s="14">
        <v>0</v>
      </c>
      <c r="I1367" s="229">
        <v>0</v>
      </c>
      <c r="J1367" s="229">
        <v>1</v>
      </c>
      <c r="K1367" s="26">
        <v>1</v>
      </c>
      <c r="L1367" s="14">
        <v>0</v>
      </c>
      <c r="M1367" s="229">
        <v>0</v>
      </c>
      <c r="N1367" s="229">
        <v>1</v>
      </c>
      <c r="O1367" s="229">
        <v>0</v>
      </c>
      <c r="P1367" s="26">
        <v>1</v>
      </c>
      <c r="Q1367" s="14">
        <v>2</v>
      </c>
      <c r="R1367" s="229">
        <v>0</v>
      </c>
      <c r="S1367" s="229">
        <v>0</v>
      </c>
      <c r="T1367" s="229">
        <v>0</v>
      </c>
      <c r="U1367" s="229">
        <v>0</v>
      </c>
      <c r="V1367" s="229">
        <v>8</v>
      </c>
      <c r="W1367" s="229">
        <v>61</v>
      </c>
      <c r="X1367" s="229">
        <v>0</v>
      </c>
      <c r="Y1367" s="229">
        <v>0</v>
      </c>
      <c r="Z1367" s="229">
        <v>0</v>
      </c>
      <c r="AA1367" s="229">
        <v>0</v>
      </c>
      <c r="AC1367" s="12">
        <v>2</v>
      </c>
      <c r="AD1367" s="14">
        <v>6</v>
      </c>
      <c r="AE1367" s="14">
        <v>46</v>
      </c>
      <c r="AF1367" s="26">
        <v>387</v>
      </c>
      <c r="AG1367" s="12">
        <v>131</v>
      </c>
      <c r="AH1367" s="14">
        <v>1</v>
      </c>
      <c r="AI1367" s="209"/>
      <c r="AJ1367" s="3"/>
      <c r="AK1367" s="3"/>
      <c r="AL1367" s="3"/>
      <c r="AM1367" s="3"/>
      <c r="AN1367" s="3"/>
      <c r="AO1367" s="40"/>
      <c r="AP1367" s="209"/>
      <c r="AQ1367" s="3"/>
      <c r="AR1367" s="40"/>
      <c r="AS1367" s="238"/>
    </row>
    <row r="1368" spans="1:45" s="229" customFormat="1">
      <c r="A1368" s="83" t="s">
        <v>326</v>
      </c>
      <c r="B1368" s="386">
        <v>46.86</v>
      </c>
      <c r="C1368" s="24" t="s">
        <v>128</v>
      </c>
      <c r="D1368" s="229" t="s">
        <v>719</v>
      </c>
      <c r="E1368" s="229" t="s">
        <v>0</v>
      </c>
      <c r="F1368" s="229">
        <v>578</v>
      </c>
      <c r="G1368" s="40">
        <f>F1368/379</f>
        <v>1.525065963060686</v>
      </c>
      <c r="H1368" s="14">
        <v>0</v>
      </c>
      <c r="I1368" s="229">
        <v>0</v>
      </c>
      <c r="J1368" s="229">
        <v>1</v>
      </c>
      <c r="K1368" s="26">
        <v>1</v>
      </c>
      <c r="L1368" s="14">
        <v>0</v>
      </c>
      <c r="M1368" s="229">
        <v>0</v>
      </c>
      <c r="N1368" s="229">
        <v>1</v>
      </c>
      <c r="O1368" s="229">
        <v>0</v>
      </c>
      <c r="P1368" s="26">
        <v>1</v>
      </c>
      <c r="Q1368" s="14">
        <v>1</v>
      </c>
      <c r="R1368" s="229">
        <v>0</v>
      </c>
      <c r="S1368" s="229">
        <v>8</v>
      </c>
      <c r="T1368" s="229">
        <v>0</v>
      </c>
      <c r="U1368" s="229">
        <v>0</v>
      </c>
      <c r="V1368" s="229">
        <v>0</v>
      </c>
      <c r="W1368" s="229">
        <v>0</v>
      </c>
      <c r="X1368" s="229">
        <v>0</v>
      </c>
      <c r="Y1368" s="229">
        <v>0</v>
      </c>
      <c r="Z1368" s="229">
        <v>0</v>
      </c>
      <c r="AA1368" s="229">
        <v>0</v>
      </c>
      <c r="AC1368" s="12">
        <v>2</v>
      </c>
      <c r="AD1368" s="14">
        <v>6</v>
      </c>
      <c r="AE1368" s="14">
        <v>70</v>
      </c>
      <c r="AF1368" s="26">
        <v>409</v>
      </c>
      <c r="AG1368" s="12">
        <v>125</v>
      </c>
      <c r="AH1368" s="14">
        <v>1</v>
      </c>
      <c r="AI1368" s="209"/>
      <c r="AJ1368" s="3"/>
      <c r="AK1368" s="3"/>
      <c r="AL1368" s="3"/>
      <c r="AM1368" s="3"/>
      <c r="AN1368" s="3"/>
      <c r="AO1368" s="40"/>
      <c r="AP1368" s="209"/>
      <c r="AQ1368" s="3"/>
      <c r="AR1368" s="40"/>
      <c r="AS1368" s="238"/>
    </row>
    <row r="1369" spans="1:45" s="229" customFormat="1">
      <c r="A1369" s="83" t="s">
        <v>326</v>
      </c>
      <c r="B1369" s="386">
        <v>46.86</v>
      </c>
      <c r="C1369" s="24" t="s">
        <v>128</v>
      </c>
      <c r="D1369" s="229" t="s">
        <v>719</v>
      </c>
      <c r="E1369" s="229" t="s">
        <v>1</v>
      </c>
      <c r="F1369" s="229">
        <v>191</v>
      </c>
      <c r="G1369" s="40">
        <f>F1369/136</f>
        <v>1.4044117647058822</v>
      </c>
      <c r="H1369" s="14">
        <v>0</v>
      </c>
      <c r="I1369" s="229">
        <v>0</v>
      </c>
      <c r="J1369" s="229">
        <v>0</v>
      </c>
      <c r="K1369" s="26">
        <v>1</v>
      </c>
      <c r="L1369" s="14">
        <v>0</v>
      </c>
      <c r="M1369" s="229">
        <v>0</v>
      </c>
      <c r="N1369" s="229">
        <v>1</v>
      </c>
      <c r="O1369" s="229">
        <v>0</v>
      </c>
      <c r="P1369" s="26">
        <v>1</v>
      </c>
      <c r="Q1369" s="14">
        <v>2</v>
      </c>
      <c r="R1369" s="229">
        <v>0</v>
      </c>
      <c r="S1369" s="229">
        <v>4</v>
      </c>
      <c r="T1369" s="229">
        <v>0</v>
      </c>
      <c r="U1369" s="229">
        <v>0</v>
      </c>
      <c r="V1369" s="229">
        <v>0</v>
      </c>
      <c r="W1369" s="229">
        <v>8</v>
      </c>
      <c r="X1369" s="229">
        <v>0</v>
      </c>
      <c r="Y1369" s="229">
        <v>0</v>
      </c>
      <c r="Z1369" s="229">
        <v>0</v>
      </c>
      <c r="AA1369" s="229">
        <v>0</v>
      </c>
      <c r="AC1369" s="12">
        <v>1</v>
      </c>
      <c r="AD1369" s="14">
        <v>1</v>
      </c>
      <c r="AE1369" s="14">
        <v>0</v>
      </c>
      <c r="AF1369" s="26">
        <v>0</v>
      </c>
      <c r="AG1369" s="12">
        <v>125</v>
      </c>
      <c r="AH1369" s="14">
        <v>0</v>
      </c>
      <c r="AI1369" s="209"/>
      <c r="AJ1369" s="3"/>
      <c r="AK1369" s="3"/>
      <c r="AL1369" s="3"/>
      <c r="AM1369" s="3"/>
      <c r="AN1369" s="3"/>
      <c r="AO1369" s="40"/>
      <c r="AP1369" s="209"/>
      <c r="AQ1369" s="3"/>
      <c r="AR1369" s="40"/>
      <c r="AS1369" s="238"/>
    </row>
    <row r="1370" spans="1:45" s="229" customFormat="1">
      <c r="A1370" s="83" t="s">
        <v>326</v>
      </c>
      <c r="B1370" s="386">
        <v>46.86</v>
      </c>
      <c r="C1370" s="24" t="s">
        <v>128</v>
      </c>
      <c r="D1370" s="229" t="s">
        <v>706</v>
      </c>
      <c r="F1370" s="229">
        <v>639</v>
      </c>
      <c r="G1370" s="40">
        <f>F1370/331</f>
        <v>1.9305135951661632</v>
      </c>
      <c r="H1370" s="14">
        <v>0</v>
      </c>
      <c r="I1370" s="229">
        <v>0</v>
      </c>
      <c r="J1370" s="229">
        <v>0</v>
      </c>
      <c r="K1370" s="26">
        <v>1</v>
      </c>
      <c r="L1370" s="14">
        <v>0</v>
      </c>
      <c r="M1370" s="229">
        <v>0</v>
      </c>
      <c r="N1370" s="229">
        <v>1</v>
      </c>
      <c r="O1370" s="229">
        <v>0</v>
      </c>
      <c r="P1370" s="26">
        <v>1</v>
      </c>
      <c r="Q1370" s="14">
        <v>0</v>
      </c>
      <c r="R1370" s="229">
        <v>0</v>
      </c>
      <c r="S1370" s="229">
        <v>0</v>
      </c>
      <c r="T1370" s="229">
        <v>0</v>
      </c>
      <c r="U1370" s="229">
        <v>0</v>
      </c>
      <c r="V1370" s="229">
        <v>0</v>
      </c>
      <c r="W1370" s="229">
        <v>0</v>
      </c>
      <c r="X1370" s="229">
        <v>0</v>
      </c>
      <c r="Y1370" s="229">
        <v>0</v>
      </c>
      <c r="Z1370" s="229">
        <v>0</v>
      </c>
      <c r="AA1370" s="229">
        <v>0</v>
      </c>
      <c r="AC1370" s="12">
        <v>2</v>
      </c>
      <c r="AD1370" s="14">
        <v>3</v>
      </c>
      <c r="AE1370" s="14">
        <v>93</v>
      </c>
      <c r="AF1370" s="26">
        <v>374</v>
      </c>
      <c r="AG1370" s="12">
        <v>108</v>
      </c>
      <c r="AH1370" s="14">
        <v>1</v>
      </c>
      <c r="AI1370" s="209"/>
      <c r="AJ1370" s="3"/>
      <c r="AK1370" s="3"/>
      <c r="AL1370" s="3"/>
      <c r="AM1370" s="3"/>
      <c r="AN1370" s="3"/>
      <c r="AO1370" s="40"/>
      <c r="AP1370" s="209"/>
      <c r="AQ1370" s="3"/>
      <c r="AR1370" s="40"/>
      <c r="AS1370" s="238"/>
    </row>
    <row r="1371" spans="1:45" s="229" customFormat="1">
      <c r="A1371" s="83" t="s">
        <v>326</v>
      </c>
      <c r="B1371" s="386">
        <v>46.86</v>
      </c>
      <c r="C1371" s="24" t="s">
        <v>128</v>
      </c>
      <c r="D1371" s="229" t="s">
        <v>707</v>
      </c>
      <c r="F1371" s="229">
        <v>934</v>
      </c>
      <c r="G1371" s="40">
        <f>F1371/405</f>
        <v>2.3061728395061727</v>
      </c>
      <c r="H1371" s="14">
        <v>0</v>
      </c>
      <c r="I1371" s="229">
        <v>0</v>
      </c>
      <c r="J1371" s="229">
        <v>0</v>
      </c>
      <c r="K1371" s="26">
        <v>1</v>
      </c>
      <c r="L1371" s="14">
        <v>0</v>
      </c>
      <c r="M1371" s="229">
        <v>0</v>
      </c>
      <c r="N1371" s="229">
        <v>1</v>
      </c>
      <c r="O1371" s="229">
        <v>0</v>
      </c>
      <c r="P1371" s="26">
        <v>1</v>
      </c>
      <c r="Q1371" s="14">
        <v>1</v>
      </c>
      <c r="R1371" s="229">
        <v>0</v>
      </c>
      <c r="S1371" s="229">
        <v>0</v>
      </c>
      <c r="T1371" s="229">
        <v>0</v>
      </c>
      <c r="U1371" s="229">
        <v>0</v>
      </c>
      <c r="V1371" s="229">
        <v>0</v>
      </c>
      <c r="W1371" s="229">
        <v>32</v>
      </c>
      <c r="X1371" s="229">
        <v>0</v>
      </c>
      <c r="Y1371" s="229">
        <v>0</v>
      </c>
      <c r="Z1371" s="229">
        <v>0</v>
      </c>
      <c r="AA1371" s="229">
        <v>0</v>
      </c>
      <c r="AC1371" s="12">
        <v>2</v>
      </c>
      <c r="AD1371" s="14">
        <v>8</v>
      </c>
      <c r="AE1371" s="14">
        <v>67</v>
      </c>
      <c r="AF1371" s="26">
        <v>374</v>
      </c>
      <c r="AG1371" s="12">
        <v>105</v>
      </c>
      <c r="AH1371" s="14">
        <v>1</v>
      </c>
      <c r="AI1371" s="209"/>
      <c r="AJ1371" s="3"/>
      <c r="AK1371" s="3"/>
      <c r="AL1371" s="3"/>
      <c r="AM1371" s="3"/>
      <c r="AN1371" s="3"/>
      <c r="AO1371" s="40"/>
      <c r="AP1371" s="209"/>
      <c r="AQ1371" s="3"/>
      <c r="AR1371" s="40"/>
      <c r="AS1371" s="238"/>
    </row>
    <row r="1372" spans="1:45" s="229" customFormat="1">
      <c r="A1372" s="83" t="s">
        <v>326</v>
      </c>
      <c r="B1372" s="386">
        <v>46.86</v>
      </c>
      <c r="C1372" s="24" t="s">
        <v>128</v>
      </c>
      <c r="D1372" s="229" t="s">
        <v>720</v>
      </c>
      <c r="E1372" s="229" t="s">
        <v>0</v>
      </c>
      <c r="F1372" s="229">
        <v>186</v>
      </c>
      <c r="G1372" s="40">
        <f>F1372/121</f>
        <v>1.5371900826446281</v>
      </c>
      <c r="H1372" s="14">
        <v>0</v>
      </c>
      <c r="I1372" s="229">
        <v>0</v>
      </c>
      <c r="J1372" s="229">
        <v>0</v>
      </c>
      <c r="K1372" s="26">
        <v>1</v>
      </c>
      <c r="L1372" s="14">
        <v>0</v>
      </c>
      <c r="M1372" s="229">
        <v>0</v>
      </c>
      <c r="N1372" s="229">
        <v>0</v>
      </c>
      <c r="O1372" s="229">
        <v>0</v>
      </c>
      <c r="P1372" s="26">
        <v>0</v>
      </c>
      <c r="Q1372" s="14">
        <v>0</v>
      </c>
      <c r="R1372" s="229">
        <v>0</v>
      </c>
      <c r="S1372" s="229">
        <v>0</v>
      </c>
      <c r="T1372" s="229">
        <v>0</v>
      </c>
      <c r="U1372" s="229">
        <v>0</v>
      </c>
      <c r="V1372" s="229">
        <v>0</v>
      </c>
      <c r="W1372" s="229">
        <v>0</v>
      </c>
      <c r="X1372" s="229">
        <v>0</v>
      </c>
      <c r="Y1372" s="229">
        <v>0</v>
      </c>
      <c r="Z1372" s="229">
        <v>0</v>
      </c>
      <c r="AA1372" s="229">
        <v>0</v>
      </c>
      <c r="AC1372" s="12">
        <v>1</v>
      </c>
      <c r="AD1372" s="14">
        <v>1</v>
      </c>
      <c r="AE1372" s="14">
        <v>0</v>
      </c>
      <c r="AF1372" s="26">
        <v>0</v>
      </c>
      <c r="AG1372" s="12">
        <v>114</v>
      </c>
      <c r="AH1372" s="14">
        <v>0</v>
      </c>
      <c r="AI1372" s="209"/>
      <c r="AJ1372" s="3"/>
      <c r="AK1372" s="3"/>
      <c r="AL1372" s="3"/>
      <c r="AM1372" s="3"/>
      <c r="AN1372" s="3"/>
      <c r="AO1372" s="40"/>
      <c r="AP1372" s="209"/>
      <c r="AQ1372" s="3"/>
      <c r="AR1372" s="40"/>
      <c r="AS1372" s="238"/>
    </row>
    <row r="1373" spans="1:45" s="229" customFormat="1">
      <c r="A1373" s="83" t="s">
        <v>326</v>
      </c>
      <c r="B1373" s="386">
        <v>46.86</v>
      </c>
      <c r="C1373" s="24" t="s">
        <v>128</v>
      </c>
      <c r="D1373" s="229" t="s">
        <v>720</v>
      </c>
      <c r="E1373" s="229" t="s">
        <v>1</v>
      </c>
      <c r="F1373" s="229">
        <v>178</v>
      </c>
      <c r="G1373" s="40">
        <f>F1373/113</f>
        <v>1.5752212389380531</v>
      </c>
      <c r="H1373" s="14">
        <v>0</v>
      </c>
      <c r="I1373" s="229">
        <v>0</v>
      </c>
      <c r="J1373" s="229">
        <v>0</v>
      </c>
      <c r="K1373" s="26">
        <v>1</v>
      </c>
      <c r="L1373" s="14">
        <v>0</v>
      </c>
      <c r="M1373" s="229">
        <v>0</v>
      </c>
      <c r="N1373" s="229">
        <v>0</v>
      </c>
      <c r="O1373" s="229">
        <v>0</v>
      </c>
      <c r="P1373" s="26">
        <v>0</v>
      </c>
      <c r="Q1373" s="14">
        <v>0</v>
      </c>
      <c r="R1373" s="229">
        <v>0</v>
      </c>
      <c r="S1373" s="229">
        <v>0</v>
      </c>
      <c r="T1373" s="229">
        <v>0</v>
      </c>
      <c r="U1373" s="229">
        <v>0</v>
      </c>
      <c r="V1373" s="229">
        <v>0</v>
      </c>
      <c r="W1373" s="229">
        <v>0</v>
      </c>
      <c r="X1373" s="229">
        <v>0</v>
      </c>
      <c r="Y1373" s="229">
        <v>0</v>
      </c>
      <c r="Z1373" s="229">
        <v>0</v>
      </c>
      <c r="AA1373" s="229">
        <v>0</v>
      </c>
      <c r="AC1373" s="12">
        <v>2</v>
      </c>
      <c r="AD1373" s="14">
        <v>2</v>
      </c>
      <c r="AE1373" s="14">
        <v>95</v>
      </c>
      <c r="AF1373" s="26">
        <v>178</v>
      </c>
      <c r="AG1373" s="12">
        <v>114</v>
      </c>
      <c r="AH1373" s="14">
        <v>1</v>
      </c>
      <c r="AI1373" s="209"/>
      <c r="AJ1373" s="3"/>
      <c r="AK1373" s="3"/>
      <c r="AL1373" s="3"/>
      <c r="AM1373" s="3"/>
      <c r="AN1373" s="3"/>
      <c r="AO1373" s="40"/>
      <c r="AP1373" s="209"/>
      <c r="AQ1373" s="3"/>
      <c r="AR1373" s="40"/>
      <c r="AS1373" s="238"/>
    </row>
    <row r="1374" spans="1:45" s="229" customFormat="1">
      <c r="A1374" s="83" t="s">
        <v>326</v>
      </c>
      <c r="B1374" s="386">
        <v>46.86</v>
      </c>
      <c r="C1374" s="24" t="s">
        <v>128</v>
      </c>
      <c r="D1374" s="229" t="s">
        <v>720</v>
      </c>
      <c r="E1374" s="229" t="s">
        <v>2</v>
      </c>
      <c r="F1374" s="229">
        <v>335</v>
      </c>
      <c r="G1374" s="40">
        <f>F1374/266</f>
        <v>1.2593984962406015</v>
      </c>
      <c r="H1374" s="14">
        <v>1</v>
      </c>
      <c r="I1374" s="229">
        <v>0</v>
      </c>
      <c r="J1374" s="229">
        <v>0</v>
      </c>
      <c r="K1374" s="26">
        <v>0</v>
      </c>
      <c r="L1374" s="14">
        <v>0</v>
      </c>
      <c r="M1374" s="229">
        <v>0</v>
      </c>
      <c r="N1374" s="229">
        <v>0</v>
      </c>
      <c r="O1374" s="229">
        <v>0</v>
      </c>
      <c r="P1374" s="26">
        <v>0</v>
      </c>
      <c r="Q1374" s="14">
        <v>2</v>
      </c>
      <c r="R1374" s="229">
        <v>0</v>
      </c>
      <c r="S1374" s="229">
        <v>14</v>
      </c>
      <c r="T1374" s="229">
        <v>0</v>
      </c>
      <c r="U1374" s="229">
        <v>0</v>
      </c>
      <c r="V1374" s="229">
        <v>0</v>
      </c>
      <c r="W1374" s="229">
        <v>0</v>
      </c>
      <c r="X1374" s="229">
        <v>0</v>
      </c>
      <c r="Y1374" s="229">
        <v>0</v>
      </c>
      <c r="Z1374" s="229">
        <v>0</v>
      </c>
      <c r="AA1374" s="229">
        <v>0</v>
      </c>
      <c r="AC1374" s="12">
        <v>2</v>
      </c>
      <c r="AD1374" s="14">
        <v>2</v>
      </c>
      <c r="AE1374" s="14">
        <v>218</v>
      </c>
      <c r="AF1374" s="26">
        <v>298</v>
      </c>
      <c r="AG1374" s="12">
        <v>114</v>
      </c>
      <c r="AH1374" s="14">
        <v>1</v>
      </c>
      <c r="AI1374" s="209"/>
      <c r="AJ1374" s="3"/>
      <c r="AK1374" s="3"/>
      <c r="AL1374" s="3"/>
      <c r="AM1374" s="3"/>
      <c r="AN1374" s="3"/>
      <c r="AO1374" s="40"/>
      <c r="AP1374" s="209"/>
      <c r="AQ1374" s="3"/>
      <c r="AR1374" s="40"/>
      <c r="AS1374" s="238"/>
    </row>
    <row r="1375" spans="1:45" s="229" customFormat="1">
      <c r="A1375" s="83" t="s">
        <v>326</v>
      </c>
      <c r="B1375" s="386">
        <v>46.86</v>
      </c>
      <c r="C1375" s="24" t="s">
        <v>128</v>
      </c>
      <c r="D1375" s="229" t="s">
        <v>720</v>
      </c>
      <c r="E1375" s="229" t="s">
        <v>3</v>
      </c>
      <c r="F1375" s="229">
        <v>540</v>
      </c>
      <c r="G1375" s="40">
        <f>F1375/284</f>
        <v>1.9014084507042253</v>
      </c>
      <c r="H1375" s="14">
        <v>1</v>
      </c>
      <c r="I1375" s="229">
        <v>0</v>
      </c>
      <c r="J1375" s="229">
        <v>0</v>
      </c>
      <c r="K1375" s="26">
        <v>1</v>
      </c>
      <c r="L1375" s="14">
        <v>0</v>
      </c>
      <c r="M1375" s="229">
        <v>0</v>
      </c>
      <c r="N1375" s="229">
        <v>0</v>
      </c>
      <c r="O1375" s="229">
        <v>0</v>
      </c>
      <c r="P1375" s="26">
        <v>0</v>
      </c>
      <c r="Q1375" s="14">
        <v>1</v>
      </c>
      <c r="R1375" s="229">
        <v>4</v>
      </c>
      <c r="S1375" s="229">
        <v>9</v>
      </c>
      <c r="T1375" s="229">
        <v>0</v>
      </c>
      <c r="U1375" s="229">
        <v>0</v>
      </c>
      <c r="V1375" s="229">
        <v>0</v>
      </c>
      <c r="W1375" s="229">
        <v>0</v>
      </c>
      <c r="X1375" s="229">
        <v>0</v>
      </c>
      <c r="Y1375" s="229">
        <v>0</v>
      </c>
      <c r="Z1375" s="229">
        <v>0</v>
      </c>
      <c r="AA1375" s="229">
        <v>0</v>
      </c>
      <c r="AC1375" s="12">
        <v>2</v>
      </c>
      <c r="AD1375" s="14">
        <v>7</v>
      </c>
      <c r="AE1375" s="14">
        <v>40</v>
      </c>
      <c r="AF1375" s="26">
        <v>294</v>
      </c>
      <c r="AG1375" s="12">
        <v>114</v>
      </c>
      <c r="AH1375" s="14">
        <v>1</v>
      </c>
      <c r="AI1375" s="209"/>
      <c r="AJ1375" s="3"/>
      <c r="AK1375" s="3"/>
      <c r="AL1375" s="3"/>
      <c r="AM1375" s="3"/>
      <c r="AN1375" s="3"/>
      <c r="AO1375" s="40"/>
      <c r="AP1375" s="209"/>
      <c r="AQ1375" s="3"/>
      <c r="AR1375" s="40"/>
      <c r="AS1375" s="238"/>
    </row>
    <row r="1376" spans="1:45" s="229" customFormat="1">
      <c r="A1376" s="83" t="s">
        <v>326</v>
      </c>
      <c r="B1376" s="386">
        <v>46.86</v>
      </c>
      <c r="C1376" s="24" t="s">
        <v>128</v>
      </c>
      <c r="D1376" s="229" t="s">
        <v>748</v>
      </c>
      <c r="E1376" s="229" t="s">
        <v>0</v>
      </c>
      <c r="F1376" s="229">
        <v>415</v>
      </c>
      <c r="G1376" s="40">
        <f>F1376/289</f>
        <v>1.4359861591695502</v>
      </c>
      <c r="H1376" s="14">
        <v>0</v>
      </c>
      <c r="I1376" s="229">
        <v>0</v>
      </c>
      <c r="J1376" s="229">
        <v>0</v>
      </c>
      <c r="K1376" s="26">
        <v>1</v>
      </c>
      <c r="L1376" s="14">
        <v>0</v>
      </c>
      <c r="M1376" s="229">
        <v>0</v>
      </c>
      <c r="N1376" s="229">
        <v>1</v>
      </c>
      <c r="O1376" s="229">
        <v>0</v>
      </c>
      <c r="P1376" s="26">
        <v>1</v>
      </c>
      <c r="Q1376" s="14">
        <v>0</v>
      </c>
      <c r="R1376" s="229">
        <v>0</v>
      </c>
      <c r="S1376" s="229">
        <v>0</v>
      </c>
      <c r="T1376" s="229">
        <v>0</v>
      </c>
      <c r="U1376" s="229">
        <v>0</v>
      </c>
      <c r="V1376" s="229">
        <v>0</v>
      </c>
      <c r="W1376" s="229">
        <v>0</v>
      </c>
      <c r="X1376" s="229">
        <v>0</v>
      </c>
      <c r="Y1376" s="229">
        <v>0</v>
      </c>
      <c r="Z1376" s="229">
        <v>0</v>
      </c>
      <c r="AA1376" s="229">
        <v>0</v>
      </c>
      <c r="AC1376" s="12">
        <v>1</v>
      </c>
      <c r="AD1376" s="14">
        <v>1</v>
      </c>
      <c r="AE1376" s="14">
        <v>0</v>
      </c>
      <c r="AF1376" s="26">
        <v>0</v>
      </c>
      <c r="AG1376" s="12">
        <v>135</v>
      </c>
      <c r="AH1376" s="14">
        <v>1</v>
      </c>
      <c r="AI1376" s="209"/>
      <c r="AJ1376" s="3"/>
      <c r="AK1376" s="3"/>
      <c r="AL1376" s="3"/>
      <c r="AM1376" s="3"/>
      <c r="AN1376" s="3"/>
      <c r="AO1376" s="40"/>
      <c r="AP1376" s="209"/>
      <c r="AQ1376" s="3"/>
      <c r="AR1376" s="40"/>
      <c r="AS1376" s="238"/>
    </row>
    <row r="1377" spans="1:45" s="229" customFormat="1">
      <c r="A1377" s="83" t="s">
        <v>326</v>
      </c>
      <c r="B1377" s="386">
        <v>46.86</v>
      </c>
      <c r="C1377" s="24" t="s">
        <v>128</v>
      </c>
      <c r="D1377" s="229" t="s">
        <v>748</v>
      </c>
      <c r="E1377" s="229" t="s">
        <v>1</v>
      </c>
      <c r="F1377" s="229">
        <v>2225</v>
      </c>
      <c r="G1377" s="40">
        <f>F1377/919</f>
        <v>2.4211099020674647</v>
      </c>
      <c r="H1377" s="14">
        <v>1</v>
      </c>
      <c r="I1377" s="229">
        <v>0</v>
      </c>
      <c r="J1377" s="229">
        <v>0</v>
      </c>
      <c r="K1377" s="26">
        <v>1</v>
      </c>
      <c r="L1377" s="14">
        <v>0</v>
      </c>
      <c r="M1377" s="229">
        <v>0</v>
      </c>
      <c r="N1377" s="229">
        <v>1</v>
      </c>
      <c r="O1377" s="229">
        <v>0</v>
      </c>
      <c r="P1377" s="26">
        <v>1</v>
      </c>
      <c r="Q1377" s="14">
        <v>4</v>
      </c>
      <c r="R1377" s="229">
        <v>18</v>
      </c>
      <c r="S1377" s="229">
        <v>99</v>
      </c>
      <c r="T1377" s="229">
        <v>0</v>
      </c>
      <c r="U1377" s="229">
        <v>0</v>
      </c>
      <c r="V1377" s="229">
        <v>0</v>
      </c>
      <c r="W1377" s="229">
        <v>0</v>
      </c>
      <c r="X1377" s="229">
        <v>0</v>
      </c>
      <c r="Y1377" s="229">
        <v>0</v>
      </c>
      <c r="Z1377" s="229">
        <v>0</v>
      </c>
      <c r="AA1377" s="229">
        <v>0</v>
      </c>
      <c r="AC1377" s="12">
        <v>2</v>
      </c>
      <c r="AD1377" s="14">
        <v>11</v>
      </c>
      <c r="AE1377" s="14">
        <v>104</v>
      </c>
      <c r="AF1377" s="26">
        <v>841</v>
      </c>
      <c r="AG1377" s="12">
        <v>135</v>
      </c>
      <c r="AH1377" s="14">
        <v>1</v>
      </c>
      <c r="AI1377" s="209"/>
      <c r="AJ1377" s="3"/>
      <c r="AK1377" s="3"/>
      <c r="AL1377" s="3"/>
      <c r="AM1377" s="3"/>
      <c r="AN1377" s="3"/>
      <c r="AO1377" s="40"/>
      <c r="AP1377" s="209"/>
      <c r="AQ1377" s="3"/>
      <c r="AR1377" s="40"/>
      <c r="AS1377" s="238"/>
    </row>
    <row r="1378" spans="1:45" s="229" customFormat="1">
      <c r="A1378" s="83" t="s">
        <v>326</v>
      </c>
      <c r="B1378" s="386">
        <v>46.86</v>
      </c>
      <c r="C1378" s="24" t="s">
        <v>128</v>
      </c>
      <c r="D1378" s="229" t="s">
        <v>748</v>
      </c>
      <c r="E1378" s="229" t="s">
        <v>2</v>
      </c>
      <c r="F1378" s="229">
        <v>531</v>
      </c>
      <c r="G1378" s="40">
        <f>F1378/252</f>
        <v>2.1071428571428572</v>
      </c>
      <c r="H1378" s="14">
        <v>1</v>
      </c>
      <c r="I1378" s="229">
        <v>0</v>
      </c>
      <c r="J1378" s="229">
        <v>0</v>
      </c>
      <c r="K1378" s="26">
        <v>0</v>
      </c>
      <c r="L1378" s="14">
        <v>0</v>
      </c>
      <c r="M1378" s="229">
        <v>0</v>
      </c>
      <c r="N1378" s="229">
        <v>1</v>
      </c>
      <c r="O1378" s="229">
        <v>0</v>
      </c>
      <c r="P1378" s="26">
        <v>1</v>
      </c>
      <c r="Q1378" s="14">
        <v>0</v>
      </c>
      <c r="R1378" s="229">
        <v>0</v>
      </c>
      <c r="S1378" s="229">
        <v>0</v>
      </c>
      <c r="T1378" s="229">
        <v>0</v>
      </c>
      <c r="U1378" s="229">
        <v>0</v>
      </c>
      <c r="V1378" s="229">
        <v>0</v>
      </c>
      <c r="W1378" s="229">
        <v>0</v>
      </c>
      <c r="X1378" s="229">
        <v>0</v>
      </c>
      <c r="Y1378" s="229">
        <v>0</v>
      </c>
      <c r="Z1378" s="229">
        <v>0</v>
      </c>
      <c r="AA1378" s="229">
        <v>0</v>
      </c>
      <c r="AC1378" s="12">
        <v>1</v>
      </c>
      <c r="AD1378" s="14">
        <v>1</v>
      </c>
      <c r="AE1378" s="14">
        <v>0</v>
      </c>
      <c r="AF1378" s="26">
        <v>0</v>
      </c>
      <c r="AG1378" s="12">
        <v>135</v>
      </c>
      <c r="AH1378" s="14">
        <v>0</v>
      </c>
      <c r="AI1378" s="209"/>
      <c r="AJ1378" s="3"/>
      <c r="AK1378" s="3"/>
      <c r="AL1378" s="3"/>
      <c r="AM1378" s="3"/>
      <c r="AN1378" s="3"/>
      <c r="AO1378" s="40"/>
      <c r="AP1378" s="209"/>
      <c r="AQ1378" s="3"/>
      <c r="AR1378" s="40"/>
      <c r="AS1378" s="238"/>
    </row>
    <row r="1379" spans="1:45" s="229" customFormat="1">
      <c r="A1379" s="83" t="s">
        <v>326</v>
      </c>
      <c r="B1379" s="386">
        <v>46.86</v>
      </c>
      <c r="C1379" s="24" t="s">
        <v>128</v>
      </c>
      <c r="D1379" s="229" t="s">
        <v>753</v>
      </c>
      <c r="F1379" s="229">
        <v>441</v>
      </c>
      <c r="G1379" s="40">
        <f>F1379/386</f>
        <v>1.1424870466321244</v>
      </c>
      <c r="H1379" s="14">
        <v>1</v>
      </c>
      <c r="I1379" s="229">
        <v>0</v>
      </c>
      <c r="J1379" s="229">
        <v>0</v>
      </c>
      <c r="K1379" s="26">
        <v>1</v>
      </c>
      <c r="L1379" s="14">
        <v>0</v>
      </c>
      <c r="M1379" s="229">
        <v>0</v>
      </c>
      <c r="N1379" s="229">
        <v>0</v>
      </c>
      <c r="O1379" s="229">
        <v>0</v>
      </c>
      <c r="P1379" s="26">
        <v>0</v>
      </c>
      <c r="Q1379" s="14">
        <v>1</v>
      </c>
      <c r="R1379" s="229">
        <v>0</v>
      </c>
      <c r="S1379" s="229">
        <v>13</v>
      </c>
      <c r="T1379" s="229">
        <v>0</v>
      </c>
      <c r="U1379" s="229">
        <v>0</v>
      </c>
      <c r="V1379" s="229">
        <v>0</v>
      </c>
      <c r="W1379" s="229">
        <v>0</v>
      </c>
      <c r="X1379" s="229">
        <v>0</v>
      </c>
      <c r="Y1379" s="229">
        <v>0</v>
      </c>
      <c r="Z1379" s="229">
        <v>0</v>
      </c>
      <c r="AA1379" s="229">
        <v>0</v>
      </c>
      <c r="AC1379" s="12">
        <v>2</v>
      </c>
      <c r="AD1379" s="14">
        <v>4</v>
      </c>
      <c r="AE1379" s="14">
        <v>113</v>
      </c>
      <c r="AF1379" s="26">
        <v>300</v>
      </c>
      <c r="AG1379" s="12">
        <v>104</v>
      </c>
      <c r="AH1379" s="14">
        <v>1</v>
      </c>
      <c r="AI1379" s="209"/>
      <c r="AJ1379" s="3"/>
      <c r="AK1379" s="3"/>
      <c r="AL1379" s="3"/>
      <c r="AM1379" s="3"/>
      <c r="AN1379" s="3"/>
      <c r="AO1379" s="40"/>
      <c r="AP1379" s="209"/>
      <c r="AQ1379" s="3"/>
      <c r="AR1379" s="40"/>
      <c r="AS1379" s="238"/>
    </row>
    <row r="1380" spans="1:45" s="229" customFormat="1">
      <c r="A1380" s="83" t="s">
        <v>326</v>
      </c>
      <c r="B1380" s="386">
        <v>46.86</v>
      </c>
      <c r="C1380" s="24" t="s">
        <v>128</v>
      </c>
      <c r="D1380" s="229" t="s">
        <v>721</v>
      </c>
      <c r="F1380" s="229">
        <v>634</v>
      </c>
      <c r="G1380" s="40">
        <f>F1380/561</f>
        <v>1.1301247771836007</v>
      </c>
      <c r="H1380" s="14">
        <v>0</v>
      </c>
      <c r="I1380" s="229">
        <v>1</v>
      </c>
      <c r="J1380" s="229">
        <v>1</v>
      </c>
      <c r="K1380" s="26">
        <v>1</v>
      </c>
      <c r="L1380" s="14">
        <v>0</v>
      </c>
      <c r="M1380" s="229">
        <v>0</v>
      </c>
      <c r="N1380" s="229">
        <v>1</v>
      </c>
      <c r="O1380" s="229">
        <v>0</v>
      </c>
      <c r="P1380" s="26">
        <v>1</v>
      </c>
      <c r="Q1380" s="14">
        <v>3</v>
      </c>
      <c r="R1380" s="229">
        <v>0</v>
      </c>
      <c r="S1380" s="229">
        <v>0</v>
      </c>
      <c r="T1380" s="229">
        <v>0</v>
      </c>
      <c r="U1380" s="229">
        <v>0</v>
      </c>
      <c r="V1380" s="229">
        <v>0</v>
      </c>
      <c r="W1380" s="229">
        <v>0</v>
      </c>
      <c r="X1380" s="229">
        <v>0</v>
      </c>
      <c r="Y1380" s="229">
        <v>0</v>
      </c>
      <c r="Z1380" s="229">
        <v>32</v>
      </c>
      <c r="AA1380" s="229">
        <v>112</v>
      </c>
      <c r="AC1380" s="12">
        <v>2</v>
      </c>
      <c r="AD1380" s="14">
        <v>5</v>
      </c>
      <c r="AE1380" s="14">
        <v>135</v>
      </c>
      <c r="AF1380" s="26">
        <v>398</v>
      </c>
      <c r="AG1380" s="12">
        <v>103</v>
      </c>
      <c r="AH1380" s="14">
        <v>1</v>
      </c>
      <c r="AI1380" s="209"/>
      <c r="AJ1380" s="3"/>
      <c r="AK1380" s="3"/>
      <c r="AL1380" s="3"/>
      <c r="AM1380" s="3"/>
      <c r="AN1380" s="3"/>
      <c r="AO1380" s="40"/>
      <c r="AP1380" s="209"/>
      <c r="AQ1380" s="3"/>
      <c r="AR1380" s="40"/>
      <c r="AS1380" s="238"/>
    </row>
    <row r="1381" spans="1:45" s="229" customFormat="1">
      <c r="A1381" s="83" t="s">
        <v>326</v>
      </c>
      <c r="B1381" s="386">
        <v>46.86</v>
      </c>
      <c r="C1381" s="24" t="s">
        <v>128</v>
      </c>
      <c r="D1381" s="229" t="s">
        <v>749</v>
      </c>
      <c r="F1381" s="229">
        <v>476</v>
      </c>
      <c r="G1381" s="40">
        <f>F1381/276</f>
        <v>1.7246376811594204</v>
      </c>
      <c r="H1381" s="14">
        <v>1</v>
      </c>
      <c r="I1381" s="229">
        <v>0</v>
      </c>
      <c r="J1381" s="240">
        <v>0</v>
      </c>
      <c r="K1381" s="26">
        <v>1</v>
      </c>
      <c r="L1381" s="14">
        <v>0</v>
      </c>
      <c r="M1381" s="229">
        <v>0</v>
      </c>
      <c r="N1381" s="229">
        <v>1</v>
      </c>
      <c r="O1381" s="229">
        <v>0</v>
      </c>
      <c r="P1381" s="26">
        <v>1</v>
      </c>
      <c r="Q1381" s="14">
        <v>0</v>
      </c>
      <c r="R1381" s="229">
        <v>0</v>
      </c>
      <c r="S1381" s="229">
        <v>0</v>
      </c>
      <c r="T1381" s="229">
        <v>0</v>
      </c>
      <c r="U1381" s="229">
        <v>0</v>
      </c>
      <c r="V1381" s="229">
        <v>0</v>
      </c>
      <c r="W1381" s="229">
        <v>0</v>
      </c>
      <c r="X1381" s="229">
        <v>0</v>
      </c>
      <c r="Y1381" s="229">
        <v>0</v>
      </c>
      <c r="Z1381" s="229">
        <v>0</v>
      </c>
      <c r="AA1381" s="229">
        <v>0</v>
      </c>
      <c r="AC1381" s="12">
        <v>2</v>
      </c>
      <c r="AD1381" s="14">
        <v>2</v>
      </c>
      <c r="AE1381" s="14">
        <v>276</v>
      </c>
      <c r="AF1381" s="26">
        <v>286</v>
      </c>
      <c r="AG1381" s="12">
        <v>108</v>
      </c>
      <c r="AH1381" s="14">
        <v>1</v>
      </c>
      <c r="AI1381" s="209"/>
      <c r="AJ1381" s="3"/>
      <c r="AK1381" s="3"/>
      <c r="AL1381" s="3"/>
      <c r="AM1381" s="3"/>
      <c r="AN1381" s="3"/>
      <c r="AO1381" s="40"/>
      <c r="AP1381" s="209"/>
      <c r="AQ1381" s="3"/>
      <c r="AR1381" s="40"/>
      <c r="AS1381" s="238"/>
    </row>
    <row r="1382" spans="1:45" s="229" customFormat="1">
      <c r="A1382" s="83" t="s">
        <v>326</v>
      </c>
      <c r="B1382" s="386">
        <v>46.86</v>
      </c>
      <c r="C1382" s="24" t="s">
        <v>128</v>
      </c>
      <c r="D1382" s="229" t="s">
        <v>722</v>
      </c>
      <c r="F1382" s="229">
        <v>612</v>
      </c>
      <c r="G1382" s="40">
        <f>F1382/525</f>
        <v>1.1657142857142857</v>
      </c>
      <c r="H1382" s="14">
        <v>1</v>
      </c>
      <c r="I1382" s="229">
        <v>0</v>
      </c>
      <c r="J1382" s="229">
        <v>0</v>
      </c>
      <c r="K1382" s="26">
        <v>1</v>
      </c>
      <c r="L1382" s="14">
        <v>0</v>
      </c>
      <c r="M1382" s="229">
        <v>0</v>
      </c>
      <c r="N1382" s="229">
        <v>0</v>
      </c>
      <c r="O1382" s="229">
        <v>0</v>
      </c>
      <c r="P1382" s="26">
        <v>0</v>
      </c>
      <c r="Q1382" s="14">
        <v>0</v>
      </c>
      <c r="R1382" s="229">
        <v>0</v>
      </c>
      <c r="S1382" s="229">
        <v>0</v>
      </c>
      <c r="T1382" s="229">
        <v>0</v>
      </c>
      <c r="U1382" s="229">
        <v>0</v>
      </c>
      <c r="V1382" s="229">
        <v>0</v>
      </c>
      <c r="W1382" s="229">
        <v>0</v>
      </c>
      <c r="X1382" s="229">
        <v>0</v>
      </c>
      <c r="Y1382" s="229">
        <v>0</v>
      </c>
      <c r="Z1382" s="229">
        <v>0</v>
      </c>
      <c r="AA1382" s="229">
        <v>0</v>
      </c>
      <c r="AC1382" s="12">
        <v>2</v>
      </c>
      <c r="AD1382" s="14">
        <v>2</v>
      </c>
      <c r="AE1382" s="14">
        <v>362</v>
      </c>
      <c r="AF1382" s="26">
        <v>612</v>
      </c>
      <c r="AG1382" s="12">
        <v>112</v>
      </c>
      <c r="AH1382" s="14">
        <v>1</v>
      </c>
      <c r="AI1382" s="209">
        <v>86.995707949676472</v>
      </c>
      <c r="AJ1382" s="3"/>
      <c r="AK1382" s="3"/>
      <c r="AL1382" s="3"/>
      <c r="AM1382" s="3"/>
      <c r="AN1382" s="3"/>
      <c r="AO1382" s="40"/>
      <c r="AP1382" s="209">
        <v>86.513548398167018</v>
      </c>
      <c r="AQ1382" s="3"/>
      <c r="AR1382" s="40"/>
      <c r="AS1382" s="238"/>
    </row>
    <row r="1383" spans="1:45" s="229" customFormat="1">
      <c r="A1383" s="83" t="s">
        <v>326</v>
      </c>
      <c r="B1383" s="386">
        <v>46.86</v>
      </c>
      <c r="C1383" s="24" t="s">
        <v>128</v>
      </c>
      <c r="D1383" s="229" t="s">
        <v>723</v>
      </c>
      <c r="E1383" s="229" t="s">
        <v>0</v>
      </c>
      <c r="F1383" s="229">
        <v>566</v>
      </c>
      <c r="G1383" s="40">
        <f>F1383/472</f>
        <v>1.1991525423728813</v>
      </c>
      <c r="H1383" s="14">
        <v>1</v>
      </c>
      <c r="I1383" s="229">
        <v>0</v>
      </c>
      <c r="J1383" s="229">
        <v>0</v>
      </c>
      <c r="K1383" s="26">
        <v>0</v>
      </c>
      <c r="L1383" s="14">
        <v>0</v>
      </c>
      <c r="M1383" s="229">
        <v>0</v>
      </c>
      <c r="N1383" s="229">
        <v>1</v>
      </c>
      <c r="O1383" s="229">
        <v>0</v>
      </c>
      <c r="P1383" s="26">
        <v>1</v>
      </c>
      <c r="Q1383" s="14">
        <v>0</v>
      </c>
      <c r="R1383" s="229">
        <v>0</v>
      </c>
      <c r="S1383" s="229">
        <v>0</v>
      </c>
      <c r="T1383" s="229">
        <v>0</v>
      </c>
      <c r="U1383" s="229">
        <v>0</v>
      </c>
      <c r="V1383" s="229">
        <v>0</v>
      </c>
      <c r="W1383" s="229">
        <v>0</v>
      </c>
      <c r="X1383" s="229">
        <v>0</v>
      </c>
      <c r="Y1383" s="229">
        <v>0</v>
      </c>
      <c r="Z1383" s="229">
        <v>0</v>
      </c>
      <c r="AA1383" s="229">
        <v>0</v>
      </c>
      <c r="AC1383" s="12">
        <v>1</v>
      </c>
      <c r="AD1383" s="14">
        <v>1</v>
      </c>
      <c r="AE1383" s="14">
        <v>0</v>
      </c>
      <c r="AF1383" s="26">
        <v>0</v>
      </c>
      <c r="AG1383" s="12">
        <v>126</v>
      </c>
      <c r="AH1383" s="14">
        <v>0</v>
      </c>
      <c r="AI1383" s="209">
        <v>87.013646421374972</v>
      </c>
      <c r="AJ1383" s="3"/>
      <c r="AK1383" s="3"/>
      <c r="AL1383" s="3"/>
      <c r="AM1383" s="3"/>
      <c r="AN1383" s="3"/>
      <c r="AO1383" s="40"/>
      <c r="AP1383" s="209">
        <v>86.608817911813901</v>
      </c>
      <c r="AQ1383" s="3"/>
      <c r="AR1383" s="40"/>
      <c r="AS1383" s="238"/>
    </row>
    <row r="1384" spans="1:45" s="229" customFormat="1">
      <c r="A1384" s="83" t="s">
        <v>326</v>
      </c>
      <c r="B1384" s="386">
        <v>46.86</v>
      </c>
      <c r="C1384" s="24" t="s">
        <v>128</v>
      </c>
      <c r="D1384" s="229" t="s">
        <v>723</v>
      </c>
      <c r="E1384" s="229" t="s">
        <v>1</v>
      </c>
      <c r="F1384" s="229">
        <v>791</v>
      </c>
      <c r="G1384" s="40">
        <f>F1384/536</f>
        <v>1.4757462686567164</v>
      </c>
      <c r="H1384" s="14">
        <v>0</v>
      </c>
      <c r="I1384" s="229">
        <v>0</v>
      </c>
      <c r="J1384" s="229">
        <v>0</v>
      </c>
      <c r="K1384" s="26">
        <v>1</v>
      </c>
      <c r="L1384" s="14">
        <v>0</v>
      </c>
      <c r="M1384" s="229">
        <v>0</v>
      </c>
      <c r="N1384" s="229">
        <v>1</v>
      </c>
      <c r="O1384" s="229">
        <v>0</v>
      </c>
      <c r="P1384" s="26">
        <v>1</v>
      </c>
      <c r="Q1384" s="14">
        <v>2</v>
      </c>
      <c r="R1384" s="229">
        <v>0</v>
      </c>
      <c r="S1384" s="229">
        <v>9</v>
      </c>
      <c r="T1384" s="229">
        <v>0</v>
      </c>
      <c r="U1384" s="229">
        <v>0</v>
      </c>
      <c r="V1384" s="229">
        <v>0</v>
      </c>
      <c r="W1384" s="229">
        <v>14</v>
      </c>
      <c r="X1384" s="229">
        <v>0</v>
      </c>
      <c r="Y1384" s="229">
        <v>0</v>
      </c>
      <c r="Z1384" s="229">
        <v>0</v>
      </c>
      <c r="AA1384" s="229">
        <v>0</v>
      </c>
      <c r="AC1384" s="12">
        <v>1</v>
      </c>
      <c r="AD1384" s="14">
        <v>1</v>
      </c>
      <c r="AE1384" s="14">
        <v>0</v>
      </c>
      <c r="AF1384" s="26">
        <v>0</v>
      </c>
      <c r="AG1384" s="12">
        <v>126</v>
      </c>
      <c r="AH1384" s="14">
        <v>1</v>
      </c>
      <c r="AI1384" s="209"/>
      <c r="AJ1384" s="3"/>
      <c r="AK1384" s="3"/>
      <c r="AL1384" s="3"/>
      <c r="AM1384" s="3"/>
      <c r="AN1384" s="3"/>
      <c r="AO1384" s="40"/>
      <c r="AP1384" s="209"/>
      <c r="AQ1384" s="3"/>
      <c r="AR1384" s="40"/>
      <c r="AS1384" s="238"/>
    </row>
    <row r="1385" spans="1:45" s="229" customFormat="1">
      <c r="A1385" s="83" t="s">
        <v>326</v>
      </c>
      <c r="B1385" s="386">
        <v>46.86</v>
      </c>
      <c r="C1385" s="24" t="s">
        <v>128</v>
      </c>
      <c r="D1385" s="229" t="s">
        <v>723</v>
      </c>
      <c r="E1385" s="229" t="s">
        <v>2</v>
      </c>
      <c r="F1385" s="229">
        <v>294</v>
      </c>
      <c r="G1385" s="40">
        <f>F1385/216</f>
        <v>1.3611111111111112</v>
      </c>
      <c r="H1385" s="14">
        <v>0</v>
      </c>
      <c r="I1385" s="229">
        <v>0</v>
      </c>
      <c r="J1385" s="229">
        <v>1</v>
      </c>
      <c r="K1385" s="26">
        <v>0</v>
      </c>
      <c r="L1385" s="14">
        <v>0</v>
      </c>
      <c r="M1385" s="229">
        <v>0</v>
      </c>
      <c r="N1385" s="229">
        <v>0</v>
      </c>
      <c r="O1385" s="229">
        <v>0</v>
      </c>
      <c r="P1385" s="26">
        <v>0</v>
      </c>
      <c r="Q1385" s="14">
        <v>10</v>
      </c>
      <c r="R1385" s="229">
        <v>0</v>
      </c>
      <c r="S1385" s="229">
        <v>0</v>
      </c>
      <c r="T1385" s="229">
        <v>0</v>
      </c>
      <c r="U1385" s="229">
        <v>0</v>
      </c>
      <c r="V1385" s="229">
        <v>0</v>
      </c>
      <c r="W1385" s="229">
        <v>69</v>
      </c>
      <c r="X1385" s="229">
        <v>0</v>
      </c>
      <c r="Y1385" s="229">
        <v>0</v>
      </c>
      <c r="Z1385" s="229">
        <v>0</v>
      </c>
      <c r="AA1385" s="229">
        <v>0</v>
      </c>
      <c r="AC1385" s="12">
        <v>1</v>
      </c>
      <c r="AD1385" s="14">
        <v>1</v>
      </c>
      <c r="AE1385" s="14">
        <v>0</v>
      </c>
      <c r="AF1385" s="26">
        <v>0</v>
      </c>
      <c r="AG1385" s="12">
        <v>126</v>
      </c>
      <c r="AH1385" s="14">
        <v>1</v>
      </c>
      <c r="AI1385" s="209"/>
      <c r="AJ1385" s="3"/>
      <c r="AK1385" s="3"/>
      <c r="AL1385" s="3"/>
      <c r="AM1385" s="3"/>
      <c r="AN1385" s="3"/>
      <c r="AO1385" s="40"/>
      <c r="AP1385" s="209"/>
      <c r="AQ1385" s="3"/>
      <c r="AR1385" s="40"/>
      <c r="AS1385" s="238"/>
    </row>
    <row r="1386" spans="1:45" s="229" customFormat="1">
      <c r="A1386" s="83" t="s">
        <v>326</v>
      </c>
      <c r="B1386" s="386">
        <v>46.86</v>
      </c>
      <c r="C1386" s="24" t="s">
        <v>128</v>
      </c>
      <c r="D1386" s="229" t="s">
        <v>736</v>
      </c>
      <c r="E1386" s="229" t="s">
        <v>0</v>
      </c>
      <c r="F1386" s="229">
        <v>764</v>
      </c>
      <c r="G1386" s="40">
        <f>F1386/443</f>
        <v>1.724604966139955</v>
      </c>
      <c r="H1386" s="14">
        <v>1</v>
      </c>
      <c r="I1386" s="229">
        <v>0</v>
      </c>
      <c r="J1386" s="229">
        <v>1</v>
      </c>
      <c r="K1386" s="26">
        <v>1</v>
      </c>
      <c r="L1386" s="14">
        <v>0</v>
      </c>
      <c r="M1386" s="229">
        <v>0</v>
      </c>
      <c r="N1386" s="229">
        <v>0</v>
      </c>
      <c r="O1386" s="229">
        <v>0</v>
      </c>
      <c r="P1386" s="26">
        <v>0</v>
      </c>
      <c r="Q1386" s="14">
        <v>3</v>
      </c>
      <c r="R1386" s="229">
        <v>18</v>
      </c>
      <c r="S1386" s="229">
        <v>79</v>
      </c>
      <c r="T1386" s="229">
        <v>0</v>
      </c>
      <c r="U1386" s="229">
        <v>0</v>
      </c>
      <c r="V1386" s="229">
        <v>0</v>
      </c>
      <c r="W1386" s="229">
        <v>0</v>
      </c>
      <c r="X1386" s="229">
        <v>0</v>
      </c>
      <c r="Y1386" s="229">
        <v>0</v>
      </c>
      <c r="Z1386" s="229">
        <v>0</v>
      </c>
      <c r="AA1386" s="229">
        <v>35</v>
      </c>
      <c r="AC1386" s="12">
        <v>2</v>
      </c>
      <c r="AD1386" s="14">
        <v>6</v>
      </c>
      <c r="AE1386" s="14">
        <v>66</v>
      </c>
      <c r="AF1386" s="26">
        <v>521</v>
      </c>
      <c r="AG1386" s="12">
        <v>135</v>
      </c>
      <c r="AH1386" s="14">
        <v>1</v>
      </c>
      <c r="AI1386" s="209"/>
      <c r="AJ1386" s="3"/>
      <c r="AK1386" s="3"/>
      <c r="AL1386" s="3"/>
      <c r="AM1386" s="3"/>
      <c r="AN1386" s="3"/>
      <c r="AO1386" s="40"/>
      <c r="AP1386" s="209"/>
      <c r="AQ1386" s="3"/>
      <c r="AR1386" s="40"/>
      <c r="AS1386" s="238"/>
    </row>
    <row r="1387" spans="1:45" s="229" customFormat="1">
      <c r="A1387" s="83" t="s">
        <v>326</v>
      </c>
      <c r="B1387" s="386">
        <v>46.86</v>
      </c>
      <c r="C1387" s="24" t="s">
        <v>128</v>
      </c>
      <c r="D1387" s="229" t="s">
        <v>736</v>
      </c>
      <c r="E1387" s="229" t="s">
        <v>1</v>
      </c>
      <c r="F1387" s="229">
        <v>535</v>
      </c>
      <c r="G1387" s="40">
        <f>F1387/432</f>
        <v>1.2384259259259258</v>
      </c>
      <c r="H1387" s="14">
        <v>0</v>
      </c>
      <c r="I1387" s="229">
        <v>0</v>
      </c>
      <c r="J1387" s="229">
        <v>0</v>
      </c>
      <c r="K1387" s="26">
        <v>1</v>
      </c>
      <c r="L1387" s="14">
        <v>0</v>
      </c>
      <c r="M1387" s="229">
        <v>0</v>
      </c>
      <c r="N1387" s="229">
        <v>0</v>
      </c>
      <c r="O1387" s="229">
        <v>0</v>
      </c>
      <c r="P1387" s="26">
        <v>0</v>
      </c>
      <c r="Q1387" s="14">
        <v>1</v>
      </c>
      <c r="R1387" s="229">
        <v>0</v>
      </c>
      <c r="S1387" s="229">
        <v>0</v>
      </c>
      <c r="T1387" s="229">
        <v>0</v>
      </c>
      <c r="U1387" s="229">
        <v>0</v>
      </c>
      <c r="V1387" s="229">
        <v>0</v>
      </c>
      <c r="W1387" s="229">
        <v>0</v>
      </c>
      <c r="X1387" s="229">
        <v>0</v>
      </c>
      <c r="Y1387" s="229">
        <v>0</v>
      </c>
      <c r="Z1387" s="229">
        <v>0</v>
      </c>
      <c r="AA1387" s="229">
        <v>11</v>
      </c>
      <c r="AC1387" s="12">
        <v>2</v>
      </c>
      <c r="AD1387" s="14">
        <v>2</v>
      </c>
      <c r="AE1387" s="14">
        <v>215</v>
      </c>
      <c r="AF1387" s="26">
        <v>535</v>
      </c>
      <c r="AG1387" s="12">
        <v>135</v>
      </c>
      <c r="AH1387" s="14">
        <v>1</v>
      </c>
      <c r="AI1387" s="209"/>
      <c r="AJ1387" s="3"/>
      <c r="AK1387" s="3"/>
      <c r="AL1387" s="3"/>
      <c r="AM1387" s="3"/>
      <c r="AN1387" s="3"/>
      <c r="AO1387" s="40"/>
      <c r="AP1387" s="209"/>
      <c r="AQ1387" s="3"/>
      <c r="AR1387" s="40"/>
      <c r="AS1387" s="238"/>
    </row>
    <row r="1388" spans="1:45" s="229" customFormat="1">
      <c r="A1388" s="83" t="s">
        <v>326</v>
      </c>
      <c r="B1388" s="386">
        <v>46.86</v>
      </c>
      <c r="C1388" s="24" t="s">
        <v>128</v>
      </c>
      <c r="D1388" s="229" t="s">
        <v>736</v>
      </c>
      <c r="E1388" s="229" t="s">
        <v>2</v>
      </c>
      <c r="F1388" s="229">
        <v>211</v>
      </c>
      <c r="G1388" s="40">
        <f>F1388/139</f>
        <v>1.5179856115107915</v>
      </c>
      <c r="H1388" s="14">
        <v>1</v>
      </c>
      <c r="I1388" s="229">
        <v>0</v>
      </c>
      <c r="J1388" s="229">
        <v>0</v>
      </c>
      <c r="K1388" s="26">
        <v>0</v>
      </c>
      <c r="L1388" s="14">
        <v>0</v>
      </c>
      <c r="M1388" s="229">
        <v>0</v>
      </c>
      <c r="N1388" s="229">
        <v>0</v>
      </c>
      <c r="O1388" s="229">
        <v>0</v>
      </c>
      <c r="P1388" s="26">
        <v>0</v>
      </c>
      <c r="Q1388" s="14">
        <v>0</v>
      </c>
      <c r="R1388" s="229">
        <v>0</v>
      </c>
      <c r="S1388" s="229">
        <v>0</v>
      </c>
      <c r="T1388" s="229">
        <v>0</v>
      </c>
      <c r="U1388" s="229">
        <v>0</v>
      </c>
      <c r="V1388" s="229">
        <v>0</v>
      </c>
      <c r="W1388" s="229">
        <v>0</v>
      </c>
      <c r="X1388" s="229">
        <v>0</v>
      </c>
      <c r="Y1388" s="229">
        <v>0</v>
      </c>
      <c r="Z1388" s="229">
        <v>0</v>
      </c>
      <c r="AA1388" s="229">
        <v>0</v>
      </c>
      <c r="AC1388" s="12">
        <v>1</v>
      </c>
      <c r="AD1388" s="14">
        <v>1</v>
      </c>
      <c r="AE1388" s="14">
        <v>0</v>
      </c>
      <c r="AF1388" s="26">
        <v>0</v>
      </c>
      <c r="AG1388" s="12">
        <v>135</v>
      </c>
      <c r="AH1388" s="14">
        <v>0</v>
      </c>
      <c r="AI1388" s="209"/>
      <c r="AJ1388" s="3"/>
      <c r="AK1388" s="3"/>
      <c r="AL1388" s="3"/>
      <c r="AM1388" s="3"/>
      <c r="AN1388" s="3"/>
      <c r="AO1388" s="40"/>
      <c r="AP1388" s="209"/>
      <c r="AQ1388" s="3"/>
      <c r="AR1388" s="40"/>
      <c r="AS1388" s="238"/>
    </row>
    <row r="1389" spans="1:45" s="229" customFormat="1">
      <c r="A1389" s="83" t="s">
        <v>326</v>
      </c>
      <c r="B1389" s="386">
        <v>46.86</v>
      </c>
      <c r="C1389" s="24" t="s">
        <v>128</v>
      </c>
      <c r="D1389" s="229" t="s">
        <v>736</v>
      </c>
      <c r="E1389" s="229" t="s">
        <v>3</v>
      </c>
      <c r="F1389" s="229">
        <v>191</v>
      </c>
      <c r="G1389" s="40">
        <f>F1389/178</f>
        <v>1.0730337078651686</v>
      </c>
      <c r="H1389" s="14">
        <v>0</v>
      </c>
      <c r="I1389" s="229">
        <v>0</v>
      </c>
      <c r="J1389" s="229">
        <v>0</v>
      </c>
      <c r="K1389" s="26">
        <v>1</v>
      </c>
      <c r="L1389" s="14">
        <v>0</v>
      </c>
      <c r="M1389" s="229">
        <v>0</v>
      </c>
      <c r="N1389" s="229">
        <v>0</v>
      </c>
      <c r="O1389" s="229">
        <v>0</v>
      </c>
      <c r="P1389" s="26">
        <v>0</v>
      </c>
      <c r="Q1389" s="14">
        <v>0</v>
      </c>
      <c r="R1389" s="229">
        <v>0</v>
      </c>
      <c r="S1389" s="229">
        <v>0</v>
      </c>
      <c r="T1389" s="229">
        <v>0</v>
      </c>
      <c r="U1389" s="229">
        <v>0</v>
      </c>
      <c r="V1389" s="229">
        <v>0</v>
      </c>
      <c r="W1389" s="229">
        <v>0</v>
      </c>
      <c r="X1389" s="229">
        <v>0</v>
      </c>
      <c r="Y1389" s="229">
        <v>0</v>
      </c>
      <c r="Z1389" s="229">
        <v>0</v>
      </c>
      <c r="AA1389" s="229">
        <v>0</v>
      </c>
      <c r="AC1389" s="12">
        <v>2</v>
      </c>
      <c r="AD1389" s="14">
        <v>2</v>
      </c>
      <c r="AE1389" s="14">
        <v>151</v>
      </c>
      <c r="AF1389" s="26">
        <v>178</v>
      </c>
      <c r="AG1389" s="12">
        <v>135</v>
      </c>
      <c r="AH1389" s="14">
        <v>0</v>
      </c>
      <c r="AI1389" s="209"/>
      <c r="AJ1389" s="3"/>
      <c r="AK1389" s="3"/>
      <c r="AL1389" s="3"/>
      <c r="AM1389" s="3"/>
      <c r="AN1389" s="3"/>
      <c r="AO1389" s="40"/>
      <c r="AP1389" s="209"/>
      <c r="AQ1389" s="3"/>
      <c r="AR1389" s="40"/>
      <c r="AS1389" s="238"/>
    </row>
    <row r="1390" spans="1:45" s="229" customFormat="1">
      <c r="A1390" s="83" t="s">
        <v>326</v>
      </c>
      <c r="B1390" s="386">
        <v>46.86</v>
      </c>
      <c r="C1390" s="24" t="s">
        <v>128</v>
      </c>
      <c r="D1390" s="229" t="s">
        <v>736</v>
      </c>
      <c r="E1390" s="229" t="s">
        <v>4</v>
      </c>
      <c r="F1390" s="229">
        <v>466</v>
      </c>
      <c r="G1390" s="40">
        <f>F1390/396</f>
        <v>1.1767676767676767</v>
      </c>
      <c r="H1390" s="14">
        <v>1</v>
      </c>
      <c r="I1390" s="229">
        <v>0</v>
      </c>
      <c r="J1390" s="229">
        <v>0</v>
      </c>
      <c r="K1390" s="26">
        <v>1</v>
      </c>
      <c r="L1390" s="14">
        <v>0</v>
      </c>
      <c r="M1390" s="229">
        <v>0</v>
      </c>
      <c r="N1390" s="229">
        <v>0</v>
      </c>
      <c r="O1390" s="229">
        <v>0</v>
      </c>
      <c r="P1390" s="26">
        <v>0</v>
      </c>
      <c r="Q1390" s="14">
        <v>0</v>
      </c>
      <c r="R1390" s="229">
        <v>0</v>
      </c>
      <c r="S1390" s="229">
        <v>0</v>
      </c>
      <c r="T1390" s="229">
        <v>0</v>
      </c>
      <c r="U1390" s="229">
        <v>0</v>
      </c>
      <c r="V1390" s="229">
        <v>0</v>
      </c>
      <c r="W1390" s="229">
        <v>0</v>
      </c>
      <c r="X1390" s="229">
        <v>0</v>
      </c>
      <c r="Y1390" s="229">
        <v>0</v>
      </c>
      <c r="Z1390" s="229">
        <v>0</v>
      </c>
      <c r="AA1390" s="229">
        <v>0</v>
      </c>
      <c r="AC1390" s="12">
        <v>2</v>
      </c>
      <c r="AD1390" s="14">
        <v>2</v>
      </c>
      <c r="AE1390" s="14">
        <v>275</v>
      </c>
      <c r="AF1390" s="26">
        <v>396</v>
      </c>
      <c r="AG1390" s="12">
        <v>135</v>
      </c>
      <c r="AH1390" s="14">
        <v>1</v>
      </c>
      <c r="AI1390" s="209"/>
      <c r="AJ1390" s="3"/>
      <c r="AK1390" s="3"/>
      <c r="AL1390" s="3"/>
      <c r="AM1390" s="3"/>
      <c r="AN1390" s="3"/>
      <c r="AO1390" s="40"/>
      <c r="AP1390" s="209"/>
      <c r="AQ1390" s="3"/>
      <c r="AR1390" s="40"/>
      <c r="AS1390" s="238"/>
    </row>
    <row r="1391" spans="1:45" s="229" customFormat="1">
      <c r="A1391" s="83" t="s">
        <v>326</v>
      </c>
      <c r="B1391" s="386">
        <v>46.86</v>
      </c>
      <c r="C1391" s="24" t="s">
        <v>128</v>
      </c>
      <c r="D1391" s="229" t="s">
        <v>736</v>
      </c>
      <c r="E1391" s="229" t="s">
        <v>5</v>
      </c>
      <c r="F1391" s="229">
        <v>906</v>
      </c>
      <c r="G1391" s="40">
        <f>F1391/321</f>
        <v>2.8224299065420562</v>
      </c>
      <c r="H1391" s="14">
        <v>1</v>
      </c>
      <c r="I1391" s="229">
        <v>0</v>
      </c>
      <c r="J1391" s="229">
        <v>0</v>
      </c>
      <c r="K1391" s="26">
        <v>1</v>
      </c>
      <c r="L1391" s="14">
        <v>0</v>
      </c>
      <c r="M1391" s="229">
        <v>0</v>
      </c>
      <c r="N1391" s="229">
        <v>0</v>
      </c>
      <c r="O1391" s="229">
        <v>0</v>
      </c>
      <c r="P1391" s="26">
        <v>0</v>
      </c>
      <c r="Q1391" s="14">
        <v>1</v>
      </c>
      <c r="R1391" s="229">
        <v>0</v>
      </c>
      <c r="S1391" s="229">
        <v>14</v>
      </c>
      <c r="T1391" s="229">
        <v>0</v>
      </c>
      <c r="U1391" s="229">
        <v>0</v>
      </c>
      <c r="V1391" s="229">
        <v>0</v>
      </c>
      <c r="W1391" s="229">
        <v>0</v>
      </c>
      <c r="X1391" s="229">
        <v>0</v>
      </c>
      <c r="Y1391" s="229">
        <v>0</v>
      </c>
      <c r="Z1391" s="229">
        <v>0</v>
      </c>
      <c r="AA1391" s="229">
        <v>0</v>
      </c>
      <c r="AC1391" s="12">
        <v>2</v>
      </c>
      <c r="AD1391" s="14">
        <v>8</v>
      </c>
      <c r="AE1391" s="14">
        <v>89</v>
      </c>
      <c r="AF1391" s="26">
        <v>473</v>
      </c>
      <c r="AG1391" s="12">
        <v>135</v>
      </c>
      <c r="AH1391" s="14">
        <v>1</v>
      </c>
      <c r="AI1391" s="209"/>
      <c r="AJ1391" s="3"/>
      <c r="AK1391" s="3"/>
      <c r="AL1391" s="3"/>
      <c r="AM1391" s="3"/>
      <c r="AN1391" s="3"/>
      <c r="AO1391" s="40"/>
      <c r="AP1391" s="209"/>
      <c r="AQ1391" s="3"/>
      <c r="AR1391" s="40"/>
      <c r="AS1391" s="238"/>
    </row>
    <row r="1392" spans="1:45" s="229" customFormat="1">
      <c r="A1392" s="83" t="s">
        <v>326</v>
      </c>
      <c r="B1392" s="386">
        <v>46.86</v>
      </c>
      <c r="C1392" s="24" t="s">
        <v>128</v>
      </c>
      <c r="D1392" s="229" t="s">
        <v>736</v>
      </c>
      <c r="E1392" s="229" t="s">
        <v>750</v>
      </c>
      <c r="F1392" s="229">
        <v>410</v>
      </c>
      <c r="G1392" s="40">
        <f>F1392/234</f>
        <v>1.7521367521367521</v>
      </c>
      <c r="H1392" s="14">
        <v>0</v>
      </c>
      <c r="I1392" s="229">
        <v>0</v>
      </c>
      <c r="J1392" s="229">
        <v>1</v>
      </c>
      <c r="K1392" s="26">
        <v>0</v>
      </c>
      <c r="L1392" s="14">
        <v>0</v>
      </c>
      <c r="M1392" s="229">
        <v>0</v>
      </c>
      <c r="N1392" s="229">
        <v>0</v>
      </c>
      <c r="O1392" s="229">
        <v>0</v>
      </c>
      <c r="P1392" s="26">
        <v>0</v>
      </c>
      <c r="Q1392" s="14">
        <v>5</v>
      </c>
      <c r="R1392" s="229">
        <v>0</v>
      </c>
      <c r="S1392" s="229">
        <v>0</v>
      </c>
      <c r="T1392" s="229">
        <v>0</v>
      </c>
      <c r="U1392" s="229">
        <v>0</v>
      </c>
      <c r="V1392" s="229">
        <v>0</v>
      </c>
      <c r="W1392" s="229">
        <v>0</v>
      </c>
      <c r="X1392" s="229">
        <v>0</v>
      </c>
      <c r="Y1392" s="229">
        <v>0</v>
      </c>
      <c r="Z1392" s="229">
        <v>0</v>
      </c>
      <c r="AA1392" s="229">
        <v>44</v>
      </c>
      <c r="AC1392" s="12">
        <v>2</v>
      </c>
      <c r="AD1392" s="14">
        <v>2</v>
      </c>
      <c r="AE1392" s="14">
        <v>292</v>
      </c>
      <c r="AF1392" s="26">
        <v>295</v>
      </c>
      <c r="AG1392" s="12">
        <v>135</v>
      </c>
      <c r="AH1392" s="14">
        <v>1</v>
      </c>
      <c r="AI1392" s="209"/>
      <c r="AJ1392" s="3"/>
      <c r="AK1392" s="3"/>
      <c r="AL1392" s="3"/>
      <c r="AM1392" s="3"/>
      <c r="AN1392" s="3"/>
      <c r="AO1392" s="40"/>
      <c r="AP1392" s="209"/>
      <c r="AQ1392" s="3"/>
      <c r="AR1392" s="40"/>
      <c r="AS1392" s="238"/>
    </row>
    <row r="1393" spans="1:45" s="229" customFormat="1">
      <c r="A1393" s="83" t="s">
        <v>326</v>
      </c>
      <c r="B1393" s="386">
        <v>46.86</v>
      </c>
      <c r="C1393" s="24" t="s">
        <v>128</v>
      </c>
      <c r="D1393" s="229" t="s">
        <v>724</v>
      </c>
      <c r="F1393" s="229">
        <v>788</v>
      </c>
      <c r="G1393" s="40">
        <f>F1393/664</f>
        <v>1.1867469879518073</v>
      </c>
      <c r="H1393" s="14">
        <v>1</v>
      </c>
      <c r="I1393" s="229">
        <v>0</v>
      </c>
      <c r="J1393" s="229">
        <v>0</v>
      </c>
      <c r="K1393" s="26">
        <v>1</v>
      </c>
      <c r="L1393" s="14">
        <v>0</v>
      </c>
      <c r="M1393" s="229">
        <v>0</v>
      </c>
      <c r="N1393" s="229">
        <v>0</v>
      </c>
      <c r="O1393" s="229">
        <v>0</v>
      </c>
      <c r="P1393" s="26">
        <v>0</v>
      </c>
      <c r="Q1393" s="14">
        <v>0</v>
      </c>
      <c r="R1393" s="229">
        <v>0</v>
      </c>
      <c r="S1393" s="229">
        <v>0</v>
      </c>
      <c r="T1393" s="229">
        <v>0</v>
      </c>
      <c r="U1393" s="229">
        <v>0</v>
      </c>
      <c r="V1393" s="229">
        <v>0</v>
      </c>
      <c r="W1393" s="229">
        <v>0</v>
      </c>
      <c r="X1393" s="229">
        <v>0</v>
      </c>
      <c r="Y1393" s="229">
        <v>0</v>
      </c>
      <c r="Z1393" s="229">
        <v>0</v>
      </c>
      <c r="AA1393" s="229">
        <v>0</v>
      </c>
      <c r="AC1393" s="12">
        <v>2</v>
      </c>
      <c r="AD1393" s="14">
        <v>3</v>
      </c>
      <c r="AE1393" s="14">
        <v>241</v>
      </c>
      <c r="AF1393" s="26">
        <v>664</v>
      </c>
      <c r="AG1393" s="12">
        <v>132</v>
      </c>
      <c r="AH1393" s="14">
        <v>1</v>
      </c>
      <c r="AI1393" s="209">
        <v>86.805047827763815</v>
      </c>
      <c r="AJ1393" s="3"/>
      <c r="AK1393" s="3"/>
      <c r="AL1393" s="3"/>
      <c r="AM1393" s="3"/>
      <c r="AN1393" s="3"/>
      <c r="AO1393" s="40"/>
      <c r="AP1393" s="209">
        <v>86.364365753682605</v>
      </c>
      <c r="AQ1393" s="3"/>
      <c r="AR1393" s="40"/>
      <c r="AS1393" s="238"/>
    </row>
    <row r="1394" spans="1:45" s="229" customFormat="1">
      <c r="A1394" s="83" t="s">
        <v>326</v>
      </c>
      <c r="B1394" s="386">
        <v>46.86</v>
      </c>
      <c r="C1394" s="24" t="s">
        <v>128</v>
      </c>
      <c r="D1394" s="229" t="s">
        <v>725</v>
      </c>
      <c r="E1394" s="229" t="s">
        <v>0</v>
      </c>
      <c r="F1394" s="229">
        <v>1176</v>
      </c>
      <c r="G1394" s="40">
        <f>F1394/512</f>
        <v>2.296875</v>
      </c>
      <c r="H1394" s="14">
        <v>1</v>
      </c>
      <c r="I1394" s="229">
        <v>0</v>
      </c>
      <c r="J1394" s="229">
        <v>0</v>
      </c>
      <c r="K1394" s="26">
        <v>1</v>
      </c>
      <c r="L1394" s="14">
        <v>0</v>
      </c>
      <c r="M1394" s="229">
        <v>0</v>
      </c>
      <c r="N1394" s="229">
        <v>1</v>
      </c>
      <c r="O1394" s="229">
        <v>0</v>
      </c>
      <c r="P1394" s="26">
        <v>1</v>
      </c>
      <c r="Q1394" s="14">
        <v>2</v>
      </c>
      <c r="R1394" s="229">
        <v>7</v>
      </c>
      <c r="S1394" s="229">
        <v>12</v>
      </c>
      <c r="T1394" s="229">
        <v>0</v>
      </c>
      <c r="U1394" s="229">
        <v>0</v>
      </c>
      <c r="V1394" s="229">
        <v>0</v>
      </c>
      <c r="W1394" s="229">
        <v>34</v>
      </c>
      <c r="X1394" s="229">
        <v>0</v>
      </c>
      <c r="Y1394" s="229">
        <v>21</v>
      </c>
      <c r="Z1394" s="229">
        <v>0</v>
      </c>
      <c r="AA1394" s="229">
        <v>0</v>
      </c>
      <c r="AC1394" s="12">
        <v>2</v>
      </c>
      <c r="AD1394" s="14">
        <v>8</v>
      </c>
      <c r="AE1394" s="14">
        <v>168</v>
      </c>
      <c r="AF1394" s="26">
        <v>516</v>
      </c>
      <c r="AG1394" s="12">
        <v>122</v>
      </c>
      <c r="AH1394" s="14">
        <v>1</v>
      </c>
      <c r="AI1394" s="209">
        <v>86.644158647217324</v>
      </c>
      <c r="AJ1394" s="3">
        <v>86.608243668562906</v>
      </c>
      <c r="AK1394" s="3">
        <v>86.648043919795427</v>
      </c>
      <c r="AL1394" s="3"/>
      <c r="AM1394" s="3"/>
      <c r="AN1394" s="3"/>
      <c r="AO1394" s="40"/>
      <c r="AP1394" s="209">
        <v>86.490854726449712</v>
      </c>
      <c r="AQ1394" s="3"/>
      <c r="AR1394" s="40"/>
      <c r="AS1394" s="238"/>
    </row>
    <row r="1395" spans="1:45" s="229" customFormat="1">
      <c r="A1395" s="83" t="s">
        <v>326</v>
      </c>
      <c r="B1395" s="386">
        <v>46.86</v>
      </c>
      <c r="C1395" s="24" t="s">
        <v>128</v>
      </c>
      <c r="D1395" s="229" t="s">
        <v>725</v>
      </c>
      <c r="E1395" s="229" t="s">
        <v>1</v>
      </c>
      <c r="F1395" s="229">
        <v>298</v>
      </c>
      <c r="G1395" s="40">
        <f>F1395/206</f>
        <v>1.4466019417475728</v>
      </c>
      <c r="H1395" s="14">
        <v>0</v>
      </c>
      <c r="I1395" s="229">
        <v>0</v>
      </c>
      <c r="J1395" s="229">
        <v>1</v>
      </c>
      <c r="K1395" s="26">
        <v>0</v>
      </c>
      <c r="L1395" s="14">
        <v>0</v>
      </c>
      <c r="M1395" s="229">
        <v>0</v>
      </c>
      <c r="N1395" s="229">
        <v>0</v>
      </c>
      <c r="O1395" s="229">
        <v>0</v>
      </c>
      <c r="P1395" s="26">
        <v>0</v>
      </c>
      <c r="Q1395" s="14">
        <v>0</v>
      </c>
      <c r="R1395" s="229">
        <v>0</v>
      </c>
      <c r="S1395" s="229">
        <v>0</v>
      </c>
      <c r="T1395" s="229">
        <v>0</v>
      </c>
      <c r="U1395" s="229">
        <v>0</v>
      </c>
      <c r="V1395" s="229">
        <v>0</v>
      </c>
      <c r="W1395" s="229">
        <v>0</v>
      </c>
      <c r="X1395" s="229">
        <v>0</v>
      </c>
      <c r="Y1395" s="229">
        <v>0</v>
      </c>
      <c r="Z1395" s="229">
        <v>0</v>
      </c>
      <c r="AA1395" s="229">
        <v>0</v>
      </c>
      <c r="AC1395" s="12">
        <v>2</v>
      </c>
      <c r="AD1395" s="14">
        <v>2</v>
      </c>
      <c r="AE1395" s="14">
        <v>150</v>
      </c>
      <c r="AF1395" s="26">
        <v>206</v>
      </c>
      <c r="AG1395" s="12">
        <v>122</v>
      </c>
      <c r="AH1395" s="14">
        <v>0</v>
      </c>
      <c r="AI1395" s="209"/>
      <c r="AJ1395" s="3"/>
      <c r="AK1395" s="3"/>
      <c r="AL1395" s="3"/>
      <c r="AM1395" s="3"/>
      <c r="AN1395" s="3"/>
      <c r="AO1395" s="40"/>
      <c r="AP1395" s="209"/>
      <c r="AQ1395" s="3"/>
      <c r="AR1395" s="40"/>
      <c r="AS1395" s="238"/>
    </row>
    <row r="1396" spans="1:45" s="229" customFormat="1">
      <c r="A1396" s="83" t="s">
        <v>326</v>
      </c>
      <c r="B1396" s="386">
        <v>46.86</v>
      </c>
      <c r="C1396" s="24" t="s">
        <v>128</v>
      </c>
      <c r="D1396" s="229" t="s">
        <v>725</v>
      </c>
      <c r="E1396" s="229" t="s">
        <v>2</v>
      </c>
      <c r="F1396" s="229">
        <v>207</v>
      </c>
      <c r="G1396" s="40">
        <f>F1396/177</f>
        <v>1.1694915254237288</v>
      </c>
      <c r="H1396" s="14">
        <v>0</v>
      </c>
      <c r="I1396" s="229">
        <v>0</v>
      </c>
      <c r="J1396" s="229">
        <v>1</v>
      </c>
      <c r="K1396" s="26">
        <v>0</v>
      </c>
      <c r="L1396" s="14">
        <v>0</v>
      </c>
      <c r="M1396" s="229">
        <v>0</v>
      </c>
      <c r="N1396" s="229">
        <v>0</v>
      </c>
      <c r="O1396" s="229">
        <v>0</v>
      </c>
      <c r="P1396" s="26">
        <v>0</v>
      </c>
      <c r="Q1396" s="14">
        <v>0</v>
      </c>
      <c r="R1396" s="229">
        <v>0</v>
      </c>
      <c r="S1396" s="229">
        <v>0</v>
      </c>
      <c r="T1396" s="229">
        <v>0</v>
      </c>
      <c r="U1396" s="229">
        <v>0</v>
      </c>
      <c r="V1396" s="229">
        <v>0</v>
      </c>
      <c r="W1396" s="229">
        <v>0</v>
      </c>
      <c r="X1396" s="229">
        <v>0</v>
      </c>
      <c r="Y1396" s="229">
        <v>0</v>
      </c>
      <c r="Z1396" s="229">
        <v>0</v>
      </c>
      <c r="AA1396" s="229">
        <v>0</v>
      </c>
      <c r="AC1396" s="12">
        <v>1</v>
      </c>
      <c r="AD1396" s="14">
        <v>1</v>
      </c>
      <c r="AE1396" s="14">
        <v>0</v>
      </c>
      <c r="AF1396" s="26">
        <v>0</v>
      </c>
      <c r="AG1396" s="12">
        <v>122</v>
      </c>
      <c r="AH1396" s="14">
        <v>0</v>
      </c>
      <c r="AI1396" s="209"/>
      <c r="AJ1396" s="3"/>
      <c r="AK1396" s="3"/>
      <c r="AL1396" s="3"/>
      <c r="AM1396" s="3"/>
      <c r="AN1396" s="3"/>
      <c r="AO1396" s="40"/>
      <c r="AP1396" s="209"/>
      <c r="AQ1396" s="3"/>
      <c r="AR1396" s="40"/>
      <c r="AS1396" s="238"/>
    </row>
    <row r="1397" spans="1:45" s="229" customFormat="1">
      <c r="A1397" s="83" t="s">
        <v>326</v>
      </c>
      <c r="B1397" s="386">
        <v>46.86</v>
      </c>
      <c r="C1397" s="24" t="s">
        <v>128</v>
      </c>
      <c r="D1397" s="229" t="s">
        <v>725</v>
      </c>
      <c r="E1397" s="229" t="s">
        <v>3</v>
      </c>
      <c r="F1397" s="229">
        <v>126</v>
      </c>
      <c r="G1397" s="40">
        <f>F1397/82</f>
        <v>1.5365853658536586</v>
      </c>
      <c r="H1397" s="14">
        <v>1</v>
      </c>
      <c r="I1397" s="229">
        <v>0</v>
      </c>
      <c r="J1397" s="229">
        <v>0</v>
      </c>
      <c r="K1397" s="26">
        <v>0</v>
      </c>
      <c r="L1397" s="14">
        <v>1</v>
      </c>
      <c r="M1397" s="229">
        <v>0</v>
      </c>
      <c r="N1397" s="229">
        <v>0</v>
      </c>
      <c r="O1397" s="229">
        <v>0</v>
      </c>
      <c r="P1397" s="26">
        <v>1</v>
      </c>
      <c r="Q1397" s="14">
        <v>10</v>
      </c>
      <c r="R1397" s="229">
        <v>3</v>
      </c>
      <c r="S1397" s="229">
        <v>6</v>
      </c>
      <c r="T1397" s="229">
        <v>0</v>
      </c>
      <c r="U1397" s="229">
        <v>0</v>
      </c>
      <c r="V1397" s="229">
        <v>26</v>
      </c>
      <c r="W1397" s="229">
        <v>30</v>
      </c>
      <c r="X1397" s="229">
        <v>0</v>
      </c>
      <c r="Y1397" s="229">
        <v>0</v>
      </c>
      <c r="Z1397" s="229">
        <v>0</v>
      </c>
      <c r="AA1397" s="229">
        <v>0</v>
      </c>
      <c r="AC1397" s="12">
        <v>1</v>
      </c>
      <c r="AD1397" s="14">
        <v>1</v>
      </c>
      <c r="AE1397" s="14">
        <v>0</v>
      </c>
      <c r="AF1397" s="26">
        <v>0</v>
      </c>
      <c r="AG1397" s="12">
        <v>122</v>
      </c>
      <c r="AH1397" s="14">
        <v>0</v>
      </c>
      <c r="AI1397" s="209"/>
      <c r="AJ1397" s="3"/>
      <c r="AK1397" s="3"/>
      <c r="AL1397" s="3"/>
      <c r="AM1397" s="3"/>
      <c r="AN1397" s="3"/>
      <c r="AO1397" s="40"/>
      <c r="AP1397" s="209"/>
      <c r="AQ1397" s="3"/>
      <c r="AR1397" s="40"/>
      <c r="AS1397" s="238"/>
    </row>
    <row r="1398" spans="1:45" s="229" customFormat="1">
      <c r="A1398" s="83" t="s">
        <v>326</v>
      </c>
      <c r="B1398" s="386">
        <v>46.86</v>
      </c>
      <c r="C1398" s="24" t="s">
        <v>128</v>
      </c>
      <c r="D1398" s="229" t="s">
        <v>737</v>
      </c>
      <c r="E1398" s="229" t="s">
        <v>0</v>
      </c>
      <c r="F1398" s="229">
        <v>467</v>
      </c>
      <c r="G1398" s="40">
        <f>F1398/242</f>
        <v>1.9297520661157024</v>
      </c>
      <c r="H1398" s="14">
        <v>1</v>
      </c>
      <c r="I1398" s="229">
        <v>0</v>
      </c>
      <c r="J1398" s="229">
        <v>0</v>
      </c>
      <c r="K1398" s="26">
        <v>1</v>
      </c>
      <c r="L1398" s="14">
        <v>0</v>
      </c>
      <c r="M1398" s="229">
        <v>0</v>
      </c>
      <c r="N1398" s="229">
        <v>0</v>
      </c>
      <c r="O1398" s="229">
        <v>0</v>
      </c>
      <c r="P1398" s="26">
        <v>0</v>
      </c>
      <c r="Q1398" s="14">
        <v>0</v>
      </c>
      <c r="R1398" s="229">
        <v>0</v>
      </c>
      <c r="S1398" s="229">
        <v>0</v>
      </c>
      <c r="T1398" s="229">
        <v>0</v>
      </c>
      <c r="U1398" s="229">
        <v>0</v>
      </c>
      <c r="V1398" s="229">
        <v>0</v>
      </c>
      <c r="W1398" s="229">
        <v>0</v>
      </c>
      <c r="X1398" s="229">
        <v>0</v>
      </c>
      <c r="Y1398" s="229">
        <v>0</v>
      </c>
      <c r="Z1398" s="229">
        <v>0</v>
      </c>
      <c r="AA1398" s="229">
        <v>0</v>
      </c>
      <c r="AC1398" s="12">
        <v>2</v>
      </c>
      <c r="AD1398" s="14">
        <v>4</v>
      </c>
      <c r="AE1398" s="14">
        <v>101</v>
      </c>
      <c r="AF1398" s="26">
        <v>301</v>
      </c>
      <c r="AG1398" s="12">
        <v>105</v>
      </c>
      <c r="AH1398" s="14">
        <v>1</v>
      </c>
      <c r="AI1398" s="209"/>
      <c r="AJ1398" s="3"/>
      <c r="AK1398" s="3"/>
      <c r="AL1398" s="3"/>
      <c r="AM1398" s="3"/>
      <c r="AN1398" s="3"/>
      <c r="AO1398" s="40"/>
      <c r="AP1398" s="209"/>
      <c r="AQ1398" s="3"/>
      <c r="AR1398" s="40"/>
      <c r="AS1398" s="238"/>
    </row>
    <row r="1399" spans="1:45" s="229" customFormat="1">
      <c r="A1399" s="83" t="s">
        <v>326</v>
      </c>
      <c r="B1399" s="386">
        <v>46.86</v>
      </c>
      <c r="C1399" s="24" t="s">
        <v>128</v>
      </c>
      <c r="D1399" s="229" t="s">
        <v>737</v>
      </c>
      <c r="E1399" s="229" t="s">
        <v>1</v>
      </c>
      <c r="F1399" s="229">
        <v>871</v>
      </c>
      <c r="G1399" s="40">
        <f>F1399/548</f>
        <v>1.5894160583941606</v>
      </c>
      <c r="H1399" s="14">
        <v>1</v>
      </c>
      <c r="I1399" s="229">
        <v>0</v>
      </c>
      <c r="J1399" s="229">
        <v>0</v>
      </c>
      <c r="K1399" s="26">
        <v>1</v>
      </c>
      <c r="L1399" s="14">
        <v>0</v>
      </c>
      <c r="M1399" s="229">
        <v>0</v>
      </c>
      <c r="N1399" s="229">
        <v>0</v>
      </c>
      <c r="O1399" s="229">
        <v>0</v>
      </c>
      <c r="P1399" s="26">
        <v>0</v>
      </c>
      <c r="Q1399" s="14">
        <v>1</v>
      </c>
      <c r="R1399" s="229">
        <v>0</v>
      </c>
      <c r="S1399" s="229">
        <v>21</v>
      </c>
      <c r="T1399" s="229">
        <v>0</v>
      </c>
      <c r="U1399" s="229">
        <v>0</v>
      </c>
      <c r="V1399" s="229">
        <v>0</v>
      </c>
      <c r="W1399" s="229">
        <v>0</v>
      </c>
      <c r="X1399" s="229">
        <v>0</v>
      </c>
      <c r="Y1399" s="229">
        <v>0</v>
      </c>
      <c r="Z1399" s="229">
        <v>0</v>
      </c>
      <c r="AA1399" s="229">
        <v>0</v>
      </c>
      <c r="AC1399" s="12">
        <v>2</v>
      </c>
      <c r="AD1399" s="14">
        <v>8</v>
      </c>
      <c r="AE1399" s="14">
        <v>99</v>
      </c>
      <c r="AF1399" s="26">
        <v>472</v>
      </c>
      <c r="AG1399" s="12">
        <v>105</v>
      </c>
      <c r="AH1399" s="14">
        <v>1</v>
      </c>
      <c r="AI1399" s="209"/>
      <c r="AJ1399" s="3"/>
      <c r="AK1399" s="3"/>
      <c r="AL1399" s="3"/>
      <c r="AM1399" s="3"/>
      <c r="AN1399" s="3"/>
      <c r="AO1399" s="40"/>
      <c r="AP1399" s="209"/>
      <c r="AQ1399" s="3"/>
      <c r="AR1399" s="40"/>
      <c r="AS1399" s="238"/>
    </row>
    <row r="1400" spans="1:45" s="229" customFormat="1">
      <c r="A1400" s="83" t="s">
        <v>326</v>
      </c>
      <c r="B1400" s="386">
        <v>46.86</v>
      </c>
      <c r="C1400" s="24" t="s">
        <v>128</v>
      </c>
      <c r="D1400" s="229" t="s">
        <v>737</v>
      </c>
      <c r="E1400" s="229" t="s">
        <v>2</v>
      </c>
      <c r="F1400" s="229">
        <v>437</v>
      </c>
      <c r="G1400" s="40">
        <f>F1400/254</f>
        <v>1.7204724409448819</v>
      </c>
      <c r="H1400" s="14">
        <v>1</v>
      </c>
      <c r="I1400" s="229">
        <v>0</v>
      </c>
      <c r="J1400" s="229">
        <v>0</v>
      </c>
      <c r="K1400" s="26">
        <v>1</v>
      </c>
      <c r="L1400" s="14">
        <v>0</v>
      </c>
      <c r="M1400" s="229">
        <v>0</v>
      </c>
      <c r="N1400" s="229">
        <v>0</v>
      </c>
      <c r="O1400" s="229">
        <v>0</v>
      </c>
      <c r="P1400" s="26">
        <v>0</v>
      </c>
      <c r="Q1400" s="14">
        <v>0</v>
      </c>
      <c r="R1400" s="229">
        <v>0</v>
      </c>
      <c r="S1400" s="229">
        <v>0</v>
      </c>
      <c r="T1400" s="229">
        <v>0</v>
      </c>
      <c r="U1400" s="229">
        <v>0</v>
      </c>
      <c r="V1400" s="229">
        <v>0</v>
      </c>
      <c r="W1400" s="229">
        <v>0</v>
      </c>
      <c r="X1400" s="229">
        <v>0</v>
      </c>
      <c r="Y1400" s="229">
        <v>0</v>
      </c>
      <c r="Z1400" s="229">
        <v>0</v>
      </c>
      <c r="AA1400" s="229">
        <v>0</v>
      </c>
      <c r="AC1400" s="12">
        <v>2</v>
      </c>
      <c r="AD1400" s="14">
        <v>4</v>
      </c>
      <c r="AE1400" s="14">
        <v>86</v>
      </c>
      <c r="AF1400" s="26">
        <v>252</v>
      </c>
      <c r="AG1400" s="12">
        <v>105</v>
      </c>
      <c r="AH1400" s="14">
        <v>1</v>
      </c>
      <c r="AI1400" s="209"/>
      <c r="AJ1400" s="3"/>
      <c r="AK1400" s="3"/>
      <c r="AL1400" s="3"/>
      <c r="AM1400" s="3"/>
      <c r="AN1400" s="3"/>
      <c r="AO1400" s="40"/>
      <c r="AP1400" s="209"/>
      <c r="AQ1400" s="3"/>
      <c r="AR1400" s="40"/>
      <c r="AS1400" s="238"/>
    </row>
    <row r="1401" spans="1:45" s="229" customFormat="1">
      <c r="A1401" s="83" t="s">
        <v>326</v>
      </c>
      <c r="B1401" s="386">
        <v>46.86</v>
      </c>
      <c r="C1401" s="24" t="s">
        <v>128</v>
      </c>
      <c r="D1401" s="229" t="s">
        <v>737</v>
      </c>
      <c r="E1401" s="229" t="s">
        <v>3</v>
      </c>
      <c r="F1401" s="229">
        <v>216</v>
      </c>
      <c r="G1401" s="40">
        <f>F1401/92</f>
        <v>2.347826086956522</v>
      </c>
      <c r="H1401" s="14">
        <v>1</v>
      </c>
      <c r="I1401" s="229">
        <v>0</v>
      </c>
      <c r="J1401" s="229">
        <v>0</v>
      </c>
      <c r="K1401" s="26">
        <v>0</v>
      </c>
      <c r="L1401" s="14">
        <v>0</v>
      </c>
      <c r="M1401" s="229">
        <v>0</v>
      </c>
      <c r="N1401" s="229">
        <v>0</v>
      </c>
      <c r="O1401" s="229">
        <v>0</v>
      </c>
      <c r="P1401" s="26">
        <v>0</v>
      </c>
      <c r="Q1401" s="14">
        <v>0</v>
      </c>
      <c r="R1401" s="229">
        <v>0</v>
      </c>
      <c r="S1401" s="229">
        <v>0</v>
      </c>
      <c r="T1401" s="229">
        <v>0</v>
      </c>
      <c r="U1401" s="229">
        <v>0</v>
      </c>
      <c r="V1401" s="229">
        <v>0</v>
      </c>
      <c r="W1401" s="229">
        <v>0</v>
      </c>
      <c r="X1401" s="229">
        <v>0</v>
      </c>
      <c r="Y1401" s="229">
        <v>0</v>
      </c>
      <c r="Z1401" s="229">
        <v>0</v>
      </c>
      <c r="AA1401" s="229">
        <v>0</v>
      </c>
      <c r="AC1401" s="12">
        <v>1</v>
      </c>
      <c r="AD1401" s="14">
        <v>1</v>
      </c>
      <c r="AE1401" s="14">
        <v>0</v>
      </c>
      <c r="AF1401" s="26">
        <v>0</v>
      </c>
      <c r="AG1401" s="12">
        <v>105</v>
      </c>
      <c r="AH1401" s="14">
        <v>1</v>
      </c>
      <c r="AI1401" s="209"/>
      <c r="AJ1401" s="3"/>
      <c r="AK1401" s="3"/>
      <c r="AL1401" s="3"/>
      <c r="AM1401" s="3"/>
      <c r="AN1401" s="3"/>
      <c r="AO1401" s="40"/>
      <c r="AP1401" s="209"/>
      <c r="AQ1401" s="3"/>
      <c r="AR1401" s="40"/>
      <c r="AS1401" s="238"/>
    </row>
    <row r="1402" spans="1:45" s="229" customFormat="1">
      <c r="A1402" s="83" t="s">
        <v>326</v>
      </c>
      <c r="B1402" s="386">
        <v>46.86</v>
      </c>
      <c r="C1402" s="24" t="s">
        <v>128</v>
      </c>
      <c r="D1402" s="229" t="s">
        <v>737</v>
      </c>
      <c r="E1402" s="229" t="s">
        <v>4</v>
      </c>
      <c r="F1402" s="229">
        <v>284</v>
      </c>
      <c r="G1402" s="40">
        <f>F1402/222</f>
        <v>1.2792792792792793</v>
      </c>
      <c r="H1402" s="14">
        <v>1</v>
      </c>
      <c r="I1402" s="229">
        <v>0</v>
      </c>
      <c r="J1402" s="229">
        <v>0</v>
      </c>
      <c r="K1402" s="26">
        <v>0</v>
      </c>
      <c r="L1402" s="14">
        <v>0</v>
      </c>
      <c r="M1402" s="229">
        <v>0</v>
      </c>
      <c r="N1402" s="229">
        <v>0</v>
      </c>
      <c r="O1402" s="229">
        <v>0</v>
      </c>
      <c r="P1402" s="26">
        <v>0</v>
      </c>
      <c r="Q1402" s="14">
        <v>0</v>
      </c>
      <c r="R1402" s="229">
        <v>0</v>
      </c>
      <c r="S1402" s="229">
        <v>0</v>
      </c>
      <c r="T1402" s="229">
        <v>0</v>
      </c>
      <c r="U1402" s="229">
        <v>0</v>
      </c>
      <c r="V1402" s="229">
        <v>0</v>
      </c>
      <c r="W1402" s="229">
        <v>0</v>
      </c>
      <c r="X1402" s="229">
        <v>0</v>
      </c>
      <c r="Y1402" s="229">
        <v>0</v>
      </c>
      <c r="Z1402" s="229">
        <v>0</v>
      </c>
      <c r="AA1402" s="229">
        <v>0</v>
      </c>
      <c r="AC1402" s="12">
        <v>1</v>
      </c>
      <c r="AD1402" s="14">
        <v>1</v>
      </c>
      <c r="AE1402" s="14">
        <v>0</v>
      </c>
      <c r="AF1402" s="26">
        <v>0</v>
      </c>
      <c r="AG1402" s="12">
        <v>105</v>
      </c>
      <c r="AH1402" s="14">
        <v>0</v>
      </c>
      <c r="AI1402" s="209"/>
      <c r="AJ1402" s="3"/>
      <c r="AK1402" s="3"/>
      <c r="AL1402" s="3"/>
      <c r="AM1402" s="3"/>
      <c r="AN1402" s="3"/>
      <c r="AO1402" s="40"/>
      <c r="AP1402" s="209"/>
      <c r="AQ1402" s="3"/>
      <c r="AR1402" s="40"/>
      <c r="AS1402" s="238"/>
    </row>
    <row r="1403" spans="1:45" s="229" customFormat="1">
      <c r="A1403" s="83" t="s">
        <v>326</v>
      </c>
      <c r="B1403" s="386">
        <v>46.86</v>
      </c>
      <c r="C1403" s="24" t="s">
        <v>128</v>
      </c>
      <c r="D1403" s="229" t="s">
        <v>737</v>
      </c>
      <c r="E1403" s="229" t="s">
        <v>5</v>
      </c>
      <c r="F1403" s="229">
        <v>168</v>
      </c>
      <c r="G1403" s="40">
        <f>F1403/101</f>
        <v>1.6633663366336633</v>
      </c>
      <c r="H1403" s="14">
        <v>1</v>
      </c>
      <c r="I1403" s="229">
        <v>0</v>
      </c>
      <c r="J1403" s="229">
        <v>0</v>
      </c>
      <c r="K1403" s="26">
        <v>0</v>
      </c>
      <c r="L1403" s="14">
        <v>0</v>
      </c>
      <c r="M1403" s="229">
        <v>0</v>
      </c>
      <c r="N1403" s="229">
        <v>0</v>
      </c>
      <c r="O1403" s="229">
        <v>0</v>
      </c>
      <c r="P1403" s="26">
        <v>0</v>
      </c>
      <c r="Q1403" s="14">
        <v>0</v>
      </c>
      <c r="R1403" s="229">
        <v>0</v>
      </c>
      <c r="S1403" s="229">
        <v>0</v>
      </c>
      <c r="T1403" s="229">
        <v>0</v>
      </c>
      <c r="U1403" s="229">
        <v>0</v>
      </c>
      <c r="V1403" s="229">
        <v>0</v>
      </c>
      <c r="W1403" s="229">
        <v>0</v>
      </c>
      <c r="X1403" s="229">
        <v>0</v>
      </c>
      <c r="Y1403" s="229">
        <v>0</v>
      </c>
      <c r="Z1403" s="229">
        <v>0</v>
      </c>
      <c r="AA1403" s="229">
        <v>0</v>
      </c>
      <c r="AC1403" s="12">
        <v>1</v>
      </c>
      <c r="AD1403" s="14">
        <v>1</v>
      </c>
      <c r="AE1403" s="14">
        <v>0</v>
      </c>
      <c r="AF1403" s="26">
        <v>0</v>
      </c>
      <c r="AG1403" s="12">
        <v>105</v>
      </c>
      <c r="AH1403" s="14">
        <v>1</v>
      </c>
      <c r="AI1403" s="209"/>
      <c r="AJ1403" s="3"/>
      <c r="AK1403" s="3"/>
      <c r="AL1403" s="3"/>
      <c r="AM1403" s="3"/>
      <c r="AN1403" s="3"/>
      <c r="AO1403" s="40"/>
      <c r="AP1403" s="209"/>
      <c r="AQ1403" s="3"/>
      <c r="AR1403" s="40"/>
      <c r="AS1403" s="238"/>
    </row>
    <row r="1404" spans="1:45" s="229" customFormat="1">
      <c r="A1404" s="83" t="s">
        <v>326</v>
      </c>
      <c r="B1404" s="386">
        <v>46.86</v>
      </c>
      <c r="C1404" s="24" t="s">
        <v>128</v>
      </c>
      <c r="D1404" s="229" t="s">
        <v>726</v>
      </c>
      <c r="F1404" s="229">
        <v>1140</v>
      </c>
      <c r="G1404" s="40">
        <f>F1404/442</f>
        <v>2.5791855203619911</v>
      </c>
      <c r="H1404" s="14">
        <v>0</v>
      </c>
      <c r="I1404" s="229">
        <v>0</v>
      </c>
      <c r="J1404" s="229">
        <v>1</v>
      </c>
      <c r="K1404" s="26">
        <v>1</v>
      </c>
      <c r="L1404" s="14">
        <v>0</v>
      </c>
      <c r="M1404" s="229">
        <v>0</v>
      </c>
      <c r="N1404" s="229">
        <v>1</v>
      </c>
      <c r="O1404" s="229">
        <v>0</v>
      </c>
      <c r="P1404" s="26">
        <v>1</v>
      </c>
      <c r="Q1404" s="14">
        <v>2</v>
      </c>
      <c r="R1404" s="229">
        <v>14</v>
      </c>
      <c r="S1404" s="229">
        <v>74</v>
      </c>
      <c r="T1404" s="229">
        <v>0</v>
      </c>
      <c r="U1404" s="229">
        <v>0</v>
      </c>
      <c r="V1404" s="229">
        <v>0</v>
      </c>
      <c r="W1404" s="229">
        <v>11</v>
      </c>
      <c r="X1404" s="229">
        <v>0</v>
      </c>
      <c r="Y1404" s="229">
        <v>0</v>
      </c>
      <c r="Z1404" s="229">
        <v>0</v>
      </c>
      <c r="AA1404" s="229">
        <v>0</v>
      </c>
      <c r="AC1404" s="12">
        <v>2</v>
      </c>
      <c r="AD1404" s="14">
        <v>9</v>
      </c>
      <c r="AE1404" s="14">
        <v>126</v>
      </c>
      <c r="AF1404" s="26">
        <v>416</v>
      </c>
      <c r="AG1404" s="12">
        <v>114</v>
      </c>
      <c r="AH1404" s="14">
        <v>1</v>
      </c>
      <c r="AI1404" s="209">
        <v>86.624889220083787</v>
      </c>
      <c r="AJ1404" s="3">
        <v>86.836701179870346</v>
      </c>
      <c r="AK1404" s="3"/>
      <c r="AL1404" s="3"/>
      <c r="AM1404" s="3"/>
      <c r="AN1404" s="3"/>
      <c r="AO1404" s="40"/>
      <c r="AP1404" s="209">
        <v>85.945172021159266</v>
      </c>
      <c r="AQ1404" s="3"/>
      <c r="AR1404" s="40"/>
      <c r="AS1404" s="238"/>
    </row>
    <row r="1405" spans="1:45" s="229" customFormat="1">
      <c r="A1405" s="83" t="s">
        <v>326</v>
      </c>
      <c r="B1405" s="386">
        <v>46.86</v>
      </c>
      <c r="C1405" s="24" t="s">
        <v>128</v>
      </c>
      <c r="D1405" s="229" t="s">
        <v>738</v>
      </c>
      <c r="E1405" s="229" t="s">
        <v>0</v>
      </c>
      <c r="F1405" s="229">
        <v>375</v>
      </c>
      <c r="G1405" s="40">
        <f>F1405/204</f>
        <v>1.838235294117647</v>
      </c>
      <c r="H1405" s="14">
        <v>0</v>
      </c>
      <c r="I1405" s="229">
        <v>0</v>
      </c>
      <c r="J1405" s="229">
        <v>0</v>
      </c>
      <c r="K1405" s="26">
        <v>1</v>
      </c>
      <c r="L1405" s="14">
        <v>0</v>
      </c>
      <c r="M1405" s="229">
        <v>0</v>
      </c>
      <c r="N1405" s="229">
        <v>0</v>
      </c>
      <c r="O1405" s="229">
        <v>0</v>
      </c>
      <c r="P1405" s="26">
        <v>0</v>
      </c>
      <c r="Q1405" s="14">
        <v>0</v>
      </c>
      <c r="R1405" s="229">
        <v>0</v>
      </c>
      <c r="S1405" s="229">
        <v>0</v>
      </c>
      <c r="T1405" s="229">
        <v>0</v>
      </c>
      <c r="U1405" s="229">
        <v>0</v>
      </c>
      <c r="V1405" s="229">
        <v>0</v>
      </c>
      <c r="W1405" s="229">
        <v>0</v>
      </c>
      <c r="X1405" s="229">
        <v>0</v>
      </c>
      <c r="Y1405" s="229">
        <v>0</v>
      </c>
      <c r="Z1405" s="229">
        <v>0</v>
      </c>
      <c r="AA1405" s="229">
        <v>0</v>
      </c>
      <c r="AC1405" s="12">
        <v>2</v>
      </c>
      <c r="AD1405" s="14">
        <v>2</v>
      </c>
      <c r="AE1405" s="14">
        <v>179</v>
      </c>
      <c r="AF1405" s="26">
        <v>204</v>
      </c>
      <c r="AG1405" s="12">
        <v>103</v>
      </c>
      <c r="AH1405" s="14">
        <v>1</v>
      </c>
      <c r="AI1405" s="209"/>
      <c r="AJ1405" s="3"/>
      <c r="AK1405" s="3"/>
      <c r="AL1405" s="3"/>
      <c r="AM1405" s="3"/>
      <c r="AN1405" s="3"/>
      <c r="AO1405" s="40"/>
      <c r="AP1405" s="209"/>
      <c r="AQ1405" s="3"/>
      <c r="AR1405" s="40"/>
      <c r="AS1405" s="238"/>
    </row>
    <row r="1406" spans="1:45" s="229" customFormat="1">
      <c r="A1406" s="83" t="s">
        <v>326</v>
      </c>
      <c r="B1406" s="386">
        <v>46.86</v>
      </c>
      <c r="C1406" s="24" t="s">
        <v>128</v>
      </c>
      <c r="D1406" s="229" t="s">
        <v>738</v>
      </c>
      <c r="E1406" s="229" t="s">
        <v>1</v>
      </c>
      <c r="F1406" s="229">
        <v>119</v>
      </c>
      <c r="G1406" s="40">
        <f>F1406/91</f>
        <v>1.3076923076923077</v>
      </c>
      <c r="H1406" s="14">
        <v>0</v>
      </c>
      <c r="I1406" s="229">
        <v>0</v>
      </c>
      <c r="J1406" s="229">
        <v>0</v>
      </c>
      <c r="K1406" s="26">
        <v>1</v>
      </c>
      <c r="L1406" s="14">
        <v>0</v>
      </c>
      <c r="M1406" s="229">
        <v>0</v>
      </c>
      <c r="N1406" s="229">
        <v>0</v>
      </c>
      <c r="O1406" s="229">
        <v>0</v>
      </c>
      <c r="P1406" s="26">
        <v>0</v>
      </c>
      <c r="Q1406" s="14">
        <v>0</v>
      </c>
      <c r="R1406" s="229">
        <v>0</v>
      </c>
      <c r="S1406" s="229">
        <v>0</v>
      </c>
      <c r="T1406" s="229">
        <v>0</v>
      </c>
      <c r="U1406" s="229">
        <v>0</v>
      </c>
      <c r="V1406" s="229">
        <v>0</v>
      </c>
      <c r="W1406" s="229">
        <v>0</v>
      </c>
      <c r="X1406" s="229">
        <v>0</v>
      </c>
      <c r="Y1406" s="229">
        <v>0</v>
      </c>
      <c r="Z1406" s="229">
        <v>0</v>
      </c>
      <c r="AA1406" s="229">
        <v>0</v>
      </c>
      <c r="AC1406" s="12">
        <v>1</v>
      </c>
      <c r="AD1406" s="14">
        <v>1</v>
      </c>
      <c r="AE1406" s="14">
        <v>0</v>
      </c>
      <c r="AF1406" s="26">
        <v>0</v>
      </c>
      <c r="AG1406" s="12">
        <v>103</v>
      </c>
      <c r="AH1406" s="14">
        <v>1</v>
      </c>
      <c r="AI1406" s="209"/>
      <c r="AJ1406" s="3"/>
      <c r="AK1406" s="3"/>
      <c r="AL1406" s="3"/>
      <c r="AM1406" s="3"/>
      <c r="AN1406" s="3"/>
      <c r="AO1406" s="40"/>
      <c r="AP1406" s="209"/>
      <c r="AQ1406" s="3"/>
      <c r="AR1406" s="40"/>
      <c r="AS1406" s="238"/>
    </row>
    <row r="1407" spans="1:45" s="229" customFormat="1">
      <c r="A1407" s="83" t="s">
        <v>326</v>
      </c>
      <c r="B1407" s="386">
        <v>46.86</v>
      </c>
      <c r="C1407" s="24" t="s">
        <v>128</v>
      </c>
      <c r="D1407" s="229" t="s">
        <v>738</v>
      </c>
      <c r="E1407" s="229" t="s">
        <v>2</v>
      </c>
      <c r="F1407" s="229">
        <v>379</v>
      </c>
      <c r="G1407" s="40">
        <f>F1407/145</f>
        <v>2.613793103448276</v>
      </c>
      <c r="H1407" s="14">
        <v>0</v>
      </c>
      <c r="I1407" s="229">
        <v>0</v>
      </c>
      <c r="J1407" s="229">
        <v>0</v>
      </c>
      <c r="K1407" s="26">
        <v>1</v>
      </c>
      <c r="L1407" s="14">
        <v>0</v>
      </c>
      <c r="M1407" s="229">
        <v>0</v>
      </c>
      <c r="N1407" s="229">
        <v>1</v>
      </c>
      <c r="O1407" s="229">
        <v>0</v>
      </c>
      <c r="P1407" s="26">
        <v>1</v>
      </c>
      <c r="Q1407" s="14">
        <v>2</v>
      </c>
      <c r="R1407" s="229">
        <v>0</v>
      </c>
      <c r="S1407" s="229">
        <v>0</v>
      </c>
      <c r="T1407" s="229">
        <v>0</v>
      </c>
      <c r="U1407" s="229">
        <v>0</v>
      </c>
      <c r="V1407" s="229">
        <v>0</v>
      </c>
      <c r="W1407" s="229">
        <v>47</v>
      </c>
      <c r="X1407" s="229">
        <v>0</v>
      </c>
      <c r="Y1407" s="229">
        <v>0</v>
      </c>
      <c r="Z1407" s="229">
        <v>0</v>
      </c>
      <c r="AA1407" s="229">
        <v>0</v>
      </c>
      <c r="AC1407" s="12">
        <v>2</v>
      </c>
      <c r="AD1407" s="14">
        <v>2</v>
      </c>
      <c r="AE1407" s="14">
        <v>107</v>
      </c>
      <c r="AF1407" s="26">
        <v>322</v>
      </c>
      <c r="AG1407" s="12">
        <v>103</v>
      </c>
      <c r="AH1407" s="14">
        <v>0</v>
      </c>
      <c r="AI1407" s="209"/>
      <c r="AJ1407" s="3"/>
      <c r="AK1407" s="3"/>
      <c r="AL1407" s="3"/>
      <c r="AM1407" s="3"/>
      <c r="AN1407" s="3"/>
      <c r="AO1407" s="40"/>
      <c r="AP1407" s="209"/>
      <c r="AQ1407" s="3"/>
      <c r="AR1407" s="40"/>
      <c r="AS1407" s="238"/>
    </row>
    <row r="1408" spans="1:45" s="229" customFormat="1">
      <c r="A1408" s="83" t="s">
        <v>326</v>
      </c>
      <c r="B1408" s="386">
        <v>46.86</v>
      </c>
      <c r="C1408" s="24" t="s">
        <v>128</v>
      </c>
      <c r="D1408" s="229" t="s">
        <v>738</v>
      </c>
      <c r="E1408" s="229" t="s">
        <v>3</v>
      </c>
      <c r="F1408" s="229">
        <v>211</v>
      </c>
      <c r="G1408" s="40">
        <f>F1408/112</f>
        <v>1.8839285714285714</v>
      </c>
      <c r="H1408" s="14">
        <v>0</v>
      </c>
      <c r="I1408" s="229">
        <v>0</v>
      </c>
      <c r="J1408" s="229">
        <v>1</v>
      </c>
      <c r="K1408" s="26">
        <v>0</v>
      </c>
      <c r="L1408" s="14">
        <v>0</v>
      </c>
      <c r="M1408" s="229">
        <v>0</v>
      </c>
      <c r="N1408" s="229">
        <v>1</v>
      </c>
      <c r="O1408" s="229">
        <v>0</v>
      </c>
      <c r="P1408" s="26">
        <v>1</v>
      </c>
      <c r="Q1408" s="14">
        <v>0</v>
      </c>
      <c r="R1408" s="229">
        <v>0</v>
      </c>
      <c r="S1408" s="229">
        <v>0</v>
      </c>
      <c r="T1408" s="229">
        <v>0</v>
      </c>
      <c r="U1408" s="229">
        <v>0</v>
      </c>
      <c r="V1408" s="229">
        <v>0</v>
      </c>
      <c r="W1408" s="229">
        <v>0</v>
      </c>
      <c r="X1408" s="229">
        <v>0</v>
      </c>
      <c r="Y1408" s="229">
        <v>0</v>
      </c>
      <c r="Z1408" s="229">
        <v>0</v>
      </c>
      <c r="AA1408" s="229">
        <v>0</v>
      </c>
      <c r="AC1408" s="12">
        <v>1</v>
      </c>
      <c r="AD1408" s="14">
        <v>1</v>
      </c>
      <c r="AE1408" s="14">
        <v>0</v>
      </c>
      <c r="AF1408" s="26">
        <v>0</v>
      </c>
      <c r="AG1408" s="12">
        <v>103</v>
      </c>
      <c r="AH1408" s="14">
        <v>0</v>
      </c>
      <c r="AI1408" s="209"/>
      <c r="AJ1408" s="3"/>
      <c r="AK1408" s="3"/>
      <c r="AL1408" s="3"/>
      <c r="AM1408" s="3"/>
      <c r="AN1408" s="3"/>
      <c r="AO1408" s="40"/>
      <c r="AP1408" s="209"/>
      <c r="AQ1408" s="3"/>
      <c r="AR1408" s="40"/>
      <c r="AS1408" s="238"/>
    </row>
    <row r="1409" spans="1:45" s="229" customFormat="1">
      <c r="A1409" s="83" t="s">
        <v>326</v>
      </c>
      <c r="B1409" s="386">
        <v>46.86</v>
      </c>
      <c r="C1409" s="24" t="s">
        <v>128</v>
      </c>
      <c r="D1409" s="229" t="s">
        <v>738</v>
      </c>
      <c r="E1409" s="229" t="s">
        <v>4</v>
      </c>
      <c r="F1409" s="229">
        <v>120</v>
      </c>
      <c r="G1409" s="40">
        <f>F1409/105</f>
        <v>1.1428571428571428</v>
      </c>
      <c r="H1409" s="14">
        <v>0</v>
      </c>
      <c r="I1409" s="229">
        <v>0</v>
      </c>
      <c r="J1409" s="229">
        <v>0</v>
      </c>
      <c r="K1409" s="26">
        <v>1</v>
      </c>
      <c r="L1409" s="14">
        <v>0</v>
      </c>
      <c r="M1409" s="229">
        <v>0</v>
      </c>
      <c r="N1409" s="229">
        <v>1</v>
      </c>
      <c r="O1409" s="229">
        <v>0</v>
      </c>
      <c r="P1409" s="26">
        <v>1</v>
      </c>
      <c r="Q1409" s="14">
        <v>2</v>
      </c>
      <c r="R1409" s="229">
        <v>0</v>
      </c>
      <c r="S1409" s="229">
        <v>0</v>
      </c>
      <c r="T1409" s="229">
        <v>0</v>
      </c>
      <c r="U1409" s="229">
        <v>0</v>
      </c>
      <c r="V1409" s="229">
        <v>0</v>
      </c>
      <c r="W1409" s="229">
        <v>20</v>
      </c>
      <c r="X1409" s="229">
        <v>0</v>
      </c>
      <c r="Y1409" s="229">
        <v>0</v>
      </c>
      <c r="Z1409" s="229">
        <v>0</v>
      </c>
      <c r="AA1409" s="229">
        <v>0</v>
      </c>
      <c r="AC1409" s="12">
        <v>1</v>
      </c>
      <c r="AD1409" s="14">
        <v>1</v>
      </c>
      <c r="AE1409" s="14">
        <v>0</v>
      </c>
      <c r="AF1409" s="26">
        <v>0</v>
      </c>
      <c r="AG1409" s="12">
        <v>103</v>
      </c>
      <c r="AH1409" s="14">
        <v>0</v>
      </c>
      <c r="AI1409" s="209"/>
      <c r="AJ1409" s="3"/>
      <c r="AK1409" s="3"/>
      <c r="AL1409" s="3"/>
      <c r="AM1409" s="3"/>
      <c r="AN1409" s="3"/>
      <c r="AO1409" s="40"/>
      <c r="AP1409" s="209"/>
      <c r="AQ1409" s="3"/>
      <c r="AR1409" s="40"/>
      <c r="AS1409" s="238"/>
    </row>
    <row r="1410" spans="1:45" s="229" customFormat="1">
      <c r="A1410" s="83" t="s">
        <v>326</v>
      </c>
      <c r="B1410" s="386">
        <v>46.86</v>
      </c>
      <c r="C1410" s="24" t="s">
        <v>128</v>
      </c>
      <c r="D1410" s="229" t="s">
        <v>738</v>
      </c>
      <c r="E1410" s="229" t="s">
        <v>5</v>
      </c>
      <c r="F1410" s="229">
        <v>333</v>
      </c>
      <c r="G1410" s="40">
        <f>F1410/320</f>
        <v>1.0406249999999999</v>
      </c>
      <c r="H1410" s="14">
        <v>0</v>
      </c>
      <c r="I1410" s="229">
        <v>0</v>
      </c>
      <c r="J1410" s="229">
        <v>1</v>
      </c>
      <c r="K1410" s="26">
        <v>1</v>
      </c>
      <c r="L1410" s="14">
        <v>0</v>
      </c>
      <c r="M1410" s="229">
        <v>0</v>
      </c>
      <c r="N1410" s="229">
        <v>1</v>
      </c>
      <c r="O1410" s="229">
        <v>0</v>
      </c>
      <c r="P1410" s="26">
        <v>1</v>
      </c>
      <c r="Q1410" s="14">
        <v>0</v>
      </c>
      <c r="R1410" s="229">
        <v>0</v>
      </c>
      <c r="S1410" s="229">
        <v>0</v>
      </c>
      <c r="T1410" s="229">
        <v>0</v>
      </c>
      <c r="U1410" s="229">
        <v>0</v>
      </c>
      <c r="V1410" s="229">
        <v>0</v>
      </c>
      <c r="W1410" s="229">
        <v>0</v>
      </c>
      <c r="X1410" s="229">
        <v>0</v>
      </c>
      <c r="Y1410" s="229">
        <v>0</v>
      </c>
      <c r="Z1410" s="229">
        <v>0</v>
      </c>
      <c r="AA1410" s="229">
        <v>0</v>
      </c>
      <c r="AC1410" s="12">
        <v>2</v>
      </c>
      <c r="AD1410" s="14">
        <v>3</v>
      </c>
      <c r="AE1410" s="14">
        <v>138</v>
      </c>
      <c r="AF1410" s="26">
        <v>229</v>
      </c>
      <c r="AG1410" s="12">
        <v>103</v>
      </c>
      <c r="AH1410" s="14">
        <v>1</v>
      </c>
      <c r="AI1410" s="209"/>
      <c r="AJ1410" s="3"/>
      <c r="AK1410" s="3"/>
      <c r="AL1410" s="3"/>
      <c r="AM1410" s="3"/>
      <c r="AN1410" s="3"/>
      <c r="AO1410" s="40"/>
      <c r="AP1410" s="209"/>
      <c r="AQ1410" s="3"/>
      <c r="AR1410" s="40"/>
      <c r="AS1410" s="238"/>
    </row>
    <row r="1411" spans="1:45" s="229" customFormat="1">
      <c r="A1411" s="83" t="s">
        <v>326</v>
      </c>
      <c r="B1411" s="386">
        <v>46.86</v>
      </c>
      <c r="C1411" s="24" t="s">
        <v>128</v>
      </c>
      <c r="D1411" s="229" t="s">
        <v>739</v>
      </c>
      <c r="E1411" s="229" t="s">
        <v>0</v>
      </c>
      <c r="F1411" s="229">
        <v>473</v>
      </c>
      <c r="G1411" s="40">
        <f>F1411/337</f>
        <v>1.4035608308605341</v>
      </c>
      <c r="H1411" s="14">
        <v>0</v>
      </c>
      <c r="I1411" s="229">
        <v>0</v>
      </c>
      <c r="J1411" s="229">
        <v>0</v>
      </c>
      <c r="K1411" s="26">
        <v>1</v>
      </c>
      <c r="L1411" s="14">
        <v>0</v>
      </c>
      <c r="M1411" s="229">
        <v>0</v>
      </c>
      <c r="N1411" s="229">
        <v>1</v>
      </c>
      <c r="O1411" s="229">
        <v>0</v>
      </c>
      <c r="P1411" s="26">
        <v>1</v>
      </c>
      <c r="Q1411" s="14">
        <v>0</v>
      </c>
      <c r="R1411" s="229">
        <v>0</v>
      </c>
      <c r="S1411" s="229">
        <v>0</v>
      </c>
      <c r="T1411" s="229">
        <v>0</v>
      </c>
      <c r="U1411" s="229">
        <v>0</v>
      </c>
      <c r="V1411" s="229">
        <v>0</v>
      </c>
      <c r="W1411" s="229">
        <v>0</v>
      </c>
      <c r="X1411" s="229">
        <v>0</v>
      </c>
      <c r="Y1411" s="229">
        <v>0</v>
      </c>
      <c r="Z1411" s="229">
        <v>0</v>
      </c>
      <c r="AA1411" s="229">
        <v>0</v>
      </c>
      <c r="AC1411" s="12">
        <v>1</v>
      </c>
      <c r="AD1411" s="14">
        <v>1</v>
      </c>
      <c r="AE1411" s="14">
        <v>0</v>
      </c>
      <c r="AF1411" s="26">
        <v>0</v>
      </c>
      <c r="AG1411" s="12">
        <v>155</v>
      </c>
      <c r="AH1411" s="14">
        <v>1</v>
      </c>
      <c r="AI1411" s="209"/>
      <c r="AJ1411" s="3"/>
      <c r="AK1411" s="3"/>
      <c r="AL1411" s="3"/>
      <c r="AM1411" s="3"/>
      <c r="AN1411" s="3"/>
      <c r="AO1411" s="40"/>
      <c r="AP1411" s="209"/>
      <c r="AQ1411" s="3"/>
      <c r="AR1411" s="40"/>
      <c r="AS1411" s="238"/>
    </row>
    <row r="1412" spans="1:45" s="229" customFormat="1">
      <c r="A1412" s="83" t="s">
        <v>326</v>
      </c>
      <c r="B1412" s="386">
        <v>46.86</v>
      </c>
      <c r="C1412" s="24" t="s">
        <v>128</v>
      </c>
      <c r="D1412" s="229" t="s">
        <v>739</v>
      </c>
      <c r="E1412" s="229" t="s">
        <v>1</v>
      </c>
      <c r="F1412" s="229">
        <v>994</v>
      </c>
      <c r="G1412" s="40">
        <f>F1412/358</f>
        <v>2.7765363128491618</v>
      </c>
      <c r="H1412" s="14">
        <v>0</v>
      </c>
      <c r="I1412" s="229">
        <v>0</v>
      </c>
      <c r="J1412" s="229">
        <v>0</v>
      </c>
      <c r="K1412" s="26">
        <v>1</v>
      </c>
      <c r="L1412" s="14">
        <v>0</v>
      </c>
      <c r="M1412" s="229">
        <v>0</v>
      </c>
      <c r="N1412" s="229">
        <v>0</v>
      </c>
      <c r="O1412" s="229">
        <v>0</v>
      </c>
      <c r="P1412" s="26">
        <v>0</v>
      </c>
      <c r="Q1412" s="14">
        <v>0</v>
      </c>
      <c r="R1412" s="229">
        <v>0</v>
      </c>
      <c r="S1412" s="229">
        <v>0</v>
      </c>
      <c r="T1412" s="229">
        <v>0</v>
      </c>
      <c r="U1412" s="229">
        <v>0</v>
      </c>
      <c r="V1412" s="229">
        <v>0</v>
      </c>
      <c r="W1412" s="229">
        <v>0</v>
      </c>
      <c r="X1412" s="229">
        <v>0</v>
      </c>
      <c r="Y1412" s="229">
        <v>0</v>
      </c>
      <c r="Z1412" s="229">
        <v>0</v>
      </c>
      <c r="AA1412" s="229">
        <v>0</v>
      </c>
      <c r="AC1412" s="12">
        <v>2</v>
      </c>
      <c r="AD1412" s="14">
        <v>5</v>
      </c>
      <c r="AE1412" s="14">
        <v>85</v>
      </c>
      <c r="AF1412" s="26">
        <v>456</v>
      </c>
      <c r="AG1412" s="12">
        <v>155</v>
      </c>
      <c r="AH1412" s="14">
        <v>1</v>
      </c>
      <c r="AI1412" s="209">
        <v>86.730677300280632</v>
      </c>
      <c r="AJ1412" s="3"/>
      <c r="AK1412" s="3"/>
      <c r="AL1412" s="3"/>
      <c r="AM1412" s="3"/>
      <c r="AN1412" s="3"/>
      <c r="AO1412" s="40"/>
      <c r="AP1412" s="209">
        <v>86.612661600150304</v>
      </c>
      <c r="AQ1412" s="3"/>
      <c r="AR1412" s="40"/>
      <c r="AS1412" s="238"/>
    </row>
    <row r="1413" spans="1:45" s="229" customFormat="1">
      <c r="A1413" s="83" t="s">
        <v>326</v>
      </c>
      <c r="B1413" s="386">
        <v>46.86</v>
      </c>
      <c r="C1413" s="24" t="s">
        <v>128</v>
      </c>
      <c r="D1413" s="229" t="s">
        <v>739</v>
      </c>
      <c r="E1413" s="229" t="s">
        <v>2</v>
      </c>
      <c r="F1413" s="229">
        <v>1391</v>
      </c>
      <c r="G1413" s="40">
        <f>F1413/1184</f>
        <v>1.1748310810810811</v>
      </c>
      <c r="H1413" s="14">
        <v>1</v>
      </c>
      <c r="I1413" s="229">
        <v>0</v>
      </c>
      <c r="J1413" s="229">
        <v>1</v>
      </c>
      <c r="K1413" s="26">
        <v>1</v>
      </c>
      <c r="L1413" s="14">
        <v>0</v>
      </c>
      <c r="M1413" s="229">
        <v>0</v>
      </c>
      <c r="N1413" s="229">
        <v>1</v>
      </c>
      <c r="O1413" s="229">
        <v>0</v>
      </c>
      <c r="P1413" s="26">
        <v>1</v>
      </c>
      <c r="Q1413" s="14">
        <v>1</v>
      </c>
      <c r="R1413" s="229">
        <v>0</v>
      </c>
      <c r="S1413" s="229">
        <v>0</v>
      </c>
      <c r="T1413" s="229">
        <v>0</v>
      </c>
      <c r="U1413" s="229">
        <v>0</v>
      </c>
      <c r="V1413" s="229">
        <v>0</v>
      </c>
      <c r="W1413" s="229">
        <v>17</v>
      </c>
      <c r="X1413" s="229">
        <v>0</v>
      </c>
      <c r="Y1413" s="229">
        <v>0</v>
      </c>
      <c r="Z1413" s="229">
        <v>0</v>
      </c>
      <c r="AA1413" s="229">
        <v>0</v>
      </c>
      <c r="AC1413" s="12">
        <v>2</v>
      </c>
      <c r="AD1413" s="14">
        <v>7</v>
      </c>
      <c r="AE1413" s="14">
        <v>195</v>
      </c>
      <c r="AF1413" s="26">
        <v>573</v>
      </c>
      <c r="AG1413" s="12">
        <v>155</v>
      </c>
      <c r="AH1413" s="14">
        <v>1</v>
      </c>
      <c r="AI1413" s="209">
        <v>86.771804714125054</v>
      </c>
      <c r="AJ1413" s="3">
        <v>86.797280449436826</v>
      </c>
      <c r="AK1413" s="3"/>
      <c r="AL1413" s="3"/>
      <c r="AM1413" s="3"/>
      <c r="AN1413" s="3"/>
      <c r="AO1413" s="40"/>
      <c r="AP1413" s="209">
        <v>86.547719728637347</v>
      </c>
      <c r="AQ1413" s="3"/>
      <c r="AR1413" s="40"/>
      <c r="AS1413" s="238"/>
    </row>
    <row r="1414" spans="1:45" s="229" customFormat="1">
      <c r="A1414" s="83" t="s">
        <v>326</v>
      </c>
      <c r="B1414" s="386">
        <v>46.86</v>
      </c>
      <c r="C1414" s="24" t="s">
        <v>128</v>
      </c>
      <c r="D1414" s="229" t="s">
        <v>727</v>
      </c>
      <c r="E1414" s="229" t="s">
        <v>0</v>
      </c>
      <c r="F1414" s="229">
        <v>1078</v>
      </c>
      <c r="G1414" s="40">
        <f>F1414/552</f>
        <v>1.9528985507246377</v>
      </c>
      <c r="H1414" s="14">
        <v>1</v>
      </c>
      <c r="I1414" s="229">
        <v>0</v>
      </c>
      <c r="J1414" s="229">
        <v>0</v>
      </c>
      <c r="K1414" s="26">
        <v>1</v>
      </c>
      <c r="L1414" s="14">
        <v>0</v>
      </c>
      <c r="M1414" s="229">
        <v>0</v>
      </c>
      <c r="N1414" s="229">
        <v>0</v>
      </c>
      <c r="O1414" s="229">
        <v>0</v>
      </c>
      <c r="P1414" s="26">
        <v>0</v>
      </c>
      <c r="Q1414" s="14">
        <v>0</v>
      </c>
      <c r="R1414" s="229">
        <v>0</v>
      </c>
      <c r="S1414" s="229">
        <v>0</v>
      </c>
      <c r="T1414" s="229">
        <v>0</v>
      </c>
      <c r="U1414" s="229">
        <v>0</v>
      </c>
      <c r="V1414" s="229">
        <v>0</v>
      </c>
      <c r="W1414" s="229">
        <v>0</v>
      </c>
      <c r="X1414" s="229">
        <v>0</v>
      </c>
      <c r="Y1414" s="229">
        <v>0</v>
      </c>
      <c r="Z1414" s="229">
        <v>0</v>
      </c>
      <c r="AA1414" s="229">
        <v>0</v>
      </c>
      <c r="AC1414" s="12">
        <v>2</v>
      </c>
      <c r="AD1414" s="14">
        <v>4</v>
      </c>
      <c r="AE1414" s="14">
        <v>372</v>
      </c>
      <c r="AF1414" s="26">
        <v>552</v>
      </c>
      <c r="AG1414" s="12">
        <v>134</v>
      </c>
      <c r="AH1414" s="14">
        <v>1</v>
      </c>
      <c r="AI1414" s="209"/>
      <c r="AJ1414" s="3"/>
      <c r="AK1414" s="3"/>
      <c r="AL1414" s="3"/>
      <c r="AM1414" s="3"/>
      <c r="AN1414" s="3"/>
      <c r="AO1414" s="40"/>
      <c r="AP1414" s="209"/>
      <c r="AQ1414" s="3"/>
      <c r="AR1414" s="40"/>
      <c r="AS1414" s="238"/>
    </row>
    <row r="1415" spans="1:45" s="229" customFormat="1">
      <c r="A1415" s="83" t="s">
        <v>326</v>
      </c>
      <c r="B1415" s="386">
        <v>46.86</v>
      </c>
      <c r="C1415" s="24" t="s">
        <v>128</v>
      </c>
      <c r="D1415" s="229" t="s">
        <v>727</v>
      </c>
      <c r="E1415" s="229" t="s">
        <v>1</v>
      </c>
      <c r="F1415" s="229">
        <v>464</v>
      </c>
      <c r="G1415" s="40">
        <f>F1415/363</f>
        <v>1.278236914600551</v>
      </c>
      <c r="H1415" s="14">
        <v>0</v>
      </c>
      <c r="I1415" s="229">
        <v>0</v>
      </c>
      <c r="J1415" s="229">
        <v>1</v>
      </c>
      <c r="K1415" s="26">
        <v>0</v>
      </c>
      <c r="L1415" s="14">
        <v>0</v>
      </c>
      <c r="M1415" s="229">
        <v>0</v>
      </c>
      <c r="N1415" s="229">
        <v>0</v>
      </c>
      <c r="O1415" s="229">
        <v>0</v>
      </c>
      <c r="P1415" s="26">
        <v>0</v>
      </c>
      <c r="Q1415" s="14">
        <v>3</v>
      </c>
      <c r="R1415" s="229">
        <v>9</v>
      </c>
      <c r="S1415" s="229">
        <v>19</v>
      </c>
      <c r="T1415" s="229">
        <v>0</v>
      </c>
      <c r="U1415" s="229">
        <v>0</v>
      </c>
      <c r="V1415" s="229">
        <v>0</v>
      </c>
      <c r="W1415" s="229">
        <v>103</v>
      </c>
      <c r="X1415" s="229">
        <v>0</v>
      </c>
      <c r="Y1415" s="229">
        <v>0</v>
      </c>
      <c r="Z1415" s="229">
        <v>0</v>
      </c>
      <c r="AA1415" s="229">
        <v>0</v>
      </c>
      <c r="AC1415" s="12">
        <v>1</v>
      </c>
      <c r="AD1415" s="14">
        <v>1</v>
      </c>
      <c r="AE1415" s="14">
        <v>0</v>
      </c>
      <c r="AF1415" s="26">
        <v>0</v>
      </c>
      <c r="AG1415" s="12">
        <v>134</v>
      </c>
      <c r="AH1415" s="14">
        <v>1</v>
      </c>
      <c r="AI1415" s="209"/>
      <c r="AJ1415" s="3"/>
      <c r="AK1415" s="3"/>
      <c r="AL1415" s="3"/>
      <c r="AM1415" s="3"/>
      <c r="AN1415" s="3"/>
      <c r="AO1415" s="40"/>
      <c r="AP1415" s="209"/>
      <c r="AQ1415" s="3"/>
      <c r="AR1415" s="40"/>
      <c r="AS1415" s="238"/>
    </row>
    <row r="1416" spans="1:45" s="229" customFormat="1">
      <c r="A1416" s="83" t="s">
        <v>326</v>
      </c>
      <c r="B1416" s="386">
        <v>46.86</v>
      </c>
      <c r="C1416" s="24" t="s">
        <v>128</v>
      </c>
      <c r="D1416" s="229" t="s">
        <v>740</v>
      </c>
      <c r="F1416" s="229">
        <v>1063</v>
      </c>
      <c r="G1416" s="40">
        <f>F1416/414</f>
        <v>2.5676328502415457</v>
      </c>
      <c r="H1416" s="14">
        <v>1</v>
      </c>
      <c r="I1416" s="229">
        <v>0</v>
      </c>
      <c r="J1416" s="229">
        <v>0</v>
      </c>
      <c r="K1416" s="26">
        <v>1</v>
      </c>
      <c r="L1416" s="14">
        <v>0</v>
      </c>
      <c r="M1416" s="229">
        <v>0</v>
      </c>
      <c r="N1416" s="229">
        <v>1</v>
      </c>
      <c r="O1416" s="229">
        <v>0</v>
      </c>
      <c r="P1416" s="26">
        <v>1</v>
      </c>
      <c r="Q1416" s="14">
        <v>5</v>
      </c>
      <c r="R1416" s="229">
        <v>0</v>
      </c>
      <c r="S1416" s="229">
        <v>46</v>
      </c>
      <c r="T1416" s="229">
        <v>0</v>
      </c>
      <c r="U1416" s="229">
        <v>0</v>
      </c>
      <c r="V1416" s="229">
        <v>33</v>
      </c>
      <c r="W1416" s="229">
        <v>50</v>
      </c>
      <c r="X1416" s="229">
        <v>0</v>
      </c>
      <c r="Y1416" s="229">
        <v>0</v>
      </c>
      <c r="Z1416" s="229">
        <v>0</v>
      </c>
      <c r="AA1416" s="229">
        <v>0</v>
      </c>
      <c r="AC1416" s="12">
        <v>2</v>
      </c>
      <c r="AD1416" s="14">
        <v>3</v>
      </c>
      <c r="AE1416" s="14">
        <v>235</v>
      </c>
      <c r="AF1416" s="26">
        <v>535</v>
      </c>
      <c r="AG1416" s="12">
        <v>113</v>
      </c>
      <c r="AH1416" s="14">
        <v>1</v>
      </c>
      <c r="AI1416" s="209"/>
      <c r="AJ1416" s="3"/>
      <c r="AK1416" s="3"/>
      <c r="AL1416" s="3"/>
      <c r="AM1416" s="3"/>
      <c r="AN1416" s="3"/>
      <c r="AO1416" s="40"/>
      <c r="AP1416" s="209"/>
      <c r="AQ1416" s="3"/>
      <c r="AR1416" s="40"/>
      <c r="AS1416" s="238"/>
    </row>
    <row r="1417" spans="1:45" s="229" customFormat="1">
      <c r="A1417" s="83" t="s">
        <v>326</v>
      </c>
      <c r="B1417" s="386">
        <v>46.86</v>
      </c>
      <c r="C1417" s="24" t="s">
        <v>128</v>
      </c>
      <c r="D1417" s="229" t="s">
        <v>741</v>
      </c>
      <c r="F1417" s="229">
        <v>360</v>
      </c>
      <c r="G1417" s="40">
        <f>F1417/202</f>
        <v>1.7821782178217822</v>
      </c>
      <c r="H1417" s="14">
        <v>1</v>
      </c>
      <c r="I1417" s="229">
        <v>0</v>
      </c>
      <c r="J1417" s="229">
        <v>0</v>
      </c>
      <c r="K1417" s="26">
        <v>1</v>
      </c>
      <c r="L1417" s="14">
        <v>0</v>
      </c>
      <c r="M1417" s="229">
        <v>0</v>
      </c>
      <c r="N1417" s="229">
        <v>0</v>
      </c>
      <c r="O1417" s="229">
        <v>0</v>
      </c>
      <c r="P1417" s="26">
        <v>0</v>
      </c>
      <c r="Q1417" s="14">
        <v>2</v>
      </c>
      <c r="R1417" s="229">
        <v>0</v>
      </c>
      <c r="S1417" s="229">
        <v>9</v>
      </c>
      <c r="T1417" s="229">
        <v>0</v>
      </c>
      <c r="U1417" s="229">
        <v>0</v>
      </c>
      <c r="V1417" s="229">
        <v>0</v>
      </c>
      <c r="W1417" s="229">
        <v>0</v>
      </c>
      <c r="X1417" s="229">
        <v>0</v>
      </c>
      <c r="Y1417" s="229">
        <v>0</v>
      </c>
      <c r="Z1417" s="229">
        <v>0</v>
      </c>
      <c r="AA1417" s="229">
        <v>0</v>
      </c>
      <c r="AC1417" s="12">
        <v>2</v>
      </c>
      <c r="AD1417" s="14">
        <v>4</v>
      </c>
      <c r="AE1417" s="14">
        <v>104</v>
      </c>
      <c r="AF1417" s="26">
        <v>159</v>
      </c>
      <c r="AG1417" s="12">
        <v>120</v>
      </c>
      <c r="AH1417" s="14">
        <v>1</v>
      </c>
      <c r="AI1417" s="209"/>
      <c r="AJ1417" s="3"/>
      <c r="AK1417" s="3"/>
      <c r="AL1417" s="3"/>
      <c r="AM1417" s="3"/>
      <c r="AN1417" s="3"/>
      <c r="AO1417" s="40"/>
      <c r="AP1417" s="209"/>
      <c r="AQ1417" s="3"/>
      <c r="AR1417" s="40"/>
      <c r="AS1417" s="238"/>
    </row>
    <row r="1418" spans="1:45" s="229" customFormat="1">
      <c r="A1418" s="83" t="s">
        <v>326</v>
      </c>
      <c r="B1418" s="386">
        <v>46.86</v>
      </c>
      <c r="C1418" s="24" t="s">
        <v>128</v>
      </c>
      <c r="D1418" s="229" t="s">
        <v>728</v>
      </c>
      <c r="E1418" s="229" t="s">
        <v>0</v>
      </c>
      <c r="F1418" s="229">
        <v>624</v>
      </c>
      <c r="G1418" s="40">
        <f>F1418/392</f>
        <v>1.5918367346938775</v>
      </c>
      <c r="H1418" s="14">
        <v>1</v>
      </c>
      <c r="I1418" s="229">
        <v>0</v>
      </c>
      <c r="J1418" s="229">
        <v>0</v>
      </c>
      <c r="K1418" s="26">
        <v>1</v>
      </c>
      <c r="L1418" s="14">
        <v>0</v>
      </c>
      <c r="M1418" s="229">
        <v>0</v>
      </c>
      <c r="N1418" s="229">
        <v>0</v>
      </c>
      <c r="O1418" s="229">
        <v>0</v>
      </c>
      <c r="P1418" s="26">
        <v>0</v>
      </c>
      <c r="Q1418" s="14">
        <v>0</v>
      </c>
      <c r="R1418" s="229">
        <v>0</v>
      </c>
      <c r="S1418" s="229">
        <v>0</v>
      </c>
      <c r="T1418" s="229">
        <v>0</v>
      </c>
      <c r="U1418" s="229">
        <v>0</v>
      </c>
      <c r="V1418" s="229">
        <v>0</v>
      </c>
      <c r="W1418" s="229">
        <v>0</v>
      </c>
      <c r="X1418" s="229">
        <v>0</v>
      </c>
      <c r="Y1418" s="229">
        <v>0</v>
      </c>
      <c r="Z1418" s="229">
        <v>0</v>
      </c>
      <c r="AA1418" s="229">
        <v>0</v>
      </c>
      <c r="AC1418" s="12">
        <v>2</v>
      </c>
      <c r="AD1418" s="14">
        <v>3</v>
      </c>
      <c r="AE1418" s="14">
        <v>81</v>
      </c>
      <c r="AF1418" s="26">
        <v>408</v>
      </c>
      <c r="AG1418" s="12">
        <v>144</v>
      </c>
      <c r="AH1418" s="14">
        <v>1</v>
      </c>
      <c r="AI1418" s="209"/>
      <c r="AJ1418" s="3"/>
      <c r="AK1418" s="3"/>
      <c r="AL1418" s="3"/>
      <c r="AM1418" s="3"/>
      <c r="AN1418" s="3"/>
      <c r="AO1418" s="40"/>
      <c r="AP1418" s="209"/>
      <c r="AQ1418" s="3"/>
      <c r="AR1418" s="40"/>
      <c r="AS1418" s="238"/>
    </row>
    <row r="1419" spans="1:45" s="229" customFormat="1">
      <c r="A1419" s="83" t="s">
        <v>326</v>
      </c>
      <c r="B1419" s="386">
        <v>46.86</v>
      </c>
      <c r="C1419" s="24" t="s">
        <v>128</v>
      </c>
      <c r="D1419" s="229" t="s">
        <v>728</v>
      </c>
      <c r="E1419" s="229" t="s">
        <v>1</v>
      </c>
      <c r="F1419" s="229">
        <v>559</v>
      </c>
      <c r="G1419" s="40">
        <f>F1419/277</f>
        <v>2.0180505415162453</v>
      </c>
      <c r="H1419" s="14">
        <v>0</v>
      </c>
      <c r="I1419" s="229">
        <v>0</v>
      </c>
      <c r="J1419" s="229">
        <v>0</v>
      </c>
      <c r="K1419" s="26">
        <v>1</v>
      </c>
      <c r="L1419" s="14">
        <v>0</v>
      </c>
      <c r="M1419" s="229">
        <v>0</v>
      </c>
      <c r="N1419" s="229">
        <v>0</v>
      </c>
      <c r="O1419" s="229">
        <v>0</v>
      </c>
      <c r="P1419" s="26">
        <v>0</v>
      </c>
      <c r="Q1419" s="14">
        <v>0</v>
      </c>
      <c r="R1419" s="229">
        <v>0</v>
      </c>
      <c r="S1419" s="229">
        <v>0</v>
      </c>
      <c r="T1419" s="229">
        <v>0</v>
      </c>
      <c r="U1419" s="229">
        <v>0</v>
      </c>
      <c r="V1419" s="229">
        <v>0</v>
      </c>
      <c r="W1419" s="229">
        <v>0</v>
      </c>
      <c r="X1419" s="229">
        <v>0</v>
      </c>
      <c r="Y1419" s="229">
        <v>0</v>
      </c>
      <c r="Z1419" s="229">
        <v>0</v>
      </c>
      <c r="AA1419" s="229">
        <v>0</v>
      </c>
      <c r="AC1419" s="12">
        <v>2</v>
      </c>
      <c r="AD1419" s="14">
        <v>2</v>
      </c>
      <c r="AE1419" s="14">
        <v>112</v>
      </c>
      <c r="AF1419" s="26">
        <v>559</v>
      </c>
      <c r="AG1419" s="12">
        <v>144</v>
      </c>
      <c r="AH1419" s="14">
        <v>1</v>
      </c>
      <c r="AI1419" s="209"/>
      <c r="AJ1419" s="3"/>
      <c r="AK1419" s="3"/>
      <c r="AL1419" s="3"/>
      <c r="AM1419" s="3"/>
      <c r="AN1419" s="3"/>
      <c r="AO1419" s="40"/>
      <c r="AP1419" s="209"/>
      <c r="AQ1419" s="3"/>
      <c r="AR1419" s="40"/>
      <c r="AS1419" s="238"/>
    </row>
    <row r="1420" spans="1:45" s="229" customFormat="1">
      <c r="A1420" s="83" t="s">
        <v>326</v>
      </c>
      <c r="B1420" s="386">
        <v>46.86</v>
      </c>
      <c r="C1420" s="24" t="s">
        <v>128</v>
      </c>
      <c r="D1420" s="229" t="s">
        <v>728</v>
      </c>
      <c r="E1420" s="229" t="s">
        <v>2</v>
      </c>
      <c r="F1420" s="229">
        <v>275</v>
      </c>
      <c r="G1420" s="40">
        <f>F1420/245</f>
        <v>1.1224489795918366</v>
      </c>
      <c r="H1420" s="14">
        <v>0</v>
      </c>
      <c r="I1420" s="229">
        <v>0</v>
      </c>
      <c r="J1420" s="229">
        <v>0</v>
      </c>
      <c r="K1420" s="26">
        <v>1</v>
      </c>
      <c r="L1420" s="14">
        <v>0</v>
      </c>
      <c r="M1420" s="229">
        <v>0</v>
      </c>
      <c r="N1420" s="229">
        <v>0</v>
      </c>
      <c r="O1420" s="229">
        <v>0</v>
      </c>
      <c r="P1420" s="26">
        <v>0</v>
      </c>
      <c r="Q1420" s="14">
        <v>8</v>
      </c>
      <c r="R1420" s="229">
        <v>0</v>
      </c>
      <c r="S1420" s="229">
        <v>0</v>
      </c>
      <c r="T1420" s="229">
        <v>0</v>
      </c>
      <c r="U1420" s="229">
        <v>0</v>
      </c>
      <c r="V1420" s="229">
        <v>0</v>
      </c>
      <c r="W1420" s="229">
        <v>0</v>
      </c>
      <c r="X1420" s="229">
        <v>0</v>
      </c>
      <c r="Y1420" s="229">
        <v>0</v>
      </c>
      <c r="Z1420" s="229">
        <v>0</v>
      </c>
      <c r="AA1420" s="229">
        <v>0</v>
      </c>
      <c r="AC1420" s="12">
        <v>2</v>
      </c>
      <c r="AD1420" s="14">
        <v>2</v>
      </c>
      <c r="AE1420" s="14">
        <v>179</v>
      </c>
      <c r="AF1420" s="26">
        <v>275</v>
      </c>
      <c r="AG1420" s="12">
        <v>144</v>
      </c>
      <c r="AH1420" s="14">
        <v>0</v>
      </c>
      <c r="AI1420" s="209"/>
      <c r="AJ1420" s="3"/>
      <c r="AK1420" s="3"/>
      <c r="AL1420" s="3"/>
      <c r="AM1420" s="3"/>
      <c r="AN1420" s="3"/>
      <c r="AO1420" s="40"/>
      <c r="AP1420" s="209"/>
      <c r="AQ1420" s="3"/>
      <c r="AR1420" s="40"/>
      <c r="AS1420" s="238"/>
    </row>
    <row r="1421" spans="1:45" s="229" customFormat="1">
      <c r="A1421" s="83" t="s">
        <v>326</v>
      </c>
      <c r="B1421" s="386">
        <v>46.86</v>
      </c>
      <c r="C1421" s="24" t="s">
        <v>128</v>
      </c>
      <c r="D1421" s="229" t="s">
        <v>728</v>
      </c>
      <c r="E1421" s="229" t="s">
        <v>3</v>
      </c>
      <c r="F1421" s="229">
        <v>608</v>
      </c>
      <c r="G1421" s="40">
        <f>F1421/472</f>
        <v>1.2881355932203389</v>
      </c>
      <c r="H1421" s="14">
        <v>0</v>
      </c>
      <c r="I1421" s="229">
        <v>0</v>
      </c>
      <c r="J1421" s="229">
        <v>0</v>
      </c>
      <c r="K1421" s="26">
        <v>1</v>
      </c>
      <c r="L1421" s="14">
        <v>0</v>
      </c>
      <c r="M1421" s="229">
        <v>0</v>
      </c>
      <c r="N1421" s="229">
        <v>0</v>
      </c>
      <c r="O1421" s="229">
        <v>0</v>
      </c>
      <c r="P1421" s="26">
        <v>0</v>
      </c>
      <c r="Q1421" s="14">
        <v>0</v>
      </c>
      <c r="R1421" s="229">
        <v>0</v>
      </c>
      <c r="S1421" s="229">
        <v>0</v>
      </c>
      <c r="T1421" s="229">
        <v>0</v>
      </c>
      <c r="U1421" s="229">
        <v>0</v>
      </c>
      <c r="V1421" s="229">
        <v>0</v>
      </c>
      <c r="W1421" s="229">
        <v>0</v>
      </c>
      <c r="X1421" s="229">
        <v>0</v>
      </c>
      <c r="Y1421" s="229">
        <v>0</v>
      </c>
      <c r="Z1421" s="229">
        <v>0</v>
      </c>
      <c r="AA1421" s="229">
        <v>0</v>
      </c>
      <c r="AC1421" s="12">
        <v>2</v>
      </c>
      <c r="AD1421" s="14">
        <v>4</v>
      </c>
      <c r="AE1421" s="14">
        <v>149</v>
      </c>
      <c r="AF1421" s="26">
        <v>337</v>
      </c>
      <c r="AG1421" s="12">
        <v>144</v>
      </c>
      <c r="AH1421" s="14">
        <v>1</v>
      </c>
      <c r="AI1421" s="209"/>
      <c r="AJ1421" s="3"/>
      <c r="AK1421" s="3"/>
      <c r="AL1421" s="3"/>
      <c r="AM1421" s="3"/>
      <c r="AN1421" s="3"/>
      <c r="AO1421" s="40"/>
      <c r="AP1421" s="209"/>
      <c r="AQ1421" s="3"/>
      <c r="AR1421" s="40"/>
      <c r="AS1421" s="238"/>
    </row>
    <row r="1422" spans="1:45" s="229" customFormat="1">
      <c r="A1422" s="83" t="s">
        <v>326</v>
      </c>
      <c r="B1422" s="386">
        <v>46.86</v>
      </c>
      <c r="C1422" s="24" t="s">
        <v>128</v>
      </c>
      <c r="D1422" s="229" t="s">
        <v>389</v>
      </c>
      <c r="F1422" s="229">
        <v>591</v>
      </c>
      <c r="G1422" s="40">
        <f>F1422/327</f>
        <v>1.8073394495412844</v>
      </c>
      <c r="H1422" s="14">
        <v>1</v>
      </c>
      <c r="I1422" s="229">
        <v>0</v>
      </c>
      <c r="J1422" s="229">
        <v>0</v>
      </c>
      <c r="K1422" s="26">
        <v>0</v>
      </c>
      <c r="L1422" s="14">
        <v>0</v>
      </c>
      <c r="M1422" s="229">
        <v>0</v>
      </c>
      <c r="N1422" s="229">
        <v>0</v>
      </c>
      <c r="O1422" s="229">
        <v>0</v>
      </c>
      <c r="P1422" s="26">
        <v>0</v>
      </c>
      <c r="Q1422" s="14">
        <v>0</v>
      </c>
      <c r="R1422" s="229">
        <v>0</v>
      </c>
      <c r="S1422" s="229">
        <v>0</v>
      </c>
      <c r="T1422" s="229">
        <v>0</v>
      </c>
      <c r="U1422" s="229">
        <v>0</v>
      </c>
      <c r="V1422" s="229">
        <v>0</v>
      </c>
      <c r="W1422" s="229">
        <v>0</v>
      </c>
      <c r="X1422" s="229">
        <v>0</v>
      </c>
      <c r="Y1422" s="229">
        <v>0</v>
      </c>
      <c r="Z1422" s="229">
        <v>0</v>
      </c>
      <c r="AA1422" s="229">
        <v>0</v>
      </c>
      <c r="AB1422" s="229">
        <v>0</v>
      </c>
      <c r="AC1422" s="12">
        <v>1</v>
      </c>
      <c r="AD1422" s="14">
        <v>1</v>
      </c>
      <c r="AE1422" s="14">
        <v>0</v>
      </c>
      <c r="AF1422" s="26">
        <v>0</v>
      </c>
      <c r="AG1422" s="12">
        <v>107</v>
      </c>
      <c r="AH1422" s="14">
        <v>0</v>
      </c>
      <c r="AI1422" s="209">
        <v>86.930546859158554</v>
      </c>
      <c r="AJ1422" s="3"/>
      <c r="AK1422" s="3"/>
      <c r="AL1422" s="3"/>
      <c r="AM1422" s="3"/>
      <c r="AN1422" s="3"/>
      <c r="AO1422" s="40"/>
      <c r="AP1422" s="209">
        <v>86.701140319296542</v>
      </c>
      <c r="AQ1422" s="3"/>
      <c r="AR1422" s="40"/>
      <c r="AS1422" s="238"/>
    </row>
    <row r="1423" spans="1:45" s="229" customFormat="1">
      <c r="A1423" s="83" t="s">
        <v>326</v>
      </c>
      <c r="B1423" s="386">
        <v>46.86</v>
      </c>
      <c r="C1423" s="24" t="s">
        <v>128</v>
      </c>
      <c r="D1423" s="229" t="s">
        <v>206</v>
      </c>
      <c r="E1423" s="229" t="s">
        <v>0</v>
      </c>
      <c r="F1423" s="229">
        <v>791</v>
      </c>
      <c r="G1423" s="40">
        <f>F1423/451</f>
        <v>1.7538802660753881</v>
      </c>
      <c r="H1423" s="242">
        <v>1</v>
      </c>
      <c r="I1423" s="229">
        <v>0</v>
      </c>
      <c r="J1423" s="229">
        <v>0</v>
      </c>
      <c r="K1423" s="26">
        <v>1</v>
      </c>
      <c r="L1423" s="14">
        <v>0</v>
      </c>
      <c r="M1423" s="229">
        <v>0</v>
      </c>
      <c r="N1423" s="229">
        <v>0</v>
      </c>
      <c r="O1423" s="229">
        <v>0</v>
      </c>
      <c r="P1423" s="26">
        <v>0</v>
      </c>
      <c r="Q1423" s="14">
        <v>0</v>
      </c>
      <c r="R1423" s="229">
        <v>0</v>
      </c>
      <c r="S1423" s="229">
        <v>0</v>
      </c>
      <c r="T1423" s="229">
        <v>0</v>
      </c>
      <c r="U1423" s="229">
        <v>0</v>
      </c>
      <c r="V1423" s="229">
        <v>0</v>
      </c>
      <c r="W1423" s="229">
        <v>0</v>
      </c>
      <c r="X1423" s="229">
        <v>0</v>
      </c>
      <c r="Y1423" s="229">
        <v>0</v>
      </c>
      <c r="Z1423" s="229">
        <v>0</v>
      </c>
      <c r="AA1423" s="229">
        <v>0</v>
      </c>
      <c r="AB1423" s="229">
        <v>0</v>
      </c>
      <c r="AC1423" s="12">
        <v>2</v>
      </c>
      <c r="AD1423" s="14">
        <v>5</v>
      </c>
      <c r="AE1423" s="14">
        <v>83</v>
      </c>
      <c r="AF1423" s="26">
        <v>395</v>
      </c>
      <c r="AG1423" s="12">
        <v>118</v>
      </c>
      <c r="AH1423" s="14">
        <v>1</v>
      </c>
      <c r="AI1423" s="209"/>
      <c r="AJ1423" s="3"/>
      <c r="AK1423" s="3"/>
      <c r="AL1423" s="3"/>
      <c r="AM1423" s="3"/>
      <c r="AN1423" s="3"/>
      <c r="AO1423" s="40"/>
      <c r="AP1423" s="209"/>
      <c r="AQ1423" s="3"/>
      <c r="AR1423" s="40"/>
      <c r="AS1423" s="238"/>
    </row>
    <row r="1424" spans="1:45" s="229" customFormat="1">
      <c r="A1424" s="83" t="s">
        <v>326</v>
      </c>
      <c r="B1424" s="386">
        <v>46.86</v>
      </c>
      <c r="C1424" s="24" t="s">
        <v>128</v>
      </c>
      <c r="D1424" s="229" t="s">
        <v>206</v>
      </c>
      <c r="E1424" s="229" t="s">
        <v>1</v>
      </c>
      <c r="F1424" s="229">
        <v>265</v>
      </c>
      <c r="G1424" s="40">
        <f>F1424/235</f>
        <v>1.1276595744680851</v>
      </c>
      <c r="H1424" s="242">
        <v>0</v>
      </c>
      <c r="I1424" s="229">
        <v>0</v>
      </c>
      <c r="J1424" s="229">
        <v>0</v>
      </c>
      <c r="K1424" s="26">
        <v>1</v>
      </c>
      <c r="L1424" s="14">
        <v>0</v>
      </c>
      <c r="M1424" s="229">
        <v>0</v>
      </c>
      <c r="N1424" s="229">
        <v>1</v>
      </c>
      <c r="O1424" s="229">
        <v>0</v>
      </c>
      <c r="P1424" s="26">
        <v>1</v>
      </c>
      <c r="Q1424" s="14">
        <v>0</v>
      </c>
      <c r="R1424" s="229">
        <v>0</v>
      </c>
      <c r="S1424" s="229">
        <v>0</v>
      </c>
      <c r="T1424" s="229">
        <v>0</v>
      </c>
      <c r="U1424" s="229">
        <v>0</v>
      </c>
      <c r="V1424" s="229">
        <v>0</v>
      </c>
      <c r="W1424" s="229">
        <v>0</v>
      </c>
      <c r="X1424" s="229">
        <v>0</v>
      </c>
      <c r="Y1424" s="229">
        <v>0</v>
      </c>
      <c r="Z1424" s="229">
        <v>0</v>
      </c>
      <c r="AA1424" s="229">
        <v>0</v>
      </c>
      <c r="AB1424" s="229">
        <v>0</v>
      </c>
      <c r="AC1424" s="12">
        <v>1</v>
      </c>
      <c r="AD1424" s="14">
        <v>1</v>
      </c>
      <c r="AE1424" s="14">
        <v>0</v>
      </c>
      <c r="AF1424" s="26">
        <v>0</v>
      </c>
      <c r="AG1424" s="12">
        <v>118</v>
      </c>
      <c r="AH1424" s="14">
        <v>1</v>
      </c>
      <c r="AI1424" s="209"/>
      <c r="AJ1424" s="3"/>
      <c r="AK1424" s="3"/>
      <c r="AL1424" s="3"/>
      <c r="AM1424" s="3"/>
      <c r="AN1424" s="3"/>
      <c r="AO1424" s="40"/>
      <c r="AP1424" s="209"/>
      <c r="AQ1424" s="3"/>
      <c r="AR1424" s="40"/>
      <c r="AS1424" s="238"/>
    </row>
    <row r="1425" spans="1:45" s="229" customFormat="1">
      <c r="A1425" s="83" t="s">
        <v>326</v>
      </c>
      <c r="B1425" s="386">
        <v>46.86</v>
      </c>
      <c r="C1425" s="24" t="s">
        <v>128</v>
      </c>
      <c r="D1425" s="229" t="s">
        <v>206</v>
      </c>
      <c r="E1425" s="229" t="s">
        <v>2</v>
      </c>
      <c r="F1425" s="229">
        <v>383</v>
      </c>
      <c r="G1425" s="40">
        <f>F1425/332</f>
        <v>1.1536144578313252</v>
      </c>
      <c r="H1425" s="242">
        <v>0</v>
      </c>
      <c r="I1425" s="229">
        <v>0</v>
      </c>
      <c r="J1425" s="229">
        <v>0</v>
      </c>
      <c r="K1425" s="26">
        <v>1</v>
      </c>
      <c r="L1425" s="14">
        <v>0</v>
      </c>
      <c r="M1425" s="229">
        <v>0</v>
      </c>
      <c r="N1425" s="229">
        <v>1</v>
      </c>
      <c r="O1425" s="229">
        <v>0</v>
      </c>
      <c r="P1425" s="26">
        <v>1</v>
      </c>
      <c r="Q1425" s="14">
        <v>0</v>
      </c>
      <c r="R1425" s="229">
        <v>0</v>
      </c>
      <c r="S1425" s="229">
        <v>0</v>
      </c>
      <c r="T1425" s="229">
        <v>0</v>
      </c>
      <c r="U1425" s="229">
        <v>0</v>
      </c>
      <c r="V1425" s="229">
        <v>0</v>
      </c>
      <c r="W1425" s="229">
        <v>0</v>
      </c>
      <c r="X1425" s="229">
        <v>0</v>
      </c>
      <c r="Y1425" s="229">
        <v>0</v>
      </c>
      <c r="Z1425" s="229">
        <v>0</v>
      </c>
      <c r="AA1425" s="229">
        <v>0</v>
      </c>
      <c r="AB1425" s="229">
        <v>0</v>
      </c>
      <c r="AC1425" s="12">
        <v>1</v>
      </c>
      <c r="AD1425" s="14">
        <v>1</v>
      </c>
      <c r="AE1425" s="14">
        <v>0</v>
      </c>
      <c r="AF1425" s="26">
        <v>0</v>
      </c>
      <c r="AG1425" s="12">
        <v>118</v>
      </c>
      <c r="AH1425" s="14">
        <v>0</v>
      </c>
      <c r="AI1425" s="209"/>
      <c r="AJ1425" s="3"/>
      <c r="AK1425" s="3"/>
      <c r="AL1425" s="3"/>
      <c r="AM1425" s="3"/>
      <c r="AN1425" s="3"/>
      <c r="AO1425" s="40"/>
      <c r="AP1425" s="209"/>
      <c r="AQ1425" s="3"/>
      <c r="AR1425" s="40"/>
      <c r="AS1425" s="238"/>
    </row>
    <row r="1426" spans="1:45" s="229" customFormat="1">
      <c r="A1426" s="83" t="s">
        <v>326</v>
      </c>
      <c r="B1426" s="386">
        <v>46.86</v>
      </c>
      <c r="C1426" s="24" t="s">
        <v>128</v>
      </c>
      <c r="D1426" s="229" t="s">
        <v>376</v>
      </c>
      <c r="F1426" s="229">
        <v>1102</v>
      </c>
      <c r="G1426" s="40">
        <f>F1426/616</f>
        <v>1.7889610389610389</v>
      </c>
      <c r="H1426" s="242">
        <v>0</v>
      </c>
      <c r="I1426" s="229">
        <v>0</v>
      </c>
      <c r="J1426" s="229">
        <v>0</v>
      </c>
      <c r="K1426" s="26">
        <v>1</v>
      </c>
      <c r="L1426" s="14">
        <v>0</v>
      </c>
      <c r="M1426" s="229">
        <v>0</v>
      </c>
      <c r="N1426" s="229">
        <v>1</v>
      </c>
      <c r="O1426" s="229">
        <v>0</v>
      </c>
      <c r="P1426" s="26">
        <v>1</v>
      </c>
      <c r="Q1426" s="14">
        <v>0</v>
      </c>
      <c r="R1426" s="229">
        <v>0</v>
      </c>
      <c r="S1426" s="229">
        <v>0</v>
      </c>
      <c r="T1426" s="229">
        <v>0</v>
      </c>
      <c r="U1426" s="229">
        <v>0</v>
      </c>
      <c r="V1426" s="229">
        <v>0</v>
      </c>
      <c r="W1426" s="229">
        <v>0</v>
      </c>
      <c r="X1426" s="229">
        <v>0</v>
      </c>
      <c r="Y1426" s="229">
        <v>0</v>
      </c>
      <c r="Z1426" s="229">
        <v>0</v>
      </c>
      <c r="AA1426" s="229">
        <v>0</v>
      </c>
      <c r="AB1426" s="229">
        <v>0</v>
      </c>
      <c r="AC1426" s="12">
        <v>2</v>
      </c>
      <c r="AD1426" s="14">
        <v>8</v>
      </c>
      <c r="AE1426" s="14">
        <v>157</v>
      </c>
      <c r="AF1426" s="26">
        <v>394</v>
      </c>
      <c r="AG1426" s="12">
        <v>100</v>
      </c>
      <c r="AH1426" s="14">
        <v>1</v>
      </c>
      <c r="AI1426" s="209"/>
      <c r="AJ1426" s="3"/>
      <c r="AK1426" s="3"/>
      <c r="AL1426" s="3"/>
      <c r="AM1426" s="3"/>
      <c r="AN1426" s="3"/>
      <c r="AO1426" s="40"/>
      <c r="AP1426" s="209"/>
      <c r="AQ1426" s="3"/>
      <c r="AR1426" s="40"/>
      <c r="AS1426" s="238"/>
    </row>
    <row r="1427" spans="1:45" s="229" customFormat="1" ht="17" thickBot="1">
      <c r="A1427" s="83" t="s">
        <v>326</v>
      </c>
      <c r="B1427" s="385">
        <v>46.86</v>
      </c>
      <c r="C1427" s="103" t="s">
        <v>128</v>
      </c>
      <c r="D1427" s="36" t="s">
        <v>393</v>
      </c>
      <c r="E1427" s="36"/>
      <c r="F1427" s="36">
        <v>308</v>
      </c>
      <c r="G1427" s="48">
        <f>F1427/212</f>
        <v>1.4528301886792452</v>
      </c>
      <c r="H1427" s="256">
        <v>0</v>
      </c>
      <c r="I1427" s="36">
        <v>0</v>
      </c>
      <c r="J1427" s="36">
        <v>1</v>
      </c>
      <c r="K1427" s="35">
        <v>0</v>
      </c>
      <c r="L1427" s="34">
        <v>0</v>
      </c>
      <c r="M1427" s="36">
        <v>0</v>
      </c>
      <c r="N1427" s="36">
        <v>1</v>
      </c>
      <c r="O1427" s="36">
        <v>0</v>
      </c>
      <c r="P1427" s="35">
        <v>1</v>
      </c>
      <c r="Q1427" s="34">
        <v>0</v>
      </c>
      <c r="R1427" s="36">
        <v>0</v>
      </c>
      <c r="S1427" s="36">
        <v>0</v>
      </c>
      <c r="T1427" s="36">
        <v>0</v>
      </c>
      <c r="U1427" s="36">
        <v>0</v>
      </c>
      <c r="V1427" s="36">
        <v>0</v>
      </c>
      <c r="W1427" s="36">
        <v>0</v>
      </c>
      <c r="X1427" s="36">
        <v>0</v>
      </c>
      <c r="Y1427" s="36">
        <v>0</v>
      </c>
      <c r="Z1427" s="36">
        <v>0</v>
      </c>
      <c r="AA1427" s="36">
        <v>0</v>
      </c>
      <c r="AB1427" s="36">
        <v>0</v>
      </c>
      <c r="AC1427" s="33">
        <v>1</v>
      </c>
      <c r="AD1427" s="34">
        <v>1</v>
      </c>
      <c r="AE1427" s="34">
        <v>0</v>
      </c>
      <c r="AF1427" s="35">
        <v>0</v>
      </c>
      <c r="AG1427" s="33">
        <v>124</v>
      </c>
      <c r="AH1427" s="34">
        <v>0</v>
      </c>
      <c r="AI1427" s="210"/>
      <c r="AJ1427" s="51"/>
      <c r="AK1427" s="51"/>
      <c r="AL1427" s="51"/>
      <c r="AM1427" s="51"/>
      <c r="AN1427" s="51"/>
      <c r="AO1427" s="48"/>
      <c r="AP1427" s="210"/>
      <c r="AQ1427" s="51"/>
      <c r="AR1427" s="48"/>
      <c r="AS1427" s="239"/>
    </row>
    <row r="1428" spans="1:45" s="229" customFormat="1" ht="15" customHeight="1">
      <c r="A1428" s="147" t="s">
        <v>326</v>
      </c>
      <c r="B1428" s="384">
        <v>46.86</v>
      </c>
      <c r="C1428" s="24" t="s">
        <v>754</v>
      </c>
      <c r="D1428" s="229" t="s">
        <v>423</v>
      </c>
      <c r="E1428" s="229" t="s">
        <v>0</v>
      </c>
      <c r="F1428" s="229">
        <v>200</v>
      </c>
      <c r="G1428" s="40">
        <f>F1428/200</f>
        <v>1</v>
      </c>
      <c r="H1428" s="14">
        <v>1</v>
      </c>
      <c r="I1428" s="229">
        <v>0</v>
      </c>
      <c r="J1428" s="229">
        <v>0</v>
      </c>
      <c r="K1428" s="26">
        <v>0</v>
      </c>
      <c r="L1428" s="14">
        <v>0</v>
      </c>
      <c r="M1428" s="229">
        <v>0</v>
      </c>
      <c r="N1428" s="229">
        <v>0</v>
      </c>
      <c r="O1428" s="229">
        <v>0</v>
      </c>
      <c r="P1428" s="26">
        <v>0</v>
      </c>
      <c r="Q1428" s="14">
        <v>1</v>
      </c>
      <c r="R1428" s="229">
        <v>0</v>
      </c>
      <c r="S1428" s="229">
        <v>0</v>
      </c>
      <c r="T1428" s="229">
        <v>0</v>
      </c>
      <c r="U1428" s="229">
        <v>0</v>
      </c>
      <c r="V1428" s="229">
        <v>0</v>
      </c>
      <c r="W1428" s="229">
        <v>19</v>
      </c>
      <c r="X1428" s="229">
        <v>0</v>
      </c>
      <c r="Y1428" s="229">
        <v>0</v>
      </c>
      <c r="Z1428" s="229">
        <v>0</v>
      </c>
      <c r="AA1428" s="229">
        <v>0</v>
      </c>
      <c r="AB1428" s="229">
        <v>0</v>
      </c>
      <c r="AC1428" s="12">
        <v>2</v>
      </c>
      <c r="AD1428" s="14">
        <v>4</v>
      </c>
      <c r="AE1428" s="14">
        <v>83</v>
      </c>
      <c r="AF1428" s="26">
        <v>107</v>
      </c>
      <c r="AG1428" s="244">
        <v>83</v>
      </c>
      <c r="AH1428" s="14">
        <v>1</v>
      </c>
      <c r="AI1428" s="209"/>
      <c r="AJ1428" s="3"/>
      <c r="AK1428" s="3"/>
      <c r="AL1428" s="3"/>
      <c r="AM1428" s="3"/>
      <c r="AN1428" s="3"/>
      <c r="AO1428" s="40"/>
      <c r="AP1428" s="209"/>
      <c r="AQ1428" s="3"/>
      <c r="AR1428" s="40"/>
      <c r="AS1428" s="238"/>
    </row>
    <row r="1429" spans="1:45" s="229" customFormat="1">
      <c r="A1429" s="83" t="s">
        <v>326</v>
      </c>
      <c r="B1429" s="386">
        <v>46.86</v>
      </c>
      <c r="C1429" s="24" t="s">
        <v>754</v>
      </c>
      <c r="D1429" s="229" t="s">
        <v>423</v>
      </c>
      <c r="E1429" s="229" t="s">
        <v>1</v>
      </c>
      <c r="F1429" s="229">
        <v>573</v>
      </c>
      <c r="G1429" s="40">
        <f>F1429/265</f>
        <v>2.1622641509433964</v>
      </c>
      <c r="H1429" s="14">
        <v>1</v>
      </c>
      <c r="I1429" s="229">
        <v>0</v>
      </c>
      <c r="J1429" s="229">
        <v>0</v>
      </c>
      <c r="K1429" s="26">
        <v>1</v>
      </c>
      <c r="L1429" s="14">
        <v>0</v>
      </c>
      <c r="M1429" s="229">
        <v>0</v>
      </c>
      <c r="N1429" s="229">
        <v>1</v>
      </c>
      <c r="O1429" s="229">
        <v>0</v>
      </c>
      <c r="P1429" s="26">
        <v>1</v>
      </c>
      <c r="Q1429" s="14">
        <v>0</v>
      </c>
      <c r="R1429" s="229">
        <v>0</v>
      </c>
      <c r="S1429" s="229">
        <v>0</v>
      </c>
      <c r="T1429" s="229">
        <v>0</v>
      </c>
      <c r="U1429" s="229">
        <v>0</v>
      </c>
      <c r="V1429" s="229">
        <v>0</v>
      </c>
      <c r="W1429" s="229">
        <v>0</v>
      </c>
      <c r="X1429" s="229">
        <v>0</v>
      </c>
      <c r="Y1429" s="229">
        <v>0</v>
      </c>
      <c r="Z1429" s="229">
        <v>0</v>
      </c>
      <c r="AA1429" s="229">
        <v>0</v>
      </c>
      <c r="AB1429" s="229">
        <v>0</v>
      </c>
      <c r="AC1429" s="12">
        <v>2</v>
      </c>
      <c r="AD1429" s="14">
        <v>4</v>
      </c>
      <c r="AE1429" s="14">
        <v>208</v>
      </c>
      <c r="AF1429" s="26">
        <v>262</v>
      </c>
      <c r="AG1429" s="244">
        <v>83</v>
      </c>
      <c r="AH1429" s="14">
        <v>1</v>
      </c>
      <c r="AI1429" s="209"/>
      <c r="AJ1429" s="3"/>
      <c r="AK1429" s="3"/>
      <c r="AL1429" s="3"/>
      <c r="AM1429" s="3"/>
      <c r="AN1429" s="3"/>
      <c r="AO1429" s="40"/>
      <c r="AP1429" s="209"/>
      <c r="AQ1429" s="3"/>
      <c r="AR1429" s="40"/>
      <c r="AS1429" s="238"/>
    </row>
    <row r="1430" spans="1:45" s="229" customFormat="1">
      <c r="A1430" s="83" t="s">
        <v>326</v>
      </c>
      <c r="B1430" s="386">
        <v>46.86</v>
      </c>
      <c r="C1430" s="24" t="s">
        <v>754</v>
      </c>
      <c r="D1430" s="229" t="s">
        <v>423</v>
      </c>
      <c r="E1430" s="229" t="s">
        <v>2</v>
      </c>
      <c r="F1430" s="229">
        <v>126</v>
      </c>
      <c r="G1430" s="40">
        <f>F1430/92</f>
        <v>1.3695652173913044</v>
      </c>
      <c r="H1430" s="14">
        <v>1</v>
      </c>
      <c r="I1430" s="229">
        <v>0</v>
      </c>
      <c r="J1430" s="229">
        <v>0</v>
      </c>
      <c r="K1430" s="26">
        <v>0</v>
      </c>
      <c r="L1430" s="14">
        <v>0</v>
      </c>
      <c r="M1430" s="229">
        <v>0</v>
      </c>
      <c r="N1430" s="229">
        <v>0</v>
      </c>
      <c r="O1430" s="229">
        <v>0</v>
      </c>
      <c r="P1430" s="26">
        <v>0</v>
      </c>
      <c r="Q1430" s="14">
        <v>0</v>
      </c>
      <c r="R1430" s="229">
        <v>0</v>
      </c>
      <c r="S1430" s="229">
        <v>0</v>
      </c>
      <c r="T1430" s="229">
        <v>0</v>
      </c>
      <c r="U1430" s="229">
        <v>0</v>
      </c>
      <c r="V1430" s="229">
        <v>0</v>
      </c>
      <c r="W1430" s="229">
        <v>0</v>
      </c>
      <c r="X1430" s="229">
        <v>0</v>
      </c>
      <c r="Y1430" s="229">
        <v>0</v>
      </c>
      <c r="Z1430" s="229">
        <v>0</v>
      </c>
      <c r="AA1430" s="229">
        <v>0</v>
      </c>
      <c r="AB1430" s="229">
        <v>0</v>
      </c>
      <c r="AC1430" s="12">
        <v>1</v>
      </c>
      <c r="AD1430" s="14">
        <v>1</v>
      </c>
      <c r="AE1430" s="14">
        <v>0</v>
      </c>
      <c r="AF1430" s="26">
        <v>0</v>
      </c>
      <c r="AG1430" s="244">
        <v>83</v>
      </c>
      <c r="AH1430" s="14">
        <v>0</v>
      </c>
      <c r="AI1430" s="209"/>
      <c r="AJ1430" s="3"/>
      <c r="AK1430" s="3"/>
      <c r="AL1430" s="3"/>
      <c r="AM1430" s="3"/>
      <c r="AN1430" s="3"/>
      <c r="AO1430" s="40"/>
      <c r="AP1430" s="209"/>
      <c r="AQ1430" s="3"/>
      <c r="AR1430" s="40"/>
      <c r="AS1430" s="238"/>
    </row>
    <row r="1431" spans="1:45" s="229" customFormat="1">
      <c r="A1431" s="83" t="s">
        <v>326</v>
      </c>
      <c r="B1431" s="386">
        <v>46.86</v>
      </c>
      <c r="C1431" s="24" t="s">
        <v>754</v>
      </c>
      <c r="D1431" s="229" t="s">
        <v>620</v>
      </c>
      <c r="F1431" s="229">
        <v>412</v>
      </c>
      <c r="G1431" s="40">
        <f>F1431/286</f>
        <v>1.4405594405594406</v>
      </c>
      <c r="H1431" s="14">
        <v>0</v>
      </c>
      <c r="I1431" s="229">
        <v>0</v>
      </c>
      <c r="J1431" s="229">
        <v>0</v>
      </c>
      <c r="K1431" s="26">
        <v>1</v>
      </c>
      <c r="L1431" s="14">
        <v>0</v>
      </c>
      <c r="M1431" s="229">
        <v>0</v>
      </c>
      <c r="N1431" s="229">
        <v>1</v>
      </c>
      <c r="O1431" s="229">
        <v>0</v>
      </c>
      <c r="P1431" s="26">
        <v>1</v>
      </c>
      <c r="Q1431" s="14">
        <v>0</v>
      </c>
      <c r="R1431" s="229">
        <v>0</v>
      </c>
      <c r="S1431" s="229">
        <v>0</v>
      </c>
      <c r="T1431" s="229">
        <v>0</v>
      </c>
      <c r="U1431" s="229">
        <v>0</v>
      </c>
      <c r="V1431" s="229">
        <v>0</v>
      </c>
      <c r="W1431" s="229">
        <v>0</v>
      </c>
      <c r="X1431" s="229">
        <v>0</v>
      </c>
      <c r="Y1431" s="229">
        <v>0</v>
      </c>
      <c r="Z1431" s="229">
        <v>0</v>
      </c>
      <c r="AA1431" s="229">
        <v>0</v>
      </c>
      <c r="AB1431" s="229">
        <v>0</v>
      </c>
      <c r="AC1431" s="12">
        <v>1</v>
      </c>
      <c r="AD1431" s="14">
        <v>1</v>
      </c>
      <c r="AE1431" s="14">
        <v>0</v>
      </c>
      <c r="AF1431" s="26">
        <v>0</v>
      </c>
      <c r="AG1431" s="12">
        <v>113</v>
      </c>
      <c r="AH1431" s="14">
        <v>1</v>
      </c>
      <c r="AI1431" s="209">
        <v>87.618184139756863</v>
      </c>
      <c r="AJ1431" s="3"/>
      <c r="AK1431" s="3"/>
      <c r="AL1431" s="3"/>
      <c r="AM1431" s="3"/>
      <c r="AN1431" s="3"/>
      <c r="AO1431" s="40"/>
      <c r="AP1431" s="209">
        <v>86.927936786358273</v>
      </c>
      <c r="AQ1431" s="3"/>
      <c r="AR1431" s="40"/>
      <c r="AS1431" s="238"/>
    </row>
    <row r="1432" spans="1:45" s="229" customFormat="1">
      <c r="A1432" s="83" t="s">
        <v>326</v>
      </c>
      <c r="B1432" s="386">
        <v>46.86</v>
      </c>
      <c r="C1432" s="24" t="s">
        <v>754</v>
      </c>
      <c r="D1432" s="229" t="s">
        <v>634</v>
      </c>
      <c r="E1432" s="229" t="s">
        <v>0</v>
      </c>
      <c r="F1432" s="229">
        <v>367</v>
      </c>
      <c r="G1432" s="40">
        <f>F1432/237</f>
        <v>1.5485232067510548</v>
      </c>
      <c r="H1432" s="14">
        <v>0</v>
      </c>
      <c r="I1432" s="229">
        <v>0</v>
      </c>
      <c r="J1432" s="229">
        <v>0</v>
      </c>
      <c r="K1432" s="26">
        <v>1</v>
      </c>
      <c r="L1432" s="14">
        <v>0</v>
      </c>
      <c r="M1432" s="229">
        <v>0</v>
      </c>
      <c r="N1432" s="229">
        <v>1</v>
      </c>
      <c r="O1432" s="229">
        <v>0</v>
      </c>
      <c r="P1432" s="26">
        <v>1</v>
      </c>
      <c r="Q1432" s="14">
        <v>2</v>
      </c>
      <c r="R1432" s="229">
        <v>0</v>
      </c>
      <c r="S1432" s="229">
        <v>0</v>
      </c>
      <c r="T1432" s="229">
        <v>0</v>
      </c>
      <c r="U1432" s="229">
        <v>0</v>
      </c>
      <c r="V1432" s="229">
        <v>0</v>
      </c>
      <c r="W1432" s="229">
        <v>49</v>
      </c>
      <c r="X1432" s="229">
        <v>9</v>
      </c>
      <c r="Y1432" s="229">
        <v>9</v>
      </c>
      <c r="Z1432" s="229">
        <v>9</v>
      </c>
      <c r="AA1432" s="229">
        <v>9</v>
      </c>
      <c r="AB1432" s="229">
        <v>1</v>
      </c>
      <c r="AC1432" s="12">
        <v>1</v>
      </c>
      <c r="AD1432" s="14">
        <v>1</v>
      </c>
      <c r="AE1432" s="14">
        <v>0</v>
      </c>
      <c r="AF1432" s="26">
        <v>0</v>
      </c>
      <c r="AG1432" s="12">
        <v>104</v>
      </c>
      <c r="AH1432" s="14">
        <v>1</v>
      </c>
      <c r="AI1432" s="209"/>
      <c r="AJ1432" s="3"/>
      <c r="AK1432" s="3"/>
      <c r="AL1432" s="3"/>
      <c r="AM1432" s="3"/>
      <c r="AN1432" s="3"/>
      <c r="AO1432" s="40"/>
      <c r="AP1432" s="209"/>
      <c r="AQ1432" s="3"/>
      <c r="AR1432" s="40"/>
      <c r="AS1432" s="238"/>
    </row>
    <row r="1433" spans="1:45" s="229" customFormat="1">
      <c r="A1433" s="83" t="s">
        <v>326</v>
      </c>
      <c r="B1433" s="386">
        <v>46.86</v>
      </c>
      <c r="C1433" s="24" t="s">
        <v>754</v>
      </c>
      <c r="D1433" s="229" t="s">
        <v>634</v>
      </c>
      <c r="E1433" s="229" t="s">
        <v>1</v>
      </c>
      <c r="F1433" s="229">
        <v>661</v>
      </c>
      <c r="G1433" s="40">
        <f>F1433/457</f>
        <v>1.4463894967177242</v>
      </c>
      <c r="H1433" s="14">
        <v>0</v>
      </c>
      <c r="I1433" s="229">
        <v>0</v>
      </c>
      <c r="J1433" s="229">
        <v>1</v>
      </c>
      <c r="K1433" s="26">
        <v>0</v>
      </c>
      <c r="L1433" s="14">
        <v>0</v>
      </c>
      <c r="M1433" s="229">
        <v>0</v>
      </c>
      <c r="N1433" s="229">
        <v>1</v>
      </c>
      <c r="O1433" s="229">
        <v>0</v>
      </c>
      <c r="P1433" s="26">
        <v>1</v>
      </c>
      <c r="Q1433" s="14">
        <v>0</v>
      </c>
      <c r="R1433" s="229">
        <v>0</v>
      </c>
      <c r="S1433" s="229">
        <v>0</v>
      </c>
      <c r="T1433" s="229">
        <v>0</v>
      </c>
      <c r="U1433" s="229">
        <v>0</v>
      </c>
      <c r="V1433" s="229">
        <v>0</v>
      </c>
      <c r="W1433" s="229">
        <v>0</v>
      </c>
      <c r="X1433" s="229">
        <v>0</v>
      </c>
      <c r="Y1433" s="229">
        <v>0</v>
      </c>
      <c r="Z1433" s="229">
        <v>0</v>
      </c>
      <c r="AA1433" s="229">
        <v>0</v>
      </c>
      <c r="AB1433" s="229">
        <v>0</v>
      </c>
      <c r="AC1433" s="12">
        <v>1</v>
      </c>
      <c r="AD1433" s="14">
        <v>1</v>
      </c>
      <c r="AE1433" s="14">
        <v>0</v>
      </c>
      <c r="AF1433" s="26">
        <v>0</v>
      </c>
      <c r="AG1433" s="12">
        <v>104</v>
      </c>
      <c r="AH1433" s="14">
        <v>1</v>
      </c>
      <c r="AI1433" s="209"/>
      <c r="AJ1433" s="3"/>
      <c r="AK1433" s="3"/>
      <c r="AL1433" s="3"/>
      <c r="AM1433" s="3"/>
      <c r="AN1433" s="3"/>
      <c r="AO1433" s="40"/>
      <c r="AP1433" s="209"/>
      <c r="AQ1433" s="3"/>
      <c r="AR1433" s="40"/>
      <c r="AS1433" s="238"/>
    </row>
    <row r="1434" spans="1:45" s="229" customFormat="1">
      <c r="A1434" s="83" t="s">
        <v>326</v>
      </c>
      <c r="B1434" s="386">
        <v>46.86</v>
      </c>
      <c r="C1434" s="24" t="s">
        <v>754</v>
      </c>
      <c r="D1434" s="229" t="s">
        <v>634</v>
      </c>
      <c r="E1434" s="229" t="s">
        <v>2</v>
      </c>
      <c r="F1434" s="229">
        <v>258</v>
      </c>
      <c r="G1434" s="40">
        <f>F1434/207</f>
        <v>1.2463768115942029</v>
      </c>
      <c r="H1434" s="14">
        <v>1</v>
      </c>
      <c r="I1434" s="229">
        <v>0</v>
      </c>
      <c r="J1434" s="229">
        <v>0</v>
      </c>
      <c r="K1434" s="26">
        <v>0</v>
      </c>
      <c r="L1434" s="14">
        <v>0</v>
      </c>
      <c r="M1434" s="229">
        <v>0</v>
      </c>
      <c r="N1434" s="229">
        <v>1</v>
      </c>
      <c r="O1434" s="229">
        <v>0</v>
      </c>
      <c r="P1434" s="26">
        <v>1</v>
      </c>
      <c r="Q1434" s="14">
        <v>1</v>
      </c>
      <c r="R1434" s="229">
        <v>0</v>
      </c>
      <c r="S1434" s="229">
        <v>15</v>
      </c>
      <c r="T1434" s="229">
        <v>0</v>
      </c>
      <c r="U1434" s="229">
        <v>0</v>
      </c>
      <c r="V1434" s="229">
        <v>0</v>
      </c>
      <c r="W1434" s="229">
        <v>0</v>
      </c>
      <c r="X1434" s="229">
        <v>0</v>
      </c>
      <c r="Y1434" s="229">
        <v>0</v>
      </c>
      <c r="Z1434" s="229">
        <v>0</v>
      </c>
      <c r="AA1434" s="229">
        <v>0</v>
      </c>
      <c r="AB1434" s="229">
        <v>0</v>
      </c>
      <c r="AC1434" s="12">
        <v>1</v>
      </c>
      <c r="AD1434" s="14">
        <v>1</v>
      </c>
      <c r="AE1434" s="14">
        <v>0</v>
      </c>
      <c r="AF1434" s="26">
        <v>0</v>
      </c>
      <c r="AG1434" s="12">
        <v>104</v>
      </c>
      <c r="AH1434" s="14">
        <v>1</v>
      </c>
      <c r="AI1434" s="209"/>
      <c r="AJ1434" s="3"/>
      <c r="AK1434" s="3"/>
      <c r="AL1434" s="3"/>
      <c r="AM1434" s="3"/>
      <c r="AN1434" s="3"/>
      <c r="AO1434" s="40"/>
      <c r="AP1434" s="209"/>
      <c r="AQ1434" s="3"/>
      <c r="AR1434" s="40"/>
      <c r="AS1434" s="238"/>
    </row>
    <row r="1435" spans="1:45" s="229" customFormat="1">
      <c r="A1435" s="83" t="s">
        <v>326</v>
      </c>
      <c r="B1435" s="386">
        <v>46.86</v>
      </c>
      <c r="C1435" s="24" t="s">
        <v>754</v>
      </c>
      <c r="D1435" s="229" t="s">
        <v>625</v>
      </c>
      <c r="F1435" s="229">
        <v>408</v>
      </c>
      <c r="G1435" s="40">
        <f>F1435/239</f>
        <v>1.7071129707112971</v>
      </c>
      <c r="H1435" s="14">
        <v>0</v>
      </c>
      <c r="I1435" s="229">
        <v>0</v>
      </c>
      <c r="J1435" s="229">
        <v>0</v>
      </c>
      <c r="K1435" s="26">
        <v>1</v>
      </c>
      <c r="L1435" s="14">
        <v>0</v>
      </c>
      <c r="M1435" s="229">
        <v>0</v>
      </c>
      <c r="N1435" s="229">
        <v>0</v>
      </c>
      <c r="O1435" s="229">
        <v>0</v>
      </c>
      <c r="P1435" s="26">
        <v>0</v>
      </c>
      <c r="Q1435" s="14">
        <v>0</v>
      </c>
      <c r="R1435" s="229">
        <v>0</v>
      </c>
      <c r="S1435" s="229">
        <v>0</v>
      </c>
      <c r="T1435" s="229">
        <v>0</v>
      </c>
      <c r="U1435" s="229">
        <v>0</v>
      </c>
      <c r="V1435" s="229">
        <v>0</v>
      </c>
      <c r="W1435" s="229">
        <v>0</v>
      </c>
      <c r="X1435" s="229">
        <v>0</v>
      </c>
      <c r="Y1435" s="229">
        <v>0</v>
      </c>
      <c r="Z1435" s="229">
        <v>0</v>
      </c>
      <c r="AA1435" s="229">
        <v>0</v>
      </c>
      <c r="AB1435" s="229">
        <v>0</v>
      </c>
      <c r="AC1435" s="12">
        <v>2</v>
      </c>
      <c r="AD1435" s="14">
        <v>2</v>
      </c>
      <c r="AE1435" s="14">
        <v>178</v>
      </c>
      <c r="AF1435" s="26">
        <v>327</v>
      </c>
      <c r="AG1435" s="12">
        <v>71</v>
      </c>
      <c r="AH1435" s="14">
        <v>1</v>
      </c>
      <c r="AI1435" s="209"/>
      <c r="AJ1435" s="3"/>
      <c r="AK1435" s="3"/>
      <c r="AL1435" s="3"/>
      <c r="AM1435" s="3"/>
      <c r="AN1435" s="3"/>
      <c r="AO1435" s="40"/>
      <c r="AP1435" s="209"/>
      <c r="AQ1435" s="3"/>
      <c r="AR1435" s="40"/>
      <c r="AS1435" s="238"/>
    </row>
    <row r="1436" spans="1:45" s="229" customFormat="1">
      <c r="A1436" s="83" t="s">
        <v>326</v>
      </c>
      <c r="B1436" s="386">
        <v>46.86</v>
      </c>
      <c r="C1436" s="24" t="s">
        <v>754</v>
      </c>
      <c r="D1436" s="229" t="s">
        <v>630</v>
      </c>
      <c r="E1436" s="229" t="s">
        <v>0</v>
      </c>
      <c r="F1436" s="229">
        <v>514</v>
      </c>
      <c r="G1436" s="40">
        <f>F1436/477</f>
        <v>1.0775681341719077</v>
      </c>
      <c r="H1436" s="14">
        <v>0</v>
      </c>
      <c r="I1436" s="229">
        <v>0</v>
      </c>
      <c r="J1436" s="229">
        <v>1</v>
      </c>
      <c r="K1436" s="26">
        <v>1</v>
      </c>
      <c r="L1436" s="14">
        <v>0</v>
      </c>
      <c r="M1436" s="229">
        <v>0</v>
      </c>
      <c r="O1436" s="229">
        <v>0</v>
      </c>
      <c r="P1436" s="26">
        <v>0</v>
      </c>
      <c r="Q1436" s="14">
        <v>1</v>
      </c>
      <c r="R1436" s="229">
        <v>0</v>
      </c>
      <c r="S1436" s="229">
        <v>0</v>
      </c>
      <c r="T1436" s="229">
        <v>0</v>
      </c>
      <c r="U1436" s="229">
        <v>0</v>
      </c>
      <c r="V1436" s="229">
        <v>0</v>
      </c>
      <c r="W1436" s="229">
        <v>15</v>
      </c>
      <c r="X1436" s="229">
        <v>0</v>
      </c>
      <c r="Y1436" s="229">
        <v>0</v>
      </c>
      <c r="Z1436" s="229">
        <v>0</v>
      </c>
      <c r="AA1436" s="229">
        <v>0</v>
      </c>
      <c r="AB1436" s="229">
        <v>1</v>
      </c>
      <c r="AC1436" s="12">
        <v>2</v>
      </c>
      <c r="AD1436" s="14">
        <v>8</v>
      </c>
      <c r="AE1436" s="14">
        <v>48</v>
      </c>
      <c r="AF1436" s="26">
        <v>249</v>
      </c>
      <c r="AG1436" s="12">
        <v>113</v>
      </c>
      <c r="AH1436" s="14">
        <v>1</v>
      </c>
      <c r="AI1436" s="209"/>
      <c r="AJ1436" s="3"/>
      <c r="AK1436" s="3"/>
      <c r="AL1436" s="3"/>
      <c r="AM1436" s="3"/>
      <c r="AN1436" s="3"/>
      <c r="AO1436" s="40"/>
      <c r="AP1436" s="209"/>
      <c r="AQ1436" s="3"/>
      <c r="AR1436" s="40"/>
      <c r="AS1436" s="238"/>
    </row>
    <row r="1437" spans="1:45" s="229" customFormat="1">
      <c r="A1437" s="83" t="s">
        <v>326</v>
      </c>
      <c r="B1437" s="386">
        <v>46.86</v>
      </c>
      <c r="C1437" s="24" t="s">
        <v>754</v>
      </c>
      <c r="D1437" s="229" t="s">
        <v>630</v>
      </c>
      <c r="E1437" s="229" t="s">
        <v>1</v>
      </c>
      <c r="F1437" s="229">
        <v>657</v>
      </c>
      <c r="G1437" s="40">
        <f>F1437/535</f>
        <v>1.2280373831775702</v>
      </c>
      <c r="H1437" s="14">
        <v>0</v>
      </c>
      <c r="I1437" s="229">
        <v>0</v>
      </c>
      <c r="J1437" s="229">
        <v>1</v>
      </c>
      <c r="K1437" s="26">
        <v>0</v>
      </c>
      <c r="L1437" s="14">
        <v>0</v>
      </c>
      <c r="M1437" s="229">
        <v>0</v>
      </c>
      <c r="N1437" s="229">
        <v>0</v>
      </c>
      <c r="O1437" s="229">
        <v>0</v>
      </c>
      <c r="P1437" s="26">
        <v>0</v>
      </c>
      <c r="Q1437" s="14">
        <v>1</v>
      </c>
      <c r="R1437" s="229">
        <v>0</v>
      </c>
      <c r="S1437" s="229">
        <v>24</v>
      </c>
      <c r="T1437" s="229">
        <v>0</v>
      </c>
      <c r="U1437" s="229">
        <v>0</v>
      </c>
      <c r="V1437" s="229">
        <v>0</v>
      </c>
      <c r="W1437" s="229">
        <v>0</v>
      </c>
      <c r="X1437" s="229">
        <v>0</v>
      </c>
      <c r="Y1437" s="229">
        <v>0</v>
      </c>
      <c r="Z1437" s="229">
        <v>0</v>
      </c>
      <c r="AA1437" s="229">
        <v>0</v>
      </c>
      <c r="AB1437" s="229">
        <v>1</v>
      </c>
      <c r="AC1437" s="12">
        <v>1</v>
      </c>
      <c r="AD1437" s="14">
        <v>1</v>
      </c>
      <c r="AE1437" s="14">
        <v>0</v>
      </c>
      <c r="AF1437" s="26">
        <v>0</v>
      </c>
      <c r="AG1437" s="12">
        <v>113</v>
      </c>
      <c r="AH1437" s="14">
        <v>0</v>
      </c>
      <c r="AI1437" s="209"/>
      <c r="AJ1437" s="3"/>
      <c r="AK1437" s="3"/>
      <c r="AL1437" s="3"/>
      <c r="AM1437" s="3"/>
      <c r="AN1437" s="3"/>
      <c r="AO1437" s="40"/>
      <c r="AP1437" s="209"/>
      <c r="AQ1437" s="3"/>
      <c r="AR1437" s="40"/>
      <c r="AS1437" s="238"/>
    </row>
    <row r="1438" spans="1:45" s="229" customFormat="1">
      <c r="A1438" s="83" t="s">
        <v>326</v>
      </c>
      <c r="B1438" s="386">
        <v>46.86</v>
      </c>
      <c r="C1438" s="24" t="s">
        <v>754</v>
      </c>
      <c r="D1438" s="229" t="s">
        <v>637</v>
      </c>
      <c r="F1438" s="229">
        <v>695</v>
      </c>
      <c r="G1438" s="40">
        <f>F1438/469</f>
        <v>1.4818763326226012</v>
      </c>
      <c r="H1438" s="14">
        <v>1</v>
      </c>
      <c r="I1438" s="229">
        <v>0</v>
      </c>
      <c r="J1438" s="229">
        <v>0</v>
      </c>
      <c r="K1438" s="26">
        <v>0</v>
      </c>
      <c r="L1438" s="14">
        <v>0</v>
      </c>
      <c r="M1438" s="229">
        <v>0</v>
      </c>
      <c r="N1438" s="229">
        <v>1</v>
      </c>
      <c r="O1438" s="229">
        <v>0</v>
      </c>
      <c r="P1438" s="26">
        <v>1</v>
      </c>
      <c r="Q1438" s="14">
        <v>5</v>
      </c>
      <c r="R1438" s="229">
        <v>0</v>
      </c>
      <c r="S1438" s="229">
        <v>71</v>
      </c>
      <c r="T1438" s="229">
        <v>0</v>
      </c>
      <c r="U1438" s="229">
        <v>0</v>
      </c>
      <c r="V1438" s="229">
        <v>12</v>
      </c>
      <c r="W1438" s="229">
        <v>68</v>
      </c>
      <c r="X1438" s="229">
        <v>0</v>
      </c>
      <c r="Y1438" s="229">
        <v>0</v>
      </c>
      <c r="Z1438" s="229">
        <v>0</v>
      </c>
      <c r="AA1438" s="229">
        <v>0</v>
      </c>
      <c r="AB1438" s="229">
        <v>1</v>
      </c>
      <c r="AC1438" s="12">
        <v>1</v>
      </c>
      <c r="AD1438" s="14">
        <v>1</v>
      </c>
      <c r="AE1438" s="14">
        <v>0</v>
      </c>
      <c r="AF1438" s="26">
        <v>0</v>
      </c>
      <c r="AG1438" s="12">
        <v>102</v>
      </c>
      <c r="AH1438" s="14">
        <v>0</v>
      </c>
      <c r="AI1438" s="209">
        <v>87.561117289817929</v>
      </c>
      <c r="AJ1438" s="3"/>
      <c r="AK1438" s="3"/>
      <c r="AL1438" s="3"/>
      <c r="AM1438" s="3"/>
      <c r="AN1438" s="3"/>
      <c r="AO1438" s="40"/>
      <c r="AP1438" s="209">
        <v>86.732331218928962</v>
      </c>
      <c r="AQ1438" s="3"/>
      <c r="AR1438" s="40"/>
      <c r="AS1438" s="238"/>
    </row>
    <row r="1439" spans="1:45" s="229" customFormat="1">
      <c r="A1439" s="83" t="s">
        <v>326</v>
      </c>
      <c r="B1439" s="386">
        <v>46.86</v>
      </c>
      <c r="C1439" s="24" t="s">
        <v>754</v>
      </c>
      <c r="D1439" s="229" t="s">
        <v>639</v>
      </c>
      <c r="F1439" s="229">
        <v>538</v>
      </c>
      <c r="G1439" s="40">
        <f>F1439/389</f>
        <v>1.3830334190231361</v>
      </c>
      <c r="H1439" s="14">
        <v>0</v>
      </c>
      <c r="I1439" s="229">
        <v>0</v>
      </c>
      <c r="J1439" s="229">
        <v>1</v>
      </c>
      <c r="K1439" s="26">
        <v>0</v>
      </c>
      <c r="L1439" s="14">
        <v>0</v>
      </c>
      <c r="M1439" s="229">
        <v>0</v>
      </c>
      <c r="N1439" s="229">
        <v>1</v>
      </c>
      <c r="O1439" s="229">
        <v>0</v>
      </c>
      <c r="P1439" s="26">
        <v>1</v>
      </c>
      <c r="Q1439" s="14">
        <v>0</v>
      </c>
      <c r="R1439" s="229">
        <v>0</v>
      </c>
      <c r="S1439" s="229">
        <v>0</v>
      </c>
      <c r="T1439" s="229">
        <v>0</v>
      </c>
      <c r="U1439" s="229">
        <v>0</v>
      </c>
      <c r="V1439" s="229">
        <v>0</v>
      </c>
      <c r="W1439" s="229">
        <v>0</v>
      </c>
      <c r="X1439" s="229">
        <v>0</v>
      </c>
      <c r="Y1439" s="229">
        <v>0</v>
      </c>
      <c r="Z1439" s="229">
        <v>0</v>
      </c>
      <c r="AA1439" s="229">
        <v>0</v>
      </c>
      <c r="AB1439" s="229">
        <v>0</v>
      </c>
      <c r="AC1439" s="12">
        <v>1</v>
      </c>
      <c r="AD1439" s="14">
        <v>1</v>
      </c>
      <c r="AE1439" s="14">
        <v>0</v>
      </c>
      <c r="AF1439" s="26">
        <v>0</v>
      </c>
      <c r="AG1439" s="12">
        <v>155</v>
      </c>
      <c r="AH1439" s="14">
        <v>1</v>
      </c>
      <c r="AI1439" s="209"/>
      <c r="AJ1439" s="3"/>
      <c r="AK1439" s="3"/>
      <c r="AL1439" s="3"/>
      <c r="AM1439" s="3"/>
      <c r="AN1439" s="3"/>
      <c r="AO1439" s="40"/>
      <c r="AP1439" s="209">
        <v>86.938806599533308</v>
      </c>
      <c r="AQ1439" s="3"/>
      <c r="AR1439" s="40"/>
      <c r="AS1439" s="238"/>
    </row>
    <row r="1440" spans="1:45" s="229" customFormat="1">
      <c r="A1440" s="83" t="s">
        <v>326</v>
      </c>
      <c r="B1440" s="386">
        <v>46.86</v>
      </c>
      <c r="C1440" s="24" t="s">
        <v>754</v>
      </c>
      <c r="D1440" s="229" t="s">
        <v>647</v>
      </c>
      <c r="F1440" s="229">
        <v>938</v>
      </c>
      <c r="G1440" s="40">
        <f>F1440/634</f>
        <v>1.4794952681388012</v>
      </c>
      <c r="H1440" s="14">
        <v>0</v>
      </c>
      <c r="I1440" s="229">
        <v>0</v>
      </c>
      <c r="J1440" s="229">
        <v>1</v>
      </c>
      <c r="K1440" s="26">
        <v>0</v>
      </c>
      <c r="L1440" s="14">
        <v>0</v>
      </c>
      <c r="M1440" s="229">
        <v>0</v>
      </c>
      <c r="N1440" s="229">
        <v>0</v>
      </c>
      <c r="O1440" s="229">
        <v>0</v>
      </c>
      <c r="P1440" s="26">
        <v>0</v>
      </c>
      <c r="Q1440" s="14">
        <v>0</v>
      </c>
      <c r="R1440" s="229">
        <v>0</v>
      </c>
      <c r="S1440" s="229">
        <v>0</v>
      </c>
      <c r="T1440" s="229">
        <v>0</v>
      </c>
      <c r="U1440" s="229">
        <v>0</v>
      </c>
      <c r="V1440" s="229">
        <v>0</v>
      </c>
      <c r="W1440" s="229">
        <v>0</v>
      </c>
      <c r="X1440" s="229">
        <v>0</v>
      </c>
      <c r="Y1440" s="229">
        <v>0</v>
      </c>
      <c r="Z1440" s="229">
        <v>0</v>
      </c>
      <c r="AA1440" s="229">
        <v>0</v>
      </c>
      <c r="AB1440" s="229">
        <v>0</v>
      </c>
      <c r="AC1440" s="12">
        <v>1</v>
      </c>
      <c r="AD1440" s="14">
        <v>1</v>
      </c>
      <c r="AE1440" s="14">
        <v>0</v>
      </c>
      <c r="AF1440" s="26">
        <v>0</v>
      </c>
      <c r="AG1440" s="12">
        <v>98</v>
      </c>
      <c r="AH1440" s="14">
        <v>1</v>
      </c>
      <c r="AI1440" s="209"/>
      <c r="AJ1440" s="3"/>
      <c r="AK1440" s="3"/>
      <c r="AL1440" s="3"/>
      <c r="AM1440" s="3"/>
      <c r="AN1440" s="3"/>
      <c r="AO1440" s="40"/>
      <c r="AP1440" s="209"/>
      <c r="AQ1440" s="3"/>
      <c r="AR1440" s="40"/>
      <c r="AS1440" s="238"/>
    </row>
    <row r="1441" spans="1:45" s="229" customFormat="1">
      <c r="A1441" s="83" t="s">
        <v>326</v>
      </c>
      <c r="B1441" s="386">
        <v>46.86</v>
      </c>
      <c r="C1441" s="24" t="s">
        <v>754</v>
      </c>
      <c r="D1441" s="229" t="s">
        <v>648</v>
      </c>
      <c r="F1441" s="229">
        <v>1331</v>
      </c>
      <c r="G1441" s="40">
        <f>F1441/806</f>
        <v>1.6513647642679901</v>
      </c>
      <c r="H1441" s="14">
        <v>0</v>
      </c>
      <c r="I1441" s="229">
        <v>0</v>
      </c>
      <c r="J1441" s="229">
        <v>1</v>
      </c>
      <c r="K1441" s="26">
        <v>1</v>
      </c>
      <c r="L1441" s="14">
        <v>0</v>
      </c>
      <c r="M1441" s="229">
        <v>0</v>
      </c>
      <c r="N1441" s="229">
        <v>0</v>
      </c>
      <c r="O1441" s="229">
        <v>0</v>
      </c>
      <c r="P1441" s="26">
        <v>0</v>
      </c>
      <c r="Q1441" s="14">
        <v>1</v>
      </c>
      <c r="R1441" s="229">
        <v>0</v>
      </c>
      <c r="S1441" s="229">
        <v>0</v>
      </c>
      <c r="T1441" s="229">
        <v>0</v>
      </c>
      <c r="U1441" s="229">
        <v>0</v>
      </c>
      <c r="V1441" s="229">
        <v>48</v>
      </c>
      <c r="W1441" s="229">
        <v>97</v>
      </c>
      <c r="X1441" s="229">
        <v>0</v>
      </c>
      <c r="Y1441" s="229">
        <v>0</v>
      </c>
      <c r="Z1441" s="229">
        <v>0</v>
      </c>
      <c r="AA1441" s="229">
        <v>0</v>
      </c>
      <c r="AB1441" s="229">
        <v>0</v>
      </c>
      <c r="AC1441" s="12">
        <v>2</v>
      </c>
      <c r="AD1441" s="14">
        <v>3</v>
      </c>
      <c r="AE1441" s="14">
        <v>130</v>
      </c>
      <c r="AF1441" s="26">
        <v>1331</v>
      </c>
      <c r="AG1441" s="12">
        <v>148</v>
      </c>
      <c r="AH1441" s="14">
        <v>1</v>
      </c>
      <c r="AI1441" s="209">
        <v>87.059257092959101</v>
      </c>
      <c r="AJ1441" s="3"/>
      <c r="AK1441" s="3"/>
      <c r="AL1441" s="3"/>
      <c r="AM1441" s="3"/>
      <c r="AN1441" s="3"/>
      <c r="AO1441" s="40"/>
      <c r="AP1441" s="209">
        <v>87.127750727616842</v>
      </c>
      <c r="AQ1441" s="3"/>
      <c r="AR1441" s="40"/>
      <c r="AS1441" s="238"/>
    </row>
    <row r="1442" spans="1:45" s="229" customFormat="1">
      <c r="A1442" s="83" t="s">
        <v>326</v>
      </c>
      <c r="B1442" s="386">
        <v>46.86</v>
      </c>
      <c r="C1442" s="24" t="s">
        <v>754</v>
      </c>
      <c r="D1442" s="229" t="s">
        <v>649</v>
      </c>
      <c r="E1442" s="229" t="s">
        <v>0</v>
      </c>
      <c r="F1442" s="229">
        <v>302</v>
      </c>
      <c r="G1442" s="40">
        <f>F1442/209</f>
        <v>1.4449760765550239</v>
      </c>
      <c r="H1442" s="14">
        <v>0</v>
      </c>
      <c r="I1442" s="229">
        <v>0</v>
      </c>
      <c r="J1442" s="229">
        <v>0</v>
      </c>
      <c r="K1442" s="26">
        <v>1</v>
      </c>
      <c r="L1442" s="14">
        <v>0</v>
      </c>
      <c r="M1442" s="229">
        <v>0</v>
      </c>
      <c r="N1442" s="229">
        <v>0</v>
      </c>
      <c r="O1442" s="229">
        <v>0</v>
      </c>
      <c r="P1442" s="26">
        <v>0</v>
      </c>
      <c r="Q1442" s="14">
        <v>3</v>
      </c>
      <c r="R1442" s="229">
        <v>0</v>
      </c>
      <c r="S1442" s="229">
        <v>0</v>
      </c>
      <c r="T1442" s="229">
        <v>0</v>
      </c>
      <c r="U1442" s="229">
        <v>0</v>
      </c>
      <c r="V1442" s="229">
        <v>10</v>
      </c>
      <c r="W1442" s="229">
        <v>20</v>
      </c>
      <c r="X1442" s="229">
        <v>0</v>
      </c>
      <c r="Y1442" s="229">
        <v>0</v>
      </c>
      <c r="Z1442" s="229">
        <v>0</v>
      </c>
      <c r="AA1442" s="229">
        <v>0</v>
      </c>
      <c r="AB1442" s="229">
        <v>1</v>
      </c>
      <c r="AC1442" s="12">
        <v>1</v>
      </c>
      <c r="AD1442" s="14">
        <v>1</v>
      </c>
      <c r="AE1442" s="14">
        <v>0</v>
      </c>
      <c r="AF1442" s="26">
        <v>0</v>
      </c>
      <c r="AG1442" s="12">
        <v>116</v>
      </c>
      <c r="AH1442" s="14">
        <v>1</v>
      </c>
      <c r="AI1442" s="209"/>
      <c r="AJ1442" s="3"/>
      <c r="AK1442" s="3"/>
      <c r="AL1442" s="3"/>
      <c r="AM1442" s="3"/>
      <c r="AN1442" s="3"/>
      <c r="AO1442" s="40"/>
      <c r="AP1442" s="209"/>
      <c r="AQ1442" s="3"/>
      <c r="AR1442" s="40"/>
      <c r="AS1442" s="238"/>
    </row>
    <row r="1443" spans="1:45" s="229" customFormat="1">
      <c r="A1443" s="83" t="s">
        <v>326</v>
      </c>
      <c r="B1443" s="386">
        <v>46.86</v>
      </c>
      <c r="C1443" s="24" t="s">
        <v>754</v>
      </c>
      <c r="D1443" s="229" t="s">
        <v>649</v>
      </c>
      <c r="E1443" s="229" t="s">
        <v>1</v>
      </c>
      <c r="F1443" s="229">
        <v>772</v>
      </c>
      <c r="G1443" s="40">
        <f>F1443/612</f>
        <v>1.261437908496732</v>
      </c>
      <c r="H1443" s="14">
        <v>0</v>
      </c>
      <c r="I1443" s="229">
        <v>0</v>
      </c>
      <c r="J1443" s="229">
        <v>1</v>
      </c>
      <c r="K1443" s="26">
        <v>0</v>
      </c>
      <c r="L1443" s="14">
        <v>0</v>
      </c>
      <c r="M1443" s="229">
        <v>0</v>
      </c>
      <c r="N1443" s="229">
        <v>0</v>
      </c>
      <c r="O1443" s="229">
        <v>0</v>
      </c>
      <c r="P1443" s="26">
        <v>0</v>
      </c>
      <c r="Q1443" s="14">
        <v>5</v>
      </c>
      <c r="R1443" s="229">
        <v>0</v>
      </c>
      <c r="S1443" s="229">
        <v>36</v>
      </c>
      <c r="T1443" s="229">
        <v>0</v>
      </c>
      <c r="U1443" s="229">
        <v>0</v>
      </c>
      <c r="V1443" s="229">
        <v>18</v>
      </c>
      <c r="W1443" s="229">
        <v>106</v>
      </c>
      <c r="X1443" s="229">
        <v>0</v>
      </c>
      <c r="Y1443" s="229">
        <v>0</v>
      </c>
      <c r="Z1443" s="229">
        <v>0</v>
      </c>
      <c r="AA1443" s="229">
        <v>0</v>
      </c>
      <c r="AB1443" s="229">
        <v>1</v>
      </c>
      <c r="AC1443" s="12">
        <v>1</v>
      </c>
      <c r="AD1443" s="14">
        <v>1</v>
      </c>
      <c r="AE1443" s="14">
        <v>0</v>
      </c>
      <c r="AF1443" s="26">
        <v>0</v>
      </c>
      <c r="AG1443" s="12">
        <v>116</v>
      </c>
      <c r="AH1443" s="14">
        <v>1</v>
      </c>
      <c r="AI1443" s="209"/>
      <c r="AJ1443" s="3"/>
      <c r="AK1443" s="3"/>
      <c r="AL1443" s="3"/>
      <c r="AM1443" s="3"/>
      <c r="AN1443" s="3"/>
      <c r="AO1443" s="40"/>
      <c r="AP1443" s="209"/>
      <c r="AQ1443" s="3"/>
      <c r="AR1443" s="40"/>
      <c r="AS1443" s="238"/>
    </row>
    <row r="1444" spans="1:45" s="229" customFormat="1">
      <c r="A1444" s="83" t="s">
        <v>326</v>
      </c>
      <c r="B1444" s="386">
        <v>46.86</v>
      </c>
      <c r="C1444" s="24" t="s">
        <v>754</v>
      </c>
      <c r="D1444" s="229" t="s">
        <v>649</v>
      </c>
      <c r="E1444" s="229" t="s">
        <v>2</v>
      </c>
      <c r="F1444" s="229">
        <v>556</v>
      </c>
      <c r="G1444" s="40">
        <f>F1444/263</f>
        <v>2.1140684410646386</v>
      </c>
      <c r="H1444" s="14">
        <v>0</v>
      </c>
      <c r="I1444" s="229">
        <v>0</v>
      </c>
      <c r="J1444" s="229">
        <v>0</v>
      </c>
      <c r="K1444" s="26">
        <v>1</v>
      </c>
      <c r="L1444" s="14">
        <v>0</v>
      </c>
      <c r="M1444" s="229">
        <v>0</v>
      </c>
      <c r="N1444" s="229">
        <v>0</v>
      </c>
      <c r="O1444" s="229">
        <v>0</v>
      </c>
      <c r="P1444" s="26">
        <v>0</v>
      </c>
      <c r="Q1444" s="14">
        <v>0</v>
      </c>
      <c r="R1444" s="229">
        <v>0</v>
      </c>
      <c r="S1444" s="229">
        <v>0</v>
      </c>
      <c r="T1444" s="229">
        <v>0</v>
      </c>
      <c r="U1444" s="229">
        <v>0</v>
      </c>
      <c r="V1444" s="229">
        <v>0</v>
      </c>
      <c r="W1444" s="229">
        <v>0</v>
      </c>
      <c r="X1444" s="229">
        <v>0</v>
      </c>
      <c r="Y1444" s="229">
        <v>0</v>
      </c>
      <c r="Z1444" s="229">
        <v>0</v>
      </c>
      <c r="AA1444" s="229">
        <v>0</v>
      </c>
      <c r="AB1444" s="229">
        <v>0</v>
      </c>
      <c r="AC1444" s="12">
        <v>2</v>
      </c>
      <c r="AD1444" s="14">
        <v>2</v>
      </c>
      <c r="AE1444" s="14">
        <v>239</v>
      </c>
      <c r="AF1444" s="26">
        <v>412</v>
      </c>
      <c r="AG1444" s="12">
        <v>116</v>
      </c>
      <c r="AH1444" s="14">
        <v>1</v>
      </c>
      <c r="AI1444" s="209"/>
      <c r="AJ1444" s="3"/>
      <c r="AK1444" s="3"/>
      <c r="AL1444" s="3"/>
      <c r="AM1444" s="3"/>
      <c r="AN1444" s="3"/>
      <c r="AO1444" s="40"/>
      <c r="AP1444" s="209"/>
      <c r="AQ1444" s="3"/>
      <c r="AR1444" s="40"/>
      <c r="AS1444" s="238"/>
    </row>
    <row r="1445" spans="1:45" s="229" customFormat="1">
      <c r="A1445" s="83" t="s">
        <v>326</v>
      </c>
      <c r="B1445" s="386">
        <v>46.86</v>
      </c>
      <c r="C1445" s="24" t="s">
        <v>754</v>
      </c>
      <c r="D1445" s="229" t="s">
        <v>672</v>
      </c>
      <c r="E1445" s="229" t="s">
        <v>0</v>
      </c>
      <c r="F1445" s="229">
        <v>457</v>
      </c>
      <c r="G1445" s="40">
        <f>F1445/300</f>
        <v>1.5233333333333334</v>
      </c>
      <c r="H1445" s="14">
        <v>0</v>
      </c>
      <c r="I1445" s="229">
        <v>0</v>
      </c>
      <c r="J1445" s="229">
        <v>0</v>
      </c>
      <c r="K1445" s="26">
        <v>1</v>
      </c>
      <c r="L1445" s="14">
        <v>0</v>
      </c>
      <c r="M1445" s="229">
        <v>0</v>
      </c>
      <c r="N1445" s="229">
        <v>0</v>
      </c>
      <c r="O1445" s="229">
        <v>0</v>
      </c>
      <c r="P1445" s="26">
        <v>0</v>
      </c>
      <c r="Q1445" s="14">
        <v>0</v>
      </c>
      <c r="R1445" s="229">
        <v>0</v>
      </c>
      <c r="S1445" s="229">
        <v>0</v>
      </c>
      <c r="T1445" s="229">
        <v>0</v>
      </c>
      <c r="U1445" s="229">
        <v>0</v>
      </c>
      <c r="V1445" s="229">
        <v>0</v>
      </c>
      <c r="W1445" s="229">
        <v>0</v>
      </c>
      <c r="X1445" s="229">
        <v>0</v>
      </c>
      <c r="Y1445" s="229">
        <v>0</v>
      </c>
      <c r="Z1445" s="229">
        <v>0</v>
      </c>
      <c r="AA1445" s="229">
        <v>0</v>
      </c>
      <c r="AB1445" s="229">
        <v>0</v>
      </c>
      <c r="AC1445" s="12">
        <v>2</v>
      </c>
      <c r="AD1445" s="14">
        <v>8</v>
      </c>
      <c r="AE1445" s="14">
        <v>21</v>
      </c>
      <c r="AF1445" s="26">
        <v>299</v>
      </c>
      <c r="AG1445" s="12">
        <v>90</v>
      </c>
      <c r="AH1445" s="14">
        <v>1</v>
      </c>
      <c r="AI1445" s="209">
        <v>87.072889872413327</v>
      </c>
      <c r="AJ1445" s="3"/>
      <c r="AK1445" s="3"/>
      <c r="AL1445" s="3"/>
      <c r="AM1445" s="3"/>
      <c r="AN1445" s="3"/>
      <c r="AO1445" s="40"/>
      <c r="AP1445" s="209"/>
      <c r="AQ1445" s="3"/>
      <c r="AR1445" s="40"/>
      <c r="AS1445" s="238"/>
    </row>
    <row r="1446" spans="1:45" s="229" customFormat="1">
      <c r="A1446" s="83" t="s">
        <v>326</v>
      </c>
      <c r="B1446" s="386">
        <v>46.86</v>
      </c>
      <c r="C1446" s="24" t="s">
        <v>754</v>
      </c>
      <c r="D1446" s="229" t="s">
        <v>672</v>
      </c>
      <c r="E1446" s="229" t="s">
        <v>1</v>
      </c>
      <c r="F1446" s="229">
        <v>872</v>
      </c>
      <c r="G1446" s="40">
        <f>F1446/849</f>
        <v>1.0270906949352179</v>
      </c>
      <c r="H1446" s="14">
        <v>0</v>
      </c>
      <c r="I1446" s="229">
        <v>0</v>
      </c>
      <c r="J1446" s="229">
        <v>0</v>
      </c>
      <c r="K1446" s="26">
        <v>1</v>
      </c>
      <c r="L1446" s="14">
        <v>0</v>
      </c>
      <c r="M1446" s="229">
        <v>0</v>
      </c>
      <c r="N1446" s="229">
        <v>1</v>
      </c>
      <c r="O1446" s="229">
        <v>0</v>
      </c>
      <c r="P1446" s="26">
        <v>1</v>
      </c>
      <c r="Q1446" s="14">
        <v>1</v>
      </c>
      <c r="R1446" s="229">
        <v>0</v>
      </c>
      <c r="S1446" s="229">
        <v>0</v>
      </c>
      <c r="T1446" s="229">
        <v>0</v>
      </c>
      <c r="U1446" s="229">
        <v>0</v>
      </c>
      <c r="V1446" s="229">
        <v>0</v>
      </c>
      <c r="W1446" s="229">
        <v>33</v>
      </c>
      <c r="X1446" s="229">
        <v>0</v>
      </c>
      <c r="Y1446" s="229">
        <v>0</v>
      </c>
      <c r="Z1446" s="229">
        <v>0</v>
      </c>
      <c r="AA1446" s="229">
        <v>0</v>
      </c>
      <c r="AB1446" s="229">
        <v>1</v>
      </c>
      <c r="AC1446" s="12">
        <v>2</v>
      </c>
      <c r="AD1446" s="14">
        <v>2</v>
      </c>
      <c r="AE1446" s="14">
        <v>729</v>
      </c>
      <c r="AF1446" s="26">
        <v>872</v>
      </c>
      <c r="AG1446" s="12">
        <v>90</v>
      </c>
      <c r="AH1446" s="14">
        <v>1</v>
      </c>
      <c r="AI1446" s="209">
        <v>86.927011353893732</v>
      </c>
      <c r="AJ1446" s="3">
        <v>87.420310141816941</v>
      </c>
      <c r="AK1446" s="3"/>
      <c r="AL1446" s="3"/>
      <c r="AM1446" s="3"/>
      <c r="AN1446" s="3"/>
      <c r="AO1446" s="40"/>
      <c r="AP1446" s="209">
        <v>86.986578407066929</v>
      </c>
      <c r="AQ1446" s="3"/>
      <c r="AR1446" s="40"/>
      <c r="AS1446" s="238"/>
    </row>
    <row r="1447" spans="1:45" s="229" customFormat="1">
      <c r="A1447" s="83" t="s">
        <v>326</v>
      </c>
      <c r="B1447" s="386">
        <v>46.86</v>
      </c>
      <c r="C1447" s="24" t="s">
        <v>754</v>
      </c>
      <c r="D1447" s="229" t="s">
        <v>674</v>
      </c>
      <c r="F1447" s="229">
        <v>839</v>
      </c>
      <c r="G1447" s="40">
        <f>F1447/706</f>
        <v>1.1883852691218131</v>
      </c>
      <c r="H1447" s="14">
        <v>0</v>
      </c>
      <c r="I1447" s="229">
        <v>0</v>
      </c>
      <c r="J1447" s="229">
        <v>1</v>
      </c>
      <c r="K1447" s="26">
        <v>0</v>
      </c>
      <c r="L1447" s="14">
        <v>0</v>
      </c>
      <c r="M1447" s="229">
        <v>0</v>
      </c>
      <c r="N1447" s="229">
        <v>0</v>
      </c>
      <c r="O1447" s="229">
        <v>0</v>
      </c>
      <c r="P1447" s="26">
        <v>0</v>
      </c>
      <c r="Q1447" s="14">
        <v>1</v>
      </c>
      <c r="R1447" s="229">
        <v>0</v>
      </c>
      <c r="S1447" s="229">
        <v>0</v>
      </c>
      <c r="T1447" s="229">
        <v>0</v>
      </c>
      <c r="U1447" s="229">
        <v>0</v>
      </c>
      <c r="V1447" s="229">
        <v>24</v>
      </c>
      <c r="W1447" s="229">
        <v>62</v>
      </c>
      <c r="X1447" s="229">
        <v>0</v>
      </c>
      <c r="Y1447" s="229">
        <v>0</v>
      </c>
      <c r="Z1447" s="229">
        <v>0</v>
      </c>
      <c r="AA1447" s="229">
        <v>202</v>
      </c>
      <c r="AB1447" s="229">
        <v>0</v>
      </c>
      <c r="AC1447" s="12">
        <v>1</v>
      </c>
      <c r="AD1447" s="14">
        <v>1</v>
      </c>
      <c r="AE1447" s="14">
        <v>0</v>
      </c>
      <c r="AF1447" s="26">
        <v>0</v>
      </c>
      <c r="AG1447" s="12">
        <v>87</v>
      </c>
      <c r="AH1447" s="14">
        <v>1</v>
      </c>
      <c r="AI1447" s="209">
        <v>87.414198480819394</v>
      </c>
      <c r="AJ1447" s="3"/>
      <c r="AK1447" s="3"/>
      <c r="AL1447" s="3"/>
      <c r="AM1447" s="3"/>
      <c r="AN1447" s="3"/>
      <c r="AO1447" s="40"/>
      <c r="AP1447" s="209">
        <v>86.20039065553047</v>
      </c>
      <c r="AQ1447" s="3"/>
      <c r="AR1447" s="40"/>
      <c r="AS1447" s="238"/>
    </row>
    <row r="1448" spans="1:45" s="229" customFormat="1">
      <c r="A1448" s="83" t="s">
        <v>326</v>
      </c>
      <c r="B1448" s="386">
        <v>46.86</v>
      </c>
      <c r="C1448" s="24" t="s">
        <v>754</v>
      </c>
      <c r="D1448" s="229" t="s">
        <v>675</v>
      </c>
      <c r="E1448" s="229" t="s">
        <v>0</v>
      </c>
      <c r="F1448" s="229">
        <v>216</v>
      </c>
      <c r="G1448" s="40">
        <f>F1448/132</f>
        <v>1.6363636363636365</v>
      </c>
      <c r="H1448" s="14">
        <v>0</v>
      </c>
      <c r="I1448" s="229">
        <v>0</v>
      </c>
      <c r="J1448" s="229">
        <v>0</v>
      </c>
      <c r="K1448" s="26">
        <v>1</v>
      </c>
      <c r="L1448" s="14">
        <v>0</v>
      </c>
      <c r="M1448" s="229">
        <v>0</v>
      </c>
      <c r="N1448" s="229">
        <v>0</v>
      </c>
      <c r="O1448" s="229">
        <v>0</v>
      </c>
      <c r="P1448" s="26">
        <v>0</v>
      </c>
      <c r="Q1448" s="14">
        <v>1</v>
      </c>
      <c r="R1448" s="229">
        <v>0</v>
      </c>
      <c r="S1448" s="229">
        <v>0</v>
      </c>
      <c r="T1448" s="229">
        <v>0</v>
      </c>
      <c r="U1448" s="229">
        <v>0</v>
      </c>
      <c r="V1448" s="229">
        <v>0</v>
      </c>
      <c r="W1448" s="229">
        <v>8</v>
      </c>
      <c r="X1448" s="229">
        <v>0</v>
      </c>
      <c r="Y1448" s="229">
        <v>0</v>
      </c>
      <c r="Z1448" s="229">
        <v>0</v>
      </c>
      <c r="AA1448" s="229">
        <v>0</v>
      </c>
      <c r="AB1448" s="229">
        <v>1</v>
      </c>
      <c r="AC1448" s="12">
        <v>2</v>
      </c>
      <c r="AD1448" s="14">
        <v>5</v>
      </c>
      <c r="AE1448" s="14">
        <v>61</v>
      </c>
      <c r="AF1448" s="26">
        <v>102</v>
      </c>
      <c r="AG1448" s="12">
        <v>104</v>
      </c>
      <c r="AH1448" s="14">
        <v>0</v>
      </c>
      <c r="AI1448" s="209"/>
      <c r="AJ1448" s="3"/>
      <c r="AK1448" s="3"/>
      <c r="AL1448" s="3"/>
      <c r="AM1448" s="3"/>
      <c r="AN1448" s="3"/>
      <c r="AO1448" s="40"/>
      <c r="AP1448" s="209"/>
      <c r="AQ1448" s="3"/>
      <c r="AR1448" s="40"/>
      <c r="AS1448" s="238"/>
    </row>
    <row r="1449" spans="1:45" s="229" customFormat="1">
      <c r="A1449" s="83" t="s">
        <v>326</v>
      </c>
      <c r="B1449" s="386">
        <v>46.86</v>
      </c>
      <c r="C1449" s="24" t="s">
        <v>754</v>
      </c>
      <c r="D1449" s="229" t="s">
        <v>675</v>
      </c>
      <c r="E1449" s="229" t="s">
        <v>1</v>
      </c>
      <c r="F1449" s="229">
        <v>490</v>
      </c>
      <c r="G1449" s="40">
        <f>F1449/372</f>
        <v>1.3172043010752688</v>
      </c>
      <c r="H1449" s="14">
        <v>0</v>
      </c>
      <c r="I1449" s="229">
        <v>0</v>
      </c>
      <c r="J1449" s="229">
        <v>1</v>
      </c>
      <c r="K1449" s="26">
        <v>1</v>
      </c>
      <c r="L1449" s="14">
        <v>0</v>
      </c>
      <c r="M1449" s="229">
        <v>0</v>
      </c>
      <c r="N1449" s="229">
        <v>0</v>
      </c>
      <c r="O1449" s="229">
        <v>0</v>
      </c>
      <c r="P1449" s="26">
        <v>0</v>
      </c>
      <c r="Q1449" s="14">
        <v>0</v>
      </c>
      <c r="R1449" s="229">
        <v>0</v>
      </c>
      <c r="S1449" s="229">
        <v>0</v>
      </c>
      <c r="T1449" s="229">
        <v>0</v>
      </c>
      <c r="U1449" s="229">
        <v>0</v>
      </c>
      <c r="V1449" s="229">
        <v>0</v>
      </c>
      <c r="W1449" s="229">
        <v>0</v>
      </c>
      <c r="X1449" s="229">
        <v>0</v>
      </c>
      <c r="Y1449" s="229">
        <v>0</v>
      </c>
      <c r="Z1449" s="229">
        <v>0</v>
      </c>
      <c r="AA1449" s="229">
        <v>0</v>
      </c>
      <c r="AB1449" s="229">
        <v>0</v>
      </c>
      <c r="AC1449" s="12">
        <v>2</v>
      </c>
      <c r="AD1449" s="14">
        <v>4</v>
      </c>
      <c r="AE1449" s="14">
        <v>101</v>
      </c>
      <c r="AF1449" s="26">
        <v>187</v>
      </c>
      <c r="AG1449" s="12">
        <v>104</v>
      </c>
      <c r="AH1449" s="14">
        <v>1</v>
      </c>
      <c r="AI1449" s="209"/>
      <c r="AJ1449" s="3"/>
      <c r="AK1449" s="3"/>
      <c r="AL1449" s="3"/>
      <c r="AM1449" s="3"/>
      <c r="AN1449" s="3"/>
      <c r="AO1449" s="40"/>
      <c r="AP1449" s="209"/>
      <c r="AQ1449" s="3"/>
      <c r="AR1449" s="40"/>
      <c r="AS1449" s="238"/>
    </row>
    <row r="1450" spans="1:45" s="229" customFormat="1">
      <c r="A1450" s="83" t="s">
        <v>326</v>
      </c>
      <c r="B1450" s="386">
        <v>46.86</v>
      </c>
      <c r="C1450" s="24" t="s">
        <v>754</v>
      </c>
      <c r="D1450" s="229" t="s">
        <v>675</v>
      </c>
      <c r="E1450" s="229" t="s">
        <v>2</v>
      </c>
      <c r="F1450" s="229">
        <v>528</v>
      </c>
      <c r="G1450" s="40">
        <f>F1450/460</f>
        <v>1.1478260869565218</v>
      </c>
      <c r="H1450" s="14">
        <v>0</v>
      </c>
      <c r="I1450" s="229">
        <v>0</v>
      </c>
      <c r="J1450" s="229">
        <v>0</v>
      </c>
      <c r="K1450" s="26">
        <v>1</v>
      </c>
      <c r="L1450" s="14">
        <v>0</v>
      </c>
      <c r="M1450" s="229">
        <v>0</v>
      </c>
      <c r="N1450" s="229">
        <v>1</v>
      </c>
      <c r="O1450" s="229">
        <v>0</v>
      </c>
      <c r="P1450" s="26">
        <v>1</v>
      </c>
      <c r="Q1450" s="14">
        <v>4</v>
      </c>
      <c r="R1450" s="229">
        <v>0</v>
      </c>
      <c r="S1450" s="229">
        <v>24</v>
      </c>
      <c r="T1450" s="229">
        <v>0</v>
      </c>
      <c r="U1450" s="229">
        <v>0</v>
      </c>
      <c r="V1450" s="229">
        <v>43</v>
      </c>
      <c r="W1450" s="229">
        <v>47</v>
      </c>
      <c r="X1450" s="229">
        <v>0</v>
      </c>
      <c r="Y1450" s="229">
        <v>0</v>
      </c>
      <c r="Z1450" s="229">
        <v>0</v>
      </c>
      <c r="AA1450" s="229">
        <v>0</v>
      </c>
      <c r="AB1450" s="229">
        <v>1</v>
      </c>
      <c r="AC1450" s="12">
        <v>2</v>
      </c>
      <c r="AD1450" s="14">
        <v>2</v>
      </c>
      <c r="AE1450" s="14">
        <v>121</v>
      </c>
      <c r="AF1450" s="26">
        <v>444</v>
      </c>
      <c r="AG1450" s="12">
        <v>104</v>
      </c>
      <c r="AH1450" s="14">
        <v>0</v>
      </c>
      <c r="AI1450" s="209"/>
      <c r="AJ1450" s="3"/>
      <c r="AK1450" s="3"/>
      <c r="AL1450" s="3"/>
      <c r="AM1450" s="3"/>
      <c r="AN1450" s="3"/>
      <c r="AO1450" s="40"/>
      <c r="AP1450" s="209"/>
      <c r="AQ1450" s="3"/>
      <c r="AR1450" s="40"/>
      <c r="AS1450" s="238"/>
    </row>
    <row r="1451" spans="1:45" s="229" customFormat="1">
      <c r="A1451" s="83" t="s">
        <v>326</v>
      </c>
      <c r="B1451" s="386">
        <v>46.86</v>
      </c>
      <c r="C1451" s="24" t="s">
        <v>754</v>
      </c>
      <c r="D1451" s="229" t="s">
        <v>680</v>
      </c>
      <c r="E1451" s="229" t="s">
        <v>0</v>
      </c>
      <c r="F1451" s="229">
        <v>584</v>
      </c>
      <c r="G1451" s="40">
        <f>F1451/460</f>
        <v>1.2695652173913043</v>
      </c>
      <c r="H1451" s="14">
        <v>0</v>
      </c>
      <c r="I1451" s="229">
        <v>0</v>
      </c>
      <c r="J1451" s="229">
        <v>1</v>
      </c>
      <c r="K1451" s="26">
        <v>0</v>
      </c>
      <c r="L1451" s="14">
        <v>0</v>
      </c>
      <c r="M1451" s="229">
        <v>0</v>
      </c>
      <c r="N1451" s="229">
        <v>1</v>
      </c>
      <c r="O1451" s="229">
        <v>0</v>
      </c>
      <c r="P1451" s="26">
        <v>1</v>
      </c>
      <c r="Q1451" s="14">
        <v>5</v>
      </c>
      <c r="R1451" s="229">
        <v>0</v>
      </c>
      <c r="S1451" s="229">
        <v>0</v>
      </c>
      <c r="T1451" s="229">
        <v>0</v>
      </c>
      <c r="U1451" s="229">
        <v>0</v>
      </c>
      <c r="V1451" s="229">
        <v>0</v>
      </c>
      <c r="W1451" s="229">
        <v>49</v>
      </c>
      <c r="X1451" s="229">
        <v>0</v>
      </c>
      <c r="Y1451" s="229">
        <v>0</v>
      </c>
      <c r="Z1451" s="229">
        <v>0</v>
      </c>
      <c r="AA1451" s="229">
        <v>149</v>
      </c>
      <c r="AB1451" s="229">
        <v>0</v>
      </c>
      <c r="AC1451" s="12">
        <v>1</v>
      </c>
      <c r="AD1451" s="14">
        <v>1</v>
      </c>
      <c r="AE1451" s="14">
        <v>0</v>
      </c>
      <c r="AF1451" s="26">
        <v>0</v>
      </c>
      <c r="AG1451" s="12">
        <v>87</v>
      </c>
      <c r="AH1451" s="14">
        <v>1</v>
      </c>
      <c r="AI1451" s="209"/>
      <c r="AJ1451" s="3"/>
      <c r="AK1451" s="3"/>
      <c r="AL1451" s="3"/>
      <c r="AM1451" s="3"/>
      <c r="AN1451" s="3"/>
      <c r="AO1451" s="40"/>
      <c r="AP1451" s="209"/>
      <c r="AQ1451" s="3"/>
      <c r="AR1451" s="40"/>
      <c r="AS1451" s="238"/>
    </row>
    <row r="1452" spans="1:45" s="229" customFormat="1">
      <c r="A1452" s="83" t="s">
        <v>326</v>
      </c>
      <c r="B1452" s="386">
        <v>46.86</v>
      </c>
      <c r="C1452" s="24" t="s">
        <v>754</v>
      </c>
      <c r="D1452" s="229" t="s">
        <v>680</v>
      </c>
      <c r="E1452" s="229" t="s">
        <v>1</v>
      </c>
      <c r="F1452" s="229">
        <v>233</v>
      </c>
      <c r="G1452" s="40">
        <f>F1452/220</f>
        <v>1.0590909090909091</v>
      </c>
      <c r="H1452" s="14">
        <v>0</v>
      </c>
      <c r="I1452" s="229">
        <v>0</v>
      </c>
      <c r="J1452" s="229">
        <v>0</v>
      </c>
      <c r="K1452" s="26">
        <v>1</v>
      </c>
      <c r="L1452" s="14">
        <v>0</v>
      </c>
      <c r="M1452" s="229">
        <v>0</v>
      </c>
      <c r="N1452" s="229">
        <v>0</v>
      </c>
      <c r="O1452" s="229">
        <v>0</v>
      </c>
      <c r="P1452" s="26">
        <v>0</v>
      </c>
      <c r="Q1452" s="14">
        <v>2</v>
      </c>
      <c r="R1452" s="229">
        <v>0</v>
      </c>
      <c r="S1452" s="229">
        <v>0</v>
      </c>
      <c r="T1452" s="229">
        <v>0</v>
      </c>
      <c r="U1452" s="229">
        <v>0</v>
      </c>
      <c r="V1452" s="229">
        <v>0</v>
      </c>
      <c r="W1452" s="229">
        <v>37</v>
      </c>
      <c r="X1452" s="229">
        <v>0</v>
      </c>
      <c r="Y1452" s="229">
        <v>0</v>
      </c>
      <c r="Z1452" s="229">
        <v>0</v>
      </c>
      <c r="AA1452" s="229">
        <v>0</v>
      </c>
      <c r="AB1452" s="229">
        <v>0</v>
      </c>
      <c r="AC1452" s="12">
        <v>1</v>
      </c>
      <c r="AD1452" s="14">
        <v>1</v>
      </c>
      <c r="AE1452" s="14">
        <v>0</v>
      </c>
      <c r="AF1452" s="26">
        <v>0</v>
      </c>
      <c r="AG1452" s="12">
        <v>87</v>
      </c>
      <c r="AH1452" s="14">
        <v>1</v>
      </c>
      <c r="AI1452" s="209"/>
      <c r="AJ1452" s="3"/>
      <c r="AK1452" s="3"/>
      <c r="AL1452" s="3"/>
      <c r="AM1452" s="3"/>
      <c r="AN1452" s="3"/>
      <c r="AO1452" s="40"/>
      <c r="AP1452" s="209"/>
      <c r="AQ1452" s="3"/>
      <c r="AR1452" s="40"/>
      <c r="AS1452" s="238"/>
    </row>
    <row r="1453" spans="1:45" s="229" customFormat="1">
      <c r="A1453" s="83" t="s">
        <v>326</v>
      </c>
      <c r="B1453" s="386">
        <v>46.86</v>
      </c>
      <c r="C1453" s="24" t="s">
        <v>754</v>
      </c>
      <c r="D1453" s="229" t="s">
        <v>681</v>
      </c>
      <c r="E1453" s="229" t="s">
        <v>0</v>
      </c>
      <c r="F1453" s="229">
        <v>244</v>
      </c>
      <c r="G1453" s="40">
        <f>F1453/151</f>
        <v>1.6158940397350994</v>
      </c>
      <c r="H1453" s="14">
        <v>1</v>
      </c>
      <c r="I1453" s="229">
        <v>0</v>
      </c>
      <c r="J1453" s="229">
        <v>0</v>
      </c>
      <c r="K1453" s="26">
        <v>0</v>
      </c>
      <c r="L1453" s="14">
        <v>0</v>
      </c>
      <c r="M1453" s="229">
        <v>0</v>
      </c>
      <c r="N1453" s="229">
        <v>1</v>
      </c>
      <c r="O1453" s="229">
        <v>0</v>
      </c>
      <c r="P1453" s="26">
        <v>1</v>
      </c>
      <c r="Q1453" s="14">
        <v>1</v>
      </c>
      <c r="R1453" s="229">
        <v>0</v>
      </c>
      <c r="S1453" s="229">
        <v>0</v>
      </c>
      <c r="T1453" s="229">
        <v>0</v>
      </c>
      <c r="U1453" s="229">
        <v>0</v>
      </c>
      <c r="V1453" s="229">
        <v>6</v>
      </c>
      <c r="W1453" s="229">
        <v>16</v>
      </c>
      <c r="X1453" s="229">
        <v>0</v>
      </c>
      <c r="Y1453" s="229">
        <v>0</v>
      </c>
      <c r="Z1453" s="229">
        <v>0</v>
      </c>
      <c r="AA1453" s="229">
        <v>0</v>
      </c>
      <c r="AB1453" s="229">
        <v>1</v>
      </c>
      <c r="AC1453" s="12">
        <v>1</v>
      </c>
      <c r="AD1453" s="14">
        <v>1</v>
      </c>
      <c r="AE1453" s="14">
        <v>0</v>
      </c>
      <c r="AF1453" s="26">
        <v>0</v>
      </c>
      <c r="AG1453" s="12">
        <v>97</v>
      </c>
      <c r="AH1453" s="14">
        <v>0</v>
      </c>
      <c r="AI1453" s="209">
        <v>87.282543654820159</v>
      </c>
      <c r="AJ1453" s="3">
        <v>86.827121487166096</v>
      </c>
      <c r="AK1453" s="3"/>
      <c r="AL1453" s="3"/>
      <c r="AM1453" s="3"/>
      <c r="AN1453" s="3"/>
      <c r="AO1453" s="40"/>
      <c r="AP1453" s="212">
        <v>86.8</v>
      </c>
      <c r="AQ1453" s="3"/>
      <c r="AR1453" s="40"/>
      <c r="AS1453" s="238"/>
    </row>
    <row r="1454" spans="1:45" s="229" customFormat="1">
      <c r="A1454" s="83" t="s">
        <v>326</v>
      </c>
      <c r="B1454" s="386">
        <v>46.86</v>
      </c>
      <c r="C1454" s="24" t="s">
        <v>754</v>
      </c>
      <c r="D1454" s="229" t="s">
        <v>681</v>
      </c>
      <c r="E1454" s="229" t="s">
        <v>1</v>
      </c>
      <c r="F1454" s="229">
        <v>548</v>
      </c>
      <c r="G1454" s="40">
        <f>F1454/311</f>
        <v>1.7620578778135048</v>
      </c>
      <c r="H1454" s="14">
        <v>0</v>
      </c>
      <c r="I1454" s="229">
        <v>0</v>
      </c>
      <c r="J1454" s="229">
        <v>1</v>
      </c>
      <c r="K1454" s="26">
        <v>0</v>
      </c>
      <c r="L1454" s="14">
        <v>0</v>
      </c>
      <c r="M1454" s="229">
        <v>0</v>
      </c>
      <c r="N1454" s="229">
        <v>1</v>
      </c>
      <c r="O1454" s="229">
        <v>0</v>
      </c>
      <c r="P1454" s="26">
        <v>1</v>
      </c>
      <c r="Q1454" s="14">
        <v>0</v>
      </c>
      <c r="R1454" s="229">
        <v>0</v>
      </c>
      <c r="S1454" s="229">
        <v>0</v>
      </c>
      <c r="T1454" s="229">
        <v>0</v>
      </c>
      <c r="U1454" s="229">
        <v>0</v>
      </c>
      <c r="V1454" s="229">
        <v>0</v>
      </c>
      <c r="W1454" s="229">
        <v>0</v>
      </c>
      <c r="X1454" s="229">
        <v>0</v>
      </c>
      <c r="Y1454" s="229">
        <v>0</v>
      </c>
      <c r="Z1454" s="229">
        <v>0</v>
      </c>
      <c r="AA1454" s="229">
        <v>0</v>
      </c>
      <c r="AB1454" s="229">
        <v>0</v>
      </c>
      <c r="AC1454" s="12">
        <v>1</v>
      </c>
      <c r="AD1454" s="14">
        <v>1</v>
      </c>
      <c r="AE1454" s="14">
        <v>0</v>
      </c>
      <c r="AF1454" s="26">
        <v>0</v>
      </c>
      <c r="AG1454" s="12">
        <v>97</v>
      </c>
      <c r="AH1454" s="14">
        <v>1</v>
      </c>
      <c r="AI1454" s="209">
        <v>87.440362881619279</v>
      </c>
      <c r="AJ1454" s="3"/>
      <c r="AK1454" s="3"/>
      <c r="AL1454" s="3"/>
      <c r="AM1454" s="3"/>
      <c r="AN1454" s="3"/>
      <c r="AO1454" s="40"/>
      <c r="AP1454" s="209">
        <v>86.820500882186295</v>
      </c>
      <c r="AQ1454" s="3"/>
      <c r="AR1454" s="40"/>
      <c r="AS1454" s="238"/>
    </row>
    <row r="1455" spans="1:45" s="229" customFormat="1">
      <c r="A1455" s="83" t="s">
        <v>326</v>
      </c>
      <c r="B1455" s="386">
        <v>46.86</v>
      </c>
      <c r="C1455" s="24" t="s">
        <v>754</v>
      </c>
      <c r="D1455" s="229" t="s">
        <v>682</v>
      </c>
      <c r="F1455" s="229">
        <v>1167</v>
      </c>
      <c r="G1455" s="40">
        <f>F1455/468</f>
        <v>2.4935897435897436</v>
      </c>
      <c r="H1455" s="14">
        <v>0</v>
      </c>
      <c r="I1455" s="229">
        <v>0</v>
      </c>
      <c r="J1455" s="229">
        <v>0</v>
      </c>
      <c r="K1455" s="26">
        <v>1</v>
      </c>
      <c r="L1455" s="14">
        <v>0</v>
      </c>
      <c r="M1455" s="229">
        <v>0</v>
      </c>
      <c r="N1455" s="229">
        <v>1</v>
      </c>
      <c r="O1455" s="229">
        <v>0</v>
      </c>
      <c r="P1455" s="26">
        <v>1</v>
      </c>
      <c r="Q1455" s="14">
        <v>2</v>
      </c>
      <c r="R1455" s="229">
        <v>0</v>
      </c>
      <c r="S1455" s="229">
        <v>0</v>
      </c>
      <c r="T1455" s="229">
        <v>0</v>
      </c>
      <c r="U1455" s="229">
        <v>0</v>
      </c>
      <c r="V1455" s="229">
        <v>25</v>
      </c>
      <c r="W1455" s="229">
        <v>57</v>
      </c>
      <c r="X1455" s="229">
        <v>0</v>
      </c>
      <c r="Y1455" s="229">
        <v>0</v>
      </c>
      <c r="Z1455" s="229">
        <v>0</v>
      </c>
      <c r="AA1455" s="229">
        <v>0</v>
      </c>
      <c r="AB1455" s="229">
        <v>1</v>
      </c>
      <c r="AC1455" s="12">
        <v>2</v>
      </c>
      <c r="AD1455" s="14">
        <v>2</v>
      </c>
      <c r="AE1455" s="14">
        <v>381</v>
      </c>
      <c r="AF1455" s="26">
        <v>1099</v>
      </c>
      <c r="AG1455" s="12">
        <v>99</v>
      </c>
      <c r="AH1455" s="14">
        <v>1</v>
      </c>
      <c r="AI1455" s="209"/>
      <c r="AJ1455" s="3"/>
      <c r="AK1455" s="3"/>
      <c r="AL1455" s="3"/>
      <c r="AM1455" s="3"/>
      <c r="AN1455" s="3"/>
      <c r="AO1455" s="40"/>
      <c r="AP1455" s="209"/>
      <c r="AQ1455" s="3"/>
      <c r="AR1455" s="40"/>
      <c r="AS1455" s="238"/>
    </row>
    <row r="1456" spans="1:45" s="229" customFormat="1">
      <c r="A1456" s="83" t="s">
        <v>326</v>
      </c>
      <c r="B1456" s="386">
        <v>46.86</v>
      </c>
      <c r="C1456" s="24" t="s">
        <v>754</v>
      </c>
      <c r="D1456" s="229" t="s">
        <v>694</v>
      </c>
      <c r="F1456" s="229">
        <v>646</v>
      </c>
      <c r="G1456" s="40">
        <f>F1456/629</f>
        <v>1.027027027027027</v>
      </c>
      <c r="H1456" s="14">
        <v>0</v>
      </c>
      <c r="I1456" s="229">
        <v>0</v>
      </c>
      <c r="J1456" s="229">
        <v>0</v>
      </c>
      <c r="K1456" s="26">
        <v>1</v>
      </c>
      <c r="L1456" s="14">
        <v>0</v>
      </c>
      <c r="M1456" s="229">
        <v>0</v>
      </c>
      <c r="N1456" s="229">
        <v>0</v>
      </c>
      <c r="O1456" s="229">
        <v>0</v>
      </c>
      <c r="P1456" s="26">
        <v>0</v>
      </c>
      <c r="Q1456" s="14">
        <v>3</v>
      </c>
      <c r="R1456" s="229">
        <v>0</v>
      </c>
      <c r="S1456" s="229">
        <v>0</v>
      </c>
      <c r="T1456" s="229">
        <v>0</v>
      </c>
      <c r="U1456" s="229">
        <v>0</v>
      </c>
      <c r="V1456" s="229">
        <v>13</v>
      </c>
      <c r="W1456" s="229">
        <v>52</v>
      </c>
      <c r="X1456" s="229">
        <v>0</v>
      </c>
      <c r="Y1456" s="229">
        <v>0</v>
      </c>
      <c r="Z1456" s="229">
        <v>0</v>
      </c>
      <c r="AA1456" s="229">
        <v>0</v>
      </c>
      <c r="AB1456" s="229">
        <v>1</v>
      </c>
      <c r="AC1456" s="12">
        <v>1</v>
      </c>
      <c r="AD1456" s="14">
        <v>1</v>
      </c>
      <c r="AE1456" s="14">
        <v>0</v>
      </c>
      <c r="AF1456" s="26">
        <v>0</v>
      </c>
      <c r="AG1456" s="12">
        <v>95</v>
      </c>
      <c r="AH1456" s="14">
        <v>0</v>
      </c>
      <c r="AI1456" s="209">
        <v>87.199954347305066</v>
      </c>
      <c r="AJ1456" s="3"/>
      <c r="AK1456" s="3"/>
      <c r="AL1456" s="3"/>
      <c r="AM1456" s="3"/>
      <c r="AN1456" s="3"/>
      <c r="AO1456" s="40"/>
      <c r="AP1456" s="209">
        <v>86.860996952904657</v>
      </c>
      <c r="AQ1456" s="3"/>
      <c r="AR1456" s="40"/>
      <c r="AS1456" s="238"/>
    </row>
    <row r="1457" spans="1:45" s="229" customFormat="1">
      <c r="A1457" s="83" t="s">
        <v>326</v>
      </c>
      <c r="B1457" s="386">
        <v>46.86</v>
      </c>
      <c r="C1457" s="24" t="s">
        <v>754</v>
      </c>
      <c r="D1457" s="229" t="s">
        <v>683</v>
      </c>
      <c r="E1457" s="229" t="s">
        <v>0</v>
      </c>
      <c r="F1457" s="229">
        <v>351</v>
      </c>
      <c r="G1457" s="40">
        <f>F1457/205</f>
        <v>1.7121951219512195</v>
      </c>
      <c r="H1457" s="14">
        <v>0</v>
      </c>
      <c r="I1457" s="229">
        <v>0</v>
      </c>
      <c r="J1457" s="229">
        <v>1</v>
      </c>
      <c r="K1457" s="26">
        <v>0</v>
      </c>
      <c r="L1457" s="14">
        <v>0</v>
      </c>
      <c r="M1457" s="229">
        <v>0</v>
      </c>
      <c r="N1457" s="229">
        <v>1</v>
      </c>
      <c r="O1457" s="229">
        <v>0</v>
      </c>
      <c r="P1457" s="26">
        <v>1</v>
      </c>
      <c r="Q1457" s="14">
        <v>25</v>
      </c>
      <c r="R1457" s="229">
        <v>0</v>
      </c>
      <c r="S1457" s="229">
        <v>0</v>
      </c>
      <c r="T1457" s="229">
        <v>0</v>
      </c>
      <c r="U1457" s="229">
        <v>0</v>
      </c>
      <c r="V1457" s="229">
        <v>0</v>
      </c>
      <c r="W1457" s="229">
        <v>0</v>
      </c>
      <c r="X1457" s="229">
        <v>0</v>
      </c>
      <c r="Y1457" s="229">
        <v>0</v>
      </c>
      <c r="Z1457" s="229">
        <v>0</v>
      </c>
      <c r="AA1457" s="229">
        <v>114</v>
      </c>
      <c r="AB1457" s="229">
        <v>0</v>
      </c>
      <c r="AC1457" s="12">
        <v>1</v>
      </c>
      <c r="AD1457" s="14">
        <v>1</v>
      </c>
      <c r="AE1457" s="14">
        <v>0</v>
      </c>
      <c r="AF1457" s="26">
        <v>0</v>
      </c>
      <c r="AG1457" s="12">
        <v>119</v>
      </c>
      <c r="AH1457" s="14">
        <v>0</v>
      </c>
      <c r="AI1457" s="209"/>
      <c r="AJ1457" s="3"/>
      <c r="AK1457" s="3"/>
      <c r="AL1457" s="3"/>
      <c r="AM1457" s="3"/>
      <c r="AN1457" s="3"/>
      <c r="AO1457" s="40"/>
      <c r="AP1457" s="209"/>
      <c r="AQ1457" s="3"/>
      <c r="AR1457" s="40"/>
      <c r="AS1457" s="238"/>
    </row>
    <row r="1458" spans="1:45" s="229" customFormat="1">
      <c r="A1458" s="83" t="s">
        <v>326</v>
      </c>
      <c r="B1458" s="386">
        <v>46.86</v>
      </c>
      <c r="C1458" s="24" t="s">
        <v>754</v>
      </c>
      <c r="D1458" s="229" t="s">
        <v>683</v>
      </c>
      <c r="E1458" s="229" t="s">
        <v>1</v>
      </c>
      <c r="F1458" s="229">
        <v>256</v>
      </c>
      <c r="G1458" s="40">
        <f>F1458/179</f>
        <v>1.4301675977653632</v>
      </c>
      <c r="H1458" s="14">
        <v>0</v>
      </c>
      <c r="I1458" s="229">
        <v>0</v>
      </c>
      <c r="J1458" s="229">
        <v>1</v>
      </c>
      <c r="K1458" s="26">
        <v>0</v>
      </c>
      <c r="L1458" s="14">
        <v>0</v>
      </c>
      <c r="M1458" s="229">
        <v>0</v>
      </c>
      <c r="N1458" s="229">
        <v>1</v>
      </c>
      <c r="O1458" s="229">
        <v>0</v>
      </c>
      <c r="P1458" s="26">
        <v>1</v>
      </c>
      <c r="Q1458" s="14">
        <v>15</v>
      </c>
      <c r="R1458" s="229">
        <v>0</v>
      </c>
      <c r="S1458" s="229">
        <v>0</v>
      </c>
      <c r="T1458" s="229">
        <v>0</v>
      </c>
      <c r="U1458" s="229">
        <v>0</v>
      </c>
      <c r="V1458" s="229">
        <v>0</v>
      </c>
      <c r="W1458" s="229">
        <v>0</v>
      </c>
      <c r="X1458" s="229">
        <v>0</v>
      </c>
      <c r="Y1458" s="229">
        <v>0</v>
      </c>
      <c r="Z1458" s="229">
        <v>0</v>
      </c>
      <c r="AA1458" s="229">
        <v>89</v>
      </c>
      <c r="AB1458" s="229">
        <v>0</v>
      </c>
      <c r="AC1458" s="12">
        <v>1</v>
      </c>
      <c r="AD1458" s="14">
        <v>1</v>
      </c>
      <c r="AE1458" s="14">
        <v>0</v>
      </c>
      <c r="AF1458" s="26">
        <v>0</v>
      </c>
      <c r="AG1458" s="12">
        <v>119</v>
      </c>
      <c r="AH1458" s="14">
        <v>0</v>
      </c>
      <c r="AI1458" s="209"/>
      <c r="AJ1458" s="3"/>
      <c r="AK1458" s="3"/>
      <c r="AL1458" s="3"/>
      <c r="AM1458" s="3"/>
      <c r="AN1458" s="3"/>
      <c r="AO1458" s="40"/>
      <c r="AP1458" s="209"/>
      <c r="AQ1458" s="3"/>
      <c r="AR1458" s="40"/>
      <c r="AS1458" s="238"/>
    </row>
    <row r="1459" spans="1:45" s="229" customFormat="1">
      <c r="A1459" s="83" t="s">
        <v>326</v>
      </c>
      <c r="B1459" s="386">
        <v>46.86</v>
      </c>
      <c r="C1459" s="24" t="s">
        <v>754</v>
      </c>
      <c r="D1459" s="229" t="s">
        <v>683</v>
      </c>
      <c r="E1459" s="229" t="s">
        <v>2</v>
      </c>
      <c r="F1459" s="229">
        <v>401</v>
      </c>
      <c r="G1459" s="40">
        <f>F1459/265</f>
        <v>1.5132075471698114</v>
      </c>
      <c r="H1459" s="14">
        <v>0</v>
      </c>
      <c r="I1459" s="229">
        <v>0</v>
      </c>
      <c r="J1459" s="229">
        <v>1</v>
      </c>
      <c r="K1459" s="26">
        <v>0</v>
      </c>
      <c r="L1459" s="14">
        <v>0</v>
      </c>
      <c r="M1459" s="229">
        <v>0</v>
      </c>
      <c r="N1459" s="229">
        <v>1</v>
      </c>
      <c r="O1459" s="229">
        <v>0</v>
      </c>
      <c r="P1459" s="26">
        <v>1</v>
      </c>
      <c r="Q1459" s="14">
        <v>1</v>
      </c>
      <c r="R1459" s="229">
        <v>4</v>
      </c>
      <c r="S1459" s="229">
        <v>15</v>
      </c>
      <c r="T1459" s="229">
        <v>0</v>
      </c>
      <c r="U1459" s="229">
        <v>0</v>
      </c>
      <c r="V1459" s="229">
        <v>0</v>
      </c>
      <c r="W1459" s="229">
        <v>12</v>
      </c>
      <c r="X1459" s="229">
        <v>0</v>
      </c>
      <c r="Y1459" s="229">
        <v>0</v>
      </c>
      <c r="Z1459" s="229">
        <v>0</v>
      </c>
      <c r="AA1459" s="229">
        <v>0</v>
      </c>
      <c r="AB1459" s="229">
        <v>1</v>
      </c>
      <c r="AC1459" s="12">
        <v>1</v>
      </c>
      <c r="AD1459" s="14">
        <v>1</v>
      </c>
      <c r="AE1459" s="14">
        <v>0</v>
      </c>
      <c r="AF1459" s="26">
        <v>0</v>
      </c>
      <c r="AG1459" s="12">
        <v>119</v>
      </c>
      <c r="AH1459" s="14">
        <v>0</v>
      </c>
      <c r="AI1459" s="209"/>
      <c r="AJ1459" s="3"/>
      <c r="AK1459" s="3"/>
      <c r="AL1459" s="3"/>
      <c r="AM1459" s="3"/>
      <c r="AN1459" s="3"/>
      <c r="AO1459" s="40"/>
      <c r="AP1459" s="209"/>
      <c r="AQ1459" s="3"/>
      <c r="AR1459" s="40"/>
      <c r="AS1459" s="238"/>
    </row>
    <row r="1460" spans="1:45" s="229" customFormat="1">
      <c r="A1460" s="83" t="s">
        <v>326</v>
      </c>
      <c r="B1460" s="386">
        <v>46.86</v>
      </c>
      <c r="C1460" s="24" t="s">
        <v>754</v>
      </c>
      <c r="D1460" s="229" t="s">
        <v>685</v>
      </c>
      <c r="E1460" s="229" t="s">
        <v>0</v>
      </c>
      <c r="F1460" s="229">
        <v>157</v>
      </c>
      <c r="G1460" s="40">
        <f>F1460/88</f>
        <v>1.7840909090909092</v>
      </c>
      <c r="H1460" s="14">
        <v>0</v>
      </c>
      <c r="I1460" s="229">
        <v>0</v>
      </c>
      <c r="J1460" s="229">
        <v>0</v>
      </c>
      <c r="K1460" s="26">
        <v>1</v>
      </c>
      <c r="L1460" s="14">
        <v>0</v>
      </c>
      <c r="M1460" s="229">
        <v>0</v>
      </c>
      <c r="N1460" s="229">
        <v>0</v>
      </c>
      <c r="O1460" s="229">
        <v>0</v>
      </c>
      <c r="P1460" s="26">
        <v>0</v>
      </c>
      <c r="Q1460" s="14">
        <v>0</v>
      </c>
      <c r="R1460" s="229">
        <v>0</v>
      </c>
      <c r="S1460" s="229">
        <v>0</v>
      </c>
      <c r="T1460" s="229">
        <v>0</v>
      </c>
      <c r="U1460" s="229">
        <v>0</v>
      </c>
      <c r="V1460" s="229">
        <v>0</v>
      </c>
      <c r="W1460" s="229">
        <v>0</v>
      </c>
      <c r="X1460" s="229">
        <v>0</v>
      </c>
      <c r="Y1460" s="229">
        <v>0</v>
      </c>
      <c r="Z1460" s="229">
        <v>0</v>
      </c>
      <c r="AA1460" s="229">
        <v>0</v>
      </c>
      <c r="AB1460" s="229">
        <v>0</v>
      </c>
      <c r="AC1460" s="12">
        <v>2</v>
      </c>
      <c r="AD1460" s="14">
        <v>3</v>
      </c>
      <c r="AE1460" s="14">
        <v>47</v>
      </c>
      <c r="AF1460" s="26">
        <v>88</v>
      </c>
      <c r="AG1460" s="12">
        <v>80</v>
      </c>
      <c r="AH1460" s="14">
        <v>1</v>
      </c>
      <c r="AI1460" s="209"/>
      <c r="AJ1460" s="3"/>
      <c r="AK1460" s="3"/>
      <c r="AL1460" s="3"/>
      <c r="AM1460" s="3"/>
      <c r="AN1460" s="3"/>
      <c r="AO1460" s="40"/>
      <c r="AP1460" s="209"/>
      <c r="AQ1460" s="3"/>
      <c r="AR1460" s="40"/>
      <c r="AS1460" s="238"/>
    </row>
    <row r="1461" spans="1:45" s="229" customFormat="1">
      <c r="A1461" s="83" t="s">
        <v>326</v>
      </c>
      <c r="B1461" s="386">
        <v>46.86</v>
      </c>
      <c r="C1461" s="24" t="s">
        <v>754</v>
      </c>
      <c r="D1461" s="229" t="s">
        <v>685</v>
      </c>
      <c r="E1461" s="229" t="s">
        <v>1</v>
      </c>
      <c r="F1461" s="229">
        <v>185</v>
      </c>
      <c r="G1461" s="40">
        <f>F1461/140</f>
        <v>1.3214285714285714</v>
      </c>
      <c r="H1461" s="14">
        <v>1</v>
      </c>
      <c r="I1461" s="229">
        <v>0</v>
      </c>
      <c r="J1461" s="229">
        <v>0</v>
      </c>
      <c r="K1461" s="26">
        <v>0</v>
      </c>
      <c r="L1461" s="14">
        <v>0</v>
      </c>
      <c r="M1461" s="229">
        <v>0</v>
      </c>
      <c r="N1461" s="229">
        <v>1</v>
      </c>
      <c r="O1461" s="229">
        <v>0</v>
      </c>
      <c r="P1461" s="26">
        <v>1</v>
      </c>
      <c r="Q1461" s="14">
        <v>0</v>
      </c>
      <c r="R1461" s="229">
        <v>0</v>
      </c>
      <c r="S1461" s="229">
        <v>0</v>
      </c>
      <c r="T1461" s="229">
        <v>0</v>
      </c>
      <c r="U1461" s="229">
        <v>0</v>
      </c>
      <c r="V1461" s="229">
        <v>0</v>
      </c>
      <c r="W1461" s="229">
        <v>0</v>
      </c>
      <c r="X1461" s="229">
        <v>0</v>
      </c>
      <c r="Y1461" s="229">
        <v>0</v>
      </c>
      <c r="Z1461" s="229">
        <v>0</v>
      </c>
      <c r="AA1461" s="229">
        <v>0</v>
      </c>
      <c r="AB1461" s="229">
        <v>0</v>
      </c>
      <c r="AC1461" s="12">
        <v>1</v>
      </c>
      <c r="AD1461" s="14">
        <v>1</v>
      </c>
      <c r="AE1461" s="14">
        <v>0</v>
      </c>
      <c r="AF1461" s="26">
        <v>0</v>
      </c>
      <c r="AG1461" s="12">
        <v>80</v>
      </c>
      <c r="AH1461" s="14">
        <v>0</v>
      </c>
      <c r="AI1461" s="209"/>
      <c r="AJ1461" s="3"/>
      <c r="AK1461" s="3"/>
      <c r="AL1461" s="3"/>
      <c r="AM1461" s="3"/>
      <c r="AN1461" s="3"/>
      <c r="AO1461" s="40"/>
      <c r="AP1461" s="209"/>
      <c r="AQ1461" s="3"/>
      <c r="AR1461" s="40"/>
      <c r="AS1461" s="238"/>
    </row>
    <row r="1462" spans="1:45" s="229" customFormat="1">
      <c r="A1462" s="83" t="s">
        <v>326</v>
      </c>
      <c r="B1462" s="386">
        <v>46.86</v>
      </c>
      <c r="C1462" s="24" t="s">
        <v>754</v>
      </c>
      <c r="D1462" s="229" t="s">
        <v>685</v>
      </c>
      <c r="E1462" s="229" t="s">
        <v>2</v>
      </c>
      <c r="F1462" s="229">
        <v>315</v>
      </c>
      <c r="G1462" s="40">
        <f>F1462/295</f>
        <v>1.0677966101694916</v>
      </c>
      <c r="H1462" s="14">
        <v>1</v>
      </c>
      <c r="I1462" s="229">
        <v>0</v>
      </c>
      <c r="J1462" s="229">
        <v>0</v>
      </c>
      <c r="K1462" s="26">
        <v>1</v>
      </c>
      <c r="L1462" s="14">
        <v>0</v>
      </c>
      <c r="M1462" s="229">
        <v>0</v>
      </c>
      <c r="N1462" s="229">
        <v>0</v>
      </c>
      <c r="O1462" s="229">
        <v>0</v>
      </c>
      <c r="P1462" s="26">
        <v>0</v>
      </c>
      <c r="Q1462" s="14">
        <v>1</v>
      </c>
      <c r="R1462" s="229">
        <v>0</v>
      </c>
      <c r="S1462" s="229">
        <v>0</v>
      </c>
      <c r="T1462" s="229">
        <v>0</v>
      </c>
      <c r="U1462" s="229">
        <v>0</v>
      </c>
      <c r="V1462" s="229">
        <v>14</v>
      </c>
      <c r="W1462" s="229">
        <v>50</v>
      </c>
      <c r="X1462" s="229">
        <v>0</v>
      </c>
      <c r="Y1462" s="229">
        <v>0</v>
      </c>
      <c r="Z1462" s="229">
        <v>0</v>
      </c>
      <c r="AA1462" s="229">
        <v>0</v>
      </c>
      <c r="AB1462" s="229">
        <v>0</v>
      </c>
      <c r="AC1462" s="12">
        <v>2</v>
      </c>
      <c r="AD1462" s="14">
        <v>6</v>
      </c>
      <c r="AE1462" s="14">
        <v>43</v>
      </c>
      <c r="AF1462" s="26">
        <v>164</v>
      </c>
      <c r="AG1462" s="12">
        <v>80</v>
      </c>
      <c r="AH1462" s="14">
        <v>1</v>
      </c>
      <c r="AI1462" s="209"/>
      <c r="AJ1462" s="3"/>
      <c r="AK1462" s="3"/>
      <c r="AL1462" s="3"/>
      <c r="AM1462" s="3"/>
      <c r="AN1462" s="3"/>
      <c r="AO1462" s="40"/>
      <c r="AP1462" s="209"/>
      <c r="AQ1462" s="3"/>
      <c r="AR1462" s="40"/>
      <c r="AS1462" s="238"/>
    </row>
    <row r="1463" spans="1:45" s="229" customFormat="1">
      <c r="A1463" s="83" t="s">
        <v>326</v>
      </c>
      <c r="B1463" s="386">
        <v>46.86</v>
      </c>
      <c r="C1463" s="24" t="s">
        <v>754</v>
      </c>
      <c r="D1463" s="229" t="s">
        <v>685</v>
      </c>
      <c r="E1463" s="229" t="s">
        <v>3</v>
      </c>
      <c r="F1463" s="229">
        <v>214</v>
      </c>
      <c r="G1463" s="40">
        <f>F1463/101</f>
        <v>2.1188118811881189</v>
      </c>
      <c r="H1463" s="14">
        <v>1</v>
      </c>
      <c r="I1463" s="229">
        <v>0</v>
      </c>
      <c r="J1463" s="229">
        <v>0</v>
      </c>
      <c r="K1463" s="26">
        <v>1</v>
      </c>
      <c r="L1463" s="14">
        <v>0</v>
      </c>
      <c r="M1463" s="229">
        <v>0</v>
      </c>
      <c r="N1463" s="229">
        <v>0</v>
      </c>
      <c r="O1463" s="229">
        <v>0</v>
      </c>
      <c r="P1463" s="26">
        <v>0</v>
      </c>
      <c r="Q1463" s="14">
        <v>0</v>
      </c>
      <c r="R1463" s="229">
        <v>0</v>
      </c>
      <c r="S1463" s="229">
        <v>0</v>
      </c>
      <c r="T1463" s="229">
        <v>0</v>
      </c>
      <c r="U1463" s="229">
        <v>0</v>
      </c>
      <c r="V1463" s="229">
        <v>0</v>
      </c>
      <c r="W1463" s="229">
        <v>0</v>
      </c>
      <c r="X1463" s="229">
        <v>0</v>
      </c>
      <c r="Y1463" s="229">
        <v>0</v>
      </c>
      <c r="Z1463" s="229">
        <v>0</v>
      </c>
      <c r="AA1463" s="229">
        <v>0</v>
      </c>
      <c r="AB1463" s="229">
        <v>0</v>
      </c>
      <c r="AC1463" s="12">
        <v>2</v>
      </c>
      <c r="AD1463" s="14">
        <v>4</v>
      </c>
      <c r="AE1463" s="14">
        <v>44</v>
      </c>
      <c r="AF1463" s="26">
        <v>113</v>
      </c>
      <c r="AG1463" s="12">
        <v>80</v>
      </c>
      <c r="AH1463" s="14">
        <v>1</v>
      </c>
      <c r="AI1463" s="209"/>
      <c r="AJ1463" s="3"/>
      <c r="AK1463" s="3"/>
      <c r="AL1463" s="3"/>
      <c r="AM1463" s="3"/>
      <c r="AN1463" s="3"/>
      <c r="AO1463" s="40"/>
      <c r="AP1463" s="209"/>
      <c r="AQ1463" s="3"/>
      <c r="AR1463" s="40"/>
      <c r="AS1463" s="238"/>
    </row>
    <row r="1464" spans="1:45" s="229" customFormat="1">
      <c r="A1464" s="83" t="s">
        <v>326</v>
      </c>
      <c r="B1464" s="386">
        <v>46.86</v>
      </c>
      <c r="C1464" s="24" t="s">
        <v>754</v>
      </c>
      <c r="D1464" s="24" t="s">
        <v>685</v>
      </c>
      <c r="E1464" s="229" t="s">
        <v>4</v>
      </c>
      <c r="F1464" s="229">
        <v>217</v>
      </c>
      <c r="G1464" s="40">
        <f>F1464/116</f>
        <v>1.8706896551724137</v>
      </c>
      <c r="H1464" s="14">
        <v>1</v>
      </c>
      <c r="I1464" s="229">
        <v>0</v>
      </c>
      <c r="J1464" s="229">
        <v>0</v>
      </c>
      <c r="K1464" s="26">
        <v>1</v>
      </c>
      <c r="L1464" s="14">
        <v>0</v>
      </c>
      <c r="M1464" s="229">
        <v>0</v>
      </c>
      <c r="N1464" s="229">
        <v>0</v>
      </c>
      <c r="O1464" s="229">
        <v>0</v>
      </c>
      <c r="P1464" s="26">
        <v>0</v>
      </c>
      <c r="Q1464" s="14">
        <v>1</v>
      </c>
      <c r="R1464" s="229">
        <v>0</v>
      </c>
      <c r="S1464" s="229">
        <v>4</v>
      </c>
      <c r="T1464" s="229">
        <v>0</v>
      </c>
      <c r="U1464" s="229">
        <v>0</v>
      </c>
      <c r="V1464" s="229">
        <v>0</v>
      </c>
      <c r="W1464" s="229">
        <v>0</v>
      </c>
      <c r="X1464" s="229">
        <v>0</v>
      </c>
      <c r="Y1464" s="229">
        <v>0</v>
      </c>
      <c r="Z1464" s="229">
        <v>0</v>
      </c>
      <c r="AA1464" s="229">
        <v>0</v>
      </c>
      <c r="AB1464" s="229">
        <v>0</v>
      </c>
      <c r="AC1464" s="12">
        <v>2</v>
      </c>
      <c r="AD1464" s="14">
        <v>4</v>
      </c>
      <c r="AE1464" s="14">
        <v>40</v>
      </c>
      <c r="AF1464" s="26">
        <v>110</v>
      </c>
      <c r="AG1464" s="12">
        <v>80</v>
      </c>
      <c r="AH1464" s="14">
        <v>1</v>
      </c>
      <c r="AI1464" s="209"/>
      <c r="AJ1464" s="3"/>
      <c r="AK1464" s="3"/>
      <c r="AL1464" s="3"/>
      <c r="AM1464" s="3"/>
      <c r="AN1464" s="3"/>
      <c r="AO1464" s="40"/>
      <c r="AP1464" s="209"/>
      <c r="AQ1464" s="3"/>
      <c r="AR1464" s="40"/>
      <c r="AS1464" s="238"/>
    </row>
    <row r="1465" spans="1:45" s="229" customFormat="1" ht="17" thickBot="1">
      <c r="A1465" s="84" t="s">
        <v>326</v>
      </c>
      <c r="B1465" s="385">
        <v>46.86</v>
      </c>
      <c r="C1465" s="24" t="s">
        <v>754</v>
      </c>
      <c r="D1465" s="229" t="s">
        <v>695</v>
      </c>
      <c r="F1465" s="229">
        <v>678</v>
      </c>
      <c r="G1465" s="40">
        <f>F1465/496</f>
        <v>1.3669354838709677</v>
      </c>
      <c r="H1465" s="14">
        <v>1</v>
      </c>
      <c r="I1465" s="229">
        <v>0</v>
      </c>
      <c r="J1465" s="229">
        <v>0</v>
      </c>
      <c r="K1465" s="26">
        <v>0</v>
      </c>
      <c r="L1465" s="14">
        <v>0</v>
      </c>
      <c r="M1465" s="229">
        <v>0</v>
      </c>
      <c r="N1465" s="229">
        <v>0</v>
      </c>
      <c r="O1465" s="229">
        <v>0</v>
      </c>
      <c r="P1465" s="26">
        <v>0</v>
      </c>
      <c r="Q1465" s="14">
        <v>1</v>
      </c>
      <c r="R1465" s="229">
        <v>0</v>
      </c>
      <c r="S1465" s="229">
        <v>15</v>
      </c>
      <c r="T1465" s="229">
        <v>0</v>
      </c>
      <c r="U1465" s="229">
        <v>0</v>
      </c>
      <c r="V1465" s="229">
        <v>0</v>
      </c>
      <c r="W1465" s="229">
        <v>0</v>
      </c>
      <c r="X1465" s="229">
        <v>0</v>
      </c>
      <c r="Y1465" s="229">
        <v>0</v>
      </c>
      <c r="Z1465" s="229">
        <v>0</v>
      </c>
      <c r="AA1465" s="229">
        <v>0</v>
      </c>
      <c r="AB1465" s="229">
        <v>1</v>
      </c>
      <c r="AC1465" s="12">
        <v>1</v>
      </c>
      <c r="AD1465" s="14">
        <v>1</v>
      </c>
      <c r="AE1465" s="14">
        <v>0</v>
      </c>
      <c r="AF1465" s="26">
        <v>0</v>
      </c>
      <c r="AG1465" s="12">
        <v>93</v>
      </c>
      <c r="AH1465" s="14">
        <v>1</v>
      </c>
      <c r="AI1465" s="209">
        <v>87.089938803456349</v>
      </c>
      <c r="AJ1465" s="3"/>
      <c r="AK1465" s="3"/>
      <c r="AL1465" s="3"/>
      <c r="AM1465" s="3"/>
      <c r="AN1465" s="3"/>
      <c r="AO1465" s="40"/>
      <c r="AP1465" s="209">
        <v>86.48300014123447</v>
      </c>
      <c r="AQ1465" s="3"/>
      <c r="AR1465" s="40"/>
      <c r="AS1465" s="238"/>
    </row>
    <row r="1466" spans="1:45" s="229" customFormat="1">
      <c r="A1466" s="83" t="s">
        <v>326</v>
      </c>
      <c r="B1466" s="386">
        <v>46.86</v>
      </c>
      <c r="C1466" s="100" t="s">
        <v>755</v>
      </c>
      <c r="D1466" s="8" t="s">
        <v>622</v>
      </c>
      <c r="E1466" s="8"/>
      <c r="F1466" s="8">
        <v>514</v>
      </c>
      <c r="G1466" s="10">
        <f>F1466/273</f>
        <v>1.8827838827838828</v>
      </c>
      <c r="H1466" s="11">
        <v>0</v>
      </c>
      <c r="I1466" s="8">
        <v>0</v>
      </c>
      <c r="J1466" s="8">
        <v>0</v>
      </c>
      <c r="K1466" s="41">
        <v>1</v>
      </c>
      <c r="L1466" s="11">
        <v>0</v>
      </c>
      <c r="M1466" s="8">
        <v>0</v>
      </c>
      <c r="N1466" s="8">
        <v>1</v>
      </c>
      <c r="O1466" s="8">
        <v>0</v>
      </c>
      <c r="P1466" s="41">
        <v>1</v>
      </c>
      <c r="Q1466" s="11">
        <v>0</v>
      </c>
      <c r="R1466" s="8">
        <v>0</v>
      </c>
      <c r="S1466" s="8">
        <v>0</v>
      </c>
      <c r="T1466" s="8">
        <v>0</v>
      </c>
      <c r="U1466" s="8">
        <v>0</v>
      </c>
      <c r="V1466" s="8">
        <v>0</v>
      </c>
      <c r="W1466" s="8">
        <v>0</v>
      </c>
      <c r="X1466" s="8">
        <v>0</v>
      </c>
      <c r="Y1466" s="8">
        <v>0</v>
      </c>
      <c r="Z1466" s="8">
        <v>0</v>
      </c>
      <c r="AA1466" s="8">
        <v>0</v>
      </c>
      <c r="AB1466" s="8">
        <v>0</v>
      </c>
      <c r="AC1466" s="9">
        <v>2</v>
      </c>
      <c r="AD1466" s="11">
        <v>3</v>
      </c>
      <c r="AE1466" s="11">
        <v>216</v>
      </c>
      <c r="AF1466" s="41">
        <v>277</v>
      </c>
      <c r="AG1466" s="9">
        <v>55</v>
      </c>
      <c r="AH1466" s="11">
        <v>1</v>
      </c>
      <c r="AI1466" s="208"/>
      <c r="AJ1466" s="54"/>
      <c r="AK1466" s="54"/>
      <c r="AL1466" s="54"/>
      <c r="AM1466" s="54"/>
      <c r="AN1466" s="54"/>
      <c r="AO1466" s="10"/>
      <c r="AP1466" s="208"/>
      <c r="AQ1466" s="54"/>
      <c r="AR1466" s="10"/>
      <c r="AS1466" s="237"/>
    </row>
    <row r="1467" spans="1:45" s="229" customFormat="1">
      <c r="A1467" s="83" t="s">
        <v>326</v>
      </c>
      <c r="B1467" s="386">
        <v>46.86</v>
      </c>
      <c r="C1467" s="24" t="s">
        <v>755</v>
      </c>
      <c r="D1467" s="229" t="s">
        <v>634</v>
      </c>
      <c r="F1467" s="229">
        <v>827</v>
      </c>
      <c r="G1467" s="40">
        <f>F1467/586</f>
        <v>1.4112627986348123</v>
      </c>
      <c r="H1467" s="14">
        <v>0</v>
      </c>
      <c r="I1467" s="229">
        <v>0</v>
      </c>
      <c r="J1467" s="229">
        <v>1</v>
      </c>
      <c r="K1467" s="26">
        <v>0</v>
      </c>
      <c r="L1467" s="14">
        <v>0</v>
      </c>
      <c r="M1467" s="229">
        <v>0</v>
      </c>
      <c r="N1467" s="229">
        <v>0</v>
      </c>
      <c r="O1467" s="229">
        <v>0</v>
      </c>
      <c r="P1467" s="26">
        <v>0</v>
      </c>
      <c r="Q1467" s="14">
        <v>15</v>
      </c>
      <c r="R1467" s="229">
        <v>0</v>
      </c>
      <c r="S1467" s="229">
        <v>0</v>
      </c>
      <c r="T1467" s="229">
        <v>0</v>
      </c>
      <c r="U1467" s="229">
        <v>0</v>
      </c>
      <c r="V1467" s="229">
        <v>9</v>
      </c>
      <c r="W1467" s="229">
        <v>9</v>
      </c>
      <c r="X1467" s="229">
        <v>3</v>
      </c>
      <c r="Y1467" s="229">
        <v>0</v>
      </c>
      <c r="Z1467" s="229">
        <v>0</v>
      </c>
      <c r="AA1467" s="229">
        <v>381</v>
      </c>
      <c r="AB1467" s="229">
        <v>1</v>
      </c>
      <c r="AC1467" s="12">
        <v>1</v>
      </c>
      <c r="AD1467" s="14">
        <v>1</v>
      </c>
      <c r="AE1467" s="14">
        <v>0</v>
      </c>
      <c r="AF1467" s="26">
        <v>0</v>
      </c>
      <c r="AG1467" s="12">
        <v>34</v>
      </c>
      <c r="AH1467" s="14">
        <v>1</v>
      </c>
      <c r="AI1467" s="209">
        <v>87.499459713054165</v>
      </c>
      <c r="AJ1467" s="3"/>
      <c r="AK1467" s="3"/>
      <c r="AL1467" s="3"/>
      <c r="AM1467" s="3"/>
      <c r="AN1467" s="3"/>
      <c r="AO1467" s="40"/>
      <c r="AP1467" s="209">
        <v>87.219288395132878</v>
      </c>
      <c r="AQ1467" s="3"/>
      <c r="AR1467" s="40"/>
      <c r="AS1467" s="238"/>
    </row>
    <row r="1468" spans="1:45" s="229" customFormat="1">
      <c r="A1468" s="83" t="s">
        <v>326</v>
      </c>
      <c r="B1468" s="386">
        <v>46.86</v>
      </c>
      <c r="C1468" s="24" t="s">
        <v>755</v>
      </c>
      <c r="D1468" s="229" t="s">
        <v>625</v>
      </c>
      <c r="F1468" s="229">
        <v>412</v>
      </c>
      <c r="G1468" s="40">
        <f>F1468/328</f>
        <v>1.2560975609756098</v>
      </c>
      <c r="H1468" s="14">
        <v>0</v>
      </c>
      <c r="I1468" s="229">
        <v>0</v>
      </c>
      <c r="J1468" s="229">
        <v>0</v>
      </c>
      <c r="K1468" s="26">
        <v>1</v>
      </c>
      <c r="L1468" s="14">
        <v>0</v>
      </c>
      <c r="M1468" s="229">
        <v>0</v>
      </c>
      <c r="N1468" s="229">
        <v>0</v>
      </c>
      <c r="O1468" s="229">
        <v>0</v>
      </c>
      <c r="P1468" s="26">
        <v>0</v>
      </c>
      <c r="Q1468" s="14">
        <v>1</v>
      </c>
      <c r="R1468" s="229">
        <v>0</v>
      </c>
      <c r="S1468" s="229">
        <v>0</v>
      </c>
      <c r="T1468" s="229">
        <v>0</v>
      </c>
      <c r="U1468" s="229">
        <v>0</v>
      </c>
      <c r="V1468" s="229">
        <v>0</v>
      </c>
      <c r="W1468" s="229">
        <v>5</v>
      </c>
      <c r="X1468" s="229">
        <v>0</v>
      </c>
      <c r="Y1468" s="229">
        <v>0</v>
      </c>
      <c r="Z1468" s="229">
        <v>0</v>
      </c>
      <c r="AA1468" s="229">
        <v>0</v>
      </c>
      <c r="AB1468" s="229">
        <v>1</v>
      </c>
      <c r="AC1468" s="12">
        <v>1</v>
      </c>
      <c r="AD1468" s="14">
        <v>1</v>
      </c>
      <c r="AE1468" s="14">
        <v>0</v>
      </c>
      <c r="AF1468" s="26">
        <v>0</v>
      </c>
      <c r="AG1468" s="12">
        <v>21</v>
      </c>
      <c r="AH1468" s="14">
        <v>1</v>
      </c>
      <c r="AI1468" s="209"/>
      <c r="AJ1468" s="3"/>
      <c r="AK1468" s="3"/>
      <c r="AL1468" s="3"/>
      <c r="AM1468" s="3"/>
      <c r="AN1468" s="3"/>
      <c r="AO1468" s="40"/>
      <c r="AP1468" s="209"/>
      <c r="AQ1468" s="3"/>
      <c r="AR1468" s="40"/>
      <c r="AS1468" s="238"/>
    </row>
    <row r="1469" spans="1:45" s="229" customFormat="1">
      <c r="A1469" s="83" t="s">
        <v>326</v>
      </c>
      <c r="B1469" s="386">
        <v>46.86</v>
      </c>
      <c r="C1469" s="24" t="s">
        <v>755</v>
      </c>
      <c r="D1469" s="229" t="s">
        <v>630</v>
      </c>
      <c r="F1469" s="229">
        <v>1813</v>
      </c>
      <c r="G1469" s="40">
        <f>F1469/869</f>
        <v>2.0863060989643269</v>
      </c>
      <c r="H1469" s="14">
        <v>0</v>
      </c>
      <c r="I1469" s="229">
        <v>0</v>
      </c>
      <c r="J1469" s="229">
        <v>1</v>
      </c>
      <c r="K1469" s="26">
        <v>0</v>
      </c>
      <c r="L1469" s="14">
        <v>0</v>
      </c>
      <c r="M1469" s="229">
        <v>0</v>
      </c>
      <c r="N1469" s="229">
        <v>0</v>
      </c>
      <c r="O1469" s="229">
        <v>0</v>
      </c>
      <c r="P1469" s="26">
        <v>0</v>
      </c>
      <c r="Q1469" s="14">
        <v>15</v>
      </c>
      <c r="R1469" s="229">
        <v>15</v>
      </c>
      <c r="S1469" s="229">
        <v>20</v>
      </c>
      <c r="T1469" s="229">
        <v>0</v>
      </c>
      <c r="U1469" s="229">
        <v>0</v>
      </c>
      <c r="V1469" s="229">
        <v>0</v>
      </c>
      <c r="W1469" s="229">
        <v>118</v>
      </c>
      <c r="X1469" s="229">
        <v>0</v>
      </c>
      <c r="Y1469" s="229">
        <v>0</v>
      </c>
      <c r="Z1469" s="229">
        <v>290</v>
      </c>
      <c r="AA1469" s="229">
        <v>536</v>
      </c>
      <c r="AB1469" s="229">
        <v>1</v>
      </c>
      <c r="AC1469" s="12">
        <v>1</v>
      </c>
      <c r="AD1469" s="14">
        <v>1</v>
      </c>
      <c r="AE1469" s="14">
        <v>0</v>
      </c>
      <c r="AF1469" s="26">
        <v>0</v>
      </c>
      <c r="AG1469" s="12">
        <v>52</v>
      </c>
      <c r="AH1469" s="14">
        <v>1</v>
      </c>
      <c r="AI1469" s="209">
        <v>87.248633137307664</v>
      </c>
      <c r="AJ1469" s="3"/>
      <c r="AK1469" s="3"/>
      <c r="AL1469" s="3"/>
      <c r="AM1469" s="3"/>
      <c r="AN1469" s="3"/>
      <c r="AO1469" s="40"/>
      <c r="AP1469" s="209">
        <v>87.296660308529752</v>
      </c>
      <c r="AQ1469" s="3"/>
      <c r="AR1469" s="40"/>
      <c r="AS1469" s="238"/>
    </row>
    <row r="1470" spans="1:45" s="229" customFormat="1">
      <c r="A1470" s="83" t="s">
        <v>326</v>
      </c>
      <c r="B1470" s="386">
        <v>46.86</v>
      </c>
      <c r="C1470" s="24" t="s">
        <v>755</v>
      </c>
      <c r="D1470" s="229" t="s">
        <v>637</v>
      </c>
      <c r="E1470" s="229" t="s">
        <v>0</v>
      </c>
      <c r="F1470" s="229">
        <v>98</v>
      </c>
      <c r="G1470" s="40">
        <f>F1470/60</f>
        <v>1.6333333333333333</v>
      </c>
      <c r="H1470" s="14">
        <v>0</v>
      </c>
      <c r="I1470" s="229">
        <v>0</v>
      </c>
      <c r="J1470" s="229">
        <v>0</v>
      </c>
      <c r="K1470" s="26">
        <v>1</v>
      </c>
      <c r="L1470" s="14">
        <v>0</v>
      </c>
      <c r="M1470" s="229">
        <v>0</v>
      </c>
      <c r="N1470" s="229">
        <v>0</v>
      </c>
      <c r="O1470" s="229">
        <v>0</v>
      </c>
      <c r="P1470" s="26">
        <v>0</v>
      </c>
      <c r="Q1470" s="14">
        <v>0</v>
      </c>
      <c r="R1470" s="229">
        <v>0</v>
      </c>
      <c r="S1470" s="229">
        <v>0</v>
      </c>
      <c r="T1470" s="229">
        <v>0</v>
      </c>
      <c r="U1470" s="229">
        <v>0</v>
      </c>
      <c r="V1470" s="229">
        <v>0</v>
      </c>
      <c r="W1470" s="229">
        <v>0</v>
      </c>
      <c r="X1470" s="229">
        <v>0</v>
      </c>
      <c r="Y1470" s="229">
        <v>0</v>
      </c>
      <c r="Z1470" s="229">
        <v>0</v>
      </c>
      <c r="AA1470" s="229">
        <v>0</v>
      </c>
      <c r="AB1470" s="229">
        <v>0</v>
      </c>
      <c r="AC1470" s="12">
        <v>2</v>
      </c>
      <c r="AD1470" s="14">
        <v>2</v>
      </c>
      <c r="AE1470" s="14">
        <v>56</v>
      </c>
      <c r="AF1470" s="26">
        <v>60</v>
      </c>
      <c r="AG1470" s="12">
        <v>24</v>
      </c>
      <c r="AH1470" s="14">
        <v>1</v>
      </c>
      <c r="AI1470" s="209"/>
      <c r="AJ1470" s="3"/>
      <c r="AK1470" s="3"/>
      <c r="AL1470" s="3"/>
      <c r="AM1470" s="3"/>
      <c r="AN1470" s="3"/>
      <c r="AO1470" s="40"/>
      <c r="AP1470" s="209"/>
      <c r="AQ1470" s="3"/>
      <c r="AR1470" s="40"/>
      <c r="AS1470" s="238"/>
    </row>
    <row r="1471" spans="1:45" s="229" customFormat="1">
      <c r="A1471" s="83" t="s">
        <v>326</v>
      </c>
      <c r="B1471" s="386">
        <v>46.86</v>
      </c>
      <c r="C1471" s="24" t="s">
        <v>755</v>
      </c>
      <c r="D1471" s="229" t="s">
        <v>637</v>
      </c>
      <c r="E1471" s="229" t="s">
        <v>1</v>
      </c>
      <c r="F1471" s="229">
        <v>325</v>
      </c>
      <c r="G1471" s="40">
        <f>F1471/222</f>
        <v>1.4639639639639639</v>
      </c>
      <c r="H1471" s="14">
        <v>1</v>
      </c>
      <c r="I1471" s="229">
        <v>0</v>
      </c>
      <c r="J1471" s="229">
        <v>0</v>
      </c>
      <c r="K1471" s="26">
        <v>0</v>
      </c>
      <c r="L1471" s="14">
        <v>0</v>
      </c>
      <c r="M1471" s="229">
        <v>0</v>
      </c>
      <c r="N1471" s="229">
        <v>1</v>
      </c>
      <c r="O1471" s="229">
        <v>0</v>
      </c>
      <c r="P1471" s="26">
        <v>1</v>
      </c>
      <c r="Q1471" s="14">
        <v>0</v>
      </c>
      <c r="R1471" s="229">
        <v>0</v>
      </c>
      <c r="S1471" s="229">
        <v>0</v>
      </c>
      <c r="T1471" s="229">
        <v>0</v>
      </c>
      <c r="U1471" s="229">
        <v>0</v>
      </c>
      <c r="V1471" s="229">
        <v>0</v>
      </c>
      <c r="W1471" s="229">
        <v>0</v>
      </c>
      <c r="X1471" s="229">
        <v>0</v>
      </c>
      <c r="Y1471" s="229">
        <v>0</v>
      </c>
      <c r="Z1471" s="229">
        <v>0</v>
      </c>
      <c r="AA1471" s="229">
        <v>0</v>
      </c>
      <c r="AB1471" s="229">
        <v>0</v>
      </c>
      <c r="AC1471" s="12">
        <v>1</v>
      </c>
      <c r="AD1471" s="14">
        <v>1</v>
      </c>
      <c r="AE1471" s="14">
        <v>0</v>
      </c>
      <c r="AF1471" s="26">
        <v>0</v>
      </c>
      <c r="AG1471" s="12">
        <v>24</v>
      </c>
      <c r="AH1471" s="14">
        <v>1</v>
      </c>
      <c r="AI1471" s="209">
        <v>87.224856238676097</v>
      </c>
      <c r="AJ1471" s="3"/>
      <c r="AK1471" s="3"/>
      <c r="AL1471" s="3"/>
      <c r="AM1471" s="3"/>
      <c r="AN1471" s="3"/>
      <c r="AO1471" s="40"/>
      <c r="AP1471" s="209">
        <v>87.26615139211161</v>
      </c>
      <c r="AQ1471" s="3"/>
      <c r="AR1471" s="40"/>
      <c r="AS1471" s="238"/>
    </row>
    <row r="1472" spans="1:45" s="229" customFormat="1">
      <c r="A1472" s="83" t="s">
        <v>326</v>
      </c>
      <c r="B1472" s="386">
        <v>46.86</v>
      </c>
      <c r="C1472" s="24" t="s">
        <v>755</v>
      </c>
      <c r="D1472" s="229" t="s">
        <v>637</v>
      </c>
      <c r="E1472" s="229" t="s">
        <v>2</v>
      </c>
      <c r="F1472" s="229">
        <v>155</v>
      </c>
      <c r="G1472" s="40">
        <f>F1472/100</f>
        <v>1.55</v>
      </c>
      <c r="H1472" s="14">
        <v>1</v>
      </c>
      <c r="I1472" s="229">
        <v>0</v>
      </c>
      <c r="J1472" s="229">
        <v>0</v>
      </c>
      <c r="K1472" s="26">
        <v>0</v>
      </c>
      <c r="L1472" s="14">
        <v>0</v>
      </c>
      <c r="M1472" s="229">
        <v>0</v>
      </c>
      <c r="N1472" s="229">
        <v>1</v>
      </c>
      <c r="O1472" s="229">
        <v>0</v>
      </c>
      <c r="P1472" s="26">
        <v>1</v>
      </c>
      <c r="Q1472" s="14">
        <v>0</v>
      </c>
      <c r="R1472" s="229">
        <v>0</v>
      </c>
      <c r="S1472" s="229">
        <v>0</v>
      </c>
      <c r="T1472" s="229">
        <v>0</v>
      </c>
      <c r="U1472" s="229">
        <v>0</v>
      </c>
      <c r="V1472" s="229">
        <v>0</v>
      </c>
      <c r="W1472" s="229">
        <v>0</v>
      </c>
      <c r="X1472" s="229">
        <v>0</v>
      </c>
      <c r="Y1472" s="229">
        <v>0</v>
      </c>
      <c r="Z1472" s="229">
        <v>0</v>
      </c>
      <c r="AA1472" s="229">
        <v>0</v>
      </c>
      <c r="AB1472" s="229">
        <v>0</v>
      </c>
      <c r="AC1472" s="12">
        <v>2</v>
      </c>
      <c r="AD1472" s="14">
        <v>2</v>
      </c>
      <c r="AE1472" s="14">
        <v>77</v>
      </c>
      <c r="AF1472" s="26">
        <v>115</v>
      </c>
      <c r="AG1472" s="12">
        <v>24</v>
      </c>
      <c r="AH1472" s="14">
        <v>0</v>
      </c>
      <c r="AI1472" s="209"/>
      <c r="AJ1472" s="3"/>
      <c r="AK1472" s="3"/>
      <c r="AL1472" s="3"/>
      <c r="AM1472" s="3"/>
      <c r="AN1472" s="3"/>
      <c r="AO1472" s="40"/>
      <c r="AP1472" s="209"/>
      <c r="AQ1472" s="3"/>
      <c r="AR1472" s="40"/>
      <c r="AS1472" s="238"/>
    </row>
    <row r="1473" spans="1:45" s="229" customFormat="1">
      <c r="A1473" s="83" t="s">
        <v>326</v>
      </c>
      <c r="B1473" s="386">
        <v>46.86</v>
      </c>
      <c r="C1473" s="24" t="s">
        <v>755</v>
      </c>
      <c r="D1473" s="229" t="s">
        <v>637</v>
      </c>
      <c r="E1473" s="229" t="s">
        <v>3</v>
      </c>
      <c r="F1473" s="229">
        <v>251</v>
      </c>
      <c r="G1473" s="40">
        <f>F1473/88</f>
        <v>2.8522727272727271</v>
      </c>
      <c r="H1473" s="14">
        <v>0</v>
      </c>
      <c r="I1473" s="229">
        <v>0</v>
      </c>
      <c r="J1473" s="229">
        <v>0</v>
      </c>
      <c r="K1473" s="26">
        <v>1</v>
      </c>
      <c r="L1473" s="14">
        <v>0</v>
      </c>
      <c r="M1473" s="229">
        <v>0</v>
      </c>
      <c r="N1473" s="229">
        <v>0</v>
      </c>
      <c r="O1473" s="229">
        <v>0</v>
      </c>
      <c r="P1473" s="26">
        <v>0</v>
      </c>
      <c r="Q1473" s="14">
        <v>0</v>
      </c>
      <c r="R1473" s="229">
        <v>0</v>
      </c>
      <c r="S1473" s="229">
        <v>0</v>
      </c>
      <c r="T1473" s="229">
        <v>0</v>
      </c>
      <c r="U1473" s="229">
        <v>0</v>
      </c>
      <c r="V1473" s="229">
        <v>0</v>
      </c>
      <c r="W1473" s="229">
        <v>0</v>
      </c>
      <c r="X1473" s="229">
        <v>0</v>
      </c>
      <c r="Y1473" s="229">
        <v>0</v>
      </c>
      <c r="Z1473" s="229">
        <v>0</v>
      </c>
      <c r="AA1473" s="229">
        <v>0</v>
      </c>
      <c r="AB1473" s="229">
        <v>0</v>
      </c>
      <c r="AC1473" s="12">
        <v>2</v>
      </c>
      <c r="AD1473" s="14">
        <v>2</v>
      </c>
      <c r="AE1473" s="14">
        <v>116</v>
      </c>
      <c r="AF1473" s="26">
        <v>133</v>
      </c>
      <c r="AG1473" s="12">
        <v>24</v>
      </c>
      <c r="AH1473" s="14">
        <v>1</v>
      </c>
      <c r="AI1473" s="209">
        <v>87.212867166111835</v>
      </c>
      <c r="AJ1473" s="3">
        <v>87.316973601984145</v>
      </c>
      <c r="AK1473" s="3"/>
      <c r="AL1473" s="3"/>
      <c r="AM1473" s="3"/>
      <c r="AN1473" s="3"/>
      <c r="AO1473" s="40"/>
      <c r="AP1473" s="209">
        <v>87.261765545129109</v>
      </c>
      <c r="AQ1473" s="3">
        <v>87.159949462460844</v>
      </c>
      <c r="AR1473" s="40"/>
      <c r="AS1473" s="238"/>
    </row>
    <row r="1474" spans="1:45" s="229" customFormat="1">
      <c r="A1474" s="83" t="s">
        <v>326</v>
      </c>
      <c r="B1474" s="386">
        <v>46.86</v>
      </c>
      <c r="C1474" s="24" t="s">
        <v>755</v>
      </c>
      <c r="D1474" s="229" t="s">
        <v>639</v>
      </c>
      <c r="F1474" s="229">
        <v>312</v>
      </c>
      <c r="G1474" s="40">
        <f>F1474/179</f>
        <v>1.7430167597765363</v>
      </c>
      <c r="H1474" s="14">
        <v>1</v>
      </c>
      <c r="I1474" s="229">
        <v>0</v>
      </c>
      <c r="J1474" s="229">
        <v>0</v>
      </c>
      <c r="K1474" s="26">
        <v>1</v>
      </c>
      <c r="L1474" s="14">
        <v>0</v>
      </c>
      <c r="M1474" s="229">
        <v>0</v>
      </c>
      <c r="N1474" s="229">
        <v>0</v>
      </c>
      <c r="O1474" s="229">
        <v>0</v>
      </c>
      <c r="P1474" s="26">
        <v>0</v>
      </c>
      <c r="Q1474" s="14">
        <v>1</v>
      </c>
      <c r="R1474" s="229">
        <v>0</v>
      </c>
      <c r="S1474" s="229">
        <v>0</v>
      </c>
      <c r="T1474" s="229">
        <v>0</v>
      </c>
      <c r="U1474" s="229">
        <v>0</v>
      </c>
      <c r="V1474" s="229">
        <v>0</v>
      </c>
      <c r="W1474" s="229">
        <v>10</v>
      </c>
      <c r="X1474" s="229">
        <v>0</v>
      </c>
      <c r="Y1474" s="229">
        <v>0</v>
      </c>
      <c r="Z1474" s="229">
        <v>0</v>
      </c>
      <c r="AA1474" s="229">
        <v>0</v>
      </c>
      <c r="AB1474" s="229">
        <v>1</v>
      </c>
      <c r="AC1474" s="12">
        <v>2</v>
      </c>
      <c r="AD1474" s="14">
        <v>3</v>
      </c>
      <c r="AE1474" s="14">
        <v>41</v>
      </c>
      <c r="AF1474" s="26">
        <v>209</v>
      </c>
      <c r="AG1474" s="12">
        <v>47</v>
      </c>
      <c r="AH1474" s="14">
        <v>0</v>
      </c>
      <c r="AI1474" s="209"/>
      <c r="AJ1474" s="3"/>
      <c r="AK1474" s="3"/>
      <c r="AL1474" s="3"/>
      <c r="AM1474" s="3"/>
      <c r="AN1474" s="3"/>
      <c r="AO1474" s="40"/>
      <c r="AP1474" s="209"/>
      <c r="AQ1474" s="3"/>
      <c r="AR1474" s="40"/>
      <c r="AS1474" s="238"/>
    </row>
    <row r="1475" spans="1:45" s="229" customFormat="1">
      <c r="A1475" s="83" t="s">
        <v>326</v>
      </c>
      <c r="B1475" s="386">
        <v>46.86</v>
      </c>
      <c r="C1475" s="24" t="s">
        <v>755</v>
      </c>
      <c r="D1475" s="229" t="s">
        <v>641</v>
      </c>
      <c r="F1475" s="229">
        <v>428</v>
      </c>
      <c r="G1475" s="40">
        <f>F1475/356</f>
        <v>1.202247191011236</v>
      </c>
      <c r="H1475" s="14">
        <v>0</v>
      </c>
      <c r="I1475" s="229">
        <v>0</v>
      </c>
      <c r="J1475" s="229">
        <v>1</v>
      </c>
      <c r="K1475" s="26">
        <v>1</v>
      </c>
      <c r="L1475" s="14">
        <v>0</v>
      </c>
      <c r="M1475" s="229">
        <v>0</v>
      </c>
      <c r="N1475" s="229">
        <v>0</v>
      </c>
      <c r="O1475" s="229">
        <v>0</v>
      </c>
      <c r="P1475" s="26">
        <v>0</v>
      </c>
      <c r="Q1475" s="14">
        <v>1</v>
      </c>
      <c r="R1475" s="229">
        <v>0</v>
      </c>
      <c r="S1475" s="229">
        <v>0</v>
      </c>
      <c r="T1475" s="229">
        <v>0</v>
      </c>
      <c r="U1475" s="229">
        <v>0</v>
      </c>
      <c r="V1475" s="229">
        <v>18</v>
      </c>
      <c r="W1475" s="229">
        <v>23</v>
      </c>
      <c r="X1475" s="229">
        <v>0</v>
      </c>
      <c r="Y1475" s="229">
        <v>0</v>
      </c>
      <c r="Z1475" s="229">
        <v>0</v>
      </c>
      <c r="AA1475" s="229">
        <v>0</v>
      </c>
      <c r="AB1475" s="229">
        <v>0</v>
      </c>
      <c r="AC1475" s="12">
        <v>2</v>
      </c>
      <c r="AD1475" s="14">
        <v>3</v>
      </c>
      <c r="AE1475" s="14">
        <v>32</v>
      </c>
      <c r="AF1475" s="26">
        <v>428</v>
      </c>
      <c r="AG1475" s="12">
        <v>52</v>
      </c>
      <c r="AH1475" s="14">
        <v>0</v>
      </c>
      <c r="AI1475" s="209"/>
      <c r="AJ1475" s="3"/>
      <c r="AK1475" s="3"/>
      <c r="AL1475" s="3"/>
      <c r="AM1475" s="3"/>
      <c r="AN1475" s="3"/>
      <c r="AO1475" s="40"/>
      <c r="AP1475" s="209"/>
      <c r="AQ1475" s="3"/>
      <c r="AR1475" s="40"/>
      <c r="AS1475" s="238"/>
    </row>
    <row r="1476" spans="1:45" s="229" customFormat="1">
      <c r="A1476" s="83" t="s">
        <v>326</v>
      </c>
      <c r="B1476" s="386">
        <v>46.86</v>
      </c>
      <c r="C1476" s="24" t="s">
        <v>755</v>
      </c>
      <c r="D1476" s="229" t="s">
        <v>647</v>
      </c>
      <c r="E1476" s="229" t="s">
        <v>0</v>
      </c>
      <c r="F1476" s="229">
        <v>121</v>
      </c>
      <c r="G1476" s="40">
        <f>F1476/63</f>
        <v>1.9206349206349207</v>
      </c>
      <c r="H1476" s="14">
        <v>1</v>
      </c>
      <c r="I1476" s="229">
        <v>0</v>
      </c>
      <c r="J1476" s="229">
        <v>0</v>
      </c>
      <c r="K1476" s="26">
        <v>0</v>
      </c>
      <c r="L1476" s="14">
        <v>0</v>
      </c>
      <c r="M1476" s="229">
        <v>0</v>
      </c>
      <c r="N1476" s="229">
        <v>0</v>
      </c>
      <c r="O1476" s="229">
        <v>0</v>
      </c>
      <c r="P1476" s="26">
        <v>0</v>
      </c>
      <c r="Q1476" s="14">
        <v>1</v>
      </c>
      <c r="R1476" s="229">
        <v>0</v>
      </c>
      <c r="S1476" s="229">
        <v>0</v>
      </c>
      <c r="T1476" s="229">
        <v>0</v>
      </c>
      <c r="U1476" s="229">
        <v>0</v>
      </c>
      <c r="V1476" s="229">
        <v>0</v>
      </c>
      <c r="W1476" s="229">
        <v>0</v>
      </c>
      <c r="X1476" s="229">
        <v>0</v>
      </c>
      <c r="Y1476" s="229">
        <v>22</v>
      </c>
      <c r="Z1476" s="229">
        <v>0</v>
      </c>
      <c r="AA1476" s="229">
        <v>0</v>
      </c>
      <c r="AB1476" s="229">
        <v>0</v>
      </c>
      <c r="AC1476" s="12">
        <v>1</v>
      </c>
      <c r="AD1476" s="14">
        <v>1</v>
      </c>
      <c r="AE1476" s="14">
        <v>0</v>
      </c>
      <c r="AF1476" s="26">
        <v>0</v>
      </c>
      <c r="AG1476" s="12">
        <v>42</v>
      </c>
      <c r="AH1476" s="14">
        <v>0</v>
      </c>
      <c r="AI1476" s="209"/>
      <c r="AJ1476" s="3"/>
      <c r="AK1476" s="3"/>
      <c r="AL1476" s="3"/>
      <c r="AM1476" s="3"/>
      <c r="AN1476" s="3"/>
      <c r="AO1476" s="40"/>
      <c r="AP1476" s="209"/>
      <c r="AQ1476" s="3"/>
      <c r="AR1476" s="40"/>
      <c r="AS1476" s="238"/>
    </row>
    <row r="1477" spans="1:45" s="229" customFormat="1">
      <c r="A1477" s="83" t="s">
        <v>326</v>
      </c>
      <c r="B1477" s="386">
        <v>46.86</v>
      </c>
      <c r="C1477" s="24" t="s">
        <v>755</v>
      </c>
      <c r="D1477" s="229" t="s">
        <v>647</v>
      </c>
      <c r="E1477" s="229" t="s">
        <v>1</v>
      </c>
      <c r="F1477" s="229">
        <v>322</v>
      </c>
      <c r="G1477" s="40">
        <f>F1477/168</f>
        <v>1.9166666666666667</v>
      </c>
      <c r="H1477" s="14">
        <v>1</v>
      </c>
      <c r="I1477" s="229">
        <v>0</v>
      </c>
      <c r="J1477" s="229">
        <v>0</v>
      </c>
      <c r="K1477" s="26">
        <v>1</v>
      </c>
      <c r="L1477" s="14">
        <v>0</v>
      </c>
      <c r="M1477" s="229">
        <v>0</v>
      </c>
      <c r="N1477" s="229">
        <v>0</v>
      </c>
      <c r="O1477" s="229">
        <v>0</v>
      </c>
      <c r="P1477" s="26">
        <v>0</v>
      </c>
      <c r="Q1477" s="14">
        <v>1</v>
      </c>
      <c r="R1477" s="229">
        <v>0</v>
      </c>
      <c r="S1477" s="229">
        <v>0</v>
      </c>
      <c r="T1477" s="229">
        <v>0</v>
      </c>
      <c r="U1477" s="229">
        <v>0</v>
      </c>
      <c r="V1477" s="229">
        <v>0</v>
      </c>
      <c r="W1477" s="229">
        <v>30</v>
      </c>
      <c r="X1477" s="229">
        <v>0</v>
      </c>
      <c r="Y1477" s="229">
        <v>0</v>
      </c>
      <c r="Z1477" s="229">
        <v>0</v>
      </c>
      <c r="AA1477" s="229">
        <v>0</v>
      </c>
      <c r="AB1477" s="229">
        <v>0</v>
      </c>
      <c r="AC1477" s="12">
        <v>2</v>
      </c>
      <c r="AD1477" s="14">
        <v>3</v>
      </c>
      <c r="AE1477" s="14">
        <v>109</v>
      </c>
      <c r="AF1477" s="26">
        <v>314</v>
      </c>
      <c r="AG1477" s="12">
        <v>42</v>
      </c>
      <c r="AH1477" s="14">
        <v>1</v>
      </c>
      <c r="AI1477" s="209"/>
      <c r="AJ1477" s="3"/>
      <c r="AK1477" s="3"/>
      <c r="AL1477" s="3"/>
      <c r="AM1477" s="3"/>
      <c r="AN1477" s="3"/>
      <c r="AO1477" s="40"/>
      <c r="AP1477" s="209"/>
      <c r="AQ1477" s="3"/>
      <c r="AR1477" s="40"/>
      <c r="AS1477" s="238"/>
    </row>
    <row r="1478" spans="1:45" s="229" customFormat="1">
      <c r="A1478" s="83" t="s">
        <v>326</v>
      </c>
      <c r="B1478" s="386">
        <v>46.86</v>
      </c>
      <c r="C1478" s="24" t="s">
        <v>755</v>
      </c>
      <c r="D1478" s="229" t="s">
        <v>649</v>
      </c>
      <c r="E1478" s="229" t="s">
        <v>0</v>
      </c>
      <c r="F1478" s="229">
        <v>229</v>
      </c>
      <c r="G1478" s="40">
        <f>F1478/96</f>
        <v>2.3854166666666665</v>
      </c>
      <c r="H1478" s="14">
        <v>1</v>
      </c>
      <c r="I1478" s="229">
        <v>0</v>
      </c>
      <c r="J1478" s="229">
        <v>0</v>
      </c>
      <c r="K1478" s="26">
        <v>0</v>
      </c>
      <c r="L1478" s="14">
        <v>0</v>
      </c>
      <c r="M1478" s="229">
        <v>0</v>
      </c>
      <c r="N1478" s="229">
        <v>0</v>
      </c>
      <c r="O1478" s="229">
        <v>0</v>
      </c>
      <c r="P1478" s="26">
        <v>0</v>
      </c>
      <c r="Q1478" s="14">
        <v>0</v>
      </c>
      <c r="R1478" s="229">
        <v>0</v>
      </c>
      <c r="S1478" s="229">
        <v>0</v>
      </c>
      <c r="T1478" s="229">
        <v>0</v>
      </c>
      <c r="U1478" s="229">
        <v>0</v>
      </c>
      <c r="V1478" s="229">
        <v>0</v>
      </c>
      <c r="W1478" s="229">
        <v>0</v>
      </c>
      <c r="X1478" s="229">
        <v>0</v>
      </c>
      <c r="Y1478" s="229">
        <v>0</v>
      </c>
      <c r="Z1478" s="229">
        <v>0</v>
      </c>
      <c r="AA1478" s="229">
        <v>0</v>
      </c>
      <c r="AB1478" s="229">
        <v>0</v>
      </c>
      <c r="AC1478" s="12">
        <v>1</v>
      </c>
      <c r="AD1478" s="14">
        <v>1</v>
      </c>
      <c r="AE1478" s="14">
        <v>0</v>
      </c>
      <c r="AF1478" s="26">
        <v>0</v>
      </c>
      <c r="AG1478" s="12">
        <v>38</v>
      </c>
      <c r="AH1478" s="14">
        <v>1</v>
      </c>
      <c r="AI1478" s="209"/>
      <c r="AJ1478" s="3"/>
      <c r="AK1478" s="3"/>
      <c r="AL1478" s="3"/>
      <c r="AM1478" s="3"/>
      <c r="AN1478" s="3"/>
      <c r="AO1478" s="40"/>
      <c r="AP1478" s="209"/>
      <c r="AQ1478" s="3"/>
      <c r="AR1478" s="40"/>
      <c r="AS1478" s="238"/>
    </row>
    <row r="1479" spans="1:45" s="229" customFormat="1">
      <c r="A1479" s="83" t="s">
        <v>326</v>
      </c>
      <c r="B1479" s="386">
        <v>46.86</v>
      </c>
      <c r="C1479" s="24" t="s">
        <v>755</v>
      </c>
      <c r="D1479" s="229" t="s">
        <v>649</v>
      </c>
      <c r="E1479" s="229" t="s">
        <v>1</v>
      </c>
      <c r="F1479" s="229">
        <v>399</v>
      </c>
      <c r="G1479" s="40">
        <f>F1479/206</f>
        <v>1.9368932038834952</v>
      </c>
      <c r="H1479" s="14">
        <v>0</v>
      </c>
      <c r="I1479" s="229">
        <v>0</v>
      </c>
      <c r="J1479" s="229">
        <v>0</v>
      </c>
      <c r="K1479" s="26">
        <v>1</v>
      </c>
      <c r="L1479" s="14">
        <v>0</v>
      </c>
      <c r="M1479" s="229">
        <v>0</v>
      </c>
      <c r="N1479" s="229">
        <v>0</v>
      </c>
      <c r="O1479" s="229">
        <v>0</v>
      </c>
      <c r="P1479" s="26">
        <v>0</v>
      </c>
      <c r="Q1479" s="14">
        <v>1</v>
      </c>
      <c r="R1479" s="229">
        <v>0</v>
      </c>
      <c r="S1479" s="229">
        <v>0</v>
      </c>
      <c r="T1479" s="229">
        <v>0</v>
      </c>
      <c r="U1479" s="229">
        <v>0</v>
      </c>
      <c r="V1479" s="229">
        <v>0</v>
      </c>
      <c r="W1479" s="229">
        <v>23</v>
      </c>
      <c r="X1479" s="229">
        <v>0</v>
      </c>
      <c r="Y1479" s="229">
        <v>0</v>
      </c>
      <c r="Z1479" s="229">
        <v>0</v>
      </c>
      <c r="AA1479" s="229">
        <v>0</v>
      </c>
      <c r="AB1479" s="229">
        <v>0</v>
      </c>
      <c r="AC1479" s="12">
        <v>2</v>
      </c>
      <c r="AD1479" s="14">
        <v>6</v>
      </c>
      <c r="AE1479" s="14">
        <v>38</v>
      </c>
      <c r="AF1479" s="26">
        <v>274</v>
      </c>
      <c r="AG1479" s="12">
        <v>38</v>
      </c>
      <c r="AH1479" s="14">
        <v>1</v>
      </c>
      <c r="AI1479" s="209"/>
      <c r="AJ1479" s="3"/>
      <c r="AK1479" s="3"/>
      <c r="AL1479" s="3"/>
      <c r="AM1479" s="3"/>
      <c r="AN1479" s="3"/>
      <c r="AO1479" s="40"/>
      <c r="AP1479" s="209"/>
      <c r="AQ1479" s="3"/>
      <c r="AR1479" s="40"/>
      <c r="AS1479" s="238"/>
    </row>
    <row r="1480" spans="1:45" s="229" customFormat="1">
      <c r="A1480" s="83" t="s">
        <v>326</v>
      </c>
      <c r="B1480" s="386">
        <v>46.86</v>
      </c>
      <c r="C1480" s="24" t="s">
        <v>755</v>
      </c>
      <c r="D1480" s="229" t="s">
        <v>670</v>
      </c>
      <c r="F1480" s="229">
        <v>340</v>
      </c>
      <c r="G1480" s="40">
        <f>F1480/325</f>
        <v>1.0461538461538462</v>
      </c>
      <c r="H1480" s="14">
        <v>0</v>
      </c>
      <c r="I1480" s="229">
        <v>0</v>
      </c>
      <c r="J1480" s="229">
        <v>0</v>
      </c>
      <c r="K1480" s="26">
        <v>1</v>
      </c>
      <c r="L1480" s="14">
        <v>0</v>
      </c>
      <c r="M1480" s="229">
        <v>0</v>
      </c>
      <c r="N1480" s="229">
        <v>1</v>
      </c>
      <c r="O1480" s="229">
        <v>0</v>
      </c>
      <c r="P1480" s="26">
        <v>1</v>
      </c>
      <c r="Q1480" s="14">
        <v>1</v>
      </c>
      <c r="R1480" s="229">
        <v>0</v>
      </c>
      <c r="S1480" s="229">
        <v>0</v>
      </c>
      <c r="T1480" s="229">
        <v>0</v>
      </c>
      <c r="U1480" s="229">
        <v>0</v>
      </c>
      <c r="V1480" s="229">
        <v>19</v>
      </c>
      <c r="W1480" s="229">
        <v>24</v>
      </c>
      <c r="X1480" s="229">
        <v>0</v>
      </c>
      <c r="Y1480" s="229">
        <v>0</v>
      </c>
      <c r="Z1480" s="229">
        <v>0</v>
      </c>
      <c r="AA1480" s="229">
        <v>0</v>
      </c>
      <c r="AB1480" s="229">
        <v>1</v>
      </c>
      <c r="AC1480" s="12">
        <v>2</v>
      </c>
      <c r="AD1480" s="14">
        <v>2</v>
      </c>
      <c r="AE1480" s="14">
        <v>55</v>
      </c>
      <c r="AF1480" s="26">
        <v>340</v>
      </c>
      <c r="AG1480" s="12">
        <v>36</v>
      </c>
      <c r="AH1480" s="14">
        <v>1</v>
      </c>
      <c r="AI1480" s="209">
        <v>87.625399317625821</v>
      </c>
      <c r="AJ1480" s="3"/>
      <c r="AK1480" s="3"/>
      <c r="AL1480" s="3"/>
      <c r="AM1480" s="3"/>
      <c r="AN1480" s="3"/>
      <c r="AO1480" s="40"/>
      <c r="AP1480" s="209">
        <v>86.923281629424366</v>
      </c>
      <c r="AQ1480" s="3"/>
      <c r="AR1480" s="40"/>
      <c r="AS1480" s="238"/>
    </row>
    <row r="1481" spans="1:45" s="229" customFormat="1">
      <c r="A1481" s="83" t="s">
        <v>326</v>
      </c>
      <c r="B1481" s="386">
        <v>46.86</v>
      </c>
      <c r="C1481" s="24" t="s">
        <v>755</v>
      </c>
      <c r="D1481" s="229" t="s">
        <v>671</v>
      </c>
      <c r="F1481" s="229">
        <v>395</v>
      </c>
      <c r="G1481" s="40">
        <f>F1481/237</f>
        <v>1.6666666666666667</v>
      </c>
      <c r="H1481" s="14">
        <v>0</v>
      </c>
      <c r="I1481" s="229">
        <v>0</v>
      </c>
      <c r="J1481" s="229">
        <v>0</v>
      </c>
      <c r="K1481" s="26">
        <v>1</v>
      </c>
      <c r="L1481" s="14">
        <v>0</v>
      </c>
      <c r="M1481" s="229">
        <v>0</v>
      </c>
      <c r="N1481" s="229">
        <v>0</v>
      </c>
      <c r="O1481" s="229">
        <v>0</v>
      </c>
      <c r="P1481" s="26">
        <v>0</v>
      </c>
      <c r="Q1481" s="14">
        <v>0</v>
      </c>
      <c r="R1481" s="229">
        <v>0</v>
      </c>
      <c r="S1481" s="229">
        <v>0</v>
      </c>
      <c r="T1481" s="229">
        <v>0</v>
      </c>
      <c r="U1481" s="229">
        <v>0</v>
      </c>
      <c r="V1481" s="229">
        <v>0</v>
      </c>
      <c r="W1481" s="229">
        <v>0</v>
      </c>
      <c r="X1481" s="229">
        <v>0</v>
      </c>
      <c r="Y1481" s="229">
        <v>0</v>
      </c>
      <c r="Z1481" s="229">
        <v>0</v>
      </c>
      <c r="AA1481" s="229">
        <v>0</v>
      </c>
      <c r="AB1481" s="229">
        <v>0</v>
      </c>
      <c r="AC1481" s="12">
        <v>2</v>
      </c>
      <c r="AD1481" s="14">
        <v>3</v>
      </c>
      <c r="AE1481" s="14">
        <v>146</v>
      </c>
      <c r="AF1481" s="26">
        <v>252</v>
      </c>
      <c r="AG1481" s="12">
        <v>56</v>
      </c>
      <c r="AH1481" s="14">
        <v>1</v>
      </c>
      <c r="AI1481" s="209"/>
      <c r="AJ1481" s="3"/>
      <c r="AK1481" s="3"/>
      <c r="AL1481" s="3"/>
      <c r="AM1481" s="3"/>
      <c r="AN1481" s="3"/>
      <c r="AO1481" s="40"/>
      <c r="AP1481" s="209"/>
      <c r="AQ1481" s="3"/>
      <c r="AR1481" s="40"/>
      <c r="AS1481" s="238"/>
    </row>
    <row r="1482" spans="1:45" s="229" customFormat="1">
      <c r="A1482" s="83" t="s">
        <v>326</v>
      </c>
      <c r="B1482" s="386">
        <v>46.86</v>
      </c>
      <c r="C1482" s="24" t="s">
        <v>755</v>
      </c>
      <c r="D1482" s="229" t="s">
        <v>672</v>
      </c>
      <c r="F1482" s="229">
        <v>281</v>
      </c>
      <c r="G1482" s="40">
        <f>F1482/170</f>
        <v>1.6529411764705881</v>
      </c>
      <c r="H1482" s="14">
        <v>0</v>
      </c>
      <c r="I1482" s="229">
        <v>0</v>
      </c>
      <c r="J1482" s="229">
        <v>0</v>
      </c>
      <c r="K1482" s="26">
        <v>1</v>
      </c>
      <c r="L1482" s="14">
        <v>0</v>
      </c>
      <c r="M1482" s="229">
        <v>0</v>
      </c>
      <c r="N1482" s="229">
        <v>0</v>
      </c>
      <c r="O1482" s="229">
        <v>0</v>
      </c>
      <c r="P1482" s="26">
        <v>0</v>
      </c>
      <c r="Q1482" s="14">
        <v>0</v>
      </c>
      <c r="R1482" s="229">
        <v>0</v>
      </c>
      <c r="S1482" s="229">
        <v>0</v>
      </c>
      <c r="T1482" s="229">
        <v>0</v>
      </c>
      <c r="U1482" s="229">
        <v>0</v>
      </c>
      <c r="V1482" s="229">
        <v>0</v>
      </c>
      <c r="W1482" s="229">
        <v>0</v>
      </c>
      <c r="X1482" s="229">
        <v>0</v>
      </c>
      <c r="Y1482" s="229">
        <v>0</v>
      </c>
      <c r="Z1482" s="229">
        <v>0</v>
      </c>
      <c r="AA1482" s="229">
        <v>0</v>
      </c>
      <c r="AB1482" s="229">
        <v>0</v>
      </c>
      <c r="AC1482" s="12">
        <v>2</v>
      </c>
      <c r="AD1482" s="14">
        <v>2</v>
      </c>
      <c r="AE1482" s="14">
        <v>157</v>
      </c>
      <c r="AF1482" s="26">
        <v>193</v>
      </c>
      <c r="AG1482" s="12">
        <v>60</v>
      </c>
      <c r="AH1482" s="14">
        <v>1</v>
      </c>
      <c r="AI1482" s="209"/>
      <c r="AJ1482" s="3"/>
      <c r="AK1482" s="3"/>
      <c r="AL1482" s="3"/>
      <c r="AM1482" s="3"/>
      <c r="AN1482" s="3"/>
      <c r="AO1482" s="40"/>
      <c r="AP1482" s="209"/>
      <c r="AQ1482" s="3"/>
      <c r="AR1482" s="40"/>
      <c r="AS1482" s="238"/>
    </row>
    <row r="1483" spans="1:45" s="229" customFormat="1">
      <c r="A1483" s="83" t="s">
        <v>326</v>
      </c>
      <c r="B1483" s="386">
        <v>46.86</v>
      </c>
      <c r="C1483" s="24" t="s">
        <v>755</v>
      </c>
      <c r="D1483" s="229" t="s">
        <v>674</v>
      </c>
      <c r="F1483" s="229">
        <v>655</v>
      </c>
      <c r="G1483" s="40">
        <f>F1483/505</f>
        <v>1.2970297029702971</v>
      </c>
      <c r="H1483" s="14">
        <v>1</v>
      </c>
      <c r="I1483" s="229">
        <v>0</v>
      </c>
      <c r="J1483" s="229">
        <v>1</v>
      </c>
      <c r="K1483" s="26">
        <v>0</v>
      </c>
      <c r="L1483" s="14">
        <v>0</v>
      </c>
      <c r="M1483" s="229">
        <v>0</v>
      </c>
      <c r="N1483" s="229">
        <v>1</v>
      </c>
      <c r="O1483" s="229">
        <v>0</v>
      </c>
      <c r="P1483" s="26">
        <v>1</v>
      </c>
      <c r="Q1483" s="14">
        <v>1</v>
      </c>
      <c r="R1483" s="229">
        <v>0</v>
      </c>
      <c r="S1483" s="229">
        <v>0</v>
      </c>
      <c r="T1483" s="229">
        <v>0</v>
      </c>
      <c r="U1483" s="229">
        <v>0</v>
      </c>
      <c r="V1483" s="229">
        <v>11</v>
      </c>
      <c r="W1483" s="229">
        <v>20</v>
      </c>
      <c r="X1483" s="229">
        <v>0</v>
      </c>
      <c r="Y1483" s="229">
        <v>0</v>
      </c>
      <c r="Z1483" s="229">
        <v>0</v>
      </c>
      <c r="AA1483" s="229">
        <v>0</v>
      </c>
      <c r="AB1483" s="229">
        <v>0</v>
      </c>
      <c r="AC1483" s="12">
        <v>2</v>
      </c>
      <c r="AD1483" s="14">
        <v>6</v>
      </c>
      <c r="AE1483" s="14">
        <v>75</v>
      </c>
      <c r="AF1483" s="26">
        <v>512</v>
      </c>
      <c r="AG1483" s="12">
        <v>83</v>
      </c>
      <c r="AH1483" s="14">
        <v>1</v>
      </c>
      <c r="AI1483" s="209">
        <v>87.794068671021918</v>
      </c>
      <c r="AJ1483" s="3"/>
      <c r="AK1483" s="3"/>
      <c r="AL1483" s="3"/>
      <c r="AM1483" s="3"/>
      <c r="AN1483" s="3"/>
      <c r="AO1483" s="40"/>
      <c r="AP1483" s="209">
        <v>86.729852143332337</v>
      </c>
      <c r="AQ1483" s="3"/>
      <c r="AR1483" s="40"/>
      <c r="AS1483" s="238"/>
    </row>
    <row r="1484" spans="1:45" s="229" customFormat="1">
      <c r="A1484" s="83" t="s">
        <v>326</v>
      </c>
      <c r="B1484" s="386">
        <v>46.86</v>
      </c>
      <c r="C1484" s="24" t="s">
        <v>755</v>
      </c>
      <c r="D1484" s="229" t="s">
        <v>677</v>
      </c>
      <c r="F1484" s="229">
        <v>720</v>
      </c>
      <c r="G1484" s="40">
        <f>F1484/377</f>
        <v>1.909814323607427</v>
      </c>
      <c r="H1484" s="14">
        <v>1</v>
      </c>
      <c r="I1484" s="229">
        <v>0</v>
      </c>
      <c r="J1484" s="229">
        <v>0</v>
      </c>
      <c r="K1484" s="26">
        <v>1</v>
      </c>
      <c r="L1484" s="14">
        <v>0</v>
      </c>
      <c r="M1484" s="229">
        <v>0</v>
      </c>
      <c r="N1484" s="229">
        <v>0</v>
      </c>
      <c r="O1484" s="229">
        <v>0</v>
      </c>
      <c r="P1484" s="26">
        <v>0</v>
      </c>
      <c r="Q1484" s="14">
        <v>2</v>
      </c>
      <c r="R1484" s="229">
        <v>0</v>
      </c>
      <c r="S1484" s="229">
        <v>0</v>
      </c>
      <c r="T1484" s="229">
        <v>0</v>
      </c>
      <c r="U1484" s="229">
        <v>0</v>
      </c>
      <c r="V1484" s="229">
        <v>0</v>
      </c>
      <c r="W1484" s="229">
        <v>96</v>
      </c>
      <c r="X1484" s="229">
        <v>0</v>
      </c>
      <c r="Y1484" s="229">
        <v>0</v>
      </c>
      <c r="Z1484" s="229">
        <v>0</v>
      </c>
      <c r="AA1484" s="229">
        <v>0</v>
      </c>
      <c r="AB1484" s="229">
        <v>0</v>
      </c>
      <c r="AC1484" s="12">
        <v>2</v>
      </c>
      <c r="AD1484" s="14">
        <v>2</v>
      </c>
      <c r="AE1484" s="14">
        <v>370</v>
      </c>
      <c r="AF1484" s="26">
        <v>390</v>
      </c>
      <c r="AG1484" s="12">
        <v>53</v>
      </c>
      <c r="AH1484" s="14">
        <v>1</v>
      </c>
      <c r="AI1484" s="209"/>
      <c r="AJ1484" s="3"/>
      <c r="AK1484" s="3"/>
      <c r="AL1484" s="3"/>
      <c r="AM1484" s="3"/>
      <c r="AN1484" s="3"/>
      <c r="AO1484" s="40"/>
      <c r="AP1484" s="209"/>
      <c r="AQ1484" s="3"/>
      <c r="AR1484" s="40"/>
      <c r="AS1484" s="238"/>
    </row>
    <row r="1485" spans="1:45" s="229" customFormat="1">
      <c r="A1485" s="83" t="s">
        <v>326</v>
      </c>
      <c r="B1485" s="386">
        <v>46.86</v>
      </c>
      <c r="C1485" s="24" t="s">
        <v>755</v>
      </c>
      <c r="D1485" s="229" t="s">
        <v>678</v>
      </c>
      <c r="F1485" s="229">
        <v>617</v>
      </c>
      <c r="G1485" s="40">
        <f>F1485/339</f>
        <v>1.8200589970501475</v>
      </c>
      <c r="H1485" s="14">
        <v>1</v>
      </c>
      <c r="I1485" s="229">
        <v>0</v>
      </c>
      <c r="J1485" s="229">
        <v>0</v>
      </c>
      <c r="K1485" s="26">
        <v>0</v>
      </c>
      <c r="L1485" s="14">
        <v>0</v>
      </c>
      <c r="M1485" s="229">
        <v>0</v>
      </c>
      <c r="N1485" s="229">
        <v>0</v>
      </c>
      <c r="O1485" s="229">
        <v>0</v>
      </c>
      <c r="P1485" s="26">
        <v>0</v>
      </c>
      <c r="Q1485" s="14">
        <v>0</v>
      </c>
      <c r="R1485" s="229">
        <v>0</v>
      </c>
      <c r="S1485" s="229">
        <v>0</v>
      </c>
      <c r="T1485" s="229">
        <v>0</v>
      </c>
      <c r="U1485" s="229">
        <v>0</v>
      </c>
      <c r="V1485" s="229">
        <v>0</v>
      </c>
      <c r="W1485" s="229">
        <v>0</v>
      </c>
      <c r="X1485" s="229">
        <v>0</v>
      </c>
      <c r="Y1485" s="229">
        <v>0</v>
      </c>
      <c r="Z1485" s="229">
        <v>0</v>
      </c>
      <c r="AA1485" s="229">
        <v>0</v>
      </c>
      <c r="AB1485" s="229">
        <v>0</v>
      </c>
      <c r="AC1485" s="12">
        <v>1</v>
      </c>
      <c r="AD1485" s="14">
        <v>1</v>
      </c>
      <c r="AE1485" s="14">
        <v>0</v>
      </c>
      <c r="AF1485" s="26">
        <v>0</v>
      </c>
      <c r="AG1485" s="12">
        <v>41</v>
      </c>
      <c r="AH1485" s="14">
        <v>0</v>
      </c>
      <c r="AI1485" s="209"/>
      <c r="AJ1485" s="3"/>
      <c r="AK1485" s="3"/>
      <c r="AL1485" s="3"/>
      <c r="AM1485" s="3"/>
      <c r="AN1485" s="3"/>
      <c r="AO1485" s="40"/>
      <c r="AP1485" s="209"/>
      <c r="AQ1485" s="3"/>
      <c r="AR1485" s="40"/>
      <c r="AS1485" s="238"/>
    </row>
    <row r="1486" spans="1:45" s="229" customFormat="1">
      <c r="A1486" s="83" t="s">
        <v>326</v>
      </c>
      <c r="B1486" s="386">
        <v>46.86</v>
      </c>
      <c r="C1486" s="24" t="s">
        <v>755</v>
      </c>
      <c r="D1486" s="229" t="s">
        <v>680</v>
      </c>
      <c r="E1486" s="229" t="s">
        <v>0</v>
      </c>
      <c r="F1486" s="229">
        <v>1318</v>
      </c>
      <c r="G1486" s="40">
        <f>F1486/750</f>
        <v>1.7573333333333334</v>
      </c>
      <c r="H1486" s="14">
        <v>0</v>
      </c>
      <c r="I1486" s="229">
        <v>0</v>
      </c>
      <c r="J1486" s="229">
        <v>1</v>
      </c>
      <c r="K1486" s="26">
        <v>0</v>
      </c>
      <c r="L1486" s="14">
        <v>0</v>
      </c>
      <c r="M1486" s="229">
        <v>0</v>
      </c>
      <c r="N1486" s="229">
        <v>0</v>
      </c>
      <c r="O1486" s="229">
        <v>0</v>
      </c>
      <c r="P1486" s="26">
        <v>0</v>
      </c>
      <c r="Q1486" s="14">
        <v>0</v>
      </c>
      <c r="R1486" s="229">
        <v>0</v>
      </c>
      <c r="S1486" s="229">
        <v>0</v>
      </c>
      <c r="T1486" s="229">
        <v>0</v>
      </c>
      <c r="U1486" s="229">
        <v>0</v>
      </c>
      <c r="V1486" s="229">
        <v>0</v>
      </c>
      <c r="W1486" s="229">
        <v>0</v>
      </c>
      <c r="X1486" s="229">
        <v>0</v>
      </c>
      <c r="Y1486" s="229">
        <v>0</v>
      </c>
      <c r="Z1486" s="229">
        <v>0</v>
      </c>
      <c r="AA1486" s="229">
        <v>0</v>
      </c>
      <c r="AB1486" s="229">
        <v>0</v>
      </c>
      <c r="AC1486" s="12">
        <v>1</v>
      </c>
      <c r="AD1486" s="14">
        <v>1</v>
      </c>
      <c r="AE1486" s="14">
        <v>0</v>
      </c>
      <c r="AF1486" s="26">
        <v>0</v>
      </c>
      <c r="AG1486" s="12">
        <v>34</v>
      </c>
      <c r="AH1486" s="14">
        <v>1</v>
      </c>
      <c r="AI1486" s="209">
        <v>87.496027804803475</v>
      </c>
      <c r="AJ1486" s="3"/>
      <c r="AK1486" s="3"/>
      <c r="AL1486" s="3"/>
      <c r="AM1486" s="3"/>
      <c r="AN1486" s="3"/>
      <c r="AO1486" s="40"/>
      <c r="AP1486" s="209">
        <v>87.22213319493946</v>
      </c>
      <c r="AQ1486" s="3"/>
      <c r="AR1486" s="40"/>
      <c r="AS1486" s="238"/>
    </row>
    <row r="1487" spans="1:45" s="229" customFormat="1">
      <c r="A1487" s="83" t="s">
        <v>326</v>
      </c>
      <c r="B1487" s="386">
        <v>46.86</v>
      </c>
      <c r="C1487" s="24" t="s">
        <v>755</v>
      </c>
      <c r="D1487" s="24" t="s">
        <v>680</v>
      </c>
      <c r="E1487" s="229" t="s">
        <v>1</v>
      </c>
      <c r="F1487" s="229">
        <v>843</v>
      </c>
      <c r="G1487" s="40">
        <f>F1487/580</f>
        <v>1.453448275862069</v>
      </c>
      <c r="H1487" s="14">
        <v>0</v>
      </c>
      <c r="I1487" s="229">
        <v>0</v>
      </c>
      <c r="J1487" s="229">
        <v>1</v>
      </c>
      <c r="K1487" s="26">
        <v>0</v>
      </c>
      <c r="L1487" s="14">
        <v>0</v>
      </c>
      <c r="M1487" s="229">
        <v>0</v>
      </c>
      <c r="N1487" s="229">
        <v>0</v>
      </c>
      <c r="O1487" s="229">
        <v>0</v>
      </c>
      <c r="P1487" s="26">
        <v>0</v>
      </c>
      <c r="Q1487" s="14">
        <v>1</v>
      </c>
      <c r="R1487" s="229">
        <v>0</v>
      </c>
      <c r="S1487" s="229">
        <v>0</v>
      </c>
      <c r="T1487" s="229">
        <v>0</v>
      </c>
      <c r="U1487" s="229">
        <v>0</v>
      </c>
      <c r="V1487" s="229">
        <v>21</v>
      </c>
      <c r="W1487" s="229">
        <v>48</v>
      </c>
      <c r="X1487" s="229">
        <v>0</v>
      </c>
      <c r="Y1487" s="229">
        <v>0</v>
      </c>
      <c r="Z1487" s="229">
        <v>0</v>
      </c>
      <c r="AA1487" s="229">
        <v>0</v>
      </c>
      <c r="AB1487" s="229">
        <v>1</v>
      </c>
      <c r="AC1487" s="12">
        <v>1</v>
      </c>
      <c r="AD1487" s="14">
        <v>1</v>
      </c>
      <c r="AE1487" s="14">
        <v>0</v>
      </c>
      <c r="AF1487" s="26">
        <v>0</v>
      </c>
      <c r="AG1487" s="12">
        <v>34</v>
      </c>
      <c r="AH1487" s="14">
        <v>0</v>
      </c>
      <c r="AI1487" s="209">
        <v>87.523378020276184</v>
      </c>
      <c r="AJ1487" s="3"/>
      <c r="AK1487" s="3"/>
      <c r="AL1487" s="3"/>
      <c r="AM1487" s="3"/>
      <c r="AN1487" s="3"/>
      <c r="AO1487" s="40"/>
      <c r="AP1487" s="209">
        <v>87.153535639731984</v>
      </c>
      <c r="AQ1487" s="3"/>
      <c r="AR1487" s="40"/>
      <c r="AS1487" s="238"/>
    </row>
    <row r="1488" spans="1:45" s="229" customFormat="1">
      <c r="A1488" s="83" t="s">
        <v>326</v>
      </c>
      <c r="B1488" s="386">
        <v>46.86</v>
      </c>
      <c r="C1488" s="24" t="s">
        <v>755</v>
      </c>
      <c r="D1488" s="229" t="s">
        <v>681</v>
      </c>
      <c r="E1488" s="229" t="s">
        <v>0</v>
      </c>
      <c r="F1488" s="229">
        <v>194</v>
      </c>
      <c r="G1488" s="40">
        <f>F1488/129</f>
        <v>1.5038759689922481</v>
      </c>
      <c r="H1488" s="14">
        <v>1</v>
      </c>
      <c r="I1488" s="229">
        <v>0</v>
      </c>
      <c r="J1488" s="229">
        <v>0</v>
      </c>
      <c r="K1488" s="26">
        <v>0</v>
      </c>
      <c r="L1488" s="14">
        <v>0</v>
      </c>
      <c r="M1488" s="229">
        <v>0</v>
      </c>
      <c r="N1488" s="229">
        <v>0</v>
      </c>
      <c r="O1488" s="229">
        <v>0</v>
      </c>
      <c r="P1488" s="26">
        <v>0</v>
      </c>
      <c r="Q1488" s="14">
        <v>0</v>
      </c>
      <c r="R1488" s="229">
        <v>0</v>
      </c>
      <c r="S1488" s="229">
        <v>0</v>
      </c>
      <c r="T1488" s="229">
        <v>0</v>
      </c>
      <c r="U1488" s="229">
        <v>0</v>
      </c>
      <c r="V1488" s="229">
        <v>0</v>
      </c>
      <c r="W1488" s="229">
        <v>0</v>
      </c>
      <c r="X1488" s="229">
        <v>0</v>
      </c>
      <c r="Y1488" s="229">
        <v>0</v>
      </c>
      <c r="Z1488" s="229">
        <v>0</v>
      </c>
      <c r="AA1488" s="229">
        <v>0</v>
      </c>
      <c r="AB1488" s="229">
        <v>0</v>
      </c>
      <c r="AC1488" s="12">
        <v>1</v>
      </c>
      <c r="AD1488" s="14">
        <v>1</v>
      </c>
      <c r="AE1488" s="14">
        <v>0</v>
      </c>
      <c r="AF1488" s="26">
        <v>0</v>
      </c>
      <c r="AG1488" s="12">
        <v>42</v>
      </c>
      <c r="AH1488" s="14">
        <v>0</v>
      </c>
      <c r="AI1488" s="209"/>
      <c r="AJ1488" s="3"/>
      <c r="AK1488" s="3"/>
      <c r="AL1488" s="3"/>
      <c r="AM1488" s="3"/>
      <c r="AN1488" s="3"/>
      <c r="AO1488" s="40"/>
      <c r="AP1488" s="209"/>
      <c r="AQ1488" s="3"/>
      <c r="AR1488" s="40"/>
      <c r="AS1488" s="238"/>
    </row>
    <row r="1489" spans="1:45" s="229" customFormat="1">
      <c r="A1489" s="83" t="s">
        <v>326</v>
      </c>
      <c r="B1489" s="386">
        <v>46.86</v>
      </c>
      <c r="C1489" s="24" t="s">
        <v>755</v>
      </c>
      <c r="D1489" s="229" t="s">
        <v>681</v>
      </c>
      <c r="E1489" s="229" t="s">
        <v>1</v>
      </c>
      <c r="F1489" s="229">
        <v>238</v>
      </c>
      <c r="G1489" s="40">
        <f>F1489/122</f>
        <v>1.9508196721311475</v>
      </c>
      <c r="H1489" s="14">
        <v>0</v>
      </c>
      <c r="I1489" s="229">
        <v>0</v>
      </c>
      <c r="J1489" s="229">
        <v>1</v>
      </c>
      <c r="K1489" s="26">
        <v>0</v>
      </c>
      <c r="L1489" s="14">
        <v>0</v>
      </c>
      <c r="M1489" s="229">
        <v>0</v>
      </c>
      <c r="N1489" s="229">
        <v>0</v>
      </c>
      <c r="O1489" s="229">
        <v>0</v>
      </c>
      <c r="P1489" s="26">
        <v>0</v>
      </c>
      <c r="Q1489" s="14">
        <v>10</v>
      </c>
      <c r="R1489" s="229">
        <v>0</v>
      </c>
      <c r="S1489" s="229">
        <v>0</v>
      </c>
      <c r="T1489" s="229">
        <v>0</v>
      </c>
      <c r="U1489" s="229">
        <v>0</v>
      </c>
      <c r="V1489" s="229">
        <v>0</v>
      </c>
      <c r="W1489" s="229">
        <v>42</v>
      </c>
      <c r="X1489" s="229">
        <v>0</v>
      </c>
      <c r="Y1489" s="229">
        <v>0</v>
      </c>
      <c r="Z1489" s="229">
        <v>0</v>
      </c>
      <c r="AA1489" s="229">
        <v>0</v>
      </c>
      <c r="AB1489" s="229">
        <v>0</v>
      </c>
      <c r="AC1489" s="12">
        <v>1</v>
      </c>
      <c r="AD1489" s="14">
        <v>1</v>
      </c>
      <c r="AE1489" s="14">
        <v>0</v>
      </c>
      <c r="AF1489" s="26">
        <v>0</v>
      </c>
      <c r="AG1489" s="12">
        <v>42</v>
      </c>
      <c r="AH1489" s="14">
        <v>1</v>
      </c>
      <c r="AI1489" s="209">
        <v>87.141150871932965</v>
      </c>
      <c r="AJ1489" s="3"/>
      <c r="AK1489" s="3"/>
      <c r="AL1489" s="3"/>
      <c r="AM1489" s="3"/>
      <c r="AN1489" s="3"/>
      <c r="AO1489" s="40"/>
      <c r="AP1489" s="209">
        <v>87.105376892516176</v>
      </c>
      <c r="AQ1489" s="3"/>
      <c r="AR1489" s="40"/>
      <c r="AS1489" s="238"/>
    </row>
    <row r="1490" spans="1:45" s="229" customFormat="1">
      <c r="A1490" s="83" t="s">
        <v>326</v>
      </c>
      <c r="B1490" s="386">
        <v>46.86</v>
      </c>
      <c r="C1490" s="24" t="s">
        <v>755</v>
      </c>
      <c r="D1490" s="229" t="s">
        <v>681</v>
      </c>
      <c r="E1490" s="229" t="s">
        <v>2</v>
      </c>
      <c r="F1490" s="229">
        <v>90</v>
      </c>
      <c r="G1490" s="40">
        <f>F1490/54</f>
        <v>1.6666666666666667</v>
      </c>
      <c r="H1490" s="14">
        <v>0</v>
      </c>
      <c r="I1490" s="229">
        <v>0</v>
      </c>
      <c r="J1490" s="229">
        <v>1</v>
      </c>
      <c r="K1490" s="26">
        <v>0</v>
      </c>
      <c r="L1490" s="14">
        <v>0</v>
      </c>
      <c r="M1490" s="229">
        <v>0</v>
      </c>
      <c r="N1490" s="229">
        <v>0</v>
      </c>
      <c r="O1490" s="229">
        <v>0</v>
      </c>
      <c r="P1490" s="26">
        <v>0</v>
      </c>
      <c r="Q1490" s="14">
        <v>0</v>
      </c>
      <c r="R1490" s="229">
        <v>0</v>
      </c>
      <c r="S1490" s="229">
        <v>0</v>
      </c>
      <c r="T1490" s="229">
        <v>0</v>
      </c>
      <c r="U1490" s="229">
        <v>0</v>
      </c>
      <c r="V1490" s="229">
        <v>0</v>
      </c>
      <c r="W1490" s="229">
        <v>0</v>
      </c>
      <c r="X1490" s="229">
        <v>0</v>
      </c>
      <c r="Y1490" s="229">
        <v>0</v>
      </c>
      <c r="Z1490" s="229">
        <v>0</v>
      </c>
      <c r="AA1490" s="229">
        <v>0</v>
      </c>
      <c r="AB1490" s="229">
        <v>0</v>
      </c>
      <c r="AC1490" s="12">
        <v>1</v>
      </c>
      <c r="AD1490" s="14">
        <v>1</v>
      </c>
      <c r="AE1490" s="14"/>
      <c r="AF1490" s="26"/>
      <c r="AG1490" s="12">
        <v>42</v>
      </c>
      <c r="AH1490" s="14">
        <v>0</v>
      </c>
      <c r="AI1490" s="209">
        <v>87.1</v>
      </c>
      <c r="AJ1490" s="3"/>
      <c r="AK1490" s="3"/>
      <c r="AL1490" s="3"/>
      <c r="AM1490" s="3"/>
      <c r="AN1490" s="3"/>
      <c r="AO1490" s="40"/>
      <c r="AP1490" s="209"/>
      <c r="AQ1490" s="3"/>
      <c r="AR1490" s="40"/>
      <c r="AS1490" s="238"/>
    </row>
    <row r="1491" spans="1:45" s="229" customFormat="1">
      <c r="A1491" s="83" t="s">
        <v>326</v>
      </c>
      <c r="B1491" s="386">
        <v>46.86</v>
      </c>
      <c r="C1491" s="24" t="s">
        <v>755</v>
      </c>
      <c r="D1491" s="229" t="s">
        <v>681</v>
      </c>
      <c r="E1491" s="229" t="s">
        <v>3</v>
      </c>
      <c r="F1491" s="229">
        <v>117</v>
      </c>
      <c r="G1491" s="40">
        <f>F1491/67</f>
        <v>1.7462686567164178</v>
      </c>
      <c r="H1491" s="14">
        <v>0</v>
      </c>
      <c r="I1491" s="229">
        <v>0</v>
      </c>
      <c r="J1491" s="229">
        <v>1</v>
      </c>
      <c r="K1491" s="26">
        <v>0</v>
      </c>
      <c r="L1491" s="14">
        <v>0</v>
      </c>
      <c r="M1491" s="229">
        <v>0</v>
      </c>
      <c r="N1491" s="229">
        <v>0</v>
      </c>
      <c r="O1491" s="229">
        <v>0</v>
      </c>
      <c r="P1491" s="26">
        <v>0</v>
      </c>
      <c r="Q1491" s="14">
        <v>0</v>
      </c>
      <c r="R1491" s="229">
        <v>0</v>
      </c>
      <c r="S1491" s="229">
        <v>0</v>
      </c>
      <c r="T1491" s="229">
        <v>0</v>
      </c>
      <c r="U1491" s="229">
        <v>0</v>
      </c>
      <c r="V1491" s="229">
        <v>0</v>
      </c>
      <c r="W1491" s="229">
        <v>0</v>
      </c>
      <c r="X1491" s="229">
        <v>0</v>
      </c>
      <c r="Y1491" s="229">
        <v>0</v>
      </c>
      <c r="Z1491" s="229">
        <v>0</v>
      </c>
      <c r="AA1491" s="229">
        <v>0</v>
      </c>
      <c r="AB1491" s="229">
        <v>0</v>
      </c>
      <c r="AC1491" s="12">
        <v>1</v>
      </c>
      <c r="AD1491" s="14">
        <v>1</v>
      </c>
      <c r="AE1491" s="14"/>
      <c r="AF1491" s="26"/>
      <c r="AG1491" s="12">
        <v>42</v>
      </c>
      <c r="AH1491" s="14">
        <v>1</v>
      </c>
      <c r="AI1491" s="209">
        <v>87.2</v>
      </c>
      <c r="AJ1491" s="3"/>
      <c r="AK1491" s="3"/>
      <c r="AL1491" s="3"/>
      <c r="AM1491" s="3"/>
      <c r="AN1491" s="3"/>
      <c r="AO1491" s="40"/>
      <c r="AP1491" s="209"/>
      <c r="AQ1491" s="3"/>
      <c r="AR1491" s="40"/>
      <c r="AS1491" s="238"/>
    </row>
    <row r="1492" spans="1:45" s="229" customFormat="1">
      <c r="A1492" s="83" t="s">
        <v>326</v>
      </c>
      <c r="B1492" s="386">
        <v>46.86</v>
      </c>
      <c r="C1492" s="24" t="s">
        <v>755</v>
      </c>
      <c r="D1492" s="229" t="s">
        <v>684</v>
      </c>
      <c r="E1492" s="229" t="s">
        <v>0</v>
      </c>
      <c r="F1492" s="229">
        <v>701</v>
      </c>
      <c r="G1492" s="40">
        <f>F1492/252</f>
        <v>2.7817460317460316</v>
      </c>
      <c r="H1492" s="14">
        <v>1</v>
      </c>
      <c r="I1492" s="229">
        <v>0</v>
      </c>
      <c r="J1492" s="229">
        <v>0</v>
      </c>
      <c r="K1492" s="26">
        <v>1</v>
      </c>
      <c r="L1492" s="14">
        <v>0</v>
      </c>
      <c r="M1492" s="229">
        <v>0</v>
      </c>
      <c r="N1492" s="229">
        <v>0</v>
      </c>
      <c r="O1492" s="229">
        <v>0</v>
      </c>
      <c r="P1492" s="26">
        <v>0</v>
      </c>
      <c r="Q1492" s="14">
        <v>0</v>
      </c>
      <c r="R1492" s="229">
        <v>0</v>
      </c>
      <c r="S1492" s="229">
        <v>0</v>
      </c>
      <c r="T1492" s="229">
        <v>0</v>
      </c>
      <c r="U1492" s="229">
        <v>0</v>
      </c>
      <c r="V1492" s="229">
        <v>0</v>
      </c>
      <c r="W1492" s="229">
        <v>0</v>
      </c>
      <c r="X1492" s="229">
        <v>0</v>
      </c>
      <c r="Y1492" s="229">
        <v>0</v>
      </c>
      <c r="Z1492" s="229">
        <v>0</v>
      </c>
      <c r="AA1492" s="229">
        <v>0</v>
      </c>
      <c r="AB1492" s="229">
        <v>0</v>
      </c>
      <c r="AC1492" s="12">
        <v>2</v>
      </c>
      <c r="AD1492" s="14">
        <v>12</v>
      </c>
      <c r="AE1492" s="14">
        <v>59</v>
      </c>
      <c r="AF1492" s="26">
        <v>299</v>
      </c>
      <c r="AG1492" s="12">
        <v>73</v>
      </c>
      <c r="AH1492" s="14">
        <v>1</v>
      </c>
      <c r="AI1492" s="209"/>
      <c r="AJ1492" s="3"/>
      <c r="AK1492" s="3"/>
      <c r="AL1492" s="3"/>
      <c r="AM1492" s="3"/>
      <c r="AN1492" s="3"/>
      <c r="AO1492" s="40"/>
      <c r="AP1492" s="209"/>
      <c r="AQ1492" s="3"/>
      <c r="AR1492" s="40"/>
      <c r="AS1492" s="238"/>
    </row>
    <row r="1493" spans="1:45" s="229" customFormat="1">
      <c r="A1493" s="83" t="s">
        <v>326</v>
      </c>
      <c r="B1493" s="386">
        <v>46.86</v>
      </c>
      <c r="C1493" s="24" t="s">
        <v>755</v>
      </c>
      <c r="D1493" s="229" t="s">
        <v>684</v>
      </c>
      <c r="E1493" s="229" t="s">
        <v>1</v>
      </c>
      <c r="F1493" s="229">
        <v>257</v>
      </c>
      <c r="G1493" s="40">
        <f>F1493/172</f>
        <v>1.4941860465116279</v>
      </c>
      <c r="H1493" s="14">
        <v>0</v>
      </c>
      <c r="I1493" s="229">
        <v>0</v>
      </c>
      <c r="J1493" s="229">
        <v>0</v>
      </c>
      <c r="K1493" s="26">
        <v>1</v>
      </c>
      <c r="L1493" s="14">
        <v>0</v>
      </c>
      <c r="M1493" s="229">
        <v>0</v>
      </c>
      <c r="N1493" s="229">
        <v>0</v>
      </c>
      <c r="O1493" s="229">
        <v>0</v>
      </c>
      <c r="P1493" s="26">
        <v>0</v>
      </c>
      <c r="Q1493" s="14">
        <v>0</v>
      </c>
      <c r="R1493" s="229">
        <v>0</v>
      </c>
      <c r="S1493" s="229">
        <v>0</v>
      </c>
      <c r="T1493" s="229">
        <v>0</v>
      </c>
      <c r="U1493" s="229">
        <v>0</v>
      </c>
      <c r="V1493" s="229">
        <v>0</v>
      </c>
      <c r="W1493" s="229">
        <v>0</v>
      </c>
      <c r="X1493" s="229">
        <v>0</v>
      </c>
      <c r="Y1493" s="229">
        <v>0</v>
      </c>
      <c r="Z1493" s="229">
        <v>0</v>
      </c>
      <c r="AA1493" s="229">
        <v>0</v>
      </c>
      <c r="AB1493" s="229">
        <v>0</v>
      </c>
      <c r="AC1493" s="12">
        <v>2</v>
      </c>
      <c r="AD1493" s="14">
        <v>7</v>
      </c>
      <c r="AE1493" s="14">
        <v>56</v>
      </c>
      <c r="AF1493" s="26">
        <v>116</v>
      </c>
      <c r="AG1493" s="12">
        <v>73</v>
      </c>
      <c r="AH1493" s="14">
        <v>1</v>
      </c>
      <c r="AI1493" s="209"/>
      <c r="AJ1493" s="3"/>
      <c r="AK1493" s="3"/>
      <c r="AL1493" s="3"/>
      <c r="AM1493" s="3"/>
      <c r="AN1493" s="3"/>
      <c r="AO1493" s="40"/>
      <c r="AP1493" s="209"/>
      <c r="AQ1493" s="3"/>
      <c r="AR1493" s="40"/>
      <c r="AS1493" s="238"/>
    </row>
    <row r="1494" spans="1:45" s="229" customFormat="1">
      <c r="A1494" s="83" t="s">
        <v>326</v>
      </c>
      <c r="B1494" s="386">
        <v>46.86</v>
      </c>
      <c r="C1494" s="24" t="s">
        <v>755</v>
      </c>
      <c r="D1494" s="229" t="s">
        <v>684</v>
      </c>
      <c r="E1494" s="229" t="s">
        <v>2</v>
      </c>
      <c r="F1494" s="229">
        <v>200</v>
      </c>
      <c r="G1494" s="40">
        <f>F1494/151</f>
        <v>1.3245033112582782</v>
      </c>
      <c r="H1494" s="14">
        <v>0</v>
      </c>
      <c r="I1494" s="229">
        <v>0</v>
      </c>
      <c r="J1494" s="229">
        <v>0</v>
      </c>
      <c r="K1494" s="26">
        <v>1</v>
      </c>
      <c r="L1494" s="14">
        <v>0</v>
      </c>
      <c r="M1494" s="229">
        <v>0</v>
      </c>
      <c r="N1494" s="229">
        <v>0</v>
      </c>
      <c r="O1494" s="229">
        <v>0</v>
      </c>
      <c r="P1494" s="26">
        <v>0</v>
      </c>
      <c r="Q1494" s="14">
        <v>0</v>
      </c>
      <c r="R1494" s="229">
        <v>0</v>
      </c>
      <c r="S1494" s="229">
        <v>0</v>
      </c>
      <c r="T1494" s="229">
        <v>0</v>
      </c>
      <c r="U1494" s="229">
        <v>0</v>
      </c>
      <c r="V1494" s="229">
        <v>0</v>
      </c>
      <c r="W1494" s="229">
        <v>0</v>
      </c>
      <c r="X1494" s="229">
        <v>0</v>
      </c>
      <c r="Y1494" s="229">
        <v>0</v>
      </c>
      <c r="Z1494" s="229">
        <v>0</v>
      </c>
      <c r="AA1494" s="229">
        <v>0</v>
      </c>
      <c r="AB1494" s="229">
        <v>0</v>
      </c>
      <c r="AC1494" s="12">
        <v>1</v>
      </c>
      <c r="AD1494" s="14">
        <v>1</v>
      </c>
      <c r="AE1494" s="14">
        <v>0</v>
      </c>
      <c r="AF1494" s="26">
        <v>0</v>
      </c>
      <c r="AG1494" s="12">
        <v>73</v>
      </c>
      <c r="AH1494" s="14">
        <v>1</v>
      </c>
      <c r="AI1494" s="209"/>
      <c r="AJ1494" s="3"/>
      <c r="AK1494" s="3"/>
      <c r="AL1494" s="3"/>
      <c r="AM1494" s="3"/>
      <c r="AN1494" s="3"/>
      <c r="AO1494" s="40"/>
      <c r="AP1494" s="209"/>
      <c r="AQ1494" s="3"/>
      <c r="AR1494" s="40"/>
      <c r="AS1494" s="238"/>
    </row>
    <row r="1495" spans="1:45" s="229" customFormat="1">
      <c r="A1495" s="83" t="s">
        <v>326</v>
      </c>
      <c r="B1495" s="386">
        <v>46.86</v>
      </c>
      <c r="C1495" s="24" t="s">
        <v>755</v>
      </c>
      <c r="D1495" s="229" t="s">
        <v>686</v>
      </c>
      <c r="F1495" s="229">
        <v>976</v>
      </c>
      <c r="G1495" s="40">
        <f>F1495/732</f>
        <v>1.3333333333333333</v>
      </c>
      <c r="H1495" s="14">
        <v>0</v>
      </c>
      <c r="I1495" s="229">
        <v>0</v>
      </c>
      <c r="J1495" s="229">
        <v>1</v>
      </c>
      <c r="K1495" s="26">
        <v>0</v>
      </c>
      <c r="L1495" s="14">
        <v>0</v>
      </c>
      <c r="M1495" s="229">
        <v>0</v>
      </c>
      <c r="N1495" s="229">
        <v>0</v>
      </c>
      <c r="O1495" s="229">
        <v>0</v>
      </c>
      <c r="P1495" s="26">
        <v>0</v>
      </c>
      <c r="Q1495" s="14">
        <v>1</v>
      </c>
      <c r="R1495" s="229">
        <v>0</v>
      </c>
      <c r="S1495" s="229">
        <v>17</v>
      </c>
      <c r="T1495" s="229">
        <v>0</v>
      </c>
      <c r="U1495" s="229">
        <v>0</v>
      </c>
      <c r="V1495" s="229">
        <v>0</v>
      </c>
      <c r="W1495" s="229">
        <v>28</v>
      </c>
      <c r="X1495" s="229">
        <v>0</v>
      </c>
      <c r="Y1495" s="229">
        <v>0</v>
      </c>
      <c r="Z1495" s="229">
        <v>0</v>
      </c>
      <c r="AA1495" s="229">
        <v>0</v>
      </c>
      <c r="AB1495" s="229">
        <v>1</v>
      </c>
      <c r="AC1495" s="12">
        <v>1</v>
      </c>
      <c r="AD1495" s="14">
        <v>1</v>
      </c>
      <c r="AE1495" s="14">
        <v>0</v>
      </c>
      <c r="AF1495" s="26">
        <v>0</v>
      </c>
      <c r="AG1495" s="12">
        <v>29</v>
      </c>
      <c r="AH1495" s="14">
        <v>1</v>
      </c>
      <c r="AI1495" s="209"/>
      <c r="AJ1495" s="3"/>
      <c r="AK1495" s="3"/>
      <c r="AL1495" s="3"/>
      <c r="AM1495" s="3"/>
      <c r="AN1495" s="3"/>
      <c r="AO1495" s="40"/>
      <c r="AP1495" s="209"/>
      <c r="AQ1495" s="3"/>
      <c r="AR1495" s="40"/>
      <c r="AS1495" s="238"/>
    </row>
    <row r="1496" spans="1:45" s="229" customFormat="1" ht="17" thickBot="1">
      <c r="A1496" s="83" t="s">
        <v>326</v>
      </c>
      <c r="B1496" s="385">
        <v>46.86</v>
      </c>
      <c r="C1496" s="103" t="s">
        <v>755</v>
      </c>
      <c r="D1496" s="36" t="s">
        <v>689</v>
      </c>
      <c r="E1496" s="36"/>
      <c r="F1496" s="36">
        <v>432</v>
      </c>
      <c r="G1496" s="48">
        <f>F1496/308</f>
        <v>1.4025974025974026</v>
      </c>
      <c r="H1496" s="34">
        <v>0</v>
      </c>
      <c r="I1496" s="36">
        <v>0</v>
      </c>
      <c r="J1496" s="36">
        <v>1</v>
      </c>
      <c r="K1496" s="35">
        <v>0</v>
      </c>
      <c r="L1496" s="34">
        <v>0</v>
      </c>
      <c r="M1496" s="36">
        <v>0</v>
      </c>
      <c r="N1496" s="36">
        <v>0</v>
      </c>
      <c r="O1496" s="36">
        <v>0</v>
      </c>
      <c r="P1496" s="35">
        <v>0</v>
      </c>
      <c r="Q1496" s="34">
        <v>1</v>
      </c>
      <c r="R1496" s="36">
        <v>0</v>
      </c>
      <c r="S1496" s="36">
        <v>0</v>
      </c>
      <c r="T1496" s="36">
        <v>0</v>
      </c>
      <c r="U1496" s="36">
        <v>0</v>
      </c>
      <c r="V1496" s="36">
        <v>0</v>
      </c>
      <c r="W1496" s="36">
        <v>29</v>
      </c>
      <c r="X1496" s="36">
        <v>0</v>
      </c>
      <c r="Y1496" s="36">
        <v>0</v>
      </c>
      <c r="Z1496" s="36">
        <v>0</v>
      </c>
      <c r="AA1496" s="36">
        <v>0</v>
      </c>
      <c r="AB1496" s="36">
        <v>0</v>
      </c>
      <c r="AC1496" s="33">
        <v>1</v>
      </c>
      <c r="AD1496" s="34">
        <v>1</v>
      </c>
      <c r="AE1496" s="34">
        <v>0</v>
      </c>
      <c r="AF1496" s="35">
        <v>0</v>
      </c>
      <c r="AG1496" s="33">
        <v>26</v>
      </c>
      <c r="AH1496" s="34">
        <v>1</v>
      </c>
      <c r="AI1496" s="210"/>
      <c r="AJ1496" s="51"/>
      <c r="AK1496" s="51"/>
      <c r="AL1496" s="51"/>
      <c r="AM1496" s="51"/>
      <c r="AN1496" s="51"/>
      <c r="AO1496" s="48"/>
      <c r="AP1496" s="210"/>
      <c r="AQ1496" s="51"/>
      <c r="AR1496" s="48"/>
      <c r="AS1496" s="239"/>
    </row>
    <row r="1497" spans="1:45" s="229" customFormat="1" ht="17" thickBot="1">
      <c r="A1497" s="88" t="s">
        <v>326</v>
      </c>
      <c r="B1497" s="385">
        <v>46.86</v>
      </c>
      <c r="C1497" s="98" t="s">
        <v>128</v>
      </c>
      <c r="D1497" s="30" t="s">
        <v>618</v>
      </c>
      <c r="E1497" s="30" t="s">
        <v>0</v>
      </c>
      <c r="F1497" s="30">
        <v>642</v>
      </c>
      <c r="G1497" s="45">
        <f>F1497/323</f>
        <v>1.9876160990712075</v>
      </c>
      <c r="H1497" s="28">
        <v>1</v>
      </c>
      <c r="I1497" s="30">
        <v>0</v>
      </c>
      <c r="J1497" s="30">
        <v>0</v>
      </c>
      <c r="K1497" s="29">
        <v>1</v>
      </c>
      <c r="L1497" s="28">
        <v>0</v>
      </c>
      <c r="M1497" s="30">
        <v>0</v>
      </c>
      <c r="N1497" s="30">
        <v>0</v>
      </c>
      <c r="O1497" s="30">
        <v>0</v>
      </c>
      <c r="P1497" s="29">
        <v>0</v>
      </c>
      <c r="Q1497" s="28">
        <v>0</v>
      </c>
      <c r="R1497" s="30">
        <v>0</v>
      </c>
      <c r="S1497" s="30">
        <v>0</v>
      </c>
      <c r="T1497" s="30">
        <v>0</v>
      </c>
      <c r="U1497" s="30">
        <v>0</v>
      </c>
      <c r="V1497" s="30">
        <v>0</v>
      </c>
      <c r="W1497" s="30">
        <v>0</v>
      </c>
      <c r="X1497" s="30">
        <v>0</v>
      </c>
      <c r="Y1497" s="30">
        <v>0</v>
      </c>
      <c r="Z1497" s="30">
        <v>0</v>
      </c>
      <c r="AA1497" s="30">
        <v>0</v>
      </c>
      <c r="AB1497" s="30"/>
      <c r="AC1497" s="27">
        <v>2</v>
      </c>
      <c r="AD1497" s="28">
        <v>5</v>
      </c>
      <c r="AE1497" s="28">
        <v>84</v>
      </c>
      <c r="AF1497" s="29">
        <v>421</v>
      </c>
      <c r="AG1497" s="27">
        <v>115</v>
      </c>
      <c r="AH1497" s="28">
        <v>1</v>
      </c>
      <c r="AI1497" s="211"/>
      <c r="AJ1497" s="77"/>
      <c r="AK1497" s="77"/>
      <c r="AL1497" s="77"/>
      <c r="AM1497" s="77"/>
      <c r="AN1497" s="77"/>
      <c r="AO1497" s="45"/>
      <c r="AP1497" s="211"/>
      <c r="AQ1497" s="77"/>
      <c r="AR1497" s="45"/>
      <c r="AS1497" s="236"/>
    </row>
    <row r="1498" spans="1:45" s="229" customFormat="1">
      <c r="A1498" s="42" t="s">
        <v>326</v>
      </c>
      <c r="B1498" s="384">
        <v>48.318333333333335</v>
      </c>
      <c r="C1498" s="100" t="s">
        <v>756</v>
      </c>
      <c r="D1498" s="8" t="s">
        <v>618</v>
      </c>
      <c r="E1498" s="8" t="s">
        <v>0</v>
      </c>
      <c r="F1498" s="8">
        <v>107</v>
      </c>
      <c r="G1498" s="10">
        <f>F1498/106</f>
        <v>1.0094339622641511</v>
      </c>
      <c r="H1498" s="11">
        <v>1</v>
      </c>
      <c r="I1498" s="8">
        <v>0</v>
      </c>
      <c r="J1498" s="8">
        <v>0</v>
      </c>
      <c r="K1498" s="41">
        <v>0</v>
      </c>
      <c r="L1498" s="11">
        <v>0</v>
      </c>
      <c r="M1498" s="8">
        <v>0</v>
      </c>
      <c r="N1498" s="8">
        <v>0</v>
      </c>
      <c r="O1498" s="8">
        <v>1</v>
      </c>
      <c r="P1498" s="41">
        <v>1</v>
      </c>
      <c r="Q1498" s="11">
        <v>0</v>
      </c>
      <c r="R1498" s="8">
        <v>0</v>
      </c>
      <c r="S1498" s="8">
        <v>0</v>
      </c>
      <c r="T1498" s="8">
        <v>0</v>
      </c>
      <c r="U1498" s="8">
        <v>0</v>
      </c>
      <c r="V1498" s="8">
        <v>0</v>
      </c>
      <c r="W1498" s="8">
        <v>0</v>
      </c>
      <c r="X1498" s="8">
        <v>0</v>
      </c>
      <c r="Y1498" s="8">
        <v>0</v>
      </c>
      <c r="Z1498" s="8">
        <v>0</v>
      </c>
      <c r="AA1498" s="8">
        <v>0</v>
      </c>
      <c r="AB1498" s="8">
        <v>0</v>
      </c>
      <c r="AC1498" s="9">
        <v>2</v>
      </c>
      <c r="AD1498" s="11">
        <v>3</v>
      </c>
      <c r="AE1498" s="11">
        <v>26</v>
      </c>
      <c r="AF1498" s="41">
        <v>107</v>
      </c>
      <c r="AG1498" s="9">
        <v>52</v>
      </c>
      <c r="AH1498" s="11">
        <v>1</v>
      </c>
      <c r="AI1498" s="208"/>
      <c r="AJ1498" s="54"/>
      <c r="AK1498" s="54"/>
      <c r="AL1498" s="54"/>
      <c r="AM1498" s="54"/>
      <c r="AN1498" s="54"/>
      <c r="AO1498" s="10"/>
      <c r="AP1498" s="208"/>
      <c r="AQ1498" s="54"/>
      <c r="AR1498" s="10"/>
      <c r="AS1498" s="237"/>
    </row>
    <row r="1499" spans="1:45" s="229" customFormat="1">
      <c r="A1499" s="42" t="s">
        <v>326</v>
      </c>
      <c r="B1499" s="386">
        <v>48.318333333333335</v>
      </c>
      <c r="C1499" s="24" t="s">
        <v>756</v>
      </c>
      <c r="D1499" s="229" t="s">
        <v>618</v>
      </c>
      <c r="E1499" s="229" t="s">
        <v>1</v>
      </c>
      <c r="F1499" s="229">
        <v>45</v>
      </c>
      <c r="G1499" s="40">
        <f>F1499/39</f>
        <v>1.1538461538461537</v>
      </c>
      <c r="H1499" s="14">
        <v>1</v>
      </c>
      <c r="I1499" s="229">
        <v>0</v>
      </c>
      <c r="J1499" s="229">
        <v>0</v>
      </c>
      <c r="K1499" s="26">
        <v>0</v>
      </c>
      <c r="L1499" s="14">
        <v>0</v>
      </c>
      <c r="M1499" s="229">
        <v>0</v>
      </c>
      <c r="N1499" s="229">
        <v>1</v>
      </c>
      <c r="O1499" s="229">
        <v>0</v>
      </c>
      <c r="P1499" s="26">
        <v>1</v>
      </c>
      <c r="Q1499" s="14">
        <v>0</v>
      </c>
      <c r="R1499" s="229">
        <v>0</v>
      </c>
      <c r="S1499" s="229">
        <v>0</v>
      </c>
      <c r="T1499" s="229">
        <v>0</v>
      </c>
      <c r="U1499" s="229">
        <v>0</v>
      </c>
      <c r="V1499" s="229">
        <v>0</v>
      </c>
      <c r="W1499" s="229">
        <v>0</v>
      </c>
      <c r="X1499" s="229">
        <v>0</v>
      </c>
      <c r="Y1499" s="229">
        <v>0</v>
      </c>
      <c r="Z1499" s="229">
        <v>0</v>
      </c>
      <c r="AA1499" s="229">
        <v>0</v>
      </c>
      <c r="AB1499" s="229">
        <v>0</v>
      </c>
      <c r="AC1499" s="12">
        <v>1</v>
      </c>
      <c r="AD1499" s="14">
        <v>1</v>
      </c>
      <c r="AE1499" s="14">
        <v>0</v>
      </c>
      <c r="AF1499" s="26">
        <v>0</v>
      </c>
      <c r="AG1499" s="12">
        <v>52</v>
      </c>
      <c r="AH1499" s="14">
        <v>0</v>
      </c>
      <c r="AI1499" s="209"/>
      <c r="AJ1499" s="3"/>
      <c r="AK1499" s="3"/>
      <c r="AL1499" s="3"/>
      <c r="AM1499" s="3"/>
      <c r="AN1499" s="3"/>
      <c r="AO1499" s="40"/>
      <c r="AP1499" s="209"/>
      <c r="AQ1499" s="3"/>
      <c r="AR1499" s="40"/>
      <c r="AS1499" s="238"/>
    </row>
    <row r="1500" spans="1:45" s="229" customFormat="1">
      <c r="A1500" s="42" t="s">
        <v>326</v>
      </c>
      <c r="B1500" s="386">
        <v>48.318333333333335</v>
      </c>
      <c r="C1500" s="24" t="s">
        <v>756</v>
      </c>
      <c r="D1500" s="229" t="s">
        <v>618</v>
      </c>
      <c r="E1500" s="229" t="s">
        <v>2</v>
      </c>
      <c r="F1500" s="229">
        <v>88</v>
      </c>
      <c r="G1500" s="40">
        <f>F1500/53</f>
        <v>1.6603773584905661</v>
      </c>
      <c r="H1500" s="14">
        <v>1</v>
      </c>
      <c r="I1500" s="229">
        <v>0</v>
      </c>
      <c r="J1500" s="229">
        <v>0</v>
      </c>
      <c r="K1500" s="26">
        <v>0</v>
      </c>
      <c r="L1500" s="14">
        <v>0</v>
      </c>
      <c r="M1500" s="229">
        <v>0</v>
      </c>
      <c r="N1500" s="229">
        <v>1</v>
      </c>
      <c r="O1500" s="229">
        <v>0</v>
      </c>
      <c r="P1500" s="26">
        <v>1</v>
      </c>
      <c r="Q1500" s="14">
        <v>2</v>
      </c>
      <c r="R1500" s="229">
        <v>0</v>
      </c>
      <c r="S1500" s="229">
        <v>0</v>
      </c>
      <c r="T1500" s="229">
        <v>0</v>
      </c>
      <c r="U1500" s="229">
        <v>0</v>
      </c>
      <c r="V1500" s="229">
        <v>0</v>
      </c>
      <c r="W1500" s="229">
        <v>7</v>
      </c>
      <c r="X1500" s="229">
        <v>0</v>
      </c>
      <c r="Y1500" s="229">
        <v>0</v>
      </c>
      <c r="Z1500" s="229">
        <v>0</v>
      </c>
      <c r="AA1500" s="229">
        <v>0</v>
      </c>
      <c r="AB1500" s="229">
        <v>1</v>
      </c>
      <c r="AC1500" s="12">
        <v>2</v>
      </c>
      <c r="AD1500" s="14">
        <v>3</v>
      </c>
      <c r="AE1500" s="14">
        <v>30</v>
      </c>
      <c r="AF1500" s="26">
        <v>79</v>
      </c>
      <c r="AG1500" s="12">
        <v>52</v>
      </c>
      <c r="AH1500" s="14">
        <v>0</v>
      </c>
      <c r="AI1500" s="209"/>
      <c r="AJ1500" s="3"/>
      <c r="AK1500" s="3"/>
      <c r="AL1500" s="3"/>
      <c r="AM1500" s="3"/>
      <c r="AN1500" s="3"/>
      <c r="AO1500" s="40"/>
      <c r="AP1500" s="209"/>
      <c r="AQ1500" s="3"/>
      <c r="AR1500" s="40"/>
      <c r="AS1500" s="238"/>
    </row>
    <row r="1501" spans="1:45" s="229" customFormat="1">
      <c r="A1501" s="42" t="s">
        <v>326</v>
      </c>
      <c r="B1501" s="386">
        <v>48.318333333333335</v>
      </c>
      <c r="C1501" s="24" t="s">
        <v>756</v>
      </c>
      <c r="D1501" s="229" t="s">
        <v>618</v>
      </c>
      <c r="E1501" s="229" t="s">
        <v>3</v>
      </c>
      <c r="F1501" s="229">
        <v>196</v>
      </c>
      <c r="G1501" s="40">
        <f>F1501/124</f>
        <v>1.5806451612903225</v>
      </c>
      <c r="H1501" s="14">
        <v>1</v>
      </c>
      <c r="I1501" s="229">
        <v>0</v>
      </c>
      <c r="J1501" s="229">
        <v>0</v>
      </c>
      <c r="K1501" s="26">
        <v>1</v>
      </c>
      <c r="L1501" s="14">
        <v>0</v>
      </c>
      <c r="M1501" s="229">
        <v>0</v>
      </c>
      <c r="N1501" s="229">
        <v>1</v>
      </c>
      <c r="O1501" s="229">
        <v>0</v>
      </c>
      <c r="P1501" s="26">
        <v>1</v>
      </c>
      <c r="Q1501" s="14">
        <v>0</v>
      </c>
      <c r="R1501" s="229">
        <v>0</v>
      </c>
      <c r="S1501" s="229">
        <v>0</v>
      </c>
      <c r="T1501" s="229">
        <v>0</v>
      </c>
      <c r="U1501" s="229">
        <v>0</v>
      </c>
      <c r="V1501" s="229">
        <v>0</v>
      </c>
      <c r="W1501" s="229">
        <v>0</v>
      </c>
      <c r="X1501" s="229">
        <v>0</v>
      </c>
      <c r="Y1501" s="229">
        <v>0</v>
      </c>
      <c r="Z1501" s="229">
        <v>0</v>
      </c>
      <c r="AA1501" s="229">
        <v>0</v>
      </c>
      <c r="AB1501" s="229">
        <v>0</v>
      </c>
      <c r="AC1501" s="12">
        <v>2</v>
      </c>
      <c r="AD1501" s="14">
        <v>6</v>
      </c>
      <c r="AE1501" s="14">
        <v>35</v>
      </c>
      <c r="AF1501" s="26">
        <v>131</v>
      </c>
      <c r="AG1501" s="12">
        <v>52</v>
      </c>
      <c r="AH1501" s="14">
        <v>1</v>
      </c>
      <c r="AI1501" s="209"/>
      <c r="AJ1501" s="3"/>
      <c r="AK1501" s="3"/>
      <c r="AL1501" s="3"/>
      <c r="AM1501" s="3"/>
      <c r="AN1501" s="3"/>
      <c r="AO1501" s="40"/>
      <c r="AP1501" s="209"/>
      <c r="AQ1501" s="3"/>
      <c r="AR1501" s="40"/>
      <c r="AS1501" s="238"/>
    </row>
    <row r="1502" spans="1:45" s="229" customFormat="1">
      <c r="A1502" s="42" t="s">
        <v>326</v>
      </c>
      <c r="B1502" s="386">
        <v>48.318333333333335</v>
      </c>
      <c r="C1502" s="24" t="s">
        <v>756</v>
      </c>
      <c r="D1502" s="229" t="s">
        <v>619</v>
      </c>
      <c r="F1502" s="229">
        <v>229</v>
      </c>
      <c r="G1502" s="40">
        <f>F1502/156</f>
        <v>1.4679487179487178</v>
      </c>
      <c r="H1502" s="14">
        <v>0</v>
      </c>
      <c r="I1502" s="229">
        <v>0</v>
      </c>
      <c r="J1502" s="229">
        <v>0</v>
      </c>
      <c r="K1502" s="26">
        <v>1</v>
      </c>
      <c r="L1502" s="14">
        <v>0</v>
      </c>
      <c r="M1502" s="229">
        <v>0</v>
      </c>
      <c r="N1502" s="229">
        <v>0</v>
      </c>
      <c r="O1502" s="229">
        <v>0</v>
      </c>
      <c r="P1502" s="26">
        <v>0</v>
      </c>
      <c r="Q1502" s="14">
        <v>5</v>
      </c>
      <c r="R1502" s="229">
        <v>0</v>
      </c>
      <c r="S1502" s="229">
        <v>0</v>
      </c>
      <c r="T1502" s="229">
        <v>0</v>
      </c>
      <c r="U1502" s="229">
        <v>0</v>
      </c>
      <c r="V1502" s="229">
        <v>0</v>
      </c>
      <c r="W1502" s="229">
        <v>23</v>
      </c>
      <c r="X1502" s="229">
        <v>0</v>
      </c>
      <c r="Y1502" s="229">
        <v>0</v>
      </c>
      <c r="Z1502" s="229">
        <v>0</v>
      </c>
      <c r="AA1502" s="229">
        <v>0</v>
      </c>
      <c r="AB1502" s="229">
        <v>0</v>
      </c>
      <c r="AC1502" s="12">
        <v>2</v>
      </c>
      <c r="AD1502" s="14">
        <v>2</v>
      </c>
      <c r="AE1502" s="14">
        <v>150</v>
      </c>
      <c r="AF1502" s="26">
        <v>201</v>
      </c>
      <c r="AG1502" s="12">
        <v>31</v>
      </c>
      <c r="AH1502" s="14">
        <v>0</v>
      </c>
      <c r="AI1502" s="209"/>
      <c r="AJ1502" s="3"/>
      <c r="AK1502" s="3"/>
      <c r="AL1502" s="3"/>
      <c r="AM1502" s="3"/>
      <c r="AN1502" s="3"/>
      <c r="AO1502" s="40"/>
      <c r="AP1502" s="209"/>
      <c r="AQ1502" s="3"/>
      <c r="AR1502" s="40"/>
      <c r="AS1502" s="238"/>
    </row>
    <row r="1503" spans="1:45" s="229" customFormat="1">
      <c r="A1503" s="42" t="s">
        <v>326</v>
      </c>
      <c r="B1503" s="386">
        <v>48.318333333333335</v>
      </c>
      <c r="C1503" s="24" t="s">
        <v>756</v>
      </c>
      <c r="D1503" s="229" t="s">
        <v>633</v>
      </c>
      <c r="E1503" s="229" t="s">
        <v>0</v>
      </c>
      <c r="F1503" s="229">
        <v>228</v>
      </c>
      <c r="G1503" s="40">
        <f>F1503/119</f>
        <v>1.9159663865546219</v>
      </c>
      <c r="H1503" s="14">
        <v>1</v>
      </c>
      <c r="I1503" s="229">
        <v>0</v>
      </c>
      <c r="J1503" s="229">
        <v>0</v>
      </c>
      <c r="K1503" s="26">
        <v>0</v>
      </c>
      <c r="L1503" s="14">
        <v>0</v>
      </c>
      <c r="M1503" s="229">
        <v>0</v>
      </c>
      <c r="N1503" s="229">
        <v>1</v>
      </c>
      <c r="O1503" s="229">
        <v>0</v>
      </c>
      <c r="P1503" s="26">
        <v>1</v>
      </c>
      <c r="Q1503" s="14">
        <v>14</v>
      </c>
      <c r="R1503" s="229">
        <v>0</v>
      </c>
      <c r="S1503" s="229">
        <v>0</v>
      </c>
      <c r="T1503" s="229">
        <v>0</v>
      </c>
      <c r="U1503" s="229">
        <v>0</v>
      </c>
      <c r="V1503" s="229">
        <v>0</v>
      </c>
      <c r="W1503" s="229">
        <v>59</v>
      </c>
      <c r="X1503" s="229">
        <v>0</v>
      </c>
      <c r="Y1503" s="229">
        <v>0</v>
      </c>
      <c r="Z1503" s="229">
        <v>0</v>
      </c>
      <c r="AA1503" s="229">
        <v>20</v>
      </c>
      <c r="AB1503" s="229">
        <v>0</v>
      </c>
      <c r="AC1503" s="12">
        <v>1</v>
      </c>
      <c r="AD1503" s="14">
        <v>1</v>
      </c>
      <c r="AE1503" s="14">
        <v>0</v>
      </c>
      <c r="AF1503" s="26">
        <v>0</v>
      </c>
      <c r="AG1503" s="12">
        <v>41</v>
      </c>
      <c r="AH1503" s="14">
        <v>1</v>
      </c>
      <c r="AI1503" s="209"/>
      <c r="AJ1503" s="3"/>
      <c r="AK1503" s="3"/>
      <c r="AL1503" s="3"/>
      <c r="AM1503" s="3"/>
      <c r="AN1503" s="3"/>
      <c r="AO1503" s="40"/>
      <c r="AP1503" s="209"/>
      <c r="AQ1503" s="3"/>
      <c r="AR1503" s="40"/>
      <c r="AS1503" s="238"/>
    </row>
    <row r="1504" spans="1:45" s="229" customFormat="1">
      <c r="A1504" s="42" t="s">
        <v>326</v>
      </c>
      <c r="B1504" s="386">
        <v>48.318333333333335</v>
      </c>
      <c r="C1504" s="24" t="s">
        <v>756</v>
      </c>
      <c r="D1504" s="229" t="s">
        <v>633</v>
      </c>
      <c r="E1504" s="229" t="s">
        <v>1</v>
      </c>
      <c r="F1504" s="229">
        <v>249</v>
      </c>
      <c r="G1504" s="40">
        <f>F1504/156</f>
        <v>1.5961538461538463</v>
      </c>
      <c r="H1504" s="14">
        <v>1</v>
      </c>
      <c r="I1504" s="229">
        <v>0</v>
      </c>
      <c r="J1504" s="229">
        <v>1</v>
      </c>
      <c r="K1504" s="26">
        <v>1</v>
      </c>
      <c r="L1504" s="14">
        <v>0</v>
      </c>
      <c r="M1504" s="229">
        <v>0</v>
      </c>
      <c r="N1504" s="229">
        <v>1</v>
      </c>
      <c r="O1504" s="229">
        <v>0</v>
      </c>
      <c r="P1504" s="26">
        <v>1</v>
      </c>
      <c r="Q1504" s="14">
        <v>2</v>
      </c>
      <c r="R1504" s="229">
        <v>0</v>
      </c>
      <c r="S1504" s="229">
        <v>0</v>
      </c>
      <c r="T1504" s="229">
        <v>0</v>
      </c>
      <c r="U1504" s="229">
        <v>0</v>
      </c>
      <c r="V1504" s="229">
        <v>0</v>
      </c>
      <c r="W1504" s="229">
        <v>7</v>
      </c>
      <c r="X1504" s="229">
        <v>0</v>
      </c>
      <c r="Y1504" s="229">
        <v>0</v>
      </c>
      <c r="Z1504" s="229">
        <v>0</v>
      </c>
      <c r="AA1504" s="229">
        <v>0</v>
      </c>
      <c r="AB1504" s="229">
        <v>1</v>
      </c>
      <c r="AC1504" s="12">
        <v>2</v>
      </c>
      <c r="AD1504" s="14">
        <v>5</v>
      </c>
      <c r="AE1504" s="14">
        <v>57</v>
      </c>
      <c r="AF1504" s="26">
        <v>205</v>
      </c>
      <c r="AG1504" s="12">
        <v>41</v>
      </c>
      <c r="AH1504" s="14">
        <v>1</v>
      </c>
      <c r="AI1504" s="209"/>
      <c r="AJ1504" s="3"/>
      <c r="AK1504" s="3"/>
      <c r="AL1504" s="3"/>
      <c r="AM1504" s="3"/>
      <c r="AN1504" s="3"/>
      <c r="AO1504" s="40"/>
      <c r="AP1504" s="209"/>
      <c r="AQ1504" s="3"/>
      <c r="AR1504" s="40"/>
      <c r="AS1504" s="238"/>
    </row>
    <row r="1505" spans="1:45" s="229" customFormat="1">
      <c r="A1505" s="42" t="s">
        <v>326</v>
      </c>
      <c r="B1505" s="386">
        <v>48.318333333333335</v>
      </c>
      <c r="C1505" s="24" t="s">
        <v>756</v>
      </c>
      <c r="D1505" s="229" t="s">
        <v>706</v>
      </c>
      <c r="F1505" s="229">
        <v>272</v>
      </c>
      <c r="G1505" s="40">
        <f>F1505/109</f>
        <v>2.4954128440366974</v>
      </c>
      <c r="H1505" s="14">
        <v>1</v>
      </c>
      <c r="I1505" s="229">
        <v>0</v>
      </c>
      <c r="J1505" s="229">
        <v>0</v>
      </c>
      <c r="K1505" s="26">
        <v>0</v>
      </c>
      <c r="L1505" s="14">
        <v>0</v>
      </c>
      <c r="M1505" s="229">
        <v>0</v>
      </c>
      <c r="N1505" s="229">
        <v>1</v>
      </c>
      <c r="O1505" s="229">
        <v>0</v>
      </c>
      <c r="P1505" s="26">
        <v>1</v>
      </c>
      <c r="Q1505" s="14">
        <v>10</v>
      </c>
      <c r="R1505" s="229">
        <v>0</v>
      </c>
      <c r="S1505" s="229">
        <v>26</v>
      </c>
      <c r="T1505" s="229">
        <v>0</v>
      </c>
      <c r="U1505" s="229">
        <v>0</v>
      </c>
      <c r="V1505" s="229">
        <v>13</v>
      </c>
      <c r="W1505" s="229">
        <v>26</v>
      </c>
      <c r="X1505" s="229">
        <v>0</v>
      </c>
      <c r="Y1505" s="229">
        <v>0</v>
      </c>
      <c r="Z1505" s="229">
        <v>0</v>
      </c>
      <c r="AA1505" s="229">
        <v>0</v>
      </c>
      <c r="AB1505" s="229">
        <v>1</v>
      </c>
      <c r="AC1505" s="12">
        <v>1</v>
      </c>
      <c r="AD1505" s="14">
        <v>1</v>
      </c>
      <c r="AE1505" s="14">
        <v>0</v>
      </c>
      <c r="AF1505" s="26">
        <v>0</v>
      </c>
      <c r="AG1505" s="12">
        <v>41</v>
      </c>
      <c r="AH1505" s="14">
        <v>1</v>
      </c>
      <c r="AI1505" s="209"/>
      <c r="AJ1505" s="3"/>
      <c r="AK1505" s="3"/>
      <c r="AL1505" s="3"/>
      <c r="AM1505" s="3"/>
      <c r="AN1505" s="3"/>
      <c r="AO1505" s="40"/>
      <c r="AP1505" s="209"/>
      <c r="AQ1505" s="3"/>
      <c r="AR1505" s="40"/>
      <c r="AS1505" s="238"/>
    </row>
    <row r="1506" spans="1:45" s="229" customFormat="1">
      <c r="A1506" s="42" t="s">
        <v>326</v>
      </c>
      <c r="B1506" s="386">
        <v>48.318333333333335</v>
      </c>
      <c r="C1506" s="24" t="s">
        <v>756</v>
      </c>
      <c r="D1506" s="229" t="s">
        <v>748</v>
      </c>
      <c r="E1506" s="229" t="s">
        <v>0</v>
      </c>
      <c r="F1506" s="229">
        <v>93</v>
      </c>
      <c r="G1506" s="40">
        <f>F1506/39</f>
        <v>2.3846153846153846</v>
      </c>
      <c r="H1506" s="14">
        <v>1</v>
      </c>
      <c r="I1506" s="229">
        <v>0</v>
      </c>
      <c r="J1506" s="229">
        <v>0</v>
      </c>
      <c r="K1506" s="26">
        <v>0</v>
      </c>
      <c r="L1506" s="14">
        <v>0</v>
      </c>
      <c r="M1506" s="229">
        <v>0</v>
      </c>
      <c r="N1506" s="229">
        <v>1</v>
      </c>
      <c r="O1506" s="229">
        <v>0</v>
      </c>
      <c r="P1506" s="26">
        <v>1</v>
      </c>
      <c r="Q1506" s="14">
        <v>0</v>
      </c>
      <c r="R1506" s="229">
        <v>0</v>
      </c>
      <c r="S1506" s="229">
        <v>0</v>
      </c>
      <c r="T1506" s="229">
        <v>0</v>
      </c>
      <c r="U1506" s="229">
        <v>0</v>
      </c>
      <c r="V1506" s="229">
        <v>0</v>
      </c>
      <c r="W1506" s="229">
        <v>0</v>
      </c>
      <c r="X1506" s="229">
        <v>0</v>
      </c>
      <c r="Y1506" s="229">
        <v>0</v>
      </c>
      <c r="Z1506" s="229">
        <v>0</v>
      </c>
      <c r="AA1506" s="229">
        <v>0</v>
      </c>
      <c r="AB1506" s="229">
        <v>0</v>
      </c>
      <c r="AC1506" s="12">
        <v>1</v>
      </c>
      <c r="AD1506" s="14">
        <v>1</v>
      </c>
      <c r="AE1506" s="14">
        <v>0</v>
      </c>
      <c r="AF1506" s="26">
        <v>0</v>
      </c>
      <c r="AG1506" s="12">
        <v>30</v>
      </c>
      <c r="AH1506" s="14">
        <v>1</v>
      </c>
      <c r="AI1506" s="209"/>
      <c r="AJ1506" s="3"/>
      <c r="AK1506" s="3"/>
      <c r="AL1506" s="3"/>
      <c r="AM1506" s="3"/>
      <c r="AN1506" s="3"/>
      <c r="AO1506" s="40"/>
      <c r="AP1506" s="209"/>
      <c r="AQ1506" s="3"/>
      <c r="AR1506" s="40"/>
      <c r="AS1506" s="238"/>
    </row>
    <row r="1507" spans="1:45" s="229" customFormat="1">
      <c r="A1507" s="42" t="s">
        <v>326</v>
      </c>
      <c r="B1507" s="386">
        <v>48.318333333333335</v>
      </c>
      <c r="C1507" s="24" t="s">
        <v>756</v>
      </c>
      <c r="D1507" s="229" t="s">
        <v>748</v>
      </c>
      <c r="E1507" s="229" t="s">
        <v>1</v>
      </c>
      <c r="F1507" s="229">
        <v>165</v>
      </c>
      <c r="G1507" s="40">
        <f>F1507/84</f>
        <v>1.9642857142857142</v>
      </c>
      <c r="H1507" s="14">
        <v>1</v>
      </c>
      <c r="I1507" s="229">
        <v>0</v>
      </c>
      <c r="J1507" s="229">
        <v>0</v>
      </c>
      <c r="K1507" s="26">
        <v>1</v>
      </c>
      <c r="L1507" s="14">
        <v>0</v>
      </c>
      <c r="M1507" s="229">
        <v>0</v>
      </c>
      <c r="N1507" s="229">
        <v>1</v>
      </c>
      <c r="O1507" s="229">
        <v>0</v>
      </c>
      <c r="P1507" s="26">
        <v>1</v>
      </c>
      <c r="Q1507" s="14">
        <v>15</v>
      </c>
      <c r="R1507" s="229">
        <v>0</v>
      </c>
      <c r="S1507" s="229">
        <v>24</v>
      </c>
      <c r="T1507" s="229">
        <v>0</v>
      </c>
      <c r="U1507" s="229">
        <v>0</v>
      </c>
      <c r="V1507" s="229">
        <v>0</v>
      </c>
      <c r="W1507" s="229">
        <v>0</v>
      </c>
      <c r="X1507" s="229">
        <v>0</v>
      </c>
      <c r="Y1507" s="229">
        <v>0</v>
      </c>
      <c r="Z1507" s="229">
        <v>0</v>
      </c>
      <c r="AA1507" s="229">
        <v>0</v>
      </c>
      <c r="AB1507" s="229">
        <v>1</v>
      </c>
      <c r="AC1507" s="12">
        <v>2</v>
      </c>
      <c r="AD1507" s="14">
        <v>4</v>
      </c>
      <c r="AE1507" s="14">
        <v>59</v>
      </c>
      <c r="AF1507" s="26">
        <v>78</v>
      </c>
      <c r="AG1507" s="12">
        <v>30</v>
      </c>
      <c r="AH1507" s="14">
        <v>1</v>
      </c>
      <c r="AI1507" s="209"/>
      <c r="AJ1507" s="3"/>
      <c r="AK1507" s="3"/>
      <c r="AL1507" s="3"/>
      <c r="AM1507" s="3"/>
      <c r="AN1507" s="3"/>
      <c r="AO1507" s="40"/>
      <c r="AP1507" s="209"/>
      <c r="AQ1507" s="3"/>
      <c r="AR1507" s="40"/>
      <c r="AS1507" s="238"/>
    </row>
    <row r="1508" spans="1:45" s="229" customFormat="1">
      <c r="A1508" s="42" t="s">
        <v>326</v>
      </c>
      <c r="B1508" s="386">
        <v>48.318333333333335</v>
      </c>
      <c r="C1508" s="24" t="s">
        <v>756</v>
      </c>
      <c r="D1508" s="229" t="s">
        <v>748</v>
      </c>
      <c r="E1508" s="229" t="s">
        <v>2</v>
      </c>
      <c r="F1508" s="229">
        <v>270</v>
      </c>
      <c r="G1508" s="40">
        <f>F1508/166</f>
        <v>1.6265060240963856</v>
      </c>
      <c r="H1508" s="14">
        <v>0</v>
      </c>
      <c r="I1508" s="229">
        <v>0</v>
      </c>
      <c r="J1508" s="229">
        <v>1</v>
      </c>
      <c r="K1508" s="26">
        <v>1</v>
      </c>
      <c r="L1508" s="14">
        <v>0</v>
      </c>
      <c r="M1508" s="229">
        <v>0</v>
      </c>
      <c r="N1508" s="229">
        <v>1</v>
      </c>
      <c r="O1508" s="229">
        <v>0</v>
      </c>
      <c r="P1508" s="26">
        <v>1</v>
      </c>
      <c r="Q1508" s="14">
        <v>2</v>
      </c>
      <c r="R1508" s="229">
        <v>0</v>
      </c>
      <c r="S1508" s="229">
        <v>0</v>
      </c>
      <c r="T1508" s="229">
        <v>0</v>
      </c>
      <c r="U1508" s="229">
        <v>0</v>
      </c>
      <c r="V1508" s="229">
        <v>0</v>
      </c>
      <c r="W1508" s="229">
        <v>20</v>
      </c>
      <c r="X1508" s="229">
        <v>0</v>
      </c>
      <c r="Y1508" s="229">
        <v>0</v>
      </c>
      <c r="Z1508" s="229">
        <v>0</v>
      </c>
      <c r="AA1508" s="229">
        <v>0</v>
      </c>
      <c r="AB1508" s="229">
        <v>0</v>
      </c>
      <c r="AC1508" s="12">
        <v>2</v>
      </c>
      <c r="AD1508" s="14">
        <v>4</v>
      </c>
      <c r="AE1508" s="14">
        <v>94</v>
      </c>
      <c r="AF1508" s="26">
        <v>176</v>
      </c>
      <c r="AG1508" s="12">
        <v>30</v>
      </c>
      <c r="AH1508" s="14">
        <v>1</v>
      </c>
      <c r="AI1508" s="209"/>
      <c r="AJ1508" s="3"/>
      <c r="AK1508" s="3"/>
      <c r="AL1508" s="3"/>
      <c r="AM1508" s="3"/>
      <c r="AN1508" s="3"/>
      <c r="AO1508" s="40"/>
      <c r="AP1508" s="209"/>
      <c r="AQ1508" s="3"/>
      <c r="AR1508" s="40"/>
      <c r="AS1508" s="238"/>
    </row>
    <row r="1509" spans="1:45" s="229" customFormat="1">
      <c r="A1509" s="42" t="s">
        <v>326</v>
      </c>
      <c r="B1509" s="386">
        <v>48.318333333333335</v>
      </c>
      <c r="C1509" s="24" t="s">
        <v>756</v>
      </c>
      <c r="D1509" s="229" t="s">
        <v>753</v>
      </c>
      <c r="E1509" s="229" t="s">
        <v>0</v>
      </c>
      <c r="F1509" s="229">
        <v>254</v>
      </c>
      <c r="G1509" s="40">
        <f>F1509/89</f>
        <v>2.8539325842696628</v>
      </c>
      <c r="H1509" s="14">
        <v>1</v>
      </c>
      <c r="I1509" s="229">
        <v>0</v>
      </c>
      <c r="J1509" s="229">
        <v>0</v>
      </c>
      <c r="K1509" s="26">
        <v>1</v>
      </c>
      <c r="L1509" s="14">
        <v>1</v>
      </c>
      <c r="M1509" s="229">
        <v>0</v>
      </c>
      <c r="N1509" s="229">
        <v>0</v>
      </c>
      <c r="O1509" s="229">
        <v>1</v>
      </c>
      <c r="P1509" s="26">
        <v>2</v>
      </c>
      <c r="Q1509" s="14">
        <v>0</v>
      </c>
      <c r="R1509" s="229">
        <v>0</v>
      </c>
      <c r="S1509" s="229">
        <v>0</v>
      </c>
      <c r="T1509" s="229">
        <v>0</v>
      </c>
      <c r="U1509" s="229">
        <v>0</v>
      </c>
      <c r="V1509" s="229">
        <v>0</v>
      </c>
      <c r="W1509" s="229">
        <v>0</v>
      </c>
      <c r="X1509" s="229">
        <v>0</v>
      </c>
      <c r="Y1509" s="229">
        <v>0</v>
      </c>
      <c r="Z1509" s="229">
        <v>0</v>
      </c>
      <c r="AA1509" s="229">
        <v>0</v>
      </c>
      <c r="AB1509" s="229">
        <v>0</v>
      </c>
      <c r="AC1509" s="12">
        <v>2</v>
      </c>
      <c r="AD1509" s="14">
        <v>9</v>
      </c>
      <c r="AE1509" s="14">
        <v>24</v>
      </c>
      <c r="AF1509" s="26">
        <v>119</v>
      </c>
      <c r="AG1509" s="12">
        <v>50</v>
      </c>
      <c r="AH1509" s="14">
        <v>0</v>
      </c>
      <c r="AI1509" s="209"/>
      <c r="AJ1509" s="3"/>
      <c r="AK1509" s="3"/>
      <c r="AL1509" s="3"/>
      <c r="AM1509" s="3"/>
      <c r="AN1509" s="3"/>
      <c r="AO1509" s="40"/>
      <c r="AP1509" s="209"/>
      <c r="AQ1509" s="3"/>
      <c r="AR1509" s="40"/>
      <c r="AS1509" s="238"/>
    </row>
    <row r="1510" spans="1:45" s="229" customFormat="1">
      <c r="A1510" s="42" t="s">
        <v>326</v>
      </c>
      <c r="B1510" s="386">
        <v>48.318333333333335</v>
      </c>
      <c r="C1510" s="24" t="s">
        <v>756</v>
      </c>
      <c r="D1510" s="229" t="s">
        <v>753</v>
      </c>
      <c r="E1510" s="229" t="s">
        <v>1</v>
      </c>
      <c r="F1510" s="229">
        <v>183</v>
      </c>
      <c r="G1510" s="40">
        <f>F1510/142</f>
        <v>1.2887323943661972</v>
      </c>
      <c r="H1510" s="14">
        <v>1</v>
      </c>
      <c r="I1510" s="229">
        <v>0</v>
      </c>
      <c r="J1510" s="229">
        <v>0</v>
      </c>
      <c r="K1510" s="26">
        <v>1</v>
      </c>
      <c r="L1510" s="14">
        <v>0</v>
      </c>
      <c r="M1510" s="229">
        <v>0</v>
      </c>
      <c r="N1510" s="229">
        <v>1</v>
      </c>
      <c r="O1510" s="229">
        <v>0</v>
      </c>
      <c r="P1510" s="26">
        <v>1</v>
      </c>
      <c r="Q1510" s="14">
        <v>1</v>
      </c>
      <c r="R1510" s="229">
        <v>0</v>
      </c>
      <c r="S1510" s="229">
        <v>0</v>
      </c>
      <c r="T1510" s="229">
        <v>0</v>
      </c>
      <c r="U1510" s="229">
        <v>0</v>
      </c>
      <c r="V1510" s="229">
        <v>0</v>
      </c>
      <c r="W1510" s="229">
        <v>4</v>
      </c>
      <c r="X1510" s="229">
        <v>0</v>
      </c>
      <c r="Y1510" s="229">
        <v>0</v>
      </c>
      <c r="Z1510" s="229">
        <v>0</v>
      </c>
      <c r="AA1510" s="229">
        <v>0</v>
      </c>
      <c r="AB1510" s="229">
        <v>0</v>
      </c>
      <c r="AC1510" s="12">
        <v>2</v>
      </c>
      <c r="AD1510" s="14">
        <v>4</v>
      </c>
      <c r="AE1510" s="14">
        <v>27</v>
      </c>
      <c r="AF1510" s="26">
        <v>142</v>
      </c>
      <c r="AG1510" s="12">
        <v>50</v>
      </c>
      <c r="AH1510" s="14">
        <v>1</v>
      </c>
      <c r="AI1510" s="209"/>
      <c r="AJ1510" s="3"/>
      <c r="AK1510" s="3"/>
      <c r="AL1510" s="3"/>
      <c r="AM1510" s="3"/>
      <c r="AN1510" s="3"/>
      <c r="AO1510" s="40"/>
      <c r="AP1510" s="209"/>
      <c r="AQ1510" s="3"/>
      <c r="AR1510" s="40"/>
      <c r="AS1510" s="238"/>
    </row>
    <row r="1511" spans="1:45" s="229" customFormat="1">
      <c r="A1511" s="42" t="s">
        <v>326</v>
      </c>
      <c r="B1511" s="386">
        <v>48.318333333333335</v>
      </c>
      <c r="C1511" s="24" t="s">
        <v>756</v>
      </c>
      <c r="D1511" s="229" t="s">
        <v>753</v>
      </c>
      <c r="E1511" s="229" t="s">
        <v>2</v>
      </c>
      <c r="F1511" s="229">
        <v>98</v>
      </c>
      <c r="G1511" s="40">
        <f>F1511/49</f>
        <v>2</v>
      </c>
      <c r="H1511" s="14">
        <v>0</v>
      </c>
      <c r="I1511" s="229">
        <v>0</v>
      </c>
      <c r="J1511" s="229">
        <v>0</v>
      </c>
      <c r="K1511" s="26">
        <v>1</v>
      </c>
      <c r="L1511" s="14">
        <v>0</v>
      </c>
      <c r="M1511" s="229">
        <v>0</v>
      </c>
      <c r="N1511" s="229">
        <v>0</v>
      </c>
      <c r="O1511" s="229">
        <v>0</v>
      </c>
      <c r="P1511" s="26">
        <v>0</v>
      </c>
      <c r="Q1511" s="14">
        <v>0</v>
      </c>
      <c r="R1511" s="229">
        <v>0</v>
      </c>
      <c r="S1511" s="229">
        <v>0</v>
      </c>
      <c r="T1511" s="229">
        <v>0</v>
      </c>
      <c r="U1511" s="229">
        <v>0</v>
      </c>
      <c r="V1511" s="229">
        <v>0</v>
      </c>
      <c r="W1511" s="229">
        <v>0</v>
      </c>
      <c r="X1511" s="229">
        <v>0</v>
      </c>
      <c r="Y1511" s="229">
        <v>0</v>
      </c>
      <c r="Z1511" s="229">
        <v>0</v>
      </c>
      <c r="AA1511" s="229">
        <v>0</v>
      </c>
      <c r="AB1511" s="229">
        <v>0</v>
      </c>
      <c r="AC1511" s="12">
        <v>1</v>
      </c>
      <c r="AD1511" s="14">
        <v>1</v>
      </c>
      <c r="AE1511" s="14">
        <v>0</v>
      </c>
      <c r="AF1511" s="26">
        <v>0</v>
      </c>
      <c r="AG1511" s="12">
        <v>50</v>
      </c>
      <c r="AH1511" s="14">
        <v>0</v>
      </c>
      <c r="AI1511" s="209"/>
      <c r="AJ1511" s="3"/>
      <c r="AK1511" s="3"/>
      <c r="AL1511" s="3"/>
      <c r="AM1511" s="3"/>
      <c r="AN1511" s="3"/>
      <c r="AO1511" s="40"/>
      <c r="AP1511" s="209"/>
      <c r="AQ1511" s="3"/>
      <c r="AR1511" s="40"/>
      <c r="AS1511" s="238"/>
    </row>
    <row r="1512" spans="1:45" s="229" customFormat="1">
      <c r="A1512" s="42" t="s">
        <v>326</v>
      </c>
      <c r="B1512" s="386">
        <v>48.318333333333335</v>
      </c>
      <c r="C1512" s="24" t="s">
        <v>756</v>
      </c>
      <c r="D1512" s="229" t="s">
        <v>753</v>
      </c>
      <c r="E1512" s="229" t="s">
        <v>3</v>
      </c>
      <c r="F1512" s="229">
        <v>213</v>
      </c>
      <c r="G1512" s="40">
        <f>F1512/131</f>
        <v>1.6259541984732824</v>
      </c>
      <c r="H1512" s="14">
        <v>0</v>
      </c>
      <c r="I1512" s="229">
        <v>0</v>
      </c>
      <c r="J1512" s="229">
        <v>0</v>
      </c>
      <c r="K1512" s="26">
        <v>1</v>
      </c>
      <c r="L1512" s="14">
        <v>0</v>
      </c>
      <c r="M1512" s="229">
        <v>0</v>
      </c>
      <c r="N1512" s="229">
        <v>0</v>
      </c>
      <c r="O1512" s="229">
        <v>0</v>
      </c>
      <c r="P1512" s="26">
        <v>0</v>
      </c>
      <c r="Q1512" s="14">
        <v>5</v>
      </c>
      <c r="R1512" s="229">
        <v>0</v>
      </c>
      <c r="S1512" s="229">
        <v>0</v>
      </c>
      <c r="T1512" s="229">
        <v>0</v>
      </c>
      <c r="U1512" s="229">
        <v>0</v>
      </c>
      <c r="V1512" s="229">
        <v>0</v>
      </c>
      <c r="W1512" s="229">
        <v>28</v>
      </c>
      <c r="X1512" s="229">
        <v>0</v>
      </c>
      <c r="Y1512" s="229">
        <v>0</v>
      </c>
      <c r="Z1512" s="229">
        <v>0</v>
      </c>
      <c r="AA1512" s="229">
        <v>0</v>
      </c>
      <c r="AB1512" s="229">
        <v>0</v>
      </c>
      <c r="AC1512" s="12">
        <v>1</v>
      </c>
      <c r="AD1512" s="14">
        <v>1</v>
      </c>
      <c r="AE1512" s="14">
        <v>0</v>
      </c>
      <c r="AF1512" s="26">
        <v>0</v>
      </c>
      <c r="AG1512" s="12">
        <v>50</v>
      </c>
      <c r="AH1512" s="14">
        <v>1</v>
      </c>
      <c r="AI1512" s="209"/>
      <c r="AJ1512" s="3"/>
      <c r="AK1512" s="3"/>
      <c r="AL1512" s="3"/>
      <c r="AM1512" s="3"/>
      <c r="AN1512" s="3"/>
      <c r="AO1512" s="40"/>
      <c r="AP1512" s="209"/>
      <c r="AQ1512" s="3"/>
      <c r="AR1512" s="40"/>
      <c r="AS1512" s="238"/>
    </row>
    <row r="1513" spans="1:45" s="229" customFormat="1">
      <c r="A1513" s="42" t="s">
        <v>326</v>
      </c>
      <c r="B1513" s="386">
        <v>48.318333333333335</v>
      </c>
      <c r="C1513" s="24" t="s">
        <v>756</v>
      </c>
      <c r="D1513" s="229" t="s">
        <v>753</v>
      </c>
      <c r="E1513" s="229" t="s">
        <v>4</v>
      </c>
      <c r="F1513" s="229">
        <v>158</v>
      </c>
      <c r="G1513" s="40">
        <f>F1513/85</f>
        <v>1.8588235294117648</v>
      </c>
      <c r="H1513" s="14">
        <v>1</v>
      </c>
      <c r="I1513" s="229">
        <v>0</v>
      </c>
      <c r="J1513" s="229">
        <v>1</v>
      </c>
      <c r="K1513" s="26">
        <v>0</v>
      </c>
      <c r="L1513" s="14">
        <v>0</v>
      </c>
      <c r="M1513" s="229">
        <v>0</v>
      </c>
      <c r="N1513" s="229">
        <v>0</v>
      </c>
      <c r="O1513" s="229">
        <v>1</v>
      </c>
      <c r="P1513" s="26">
        <v>1</v>
      </c>
      <c r="Q1513" s="14">
        <v>25</v>
      </c>
      <c r="R1513" s="229">
        <v>0</v>
      </c>
      <c r="S1513" s="229">
        <v>0</v>
      </c>
      <c r="T1513" s="229">
        <v>0</v>
      </c>
      <c r="U1513" s="229">
        <v>0</v>
      </c>
      <c r="V1513" s="229">
        <v>0</v>
      </c>
      <c r="W1513" s="229">
        <v>50</v>
      </c>
      <c r="X1513" s="229">
        <v>0</v>
      </c>
      <c r="Y1513" s="229">
        <v>0</v>
      </c>
      <c r="Z1513" s="229">
        <v>0</v>
      </c>
      <c r="AA1513" s="229">
        <v>0</v>
      </c>
      <c r="AB1513" s="229">
        <v>0</v>
      </c>
      <c r="AC1513" s="12">
        <v>2</v>
      </c>
      <c r="AD1513" s="14">
        <v>2</v>
      </c>
      <c r="AE1513" s="14">
        <v>42</v>
      </c>
      <c r="AF1513" s="26">
        <v>158</v>
      </c>
      <c r="AG1513" s="12">
        <v>50</v>
      </c>
      <c r="AH1513" s="14">
        <v>1</v>
      </c>
      <c r="AI1513" s="209"/>
      <c r="AJ1513" s="3"/>
      <c r="AK1513" s="3"/>
      <c r="AL1513" s="3"/>
      <c r="AM1513" s="3"/>
      <c r="AN1513" s="3"/>
      <c r="AO1513" s="40"/>
      <c r="AP1513" s="209"/>
      <c r="AQ1513" s="3"/>
      <c r="AR1513" s="40"/>
      <c r="AS1513" s="238"/>
    </row>
    <row r="1514" spans="1:45" s="229" customFormat="1">
      <c r="A1514" s="42" t="s">
        <v>326</v>
      </c>
      <c r="B1514" s="386">
        <v>48.318333333333335</v>
      </c>
      <c r="C1514" s="24" t="s">
        <v>756</v>
      </c>
      <c r="D1514" s="229" t="s">
        <v>753</v>
      </c>
      <c r="E1514" s="229" t="s">
        <v>5</v>
      </c>
      <c r="F1514" s="229">
        <v>173</v>
      </c>
      <c r="G1514" s="40">
        <f>F1514/140</f>
        <v>1.2357142857142858</v>
      </c>
      <c r="H1514" s="14">
        <v>0</v>
      </c>
      <c r="I1514" s="229">
        <v>0</v>
      </c>
      <c r="J1514" s="229">
        <v>0</v>
      </c>
      <c r="K1514" s="26">
        <v>1</v>
      </c>
      <c r="L1514" s="14">
        <v>0</v>
      </c>
      <c r="M1514" s="229">
        <v>0</v>
      </c>
      <c r="N1514" s="229">
        <v>0</v>
      </c>
      <c r="O1514" s="229">
        <v>0</v>
      </c>
      <c r="P1514" s="26">
        <v>0</v>
      </c>
      <c r="Q1514" s="14">
        <v>6</v>
      </c>
      <c r="R1514" s="229">
        <v>0</v>
      </c>
      <c r="S1514" s="229">
        <v>28</v>
      </c>
      <c r="T1514" s="229">
        <v>0</v>
      </c>
      <c r="U1514" s="229">
        <v>0</v>
      </c>
      <c r="V1514" s="229">
        <v>0</v>
      </c>
      <c r="W1514" s="229">
        <v>0</v>
      </c>
      <c r="X1514" s="229">
        <v>0</v>
      </c>
      <c r="Y1514" s="229">
        <v>0</v>
      </c>
      <c r="Z1514" s="229">
        <v>0</v>
      </c>
      <c r="AA1514" s="229">
        <v>0</v>
      </c>
      <c r="AB1514" s="229">
        <v>0</v>
      </c>
      <c r="AC1514" s="12">
        <v>2</v>
      </c>
      <c r="AD1514" s="14">
        <v>2</v>
      </c>
      <c r="AE1514" s="14">
        <v>50</v>
      </c>
      <c r="AF1514" s="26">
        <v>173</v>
      </c>
      <c r="AG1514" s="12">
        <v>50</v>
      </c>
      <c r="AH1514" s="14">
        <v>1</v>
      </c>
      <c r="AI1514" s="209"/>
      <c r="AJ1514" s="3"/>
      <c r="AK1514" s="3"/>
      <c r="AL1514" s="3"/>
      <c r="AM1514" s="3"/>
      <c r="AN1514" s="3"/>
      <c r="AO1514" s="40"/>
      <c r="AP1514" s="209"/>
      <c r="AQ1514" s="3"/>
      <c r="AR1514" s="40"/>
      <c r="AS1514" s="238"/>
    </row>
    <row r="1515" spans="1:45" s="229" customFormat="1">
      <c r="A1515" s="42" t="s">
        <v>326</v>
      </c>
      <c r="B1515" s="386">
        <v>48.318333333333335</v>
      </c>
      <c r="C1515" s="24" t="s">
        <v>756</v>
      </c>
      <c r="D1515" s="229" t="s">
        <v>753</v>
      </c>
      <c r="E1515" s="229" t="s">
        <v>750</v>
      </c>
      <c r="F1515" s="229">
        <v>102</v>
      </c>
      <c r="G1515" s="40">
        <f>F1515/85</f>
        <v>1.2</v>
      </c>
      <c r="H1515" s="14">
        <v>1</v>
      </c>
      <c r="I1515" s="229">
        <v>0</v>
      </c>
      <c r="J1515" s="229">
        <v>0</v>
      </c>
      <c r="K1515" s="26">
        <v>0</v>
      </c>
      <c r="L1515" s="14">
        <v>0</v>
      </c>
      <c r="M1515" s="229">
        <v>0</v>
      </c>
      <c r="N1515" s="229">
        <v>0</v>
      </c>
      <c r="O1515" s="229">
        <v>0</v>
      </c>
      <c r="P1515" s="26">
        <v>0</v>
      </c>
      <c r="Q1515" s="14">
        <v>0</v>
      </c>
      <c r="R1515" s="229">
        <v>0</v>
      </c>
      <c r="S1515" s="229">
        <v>0</v>
      </c>
      <c r="T1515" s="229">
        <v>0</v>
      </c>
      <c r="U1515" s="229">
        <v>0</v>
      </c>
      <c r="V1515" s="229">
        <v>0</v>
      </c>
      <c r="W1515" s="229">
        <v>0</v>
      </c>
      <c r="X1515" s="229">
        <v>0</v>
      </c>
      <c r="Y1515" s="229">
        <v>0</v>
      </c>
      <c r="Z1515" s="229">
        <v>0</v>
      </c>
      <c r="AA1515" s="229">
        <v>0</v>
      </c>
      <c r="AB1515" s="229">
        <v>0</v>
      </c>
      <c r="AC1515" s="12">
        <v>2</v>
      </c>
      <c r="AD1515" s="14">
        <v>2</v>
      </c>
      <c r="AE1515" s="14">
        <v>32</v>
      </c>
      <c r="AF1515" s="26">
        <v>85</v>
      </c>
      <c r="AG1515" s="12">
        <v>50</v>
      </c>
      <c r="AH1515" s="14">
        <v>1</v>
      </c>
      <c r="AI1515" s="209"/>
      <c r="AJ1515" s="3"/>
      <c r="AK1515" s="3"/>
      <c r="AL1515" s="3"/>
      <c r="AM1515" s="3"/>
      <c r="AN1515" s="3"/>
      <c r="AO1515" s="40"/>
      <c r="AP1515" s="209"/>
      <c r="AQ1515" s="3"/>
      <c r="AR1515" s="40"/>
      <c r="AS1515" s="238"/>
    </row>
    <row r="1516" spans="1:45" s="229" customFormat="1">
      <c r="A1516" s="42" t="s">
        <v>326</v>
      </c>
      <c r="B1516" s="386">
        <v>48.318333333333335</v>
      </c>
      <c r="C1516" s="24" t="s">
        <v>756</v>
      </c>
      <c r="D1516" s="229" t="s">
        <v>749</v>
      </c>
      <c r="F1516" s="229">
        <v>289</v>
      </c>
      <c r="G1516" s="40">
        <f>F1516/142</f>
        <v>2.035211267605634</v>
      </c>
      <c r="H1516" s="14">
        <v>1</v>
      </c>
      <c r="I1516" s="229">
        <v>0</v>
      </c>
      <c r="J1516" s="229">
        <v>0</v>
      </c>
      <c r="K1516" s="26">
        <v>0</v>
      </c>
      <c r="L1516" s="14">
        <v>0</v>
      </c>
      <c r="M1516" s="229">
        <v>0</v>
      </c>
      <c r="N1516" s="229">
        <v>1</v>
      </c>
      <c r="O1516" s="229">
        <v>0</v>
      </c>
      <c r="P1516" s="26">
        <v>1</v>
      </c>
      <c r="Q1516" s="14">
        <v>0</v>
      </c>
      <c r="R1516" s="229">
        <v>0</v>
      </c>
      <c r="S1516" s="229">
        <v>0</v>
      </c>
      <c r="T1516" s="229">
        <v>0</v>
      </c>
      <c r="U1516" s="229">
        <v>0</v>
      </c>
      <c r="V1516" s="229">
        <v>0</v>
      </c>
      <c r="W1516" s="229">
        <v>0</v>
      </c>
      <c r="X1516" s="229">
        <v>0</v>
      </c>
      <c r="Y1516" s="229">
        <v>0</v>
      </c>
      <c r="Z1516" s="229">
        <v>0</v>
      </c>
      <c r="AA1516" s="229">
        <v>0</v>
      </c>
      <c r="AB1516" s="229">
        <v>0</v>
      </c>
      <c r="AC1516" s="12">
        <v>1</v>
      </c>
      <c r="AD1516" s="14">
        <v>1</v>
      </c>
      <c r="AE1516" s="14">
        <v>0</v>
      </c>
      <c r="AF1516" s="26">
        <v>0</v>
      </c>
      <c r="AG1516" s="12">
        <v>42</v>
      </c>
      <c r="AH1516" s="14">
        <v>1</v>
      </c>
      <c r="AI1516" s="209"/>
      <c r="AJ1516" s="3"/>
      <c r="AK1516" s="3"/>
      <c r="AL1516" s="3"/>
      <c r="AM1516" s="3"/>
      <c r="AN1516" s="3"/>
      <c r="AO1516" s="40"/>
      <c r="AP1516" s="209"/>
      <c r="AQ1516" s="3"/>
      <c r="AR1516" s="40"/>
      <c r="AS1516" s="238"/>
    </row>
    <row r="1517" spans="1:45" s="229" customFormat="1">
      <c r="A1517" s="42" t="s">
        <v>326</v>
      </c>
      <c r="B1517" s="386">
        <v>48.318333333333335</v>
      </c>
      <c r="C1517" s="24" t="s">
        <v>756</v>
      </c>
      <c r="D1517" s="229" t="s">
        <v>722</v>
      </c>
      <c r="F1517" s="229">
        <v>577</v>
      </c>
      <c r="G1517" s="40">
        <f>F1517/314</f>
        <v>1.8375796178343948</v>
      </c>
      <c r="H1517" s="14">
        <v>0</v>
      </c>
      <c r="I1517" s="229">
        <v>0</v>
      </c>
      <c r="J1517" s="229">
        <v>1</v>
      </c>
      <c r="K1517" s="26">
        <v>0</v>
      </c>
      <c r="L1517" s="14">
        <v>0</v>
      </c>
      <c r="M1517" s="229">
        <v>0</v>
      </c>
      <c r="N1517" s="229">
        <v>1</v>
      </c>
      <c r="O1517" s="229">
        <v>0</v>
      </c>
      <c r="P1517" s="26">
        <v>1</v>
      </c>
      <c r="Q1517" s="14">
        <v>15</v>
      </c>
      <c r="R1517" s="229">
        <v>0</v>
      </c>
      <c r="S1517" s="229">
        <v>9</v>
      </c>
      <c r="T1517" s="229">
        <v>0</v>
      </c>
      <c r="U1517" s="229">
        <v>0</v>
      </c>
      <c r="V1517" s="229">
        <v>0</v>
      </c>
      <c r="W1517" s="229">
        <v>0</v>
      </c>
      <c r="X1517" s="229">
        <v>0</v>
      </c>
      <c r="Y1517" s="229">
        <v>0</v>
      </c>
      <c r="Z1517" s="229">
        <v>0</v>
      </c>
      <c r="AA1517" s="229">
        <v>124</v>
      </c>
      <c r="AB1517" s="229">
        <v>1</v>
      </c>
      <c r="AC1517" s="12">
        <v>2</v>
      </c>
      <c r="AD1517" s="14">
        <v>2</v>
      </c>
      <c r="AE1517" s="14">
        <v>340</v>
      </c>
      <c r="AF1517" s="26">
        <v>448</v>
      </c>
      <c r="AG1517" s="12">
        <v>38</v>
      </c>
      <c r="AH1517" s="14">
        <v>0</v>
      </c>
      <c r="AI1517" s="209"/>
      <c r="AJ1517" s="3"/>
      <c r="AK1517" s="3"/>
      <c r="AL1517" s="3"/>
      <c r="AM1517" s="3"/>
      <c r="AN1517" s="3"/>
      <c r="AO1517" s="40"/>
      <c r="AP1517" s="209"/>
      <c r="AQ1517" s="3"/>
      <c r="AR1517" s="40"/>
      <c r="AS1517" s="238"/>
    </row>
    <row r="1518" spans="1:45" s="229" customFormat="1">
      <c r="A1518" s="42" t="s">
        <v>326</v>
      </c>
      <c r="B1518" s="386">
        <v>48.318333333333335</v>
      </c>
      <c r="C1518" s="24" t="s">
        <v>756</v>
      </c>
      <c r="D1518" s="229" t="s">
        <v>736</v>
      </c>
      <c r="E1518" s="229" t="s">
        <v>0</v>
      </c>
      <c r="F1518" s="229">
        <v>350</v>
      </c>
      <c r="G1518" s="40">
        <f>F1518/232</f>
        <v>1.5086206896551724</v>
      </c>
      <c r="H1518" s="14">
        <v>1</v>
      </c>
      <c r="I1518" s="229">
        <v>0</v>
      </c>
      <c r="J1518" s="229">
        <v>0</v>
      </c>
      <c r="K1518" s="26">
        <v>1</v>
      </c>
      <c r="L1518" s="14">
        <v>0</v>
      </c>
      <c r="M1518" s="229">
        <v>0</v>
      </c>
      <c r="N1518" s="229">
        <v>0</v>
      </c>
      <c r="O1518" s="229">
        <v>1</v>
      </c>
      <c r="P1518" s="26">
        <v>1</v>
      </c>
      <c r="Q1518" s="14">
        <v>1</v>
      </c>
      <c r="R1518" s="229">
        <v>0</v>
      </c>
      <c r="S1518" s="229">
        <v>0</v>
      </c>
      <c r="T1518" s="229">
        <v>0</v>
      </c>
      <c r="U1518" s="229">
        <v>0</v>
      </c>
      <c r="V1518" s="229">
        <v>0</v>
      </c>
      <c r="W1518" s="229">
        <v>18</v>
      </c>
      <c r="X1518" s="229">
        <v>0</v>
      </c>
      <c r="Y1518" s="229">
        <v>0</v>
      </c>
      <c r="Z1518" s="229">
        <v>0</v>
      </c>
      <c r="AA1518" s="229">
        <v>0</v>
      </c>
      <c r="AB1518" s="229">
        <v>0</v>
      </c>
      <c r="AC1518" s="12">
        <v>2</v>
      </c>
      <c r="AD1518" s="14">
        <v>4</v>
      </c>
      <c r="AE1518" s="14">
        <v>32</v>
      </c>
      <c r="AF1518" s="26">
        <v>231</v>
      </c>
      <c r="AG1518" s="12">
        <v>40</v>
      </c>
      <c r="AH1518" s="14">
        <v>1</v>
      </c>
      <c r="AI1518" s="209"/>
      <c r="AJ1518" s="3"/>
      <c r="AK1518" s="3"/>
      <c r="AL1518" s="3"/>
      <c r="AM1518" s="3"/>
      <c r="AN1518" s="3"/>
      <c r="AO1518" s="40"/>
      <c r="AP1518" s="209"/>
      <c r="AQ1518" s="3"/>
      <c r="AR1518" s="40"/>
      <c r="AS1518" s="238"/>
    </row>
    <row r="1519" spans="1:45" s="229" customFormat="1">
      <c r="A1519" s="42" t="s">
        <v>326</v>
      </c>
      <c r="B1519" s="386">
        <v>48.318333333333335</v>
      </c>
      <c r="C1519" s="24" t="s">
        <v>756</v>
      </c>
      <c r="D1519" s="229" t="s">
        <v>736</v>
      </c>
      <c r="E1519" s="229" t="s">
        <v>1</v>
      </c>
      <c r="F1519" s="229">
        <v>310</v>
      </c>
      <c r="G1519" s="40">
        <f>F1519/150</f>
        <v>2.0666666666666669</v>
      </c>
      <c r="H1519" s="14">
        <v>0</v>
      </c>
      <c r="I1519" s="229">
        <v>0</v>
      </c>
      <c r="J1519" s="229">
        <v>0</v>
      </c>
      <c r="K1519" s="26">
        <v>1</v>
      </c>
      <c r="L1519" s="14">
        <v>0</v>
      </c>
      <c r="M1519" s="229">
        <v>0</v>
      </c>
      <c r="N1519" s="229">
        <v>0</v>
      </c>
      <c r="O1519" s="229">
        <v>1</v>
      </c>
      <c r="P1519" s="26">
        <v>1</v>
      </c>
      <c r="Q1519" s="14">
        <v>10</v>
      </c>
      <c r="R1519" s="229">
        <v>11</v>
      </c>
      <c r="S1519" s="229">
        <v>16</v>
      </c>
      <c r="T1519" s="229">
        <v>0</v>
      </c>
      <c r="U1519" s="229">
        <v>0</v>
      </c>
      <c r="V1519" s="229">
        <v>7</v>
      </c>
      <c r="W1519" s="229">
        <v>37</v>
      </c>
      <c r="X1519" s="229">
        <v>0</v>
      </c>
      <c r="Y1519" s="229">
        <v>0</v>
      </c>
      <c r="Z1519" s="229">
        <v>0</v>
      </c>
      <c r="AA1519" s="229">
        <v>40</v>
      </c>
      <c r="AB1519" s="229">
        <v>0</v>
      </c>
      <c r="AC1519" s="12">
        <v>2</v>
      </c>
      <c r="AD1519" s="14">
        <v>4</v>
      </c>
      <c r="AE1519" s="14">
        <v>79</v>
      </c>
      <c r="AF1519" s="26">
        <v>188</v>
      </c>
      <c r="AG1519" s="12">
        <v>40</v>
      </c>
      <c r="AH1519" s="14">
        <v>0</v>
      </c>
      <c r="AI1519" s="209"/>
      <c r="AJ1519" s="3"/>
      <c r="AK1519" s="3"/>
      <c r="AL1519" s="3"/>
      <c r="AM1519" s="3"/>
      <c r="AN1519" s="3"/>
      <c r="AO1519" s="40"/>
      <c r="AP1519" s="209"/>
      <c r="AQ1519" s="3"/>
      <c r="AR1519" s="40"/>
      <c r="AS1519" s="238"/>
    </row>
    <row r="1520" spans="1:45" s="229" customFormat="1">
      <c r="A1520" s="42" t="s">
        <v>326</v>
      </c>
      <c r="B1520" s="386">
        <v>48.318333333333335</v>
      </c>
      <c r="C1520" s="24" t="s">
        <v>756</v>
      </c>
      <c r="D1520" s="229" t="s">
        <v>724</v>
      </c>
      <c r="F1520" s="229">
        <v>457</v>
      </c>
      <c r="G1520" s="40">
        <f>F1520/255</f>
        <v>1.7921568627450981</v>
      </c>
      <c r="H1520" s="14">
        <v>1</v>
      </c>
      <c r="I1520" s="229">
        <v>0</v>
      </c>
      <c r="J1520" s="229">
        <v>0</v>
      </c>
      <c r="K1520" s="26">
        <v>1</v>
      </c>
      <c r="L1520" s="14">
        <v>1</v>
      </c>
      <c r="M1520" s="229">
        <v>0</v>
      </c>
      <c r="N1520" s="229">
        <v>1</v>
      </c>
      <c r="O1520" s="229">
        <v>0</v>
      </c>
      <c r="P1520" s="26">
        <v>2</v>
      </c>
      <c r="Q1520" s="14">
        <v>2</v>
      </c>
      <c r="R1520" s="229">
        <v>0</v>
      </c>
      <c r="S1520" s="229">
        <v>4</v>
      </c>
      <c r="T1520" s="229">
        <v>0</v>
      </c>
      <c r="U1520" s="229">
        <v>0</v>
      </c>
      <c r="V1520" s="229">
        <v>5</v>
      </c>
      <c r="W1520" s="229">
        <v>21</v>
      </c>
      <c r="X1520" s="229">
        <v>0</v>
      </c>
      <c r="Y1520" s="229">
        <v>10</v>
      </c>
      <c r="Z1520" s="229">
        <v>0</v>
      </c>
      <c r="AA1520" s="229">
        <v>0</v>
      </c>
      <c r="AB1520" s="229">
        <v>1</v>
      </c>
      <c r="AC1520" s="12">
        <v>2</v>
      </c>
      <c r="AD1520" s="14">
        <v>10</v>
      </c>
      <c r="AE1520" s="14">
        <v>27</v>
      </c>
      <c r="AF1520" s="26">
        <v>146</v>
      </c>
      <c r="AG1520" s="12">
        <v>30</v>
      </c>
      <c r="AH1520" s="14">
        <v>1</v>
      </c>
      <c r="AI1520" s="209"/>
      <c r="AJ1520" s="3"/>
      <c r="AK1520" s="3"/>
      <c r="AL1520" s="3"/>
      <c r="AM1520" s="3"/>
      <c r="AN1520" s="3"/>
      <c r="AO1520" s="40"/>
      <c r="AP1520" s="209"/>
      <c r="AQ1520" s="3"/>
      <c r="AR1520" s="40"/>
      <c r="AS1520" s="238"/>
    </row>
    <row r="1521" spans="1:45" s="229" customFormat="1">
      <c r="A1521" s="42" t="s">
        <v>326</v>
      </c>
      <c r="B1521" s="386">
        <v>48.318333333333335</v>
      </c>
      <c r="C1521" s="24" t="s">
        <v>756</v>
      </c>
      <c r="D1521" s="229" t="s">
        <v>737</v>
      </c>
      <c r="E1521" s="229" t="s">
        <v>0</v>
      </c>
      <c r="F1521" s="229">
        <v>135</v>
      </c>
      <c r="G1521" s="40">
        <f>F1521/61</f>
        <v>2.2131147540983607</v>
      </c>
      <c r="H1521" s="14">
        <v>0</v>
      </c>
      <c r="I1521" s="229">
        <v>0</v>
      </c>
      <c r="J1521" s="229">
        <v>0</v>
      </c>
      <c r="K1521" s="26">
        <v>1</v>
      </c>
      <c r="L1521" s="14">
        <v>0</v>
      </c>
      <c r="M1521" s="229">
        <v>0</v>
      </c>
      <c r="N1521" s="229">
        <v>1</v>
      </c>
      <c r="O1521" s="229">
        <v>0</v>
      </c>
      <c r="P1521" s="26">
        <v>1</v>
      </c>
      <c r="Q1521" s="14">
        <v>2</v>
      </c>
      <c r="R1521" s="229">
        <v>0</v>
      </c>
      <c r="S1521" s="229">
        <v>0</v>
      </c>
      <c r="T1521" s="229">
        <v>0</v>
      </c>
      <c r="U1521" s="229">
        <v>0</v>
      </c>
      <c r="V1521" s="229">
        <v>0</v>
      </c>
      <c r="W1521" s="229">
        <v>17</v>
      </c>
      <c r="X1521" s="229">
        <v>0</v>
      </c>
      <c r="Y1521" s="229">
        <v>0</v>
      </c>
      <c r="Z1521" s="229">
        <v>0</v>
      </c>
      <c r="AA1521" s="229">
        <v>0</v>
      </c>
      <c r="AB1521" s="229">
        <v>0</v>
      </c>
      <c r="AC1521" s="12">
        <v>2</v>
      </c>
      <c r="AD1521" s="14">
        <v>2</v>
      </c>
      <c r="AE1521" s="14">
        <v>54</v>
      </c>
      <c r="AF1521" s="26">
        <v>77</v>
      </c>
      <c r="AG1521" s="12">
        <v>68</v>
      </c>
      <c r="AH1521" s="14">
        <v>1</v>
      </c>
      <c r="AI1521" s="209"/>
      <c r="AJ1521" s="3"/>
      <c r="AK1521" s="3"/>
      <c r="AL1521" s="3"/>
      <c r="AM1521" s="3"/>
      <c r="AN1521" s="3"/>
      <c r="AO1521" s="40"/>
      <c r="AP1521" s="209"/>
      <c r="AQ1521" s="3"/>
      <c r="AR1521" s="40"/>
      <c r="AS1521" s="238"/>
    </row>
    <row r="1522" spans="1:45" s="229" customFormat="1">
      <c r="A1522" s="42" t="s">
        <v>326</v>
      </c>
      <c r="B1522" s="386">
        <v>48.318333333333335</v>
      </c>
      <c r="C1522" s="24" t="s">
        <v>756</v>
      </c>
      <c r="D1522" s="229" t="s">
        <v>737</v>
      </c>
      <c r="E1522" s="229" t="s">
        <v>1</v>
      </c>
      <c r="F1522" s="229">
        <v>110</v>
      </c>
      <c r="G1522" s="40">
        <f>F1522/2</f>
        <v>55</v>
      </c>
      <c r="H1522" s="14">
        <v>0</v>
      </c>
      <c r="I1522" s="229">
        <v>0</v>
      </c>
      <c r="J1522" s="229">
        <v>0</v>
      </c>
      <c r="K1522" s="26">
        <v>1</v>
      </c>
      <c r="L1522" s="14">
        <v>0</v>
      </c>
      <c r="M1522" s="229">
        <v>0</v>
      </c>
      <c r="N1522" s="229">
        <v>1</v>
      </c>
      <c r="O1522" s="229">
        <v>0</v>
      </c>
      <c r="P1522" s="26">
        <v>1</v>
      </c>
      <c r="Q1522" s="14">
        <v>0</v>
      </c>
      <c r="R1522" s="229">
        <v>0</v>
      </c>
      <c r="S1522" s="229">
        <v>0</v>
      </c>
      <c r="T1522" s="229">
        <v>0</v>
      </c>
      <c r="U1522" s="229">
        <v>0</v>
      </c>
      <c r="V1522" s="229">
        <v>0</v>
      </c>
      <c r="W1522" s="229">
        <v>0</v>
      </c>
      <c r="X1522" s="229">
        <v>0</v>
      </c>
      <c r="Y1522" s="229">
        <v>0</v>
      </c>
      <c r="Z1522" s="229">
        <v>0</v>
      </c>
      <c r="AA1522" s="229">
        <v>0</v>
      </c>
      <c r="AB1522" s="229">
        <v>0</v>
      </c>
      <c r="AC1522" s="12">
        <v>2</v>
      </c>
      <c r="AD1522" s="14">
        <v>2</v>
      </c>
      <c r="AE1522" s="14">
        <v>51</v>
      </c>
      <c r="AF1522" s="26">
        <v>63</v>
      </c>
      <c r="AG1522" s="12">
        <v>68</v>
      </c>
      <c r="AH1522" s="14">
        <v>0</v>
      </c>
      <c r="AI1522" s="209"/>
      <c r="AJ1522" s="3"/>
      <c r="AK1522" s="3"/>
      <c r="AL1522" s="3"/>
      <c r="AM1522" s="3"/>
      <c r="AN1522" s="3"/>
      <c r="AO1522" s="40"/>
      <c r="AP1522" s="209"/>
      <c r="AQ1522" s="3"/>
      <c r="AR1522" s="40"/>
      <c r="AS1522" s="238"/>
    </row>
    <row r="1523" spans="1:45" s="229" customFormat="1">
      <c r="A1523" s="42" t="s">
        <v>326</v>
      </c>
      <c r="B1523" s="386">
        <v>48.318333333333335</v>
      </c>
      <c r="C1523" s="24" t="s">
        <v>756</v>
      </c>
      <c r="D1523" s="229" t="s">
        <v>737</v>
      </c>
      <c r="E1523" s="229" t="s">
        <v>2</v>
      </c>
      <c r="F1523" s="229">
        <v>47</v>
      </c>
      <c r="G1523" s="40">
        <f>F1523/42</f>
        <v>1.1190476190476191</v>
      </c>
      <c r="H1523" s="14">
        <v>0</v>
      </c>
      <c r="I1523" s="229">
        <v>0</v>
      </c>
      <c r="J1523" s="229">
        <v>1</v>
      </c>
      <c r="K1523" s="26">
        <v>0</v>
      </c>
      <c r="L1523" s="14">
        <v>0</v>
      </c>
      <c r="M1523" s="229">
        <v>0</v>
      </c>
      <c r="N1523" s="229">
        <v>1</v>
      </c>
      <c r="O1523" s="229">
        <v>0</v>
      </c>
      <c r="P1523" s="26">
        <v>1</v>
      </c>
      <c r="Q1523" s="14">
        <v>0</v>
      </c>
      <c r="R1523" s="229">
        <v>0</v>
      </c>
      <c r="S1523" s="229">
        <v>0</v>
      </c>
      <c r="T1523" s="229">
        <v>0</v>
      </c>
      <c r="U1523" s="229">
        <v>0</v>
      </c>
      <c r="V1523" s="229">
        <v>0</v>
      </c>
      <c r="W1523" s="229">
        <v>0</v>
      </c>
      <c r="X1523" s="229">
        <v>0</v>
      </c>
      <c r="Y1523" s="229">
        <v>0</v>
      </c>
      <c r="Z1523" s="229">
        <v>0</v>
      </c>
      <c r="AA1523" s="229">
        <v>0</v>
      </c>
      <c r="AB1523" s="229">
        <v>0</v>
      </c>
      <c r="AC1523" s="12">
        <v>1</v>
      </c>
      <c r="AD1523" s="14">
        <v>1</v>
      </c>
      <c r="AE1523" s="14">
        <v>0</v>
      </c>
      <c r="AF1523" s="26">
        <v>0</v>
      </c>
      <c r="AG1523" s="12">
        <v>68</v>
      </c>
      <c r="AH1523" s="14">
        <v>1</v>
      </c>
      <c r="AI1523" s="209"/>
      <c r="AJ1523" s="3"/>
      <c r="AK1523" s="3"/>
      <c r="AL1523" s="3"/>
      <c r="AM1523" s="3"/>
      <c r="AN1523" s="3"/>
      <c r="AO1523" s="40"/>
      <c r="AP1523" s="209"/>
      <c r="AQ1523" s="3"/>
      <c r="AR1523" s="40"/>
      <c r="AS1523" s="238"/>
    </row>
    <row r="1524" spans="1:45" s="229" customFormat="1">
      <c r="A1524" s="42" t="s">
        <v>326</v>
      </c>
      <c r="B1524" s="386">
        <v>48.318333333333335</v>
      </c>
      <c r="C1524" s="24" t="s">
        <v>756</v>
      </c>
      <c r="D1524" s="229" t="s">
        <v>737</v>
      </c>
      <c r="E1524" s="229" t="s">
        <v>3</v>
      </c>
      <c r="F1524" s="229">
        <v>387</v>
      </c>
      <c r="G1524" s="40">
        <f>F1524/180</f>
        <v>2.15</v>
      </c>
      <c r="H1524" s="14">
        <v>1</v>
      </c>
      <c r="I1524" s="229">
        <v>0</v>
      </c>
      <c r="J1524" s="229">
        <v>0</v>
      </c>
      <c r="K1524" s="26">
        <v>1</v>
      </c>
      <c r="L1524" s="14">
        <v>1</v>
      </c>
      <c r="M1524" s="229">
        <v>0</v>
      </c>
      <c r="N1524" s="229">
        <v>0</v>
      </c>
      <c r="O1524" s="229">
        <v>1</v>
      </c>
      <c r="P1524" s="26">
        <v>2</v>
      </c>
      <c r="Q1524" s="14">
        <v>2</v>
      </c>
      <c r="R1524" s="229">
        <v>0</v>
      </c>
      <c r="S1524" s="229">
        <v>0</v>
      </c>
      <c r="T1524" s="229">
        <v>0</v>
      </c>
      <c r="U1524" s="229">
        <v>0</v>
      </c>
      <c r="V1524" s="229">
        <v>0</v>
      </c>
      <c r="W1524" s="229">
        <v>29</v>
      </c>
      <c r="X1524" s="229">
        <v>0</v>
      </c>
      <c r="Y1524" s="229">
        <v>0</v>
      </c>
      <c r="Z1524" s="229">
        <v>0</v>
      </c>
      <c r="AA1524" s="229">
        <v>0</v>
      </c>
      <c r="AB1524" s="229">
        <v>0</v>
      </c>
      <c r="AC1524" s="12">
        <v>2</v>
      </c>
      <c r="AD1524" s="14">
        <v>9</v>
      </c>
      <c r="AE1524" s="14">
        <v>39</v>
      </c>
      <c r="AF1524" s="26">
        <v>161</v>
      </c>
      <c r="AG1524" s="12">
        <v>68</v>
      </c>
      <c r="AH1524" s="14">
        <v>1</v>
      </c>
      <c r="AI1524" s="209"/>
      <c r="AJ1524" s="3"/>
      <c r="AK1524" s="3"/>
      <c r="AL1524" s="3"/>
      <c r="AM1524" s="3"/>
      <c r="AN1524" s="3"/>
      <c r="AO1524" s="40"/>
      <c r="AP1524" s="209"/>
      <c r="AQ1524" s="3"/>
      <c r="AR1524" s="40"/>
      <c r="AS1524" s="238"/>
    </row>
    <row r="1525" spans="1:45" s="229" customFormat="1">
      <c r="A1525" s="42" t="s">
        <v>326</v>
      </c>
      <c r="B1525" s="386">
        <v>48.318333333333335</v>
      </c>
      <c r="C1525" s="24" t="s">
        <v>756</v>
      </c>
      <c r="D1525" s="229" t="s">
        <v>738</v>
      </c>
      <c r="E1525" s="229" t="s">
        <v>0</v>
      </c>
      <c r="F1525" s="229">
        <v>178</v>
      </c>
      <c r="G1525" s="40">
        <f>F1525/88</f>
        <v>2.0227272727272729</v>
      </c>
      <c r="H1525" s="14">
        <v>0</v>
      </c>
      <c r="I1525" s="229">
        <v>0</v>
      </c>
      <c r="J1525" s="229">
        <v>0</v>
      </c>
      <c r="K1525" s="26">
        <v>1</v>
      </c>
      <c r="L1525" s="14">
        <v>0</v>
      </c>
      <c r="M1525" s="229">
        <v>0</v>
      </c>
      <c r="N1525" s="229">
        <v>0</v>
      </c>
      <c r="O1525" s="229">
        <v>1</v>
      </c>
      <c r="P1525" s="26">
        <v>1</v>
      </c>
      <c r="Q1525" s="14">
        <v>10</v>
      </c>
      <c r="R1525" s="229">
        <v>0</v>
      </c>
      <c r="S1525" s="229">
        <v>10</v>
      </c>
      <c r="T1525" s="229">
        <v>0</v>
      </c>
      <c r="U1525" s="229">
        <v>0</v>
      </c>
      <c r="V1525" s="229">
        <v>0</v>
      </c>
      <c r="W1525" s="229">
        <v>0</v>
      </c>
      <c r="X1525" s="229">
        <v>0</v>
      </c>
      <c r="Y1525" s="229">
        <v>0</v>
      </c>
      <c r="Z1525" s="229">
        <v>0</v>
      </c>
      <c r="AA1525" s="229">
        <v>0</v>
      </c>
      <c r="AB1525" s="229">
        <v>1</v>
      </c>
      <c r="AC1525" s="12">
        <v>1</v>
      </c>
      <c r="AD1525" s="14">
        <v>1</v>
      </c>
      <c r="AE1525" s="14">
        <v>0</v>
      </c>
      <c r="AF1525" s="26">
        <v>0</v>
      </c>
      <c r="AG1525" s="12">
        <v>47</v>
      </c>
      <c r="AH1525" s="14">
        <v>0</v>
      </c>
      <c r="AI1525" s="209"/>
      <c r="AJ1525" s="3"/>
      <c r="AK1525" s="3"/>
      <c r="AL1525" s="3"/>
      <c r="AM1525" s="3"/>
      <c r="AN1525" s="3"/>
      <c r="AO1525" s="40"/>
      <c r="AP1525" s="209"/>
      <c r="AQ1525" s="3"/>
      <c r="AR1525" s="40"/>
      <c r="AS1525" s="238"/>
    </row>
    <row r="1526" spans="1:45" s="229" customFormat="1">
      <c r="A1526" s="42" t="s">
        <v>326</v>
      </c>
      <c r="B1526" s="386">
        <v>48.318333333333335</v>
      </c>
      <c r="C1526" s="24" t="s">
        <v>756</v>
      </c>
      <c r="D1526" s="229" t="s">
        <v>738</v>
      </c>
      <c r="E1526" s="229" t="s">
        <v>1</v>
      </c>
      <c r="F1526" s="229">
        <v>446</v>
      </c>
      <c r="G1526" s="40">
        <f>F1526/179</f>
        <v>2.4916201117318435</v>
      </c>
      <c r="H1526" s="14">
        <v>0</v>
      </c>
      <c r="I1526" s="229">
        <v>0</v>
      </c>
      <c r="J1526" s="229">
        <v>1</v>
      </c>
      <c r="K1526" s="26">
        <v>0</v>
      </c>
      <c r="L1526" s="14">
        <v>0</v>
      </c>
      <c r="M1526" s="229">
        <v>0</v>
      </c>
      <c r="N1526" s="229">
        <v>0</v>
      </c>
      <c r="O1526" s="229">
        <v>1</v>
      </c>
      <c r="P1526" s="26">
        <v>1</v>
      </c>
      <c r="Q1526" s="14">
        <v>20</v>
      </c>
      <c r="R1526" s="229">
        <v>0</v>
      </c>
      <c r="S1526" s="229">
        <v>0</v>
      </c>
      <c r="T1526" s="229">
        <v>0</v>
      </c>
      <c r="U1526" s="229">
        <v>0</v>
      </c>
      <c r="V1526" s="229">
        <v>0</v>
      </c>
      <c r="W1526" s="229">
        <v>0</v>
      </c>
      <c r="X1526" s="229">
        <v>0</v>
      </c>
      <c r="Y1526" s="229">
        <v>0</v>
      </c>
      <c r="Z1526" s="229">
        <v>0</v>
      </c>
      <c r="AA1526" s="229">
        <v>124</v>
      </c>
      <c r="AB1526" s="229">
        <v>0</v>
      </c>
      <c r="AC1526" s="12">
        <v>1</v>
      </c>
      <c r="AD1526" s="14">
        <v>1</v>
      </c>
      <c r="AE1526" s="14">
        <v>0</v>
      </c>
      <c r="AF1526" s="26">
        <v>0</v>
      </c>
      <c r="AG1526" s="12">
        <v>47</v>
      </c>
      <c r="AH1526" s="14">
        <v>1</v>
      </c>
      <c r="AI1526" s="209"/>
      <c r="AJ1526" s="3"/>
      <c r="AK1526" s="3"/>
      <c r="AL1526" s="3"/>
      <c r="AM1526" s="3"/>
      <c r="AN1526" s="3"/>
      <c r="AO1526" s="40"/>
      <c r="AP1526" s="209"/>
      <c r="AQ1526" s="3"/>
      <c r="AR1526" s="40"/>
      <c r="AS1526" s="238"/>
    </row>
    <row r="1527" spans="1:45" s="229" customFormat="1">
      <c r="A1527" s="42" t="s">
        <v>326</v>
      </c>
      <c r="B1527" s="386">
        <v>48.318333333333335</v>
      </c>
      <c r="C1527" s="24" t="s">
        <v>756</v>
      </c>
      <c r="D1527" s="229" t="s">
        <v>727</v>
      </c>
      <c r="E1527" s="229" t="s">
        <v>0</v>
      </c>
      <c r="F1527" s="229">
        <v>123</v>
      </c>
      <c r="G1527" s="40">
        <f>F1527/49</f>
        <v>2.510204081632653</v>
      </c>
      <c r="H1527" s="14">
        <v>1</v>
      </c>
      <c r="I1527" s="229">
        <v>0</v>
      </c>
      <c r="J1527" s="229">
        <v>0</v>
      </c>
      <c r="K1527" s="26">
        <v>1</v>
      </c>
      <c r="L1527" s="14">
        <v>0</v>
      </c>
      <c r="M1527" s="229">
        <v>0</v>
      </c>
      <c r="N1527" s="229">
        <v>1</v>
      </c>
      <c r="O1527" s="229">
        <v>0</v>
      </c>
      <c r="P1527" s="26">
        <v>1</v>
      </c>
      <c r="Q1527" s="14">
        <v>0</v>
      </c>
      <c r="R1527" s="229">
        <v>0</v>
      </c>
      <c r="S1527" s="229">
        <v>0</v>
      </c>
      <c r="T1527" s="229">
        <v>0</v>
      </c>
      <c r="U1527" s="229">
        <v>0</v>
      </c>
      <c r="V1527" s="229">
        <v>0</v>
      </c>
      <c r="W1527" s="229">
        <v>0</v>
      </c>
      <c r="X1527" s="229">
        <v>0</v>
      </c>
      <c r="Y1527" s="229">
        <v>0</v>
      </c>
      <c r="Z1527" s="229">
        <v>0</v>
      </c>
      <c r="AA1527" s="229">
        <v>0</v>
      </c>
      <c r="AB1527" s="229">
        <v>0</v>
      </c>
      <c r="AC1527" s="12">
        <v>2</v>
      </c>
      <c r="AD1527" s="14">
        <v>2</v>
      </c>
      <c r="AE1527" s="14">
        <v>57</v>
      </c>
      <c r="AF1527" s="26">
        <v>92</v>
      </c>
      <c r="AG1527" s="12">
        <v>56</v>
      </c>
      <c r="AH1527" s="14">
        <v>0</v>
      </c>
      <c r="AI1527" s="209"/>
      <c r="AJ1527" s="3"/>
      <c r="AK1527" s="3"/>
      <c r="AL1527" s="3"/>
      <c r="AM1527" s="3"/>
      <c r="AN1527" s="3"/>
      <c r="AO1527" s="40"/>
      <c r="AP1527" s="209"/>
      <c r="AQ1527" s="3"/>
      <c r="AR1527" s="40"/>
      <c r="AS1527" s="238"/>
    </row>
    <row r="1528" spans="1:45" s="229" customFormat="1">
      <c r="A1528" s="42" t="s">
        <v>326</v>
      </c>
      <c r="B1528" s="386">
        <v>48.318333333333335</v>
      </c>
      <c r="C1528" s="24" t="s">
        <v>756</v>
      </c>
      <c r="D1528" s="24" t="s">
        <v>727</v>
      </c>
      <c r="E1528" s="229" t="s">
        <v>1</v>
      </c>
      <c r="F1528" s="229">
        <v>64</v>
      </c>
      <c r="G1528" s="40">
        <f>F1528/63</f>
        <v>1.0158730158730158</v>
      </c>
      <c r="H1528" s="14">
        <v>1</v>
      </c>
      <c r="I1528" s="229">
        <v>0</v>
      </c>
      <c r="J1528" s="229">
        <v>0</v>
      </c>
      <c r="K1528" s="26">
        <v>1</v>
      </c>
      <c r="L1528" s="14">
        <v>0</v>
      </c>
      <c r="M1528" s="229">
        <v>0</v>
      </c>
      <c r="N1528" s="229">
        <v>1</v>
      </c>
      <c r="O1528" s="229">
        <v>0</v>
      </c>
      <c r="P1528" s="26">
        <v>1</v>
      </c>
      <c r="Q1528" s="14">
        <v>0</v>
      </c>
      <c r="R1528" s="229">
        <v>0</v>
      </c>
      <c r="S1528" s="229">
        <v>0</v>
      </c>
      <c r="T1528" s="229">
        <v>0</v>
      </c>
      <c r="U1528" s="229">
        <v>0</v>
      </c>
      <c r="V1528" s="229">
        <v>0</v>
      </c>
      <c r="W1528" s="229">
        <v>0</v>
      </c>
      <c r="X1528" s="229">
        <v>0</v>
      </c>
      <c r="Y1528" s="229">
        <v>0</v>
      </c>
      <c r="Z1528" s="229">
        <v>0</v>
      </c>
      <c r="AA1528" s="229">
        <v>0</v>
      </c>
      <c r="AB1528" s="229">
        <v>0</v>
      </c>
      <c r="AC1528" s="12">
        <v>2</v>
      </c>
      <c r="AD1528" s="14">
        <v>2</v>
      </c>
      <c r="AE1528" s="14">
        <v>26</v>
      </c>
      <c r="AF1528" s="26">
        <v>64</v>
      </c>
      <c r="AG1528" s="12">
        <v>56</v>
      </c>
      <c r="AH1528" s="14">
        <v>1</v>
      </c>
      <c r="AI1528" s="209"/>
      <c r="AJ1528" s="3"/>
      <c r="AK1528" s="3"/>
      <c r="AL1528" s="3"/>
      <c r="AM1528" s="3"/>
      <c r="AN1528" s="3"/>
      <c r="AO1528" s="40"/>
      <c r="AP1528" s="209"/>
      <c r="AQ1528" s="3"/>
      <c r="AR1528" s="40"/>
      <c r="AS1528" s="238"/>
    </row>
    <row r="1529" spans="1:45" s="229" customFormat="1">
      <c r="A1529" s="42" t="s">
        <v>326</v>
      </c>
      <c r="B1529" s="386">
        <v>48.318333333333335</v>
      </c>
      <c r="C1529" s="24" t="s">
        <v>756</v>
      </c>
      <c r="D1529" s="24" t="s">
        <v>727</v>
      </c>
      <c r="E1529" s="229" t="s">
        <v>2</v>
      </c>
      <c r="F1529" s="229">
        <v>37</v>
      </c>
      <c r="G1529" s="40">
        <f>F1529/24</f>
        <v>1.5416666666666667</v>
      </c>
      <c r="H1529" s="14">
        <v>1</v>
      </c>
      <c r="I1529" s="229">
        <v>0</v>
      </c>
      <c r="J1529" s="229">
        <v>0</v>
      </c>
      <c r="K1529" s="26">
        <v>0</v>
      </c>
      <c r="L1529" s="14">
        <v>0</v>
      </c>
      <c r="M1529" s="229">
        <v>0</v>
      </c>
      <c r="N1529" s="229">
        <v>0</v>
      </c>
      <c r="O1529" s="229">
        <v>0</v>
      </c>
      <c r="P1529" s="26">
        <v>0</v>
      </c>
      <c r="Q1529" s="14">
        <v>0</v>
      </c>
      <c r="R1529" s="229">
        <v>0</v>
      </c>
      <c r="S1529" s="229">
        <v>0</v>
      </c>
      <c r="T1529" s="229">
        <v>0</v>
      </c>
      <c r="U1529" s="229">
        <v>0</v>
      </c>
      <c r="V1529" s="229">
        <v>0</v>
      </c>
      <c r="W1529" s="229">
        <v>0</v>
      </c>
      <c r="X1529" s="229">
        <v>0</v>
      </c>
      <c r="Y1529" s="229">
        <v>0</v>
      </c>
      <c r="Z1529" s="229">
        <v>0</v>
      </c>
      <c r="AA1529" s="229">
        <v>0</v>
      </c>
      <c r="AB1529" s="229">
        <v>0</v>
      </c>
      <c r="AC1529" s="12">
        <v>2</v>
      </c>
      <c r="AD1529" s="14">
        <v>2</v>
      </c>
      <c r="AE1529" s="14">
        <v>24</v>
      </c>
      <c r="AF1529" s="26">
        <v>31</v>
      </c>
      <c r="AG1529" s="12">
        <v>56</v>
      </c>
      <c r="AH1529" s="14">
        <v>0</v>
      </c>
      <c r="AI1529" s="209"/>
      <c r="AJ1529" s="3"/>
      <c r="AK1529" s="3"/>
      <c r="AL1529" s="3"/>
      <c r="AM1529" s="3"/>
      <c r="AN1529" s="3"/>
      <c r="AO1529" s="40"/>
      <c r="AP1529" s="209"/>
      <c r="AQ1529" s="3"/>
      <c r="AR1529" s="40"/>
      <c r="AS1529" s="238"/>
    </row>
    <row r="1530" spans="1:45" s="229" customFormat="1">
      <c r="A1530" s="42" t="s">
        <v>326</v>
      </c>
      <c r="B1530" s="386">
        <v>48.318333333333335</v>
      </c>
      <c r="C1530" s="24" t="s">
        <v>756</v>
      </c>
      <c r="D1530" s="24" t="s">
        <v>727</v>
      </c>
      <c r="E1530" s="229" t="s">
        <v>3</v>
      </c>
      <c r="F1530" s="229">
        <v>489</v>
      </c>
      <c r="G1530" s="40">
        <f>F1530/210</f>
        <v>2.3285714285714287</v>
      </c>
      <c r="H1530" s="14">
        <v>1</v>
      </c>
      <c r="I1530" s="229">
        <v>0</v>
      </c>
      <c r="J1530" s="229">
        <v>1</v>
      </c>
      <c r="K1530" s="26">
        <v>1</v>
      </c>
      <c r="L1530" s="14">
        <v>0</v>
      </c>
      <c r="M1530" s="229">
        <v>0</v>
      </c>
      <c r="N1530" s="229">
        <v>0</v>
      </c>
      <c r="O1530" s="229">
        <v>1</v>
      </c>
      <c r="P1530" s="26">
        <v>1</v>
      </c>
      <c r="Q1530" s="14">
        <v>5</v>
      </c>
      <c r="R1530" s="229">
        <v>4</v>
      </c>
      <c r="S1530" s="229">
        <v>25</v>
      </c>
      <c r="T1530" s="229">
        <v>0</v>
      </c>
      <c r="U1530" s="229">
        <v>0</v>
      </c>
      <c r="V1530" s="229">
        <v>0</v>
      </c>
      <c r="W1530" s="229">
        <v>33</v>
      </c>
      <c r="X1530" s="229">
        <v>0</v>
      </c>
      <c r="Y1530" s="229">
        <v>0</v>
      </c>
      <c r="Z1530" s="229">
        <v>0</v>
      </c>
      <c r="AA1530" s="229">
        <v>0</v>
      </c>
      <c r="AB1530" s="229">
        <v>0</v>
      </c>
      <c r="AC1530" s="12">
        <v>2</v>
      </c>
      <c r="AD1530" s="14">
        <v>9</v>
      </c>
      <c r="AE1530" s="14">
        <v>10</v>
      </c>
      <c r="AF1530" s="26">
        <v>394</v>
      </c>
      <c r="AG1530" s="12">
        <v>56</v>
      </c>
      <c r="AH1530" s="14">
        <v>1</v>
      </c>
      <c r="AI1530" s="209"/>
      <c r="AJ1530" s="3"/>
      <c r="AK1530" s="3"/>
      <c r="AL1530" s="3"/>
      <c r="AM1530" s="3"/>
      <c r="AN1530" s="3"/>
      <c r="AO1530" s="40"/>
      <c r="AP1530" s="209"/>
      <c r="AQ1530" s="3"/>
      <c r="AR1530" s="40"/>
      <c r="AS1530" s="238"/>
    </row>
    <row r="1531" spans="1:45" s="229" customFormat="1">
      <c r="A1531" s="42" t="s">
        <v>326</v>
      </c>
      <c r="B1531" s="386">
        <v>48.318333333333335</v>
      </c>
      <c r="C1531" s="24" t="s">
        <v>756</v>
      </c>
      <c r="D1531" s="229" t="s">
        <v>740</v>
      </c>
      <c r="F1531" s="229">
        <v>465</v>
      </c>
      <c r="G1531" s="40">
        <f>F1531/357</f>
        <v>1.3025210084033614</v>
      </c>
      <c r="H1531" s="14">
        <v>1</v>
      </c>
      <c r="I1531" s="229">
        <v>0</v>
      </c>
      <c r="J1531" s="229">
        <v>0</v>
      </c>
      <c r="K1531" s="26">
        <v>1</v>
      </c>
      <c r="L1531" s="14">
        <v>0</v>
      </c>
      <c r="M1531" s="229">
        <v>0</v>
      </c>
      <c r="N1531" s="229">
        <v>1</v>
      </c>
      <c r="O1531" s="229">
        <v>0</v>
      </c>
      <c r="P1531" s="26">
        <v>1</v>
      </c>
      <c r="Q1531" s="14">
        <v>20</v>
      </c>
      <c r="R1531" s="229">
        <v>4</v>
      </c>
      <c r="S1531" s="229">
        <v>10</v>
      </c>
      <c r="T1531" s="229">
        <v>0</v>
      </c>
      <c r="U1531" s="229">
        <v>0</v>
      </c>
      <c r="V1531" s="229">
        <v>6</v>
      </c>
      <c r="W1531" s="229">
        <v>49</v>
      </c>
      <c r="X1531" s="229">
        <v>0</v>
      </c>
      <c r="Y1531" s="229">
        <v>0</v>
      </c>
      <c r="Z1531" s="229">
        <v>0</v>
      </c>
      <c r="AA1531" s="229">
        <v>145</v>
      </c>
      <c r="AB1531" s="229">
        <v>1</v>
      </c>
      <c r="AC1531" s="12">
        <v>2</v>
      </c>
      <c r="AD1531" s="14">
        <v>6</v>
      </c>
      <c r="AE1531" s="14">
        <v>44</v>
      </c>
      <c r="AF1531" s="26">
        <v>357</v>
      </c>
      <c r="AG1531" s="12">
        <v>59</v>
      </c>
      <c r="AH1531" s="14">
        <v>1</v>
      </c>
      <c r="AI1531" s="209"/>
      <c r="AJ1531" s="3"/>
      <c r="AK1531" s="3"/>
      <c r="AL1531" s="3"/>
      <c r="AM1531" s="3"/>
      <c r="AN1531" s="3"/>
      <c r="AO1531" s="40"/>
      <c r="AP1531" s="209"/>
      <c r="AQ1531" s="3"/>
      <c r="AR1531" s="40"/>
      <c r="AS1531" s="238"/>
    </row>
    <row r="1532" spans="1:45" s="229" customFormat="1">
      <c r="A1532" s="42" t="s">
        <v>326</v>
      </c>
      <c r="B1532" s="386">
        <v>48.318333333333335</v>
      </c>
      <c r="C1532" s="24" t="s">
        <v>756</v>
      </c>
      <c r="D1532" s="229" t="s">
        <v>741</v>
      </c>
      <c r="E1532" s="229" t="s">
        <v>0</v>
      </c>
      <c r="F1532" s="229">
        <v>625</v>
      </c>
      <c r="G1532" s="40">
        <f>F1532/240</f>
        <v>2.6041666666666665</v>
      </c>
      <c r="H1532" s="14">
        <v>0</v>
      </c>
      <c r="I1532" s="229">
        <v>0</v>
      </c>
      <c r="J1532" s="229">
        <v>1</v>
      </c>
      <c r="K1532" s="26">
        <v>0</v>
      </c>
      <c r="L1532" s="14">
        <v>0</v>
      </c>
      <c r="M1532" s="229">
        <v>0</v>
      </c>
      <c r="N1532" s="229">
        <v>0</v>
      </c>
      <c r="O1532" s="229">
        <v>0</v>
      </c>
      <c r="P1532" s="26">
        <v>0</v>
      </c>
      <c r="Q1532" s="14">
        <v>2</v>
      </c>
      <c r="R1532" s="229">
        <v>0</v>
      </c>
      <c r="S1532" s="229">
        <v>0</v>
      </c>
      <c r="T1532" s="229">
        <v>0</v>
      </c>
      <c r="U1532" s="229">
        <v>0</v>
      </c>
      <c r="V1532" s="229">
        <v>10</v>
      </c>
      <c r="W1532" s="229">
        <v>34</v>
      </c>
      <c r="X1532" s="229">
        <v>0</v>
      </c>
      <c r="Y1532" s="229">
        <v>0</v>
      </c>
      <c r="Z1532" s="229">
        <v>0</v>
      </c>
      <c r="AA1532" s="229">
        <v>0</v>
      </c>
      <c r="AB1532" s="229">
        <v>1</v>
      </c>
      <c r="AC1532" s="12">
        <v>1</v>
      </c>
      <c r="AD1532" s="14">
        <v>1</v>
      </c>
      <c r="AE1532" s="14">
        <v>0</v>
      </c>
      <c r="AF1532" s="26">
        <v>0</v>
      </c>
      <c r="AG1532" s="12">
        <v>51</v>
      </c>
      <c r="AH1532" s="14">
        <v>1</v>
      </c>
      <c r="AI1532" s="209"/>
      <c r="AJ1532" s="3"/>
      <c r="AK1532" s="3"/>
      <c r="AL1532" s="3"/>
      <c r="AM1532" s="3"/>
      <c r="AN1532" s="3"/>
      <c r="AO1532" s="40"/>
      <c r="AP1532" s="209"/>
      <c r="AQ1532" s="3"/>
      <c r="AR1532" s="40"/>
      <c r="AS1532" s="238"/>
    </row>
    <row r="1533" spans="1:45" s="229" customFormat="1">
      <c r="A1533" s="42" t="s">
        <v>326</v>
      </c>
      <c r="B1533" s="386">
        <v>48.318333333333335</v>
      </c>
      <c r="C1533" s="24" t="s">
        <v>756</v>
      </c>
      <c r="D1533" s="229" t="s">
        <v>741</v>
      </c>
      <c r="E1533" s="229" t="s">
        <v>1</v>
      </c>
      <c r="F1533" s="229">
        <v>534</v>
      </c>
      <c r="G1533" s="40">
        <f>F1533/221</f>
        <v>2.4162895927601808</v>
      </c>
      <c r="H1533" s="14">
        <v>0</v>
      </c>
      <c r="I1533" s="229">
        <v>0</v>
      </c>
      <c r="J1533" s="229">
        <v>1</v>
      </c>
      <c r="K1533" s="26">
        <v>1</v>
      </c>
      <c r="L1533" s="14">
        <v>0</v>
      </c>
      <c r="M1533" s="229">
        <v>0</v>
      </c>
      <c r="N1533" s="229">
        <v>0</v>
      </c>
      <c r="O1533" s="229">
        <v>1</v>
      </c>
      <c r="P1533" s="26">
        <v>1</v>
      </c>
      <c r="Q1533" s="14">
        <v>10</v>
      </c>
      <c r="R1533" s="229">
        <v>6</v>
      </c>
      <c r="S1533" s="229">
        <v>26</v>
      </c>
      <c r="T1533" s="229">
        <v>0</v>
      </c>
      <c r="U1533" s="229">
        <v>0</v>
      </c>
      <c r="V1533" s="229">
        <v>5</v>
      </c>
      <c r="W1533" s="229">
        <v>58</v>
      </c>
      <c r="X1533" s="229">
        <v>0</v>
      </c>
      <c r="Y1533" s="229">
        <v>0</v>
      </c>
      <c r="Z1533" s="229">
        <v>0</v>
      </c>
      <c r="AA1533" s="229">
        <v>0</v>
      </c>
      <c r="AB1533" s="229">
        <v>0</v>
      </c>
      <c r="AC1533" s="12">
        <v>2</v>
      </c>
      <c r="AD1533" s="14">
        <v>3</v>
      </c>
      <c r="AE1533" s="14">
        <v>62</v>
      </c>
      <c r="AF1533" s="26">
        <v>534</v>
      </c>
      <c r="AG1533" s="12">
        <v>51</v>
      </c>
      <c r="AH1533" s="14">
        <v>1</v>
      </c>
      <c r="AI1533" s="209"/>
      <c r="AJ1533" s="3"/>
      <c r="AK1533" s="3"/>
      <c r="AL1533" s="3"/>
      <c r="AM1533" s="3"/>
      <c r="AN1533" s="3"/>
      <c r="AO1533" s="40"/>
      <c r="AP1533" s="209"/>
      <c r="AQ1533" s="3"/>
      <c r="AR1533" s="40"/>
      <c r="AS1533" s="238"/>
    </row>
    <row r="1534" spans="1:45" s="229" customFormat="1">
      <c r="A1534" s="42" t="s">
        <v>326</v>
      </c>
      <c r="B1534" s="386">
        <v>48.318333333333335</v>
      </c>
      <c r="C1534" s="24" t="s">
        <v>756</v>
      </c>
      <c r="D1534" s="229" t="s">
        <v>728</v>
      </c>
      <c r="F1534" s="229">
        <v>763</v>
      </c>
      <c r="G1534" s="40">
        <f>F1534/268</f>
        <v>2.8470149253731343</v>
      </c>
      <c r="H1534" s="14">
        <v>0</v>
      </c>
      <c r="I1534" s="229">
        <v>0</v>
      </c>
      <c r="J1534" s="229">
        <v>1</v>
      </c>
      <c r="K1534" s="26">
        <v>0</v>
      </c>
      <c r="L1534" s="14">
        <v>0</v>
      </c>
      <c r="M1534" s="229">
        <v>0</v>
      </c>
      <c r="N1534" s="229">
        <v>0</v>
      </c>
      <c r="O1534" s="229">
        <v>0</v>
      </c>
      <c r="P1534" s="26">
        <v>0</v>
      </c>
      <c r="Q1534" s="14">
        <v>20</v>
      </c>
      <c r="R1534" s="229">
        <v>0</v>
      </c>
      <c r="S1534" s="229">
        <v>25</v>
      </c>
      <c r="T1534" s="229">
        <v>0</v>
      </c>
      <c r="U1534" s="229">
        <v>0</v>
      </c>
      <c r="V1534" s="229">
        <v>21</v>
      </c>
      <c r="W1534" s="229">
        <v>27</v>
      </c>
      <c r="X1534" s="229">
        <v>0</v>
      </c>
      <c r="Y1534" s="229">
        <v>0</v>
      </c>
      <c r="Z1534" s="229">
        <v>0</v>
      </c>
      <c r="AA1534" s="229">
        <v>180</v>
      </c>
      <c r="AB1534" s="229">
        <v>1</v>
      </c>
      <c r="AC1534" s="12">
        <v>1</v>
      </c>
      <c r="AD1534" s="14">
        <v>1</v>
      </c>
      <c r="AE1534" s="14">
        <v>0</v>
      </c>
      <c r="AF1534" s="26">
        <v>0</v>
      </c>
      <c r="AG1534" s="12">
        <v>50</v>
      </c>
      <c r="AH1534" s="14">
        <v>1</v>
      </c>
      <c r="AI1534" s="209"/>
      <c r="AJ1534" s="3"/>
      <c r="AK1534" s="3"/>
      <c r="AL1534" s="3"/>
      <c r="AM1534" s="3"/>
      <c r="AN1534" s="3"/>
      <c r="AO1534" s="40"/>
      <c r="AP1534" s="209"/>
      <c r="AQ1534" s="3"/>
      <c r="AR1534" s="40"/>
      <c r="AS1534" s="238"/>
    </row>
    <row r="1535" spans="1:45" s="229" customFormat="1">
      <c r="A1535" s="42" t="s">
        <v>326</v>
      </c>
      <c r="B1535" s="386">
        <v>48.318333333333335</v>
      </c>
      <c r="C1535" s="24" t="s">
        <v>756</v>
      </c>
      <c r="D1535" s="229" t="s">
        <v>729</v>
      </c>
      <c r="E1535" s="229" t="s">
        <v>0</v>
      </c>
      <c r="F1535" s="229">
        <v>78</v>
      </c>
      <c r="G1535" s="40">
        <f>F1535/57</f>
        <v>1.368421052631579</v>
      </c>
      <c r="H1535" s="14">
        <v>1</v>
      </c>
      <c r="I1535" s="229">
        <v>0</v>
      </c>
      <c r="J1535" s="229">
        <v>0</v>
      </c>
      <c r="K1535" s="26">
        <v>0</v>
      </c>
      <c r="L1535" s="14">
        <v>0</v>
      </c>
      <c r="M1535" s="229">
        <v>0</v>
      </c>
      <c r="N1535" s="229">
        <v>1</v>
      </c>
      <c r="O1535" s="229">
        <v>0</v>
      </c>
      <c r="P1535" s="26">
        <v>1</v>
      </c>
      <c r="Q1535" s="14">
        <v>2</v>
      </c>
      <c r="R1535" s="229">
        <v>0</v>
      </c>
      <c r="S1535" s="229">
        <v>3</v>
      </c>
      <c r="T1535" s="229">
        <v>0</v>
      </c>
      <c r="U1535" s="229">
        <v>0</v>
      </c>
      <c r="V1535" s="229">
        <v>0</v>
      </c>
      <c r="W1535" s="229">
        <v>0</v>
      </c>
      <c r="X1535" s="229">
        <v>0</v>
      </c>
      <c r="Y1535" s="229">
        <v>0</v>
      </c>
      <c r="Z1535" s="229">
        <v>0</v>
      </c>
      <c r="AA1535" s="229">
        <v>0</v>
      </c>
      <c r="AB1535" s="229">
        <v>0</v>
      </c>
      <c r="AC1535" s="12">
        <v>1</v>
      </c>
      <c r="AD1535" s="14">
        <v>1</v>
      </c>
      <c r="AE1535" s="14">
        <v>0</v>
      </c>
      <c r="AF1535" s="26">
        <v>0</v>
      </c>
      <c r="AG1535" s="12">
        <v>50</v>
      </c>
      <c r="AH1535" s="14">
        <v>0</v>
      </c>
      <c r="AI1535" s="209"/>
      <c r="AJ1535" s="3"/>
      <c r="AK1535" s="3"/>
      <c r="AL1535" s="3"/>
      <c r="AM1535" s="3"/>
      <c r="AN1535" s="3"/>
      <c r="AO1535" s="40"/>
      <c r="AP1535" s="209"/>
      <c r="AQ1535" s="3"/>
      <c r="AR1535" s="40"/>
      <c r="AS1535" s="238"/>
    </row>
    <row r="1536" spans="1:45" s="229" customFormat="1">
      <c r="A1536" s="42" t="s">
        <v>326</v>
      </c>
      <c r="B1536" s="386">
        <v>48.318333333333335</v>
      </c>
      <c r="C1536" s="24" t="s">
        <v>756</v>
      </c>
      <c r="D1536" s="229" t="s">
        <v>729</v>
      </c>
      <c r="E1536" s="229" t="s">
        <v>1</v>
      </c>
      <c r="F1536" s="229">
        <v>54</v>
      </c>
      <c r="G1536" s="40">
        <f>F1536/39</f>
        <v>1.3846153846153846</v>
      </c>
      <c r="H1536" s="14">
        <v>1</v>
      </c>
      <c r="I1536" s="229">
        <v>0</v>
      </c>
      <c r="J1536" s="229">
        <v>0</v>
      </c>
      <c r="K1536" s="26">
        <v>0</v>
      </c>
      <c r="L1536" s="14">
        <v>0</v>
      </c>
      <c r="M1536" s="229">
        <v>0</v>
      </c>
      <c r="N1536" s="229">
        <v>1</v>
      </c>
      <c r="O1536" s="229">
        <v>0</v>
      </c>
      <c r="P1536" s="26">
        <v>1</v>
      </c>
      <c r="Q1536" s="14">
        <v>0</v>
      </c>
      <c r="R1536" s="229">
        <v>0</v>
      </c>
      <c r="S1536" s="229">
        <v>0</v>
      </c>
      <c r="T1536" s="229">
        <v>0</v>
      </c>
      <c r="U1536" s="229">
        <v>0</v>
      </c>
      <c r="V1536" s="229">
        <v>0</v>
      </c>
      <c r="W1536" s="229">
        <v>0</v>
      </c>
      <c r="X1536" s="229">
        <v>0</v>
      </c>
      <c r="Y1536" s="229">
        <v>0</v>
      </c>
      <c r="Z1536" s="229">
        <v>0</v>
      </c>
      <c r="AA1536" s="229">
        <v>0</v>
      </c>
      <c r="AB1536" s="229">
        <v>0</v>
      </c>
      <c r="AC1536" s="12">
        <v>1</v>
      </c>
      <c r="AD1536" s="14">
        <v>1</v>
      </c>
      <c r="AE1536" s="14">
        <v>0</v>
      </c>
      <c r="AF1536" s="26">
        <v>0</v>
      </c>
      <c r="AG1536" s="12">
        <v>50</v>
      </c>
      <c r="AH1536" s="14">
        <v>0</v>
      </c>
      <c r="AI1536" s="209"/>
      <c r="AJ1536" s="3"/>
      <c r="AK1536" s="3"/>
      <c r="AL1536" s="3"/>
      <c r="AM1536" s="3"/>
      <c r="AN1536" s="3"/>
      <c r="AO1536" s="40"/>
      <c r="AP1536" s="209"/>
      <c r="AQ1536" s="3"/>
      <c r="AR1536" s="40"/>
      <c r="AS1536" s="238"/>
    </row>
    <row r="1537" spans="1:45" s="229" customFormat="1">
      <c r="A1537" s="42" t="s">
        <v>326</v>
      </c>
      <c r="B1537" s="386">
        <v>48.318333333333335</v>
      </c>
      <c r="C1537" s="24" t="s">
        <v>756</v>
      </c>
      <c r="D1537" s="229" t="s">
        <v>729</v>
      </c>
      <c r="E1537" s="229" t="s">
        <v>2</v>
      </c>
      <c r="F1537" s="229">
        <v>128</v>
      </c>
      <c r="G1537" s="40">
        <f>F1537/92</f>
        <v>1.3913043478260869</v>
      </c>
      <c r="H1537" s="14">
        <v>0</v>
      </c>
      <c r="I1537" s="229">
        <v>0</v>
      </c>
      <c r="J1537" s="229">
        <v>0</v>
      </c>
      <c r="K1537" s="26">
        <v>1</v>
      </c>
      <c r="L1537" s="14">
        <v>0</v>
      </c>
      <c r="M1537" s="229">
        <v>0</v>
      </c>
      <c r="N1537" s="229">
        <v>0</v>
      </c>
      <c r="O1537" s="229">
        <v>0</v>
      </c>
      <c r="P1537" s="26">
        <v>0</v>
      </c>
      <c r="Q1537" s="14">
        <v>0</v>
      </c>
      <c r="R1537" s="229">
        <v>0</v>
      </c>
      <c r="S1537" s="229">
        <v>0</v>
      </c>
      <c r="T1537" s="229">
        <v>0</v>
      </c>
      <c r="U1537" s="229">
        <v>0</v>
      </c>
      <c r="V1537" s="229">
        <v>0</v>
      </c>
      <c r="W1537" s="229">
        <v>0</v>
      </c>
      <c r="X1537" s="229">
        <v>0</v>
      </c>
      <c r="Y1537" s="229">
        <v>0</v>
      </c>
      <c r="Z1537" s="229">
        <v>0</v>
      </c>
      <c r="AA1537" s="229">
        <v>0</v>
      </c>
      <c r="AB1537" s="229">
        <v>0</v>
      </c>
      <c r="AC1537" s="12">
        <v>1</v>
      </c>
      <c r="AD1537" s="14">
        <v>1</v>
      </c>
      <c r="AE1537" s="14">
        <v>0</v>
      </c>
      <c r="AF1537" s="26">
        <v>0</v>
      </c>
      <c r="AG1537" s="12">
        <v>50</v>
      </c>
      <c r="AH1537" s="14">
        <v>0</v>
      </c>
      <c r="AI1537" s="209"/>
      <c r="AJ1537" s="3"/>
      <c r="AK1537" s="3"/>
      <c r="AL1537" s="3"/>
      <c r="AM1537" s="3"/>
      <c r="AN1537" s="3"/>
      <c r="AO1537" s="40"/>
      <c r="AP1537" s="209"/>
      <c r="AQ1537" s="3"/>
      <c r="AR1537" s="40"/>
      <c r="AS1537" s="238"/>
    </row>
    <row r="1538" spans="1:45" s="229" customFormat="1">
      <c r="A1538" s="42" t="s">
        <v>326</v>
      </c>
      <c r="B1538" s="386">
        <v>48.318333333333335</v>
      </c>
      <c r="C1538" s="24" t="s">
        <v>756</v>
      </c>
      <c r="D1538" s="229" t="s">
        <v>729</v>
      </c>
      <c r="E1538" s="229" t="s">
        <v>3</v>
      </c>
      <c r="F1538" s="229">
        <v>186</v>
      </c>
      <c r="G1538" s="40">
        <f>F1538/122</f>
        <v>1.5245901639344261</v>
      </c>
      <c r="H1538" s="14">
        <v>0</v>
      </c>
      <c r="I1538" s="229">
        <v>0</v>
      </c>
      <c r="J1538" s="229">
        <v>0</v>
      </c>
      <c r="K1538" s="26">
        <v>1</v>
      </c>
      <c r="L1538" s="14">
        <v>0</v>
      </c>
      <c r="M1538" s="229">
        <v>0</v>
      </c>
      <c r="N1538" s="229">
        <v>1</v>
      </c>
      <c r="O1538" s="229">
        <v>0</v>
      </c>
      <c r="P1538" s="26">
        <v>1</v>
      </c>
      <c r="Q1538" s="14">
        <v>2</v>
      </c>
      <c r="R1538" s="229">
        <v>0</v>
      </c>
      <c r="S1538" s="229">
        <v>0</v>
      </c>
      <c r="T1538" s="229">
        <v>0</v>
      </c>
      <c r="U1538" s="229">
        <v>0</v>
      </c>
      <c r="V1538" s="229">
        <v>0</v>
      </c>
      <c r="W1538" s="229">
        <v>11</v>
      </c>
      <c r="X1538" s="229">
        <v>0</v>
      </c>
      <c r="Y1538" s="229">
        <v>0</v>
      </c>
      <c r="Z1538" s="229">
        <v>0</v>
      </c>
      <c r="AA1538" s="229">
        <v>0</v>
      </c>
      <c r="AB1538" s="229">
        <v>1</v>
      </c>
      <c r="AC1538" s="12">
        <v>1</v>
      </c>
      <c r="AD1538" s="14">
        <v>1</v>
      </c>
      <c r="AE1538" s="14">
        <v>0</v>
      </c>
      <c r="AF1538" s="26">
        <v>0</v>
      </c>
      <c r="AG1538" s="12">
        <v>50</v>
      </c>
      <c r="AH1538" s="14">
        <v>1</v>
      </c>
      <c r="AI1538" s="209"/>
      <c r="AJ1538" s="3"/>
      <c r="AK1538" s="3"/>
      <c r="AL1538" s="3"/>
      <c r="AM1538" s="3"/>
      <c r="AN1538" s="3"/>
      <c r="AO1538" s="40"/>
      <c r="AP1538" s="209"/>
      <c r="AQ1538" s="3"/>
      <c r="AR1538" s="40"/>
      <c r="AS1538" s="238"/>
    </row>
    <row r="1539" spans="1:45" s="229" customFormat="1">
      <c r="A1539" s="42" t="s">
        <v>326</v>
      </c>
      <c r="B1539" s="386">
        <v>48.318333333333335</v>
      </c>
      <c r="C1539" s="24" t="s">
        <v>756</v>
      </c>
      <c r="D1539" s="229" t="s">
        <v>729</v>
      </c>
      <c r="E1539" s="229" t="s">
        <v>4</v>
      </c>
      <c r="F1539" s="229">
        <v>48</v>
      </c>
      <c r="G1539" s="40">
        <f>F1539/39</f>
        <v>1.2307692307692308</v>
      </c>
      <c r="H1539" s="14">
        <v>0</v>
      </c>
      <c r="I1539" s="229">
        <v>0</v>
      </c>
      <c r="J1539" s="229">
        <v>0</v>
      </c>
      <c r="K1539" s="26">
        <v>1</v>
      </c>
      <c r="L1539" s="14">
        <v>0</v>
      </c>
      <c r="M1539" s="229">
        <v>0</v>
      </c>
      <c r="N1539" s="229">
        <v>1</v>
      </c>
      <c r="O1539" s="229">
        <v>0</v>
      </c>
      <c r="P1539" s="26">
        <v>1</v>
      </c>
      <c r="Q1539" s="14">
        <v>0</v>
      </c>
      <c r="R1539" s="229">
        <v>0</v>
      </c>
      <c r="S1539" s="229">
        <v>0</v>
      </c>
      <c r="T1539" s="229">
        <v>0</v>
      </c>
      <c r="U1539" s="229">
        <v>0</v>
      </c>
      <c r="V1539" s="229">
        <v>0</v>
      </c>
      <c r="W1539" s="229">
        <v>0</v>
      </c>
      <c r="X1539" s="229">
        <v>0</v>
      </c>
      <c r="Y1539" s="229">
        <v>0</v>
      </c>
      <c r="Z1539" s="229">
        <v>0</v>
      </c>
      <c r="AA1539" s="229">
        <v>0</v>
      </c>
      <c r="AB1539" s="229">
        <v>0</v>
      </c>
      <c r="AC1539" s="12">
        <v>1</v>
      </c>
      <c r="AD1539" s="14">
        <v>1</v>
      </c>
      <c r="AE1539" s="14">
        <v>0</v>
      </c>
      <c r="AF1539" s="26">
        <v>0</v>
      </c>
      <c r="AG1539" s="12">
        <v>50</v>
      </c>
      <c r="AH1539" s="14">
        <v>0</v>
      </c>
      <c r="AI1539" s="209"/>
      <c r="AJ1539" s="3"/>
      <c r="AK1539" s="3"/>
      <c r="AL1539" s="3"/>
      <c r="AM1539" s="3"/>
      <c r="AN1539" s="3"/>
      <c r="AO1539" s="40"/>
      <c r="AP1539" s="209"/>
      <c r="AQ1539" s="3"/>
      <c r="AR1539" s="40"/>
      <c r="AS1539" s="238"/>
    </row>
    <row r="1540" spans="1:45" s="229" customFormat="1">
      <c r="A1540" s="42" t="s">
        <v>326</v>
      </c>
      <c r="B1540" s="386">
        <v>48.318333333333335</v>
      </c>
      <c r="C1540" s="24" t="s">
        <v>756</v>
      </c>
      <c r="D1540" s="229" t="s">
        <v>729</v>
      </c>
      <c r="E1540" s="229" t="s">
        <v>5</v>
      </c>
      <c r="F1540" s="229">
        <v>197</v>
      </c>
      <c r="G1540" s="40">
        <f>F1540/115</f>
        <v>1.7130434782608697</v>
      </c>
      <c r="H1540" s="14">
        <v>1</v>
      </c>
      <c r="I1540" s="229">
        <v>0</v>
      </c>
      <c r="J1540" s="229">
        <v>0</v>
      </c>
      <c r="K1540" s="26">
        <v>1</v>
      </c>
      <c r="L1540" s="14">
        <v>0</v>
      </c>
      <c r="M1540" s="229">
        <v>0</v>
      </c>
      <c r="N1540" s="229">
        <v>0</v>
      </c>
      <c r="O1540" s="229">
        <v>0</v>
      </c>
      <c r="P1540" s="26">
        <v>0</v>
      </c>
      <c r="Q1540" s="14">
        <v>1</v>
      </c>
      <c r="R1540" s="229">
        <v>0</v>
      </c>
      <c r="S1540" s="229">
        <v>0</v>
      </c>
      <c r="T1540" s="229">
        <v>0</v>
      </c>
      <c r="U1540" s="229">
        <v>0</v>
      </c>
      <c r="V1540" s="229">
        <v>0</v>
      </c>
      <c r="W1540" s="229">
        <v>19</v>
      </c>
      <c r="X1540" s="229">
        <v>0</v>
      </c>
      <c r="Y1540" s="229">
        <v>0</v>
      </c>
      <c r="Z1540" s="229">
        <v>0</v>
      </c>
      <c r="AA1540" s="229">
        <v>0</v>
      </c>
      <c r="AB1540" s="229">
        <v>1</v>
      </c>
      <c r="AC1540" s="12">
        <v>2</v>
      </c>
      <c r="AD1540" s="14">
        <v>7</v>
      </c>
      <c r="AE1540" s="14">
        <v>31</v>
      </c>
      <c r="AF1540" s="26">
        <v>103</v>
      </c>
      <c r="AG1540" s="12">
        <v>50</v>
      </c>
      <c r="AH1540" s="14">
        <v>1</v>
      </c>
      <c r="AI1540" s="209"/>
      <c r="AJ1540" s="3"/>
      <c r="AK1540" s="3"/>
      <c r="AL1540" s="3"/>
      <c r="AM1540" s="3"/>
      <c r="AN1540" s="3"/>
      <c r="AO1540" s="40"/>
      <c r="AP1540" s="209"/>
      <c r="AQ1540" s="3"/>
      <c r="AR1540" s="40"/>
      <c r="AS1540" s="238"/>
    </row>
    <row r="1541" spans="1:45" s="229" customFormat="1">
      <c r="A1541" s="42" t="s">
        <v>326</v>
      </c>
      <c r="B1541" s="386">
        <v>48.318333333333335</v>
      </c>
      <c r="C1541" s="24" t="s">
        <v>756</v>
      </c>
      <c r="D1541" s="229" t="s">
        <v>729</v>
      </c>
      <c r="E1541" s="229" t="s">
        <v>750</v>
      </c>
      <c r="F1541" s="229">
        <v>76</v>
      </c>
      <c r="G1541" s="40">
        <f>F1541/72</f>
        <v>1.0555555555555556</v>
      </c>
      <c r="H1541" s="14">
        <v>0</v>
      </c>
      <c r="I1541" s="229">
        <v>0</v>
      </c>
      <c r="J1541" s="229">
        <v>0</v>
      </c>
      <c r="K1541" s="26">
        <v>1</v>
      </c>
      <c r="L1541" s="14">
        <v>0</v>
      </c>
      <c r="M1541" s="229">
        <v>0</v>
      </c>
      <c r="N1541" s="229">
        <v>1</v>
      </c>
      <c r="O1541" s="229">
        <v>0</v>
      </c>
      <c r="P1541" s="26">
        <v>1</v>
      </c>
      <c r="Q1541" s="14">
        <v>0</v>
      </c>
      <c r="R1541" s="229">
        <v>0</v>
      </c>
      <c r="S1541" s="229">
        <v>0</v>
      </c>
      <c r="T1541" s="229">
        <v>0</v>
      </c>
      <c r="U1541" s="229">
        <v>0</v>
      </c>
      <c r="V1541" s="229">
        <v>0</v>
      </c>
      <c r="W1541" s="229">
        <v>0</v>
      </c>
      <c r="X1541" s="229">
        <v>0</v>
      </c>
      <c r="Y1541" s="229">
        <v>0</v>
      </c>
      <c r="Z1541" s="229">
        <v>0</v>
      </c>
      <c r="AA1541" s="229">
        <v>0</v>
      </c>
      <c r="AB1541" s="229">
        <v>0</v>
      </c>
      <c r="AC1541" s="12">
        <v>2</v>
      </c>
      <c r="AD1541" s="14">
        <v>2</v>
      </c>
      <c r="AE1541" s="14">
        <v>41</v>
      </c>
      <c r="AF1541" s="26">
        <v>72</v>
      </c>
      <c r="AG1541" s="12">
        <v>50</v>
      </c>
      <c r="AH1541" s="14">
        <v>0</v>
      </c>
      <c r="AI1541" s="209"/>
      <c r="AJ1541" s="3"/>
      <c r="AK1541" s="3"/>
      <c r="AL1541" s="3"/>
      <c r="AM1541" s="3"/>
      <c r="AN1541" s="3"/>
      <c r="AO1541" s="40"/>
      <c r="AP1541" s="209"/>
      <c r="AQ1541" s="3"/>
      <c r="AR1541" s="40"/>
      <c r="AS1541" s="238"/>
    </row>
    <row r="1542" spans="1:45" s="229" customFormat="1">
      <c r="A1542" s="42" t="s">
        <v>326</v>
      </c>
      <c r="B1542" s="386">
        <v>48.318333333333335</v>
      </c>
      <c r="C1542" s="24" t="s">
        <v>756</v>
      </c>
      <c r="D1542" s="229" t="s">
        <v>742</v>
      </c>
      <c r="F1542" s="229">
        <v>361</v>
      </c>
      <c r="G1542" s="40">
        <f>F1542/170</f>
        <v>2.1235294117647059</v>
      </c>
      <c r="H1542" s="14">
        <v>1</v>
      </c>
      <c r="I1542" s="229">
        <v>0</v>
      </c>
      <c r="J1542" s="229">
        <v>0</v>
      </c>
      <c r="K1542" s="26">
        <v>0</v>
      </c>
      <c r="L1542" s="14">
        <v>0</v>
      </c>
      <c r="M1542" s="229">
        <v>0</v>
      </c>
      <c r="N1542" s="229">
        <v>0</v>
      </c>
      <c r="O1542" s="229">
        <v>0</v>
      </c>
      <c r="P1542" s="26">
        <v>0</v>
      </c>
      <c r="Q1542" s="14">
        <v>20</v>
      </c>
      <c r="R1542" s="229">
        <v>0</v>
      </c>
      <c r="S1542" s="229">
        <v>0</v>
      </c>
      <c r="T1542" s="229">
        <v>21</v>
      </c>
      <c r="U1542" s="229">
        <v>88</v>
      </c>
      <c r="V1542" s="229">
        <v>0</v>
      </c>
      <c r="W1542" s="229">
        <v>0</v>
      </c>
      <c r="X1542" s="229">
        <v>0</v>
      </c>
      <c r="Y1542" s="229">
        <v>0</v>
      </c>
      <c r="Z1542" s="229">
        <v>0</v>
      </c>
      <c r="AA1542" s="229">
        <v>0</v>
      </c>
      <c r="AB1542" s="229">
        <v>1</v>
      </c>
      <c r="AC1542" s="12">
        <v>1</v>
      </c>
      <c r="AD1542" s="14">
        <v>1</v>
      </c>
      <c r="AE1542" s="14">
        <v>0</v>
      </c>
      <c r="AF1542" s="26">
        <v>0</v>
      </c>
      <c r="AG1542" s="12">
        <v>37</v>
      </c>
      <c r="AH1542" s="14">
        <v>0</v>
      </c>
      <c r="AI1542" s="209">
        <v>89.085095546318854</v>
      </c>
      <c r="AJ1542" s="3"/>
      <c r="AK1542" s="3"/>
      <c r="AL1542" s="3"/>
      <c r="AM1542" s="3"/>
      <c r="AN1542" s="3"/>
      <c r="AO1542" s="40"/>
      <c r="AP1542" s="209">
        <v>89.238022372133429</v>
      </c>
      <c r="AQ1542" s="3"/>
      <c r="AR1542" s="40"/>
      <c r="AS1542" s="238"/>
    </row>
    <row r="1543" spans="1:45" s="229" customFormat="1">
      <c r="A1543" s="42" t="s">
        <v>326</v>
      </c>
      <c r="B1543" s="386">
        <v>48.318333333333335</v>
      </c>
      <c r="C1543" s="24" t="s">
        <v>756</v>
      </c>
      <c r="D1543" s="229" t="s">
        <v>730</v>
      </c>
      <c r="E1543" s="229" t="s">
        <v>0</v>
      </c>
      <c r="F1543" s="229">
        <v>129</v>
      </c>
      <c r="G1543" s="40">
        <f>F1543/57</f>
        <v>2.263157894736842</v>
      </c>
      <c r="H1543" s="14">
        <v>1</v>
      </c>
      <c r="I1543" s="229">
        <v>0</v>
      </c>
      <c r="J1543" s="229">
        <v>0</v>
      </c>
      <c r="K1543" s="26">
        <v>1</v>
      </c>
      <c r="L1543" s="14">
        <v>0</v>
      </c>
      <c r="M1543" s="229">
        <v>0</v>
      </c>
      <c r="N1543" s="229">
        <v>1</v>
      </c>
      <c r="O1543" s="229">
        <v>0</v>
      </c>
      <c r="P1543" s="26">
        <v>1</v>
      </c>
      <c r="Q1543" s="14">
        <v>0</v>
      </c>
      <c r="R1543" s="229">
        <v>0</v>
      </c>
      <c r="S1543" s="229">
        <v>0</v>
      </c>
      <c r="T1543" s="229">
        <v>0</v>
      </c>
      <c r="U1543" s="229">
        <v>0</v>
      </c>
      <c r="V1543" s="229">
        <v>0</v>
      </c>
      <c r="W1543" s="229">
        <v>0</v>
      </c>
      <c r="X1543" s="229">
        <v>0</v>
      </c>
      <c r="Y1543" s="229">
        <v>0</v>
      </c>
      <c r="Z1543" s="229">
        <v>0</v>
      </c>
      <c r="AA1543" s="229">
        <v>0</v>
      </c>
      <c r="AB1543" s="229">
        <v>0</v>
      </c>
      <c r="AC1543" s="12">
        <v>2</v>
      </c>
      <c r="AD1543" s="14">
        <v>2</v>
      </c>
      <c r="AE1543" s="14">
        <v>44</v>
      </c>
      <c r="AF1543" s="26">
        <v>101</v>
      </c>
      <c r="AG1543" s="12">
        <v>54</v>
      </c>
      <c r="AH1543" s="14">
        <v>0</v>
      </c>
      <c r="AI1543" s="209"/>
      <c r="AJ1543" s="3"/>
      <c r="AK1543" s="3"/>
      <c r="AL1543" s="3"/>
      <c r="AM1543" s="3"/>
      <c r="AN1543" s="3"/>
      <c r="AO1543" s="40"/>
      <c r="AP1543" s="209"/>
      <c r="AQ1543" s="3"/>
      <c r="AR1543" s="40"/>
      <c r="AS1543" s="238"/>
    </row>
    <row r="1544" spans="1:45" s="229" customFormat="1">
      <c r="A1544" s="42" t="s">
        <v>326</v>
      </c>
      <c r="B1544" s="386">
        <v>48.318333333333335</v>
      </c>
      <c r="C1544" s="24" t="s">
        <v>756</v>
      </c>
      <c r="D1544" s="229" t="s">
        <v>730</v>
      </c>
      <c r="E1544" s="229" t="s">
        <v>1</v>
      </c>
      <c r="F1544" s="229">
        <v>200</v>
      </c>
      <c r="G1544" s="40">
        <f>F1544/142</f>
        <v>1.408450704225352</v>
      </c>
      <c r="H1544" s="14">
        <v>0</v>
      </c>
      <c r="I1544" s="229">
        <v>0</v>
      </c>
      <c r="J1544" s="229">
        <v>1</v>
      </c>
      <c r="K1544" s="26">
        <v>0</v>
      </c>
      <c r="L1544" s="14">
        <v>0</v>
      </c>
      <c r="M1544" s="229">
        <v>0</v>
      </c>
      <c r="N1544" s="229">
        <v>1</v>
      </c>
      <c r="O1544" s="229">
        <v>0</v>
      </c>
      <c r="P1544" s="26">
        <v>1</v>
      </c>
      <c r="Q1544" s="14">
        <v>3</v>
      </c>
      <c r="R1544" s="229">
        <v>0</v>
      </c>
      <c r="S1544" s="229">
        <v>8</v>
      </c>
      <c r="T1544" s="229">
        <v>0</v>
      </c>
      <c r="U1544" s="229">
        <v>0</v>
      </c>
      <c r="V1544" s="229">
        <v>0</v>
      </c>
      <c r="W1544" s="229">
        <v>16</v>
      </c>
      <c r="X1544" s="229">
        <v>0</v>
      </c>
      <c r="Y1544" s="229">
        <v>0</v>
      </c>
      <c r="Z1544" s="229">
        <v>0</v>
      </c>
      <c r="AA1544" s="229">
        <v>0</v>
      </c>
      <c r="AB1544" s="229">
        <v>0</v>
      </c>
      <c r="AC1544" s="12">
        <v>1</v>
      </c>
      <c r="AD1544" s="14">
        <v>1</v>
      </c>
      <c r="AE1544" s="14">
        <v>0</v>
      </c>
      <c r="AF1544" s="26">
        <v>0</v>
      </c>
      <c r="AG1544" s="12">
        <v>54</v>
      </c>
      <c r="AH1544" s="14">
        <v>1</v>
      </c>
      <c r="AI1544" s="209"/>
      <c r="AJ1544" s="3"/>
      <c r="AK1544" s="3"/>
      <c r="AL1544" s="3"/>
      <c r="AM1544" s="3"/>
      <c r="AN1544" s="3"/>
      <c r="AO1544" s="40"/>
      <c r="AP1544" s="209"/>
      <c r="AQ1544" s="3"/>
      <c r="AR1544" s="40"/>
      <c r="AS1544" s="238"/>
    </row>
    <row r="1545" spans="1:45" s="229" customFormat="1">
      <c r="A1545" s="42" t="s">
        <v>326</v>
      </c>
      <c r="B1545" s="386">
        <v>48.318333333333335</v>
      </c>
      <c r="C1545" s="24" t="s">
        <v>756</v>
      </c>
      <c r="D1545" s="229" t="s">
        <v>730</v>
      </c>
      <c r="E1545" s="229" t="s">
        <v>2</v>
      </c>
      <c r="F1545" s="229">
        <v>379</v>
      </c>
      <c r="G1545" s="40">
        <f>F1545/293</f>
        <v>1.2935153583617747</v>
      </c>
      <c r="H1545" s="14">
        <v>0</v>
      </c>
      <c r="I1545" s="229">
        <v>1</v>
      </c>
      <c r="J1545" s="229">
        <v>0</v>
      </c>
      <c r="K1545" s="26">
        <v>1</v>
      </c>
      <c r="L1545" s="14">
        <v>0</v>
      </c>
      <c r="M1545" s="229">
        <v>0</v>
      </c>
      <c r="N1545" s="229">
        <v>1</v>
      </c>
      <c r="O1545" s="229">
        <v>0</v>
      </c>
      <c r="P1545" s="26">
        <v>1</v>
      </c>
      <c r="Q1545" s="14">
        <v>5</v>
      </c>
      <c r="R1545" s="229">
        <v>15</v>
      </c>
      <c r="S1545" s="229">
        <v>23</v>
      </c>
      <c r="T1545" s="229">
        <v>0</v>
      </c>
      <c r="U1545" s="229">
        <v>0</v>
      </c>
      <c r="V1545" s="229">
        <v>0</v>
      </c>
      <c r="W1545" s="229">
        <v>15</v>
      </c>
      <c r="X1545" s="229">
        <v>0</v>
      </c>
      <c r="Y1545" s="229">
        <v>0</v>
      </c>
      <c r="Z1545" s="229">
        <v>0</v>
      </c>
      <c r="AA1545" s="229">
        <v>0</v>
      </c>
      <c r="AB1545" s="229">
        <v>0</v>
      </c>
      <c r="AC1545" s="12">
        <v>2</v>
      </c>
      <c r="AD1545" s="14">
        <v>8</v>
      </c>
      <c r="AE1545" s="14">
        <v>24</v>
      </c>
      <c r="AF1545" s="26">
        <v>254</v>
      </c>
      <c r="AG1545" s="12">
        <v>54</v>
      </c>
      <c r="AH1545" s="14">
        <v>1</v>
      </c>
      <c r="AI1545" s="209"/>
      <c r="AJ1545" s="3"/>
      <c r="AK1545" s="3"/>
      <c r="AL1545" s="3"/>
      <c r="AM1545" s="3"/>
      <c r="AN1545" s="3"/>
      <c r="AO1545" s="40"/>
      <c r="AP1545" s="209"/>
      <c r="AQ1545" s="3"/>
      <c r="AR1545" s="40"/>
      <c r="AS1545" s="238"/>
    </row>
    <row r="1546" spans="1:45" s="229" customFormat="1">
      <c r="A1546" s="42" t="s">
        <v>326</v>
      </c>
      <c r="B1546" s="386">
        <v>48.318333333333335</v>
      </c>
      <c r="C1546" s="24" t="s">
        <v>756</v>
      </c>
      <c r="D1546" s="229" t="s">
        <v>730</v>
      </c>
      <c r="E1546" s="229" t="s">
        <v>3</v>
      </c>
      <c r="F1546" s="229">
        <v>214</v>
      </c>
      <c r="G1546" s="40">
        <f>F1546/131</f>
        <v>1.633587786259542</v>
      </c>
      <c r="H1546" s="14">
        <v>1</v>
      </c>
      <c r="I1546" s="229">
        <v>0</v>
      </c>
      <c r="J1546" s="229">
        <v>0</v>
      </c>
      <c r="K1546" s="26">
        <v>0</v>
      </c>
      <c r="L1546" s="14">
        <v>0</v>
      </c>
      <c r="M1546" s="229">
        <v>0</v>
      </c>
      <c r="N1546" s="229">
        <v>1</v>
      </c>
      <c r="O1546" s="229">
        <v>0</v>
      </c>
      <c r="P1546" s="26">
        <v>1</v>
      </c>
      <c r="Q1546" s="14">
        <v>5</v>
      </c>
      <c r="R1546" s="229">
        <v>0</v>
      </c>
      <c r="S1546" s="229">
        <v>0</v>
      </c>
      <c r="T1546" s="229">
        <v>0</v>
      </c>
      <c r="U1546" s="229">
        <v>0</v>
      </c>
      <c r="V1546" s="229">
        <v>28</v>
      </c>
      <c r="W1546" s="229">
        <v>31</v>
      </c>
      <c r="X1546" s="229">
        <v>0</v>
      </c>
      <c r="Y1546" s="229">
        <v>0</v>
      </c>
      <c r="Z1546" s="229">
        <v>0</v>
      </c>
      <c r="AA1546" s="229">
        <v>0</v>
      </c>
      <c r="AB1546" s="229">
        <v>0</v>
      </c>
      <c r="AC1546" s="12">
        <v>1</v>
      </c>
      <c r="AD1546" s="14">
        <v>1</v>
      </c>
      <c r="AE1546" s="14">
        <v>0</v>
      </c>
      <c r="AF1546" s="26">
        <v>0</v>
      </c>
      <c r="AG1546" s="12">
        <v>54</v>
      </c>
      <c r="AH1546" s="14">
        <v>0</v>
      </c>
      <c r="AI1546" s="209"/>
      <c r="AJ1546" s="3"/>
      <c r="AK1546" s="3"/>
      <c r="AL1546" s="3"/>
      <c r="AM1546" s="3"/>
      <c r="AN1546" s="3"/>
      <c r="AO1546" s="40"/>
      <c r="AP1546" s="209"/>
      <c r="AQ1546" s="3"/>
      <c r="AR1546" s="40"/>
      <c r="AS1546" s="238"/>
    </row>
    <row r="1547" spans="1:45" s="229" customFormat="1">
      <c r="A1547" s="42" t="s">
        <v>326</v>
      </c>
      <c r="B1547" s="386">
        <v>48.318333333333335</v>
      </c>
      <c r="C1547" s="24" t="s">
        <v>756</v>
      </c>
      <c r="D1547" s="229" t="s">
        <v>757</v>
      </c>
      <c r="E1547" s="229" t="s">
        <v>0</v>
      </c>
      <c r="F1547" s="229">
        <v>365</v>
      </c>
      <c r="G1547" s="40">
        <f>F1547/196</f>
        <v>1.8622448979591837</v>
      </c>
      <c r="H1547" s="14">
        <v>1</v>
      </c>
      <c r="I1547" s="229">
        <v>0</v>
      </c>
      <c r="J1547" s="229">
        <v>0</v>
      </c>
      <c r="K1547" s="26">
        <v>1</v>
      </c>
      <c r="L1547" s="14">
        <v>0</v>
      </c>
      <c r="M1547" s="229">
        <v>0</v>
      </c>
      <c r="N1547" s="229">
        <v>1</v>
      </c>
      <c r="O1547" s="229">
        <v>0</v>
      </c>
      <c r="P1547" s="26">
        <v>1</v>
      </c>
      <c r="Q1547" s="14">
        <v>5</v>
      </c>
      <c r="R1547" s="229">
        <v>0</v>
      </c>
      <c r="S1547" s="229">
        <v>0</v>
      </c>
      <c r="T1547" s="229">
        <v>0</v>
      </c>
      <c r="U1547" s="229">
        <v>0</v>
      </c>
      <c r="V1547" s="229">
        <v>26</v>
      </c>
      <c r="W1547" s="229">
        <v>54</v>
      </c>
      <c r="X1547" s="229">
        <v>0</v>
      </c>
      <c r="Y1547" s="229">
        <v>0</v>
      </c>
      <c r="Z1547" s="229">
        <v>0</v>
      </c>
      <c r="AA1547" s="229">
        <v>0</v>
      </c>
      <c r="AB1547" s="229">
        <v>0</v>
      </c>
      <c r="AC1547" s="12">
        <v>2</v>
      </c>
      <c r="AD1547" s="14">
        <v>2</v>
      </c>
      <c r="AE1547" s="14">
        <v>81</v>
      </c>
      <c r="AF1547" s="26">
        <v>321</v>
      </c>
      <c r="AG1547" s="12">
        <v>45</v>
      </c>
      <c r="AH1547" s="14">
        <v>1</v>
      </c>
      <c r="AI1547" s="209"/>
      <c r="AJ1547" s="3"/>
      <c r="AK1547" s="3"/>
      <c r="AL1547" s="3"/>
      <c r="AM1547" s="3"/>
      <c r="AN1547" s="3"/>
      <c r="AO1547" s="40"/>
      <c r="AP1547" s="209"/>
      <c r="AQ1547" s="3"/>
      <c r="AR1547" s="40"/>
      <c r="AS1547" s="238"/>
    </row>
    <row r="1548" spans="1:45" s="229" customFormat="1">
      <c r="A1548" s="42" t="s">
        <v>326</v>
      </c>
      <c r="B1548" s="386">
        <v>48.318333333333335</v>
      </c>
      <c r="C1548" s="24" t="s">
        <v>756</v>
      </c>
      <c r="D1548" s="229" t="s">
        <v>757</v>
      </c>
      <c r="E1548" s="229" t="s">
        <v>1</v>
      </c>
      <c r="F1548" s="229">
        <v>393</v>
      </c>
      <c r="G1548" s="40">
        <f>F1548/196</f>
        <v>2.0051020408163267</v>
      </c>
      <c r="H1548" s="14">
        <v>0</v>
      </c>
      <c r="I1548" s="229">
        <v>0</v>
      </c>
      <c r="J1548" s="229">
        <v>0</v>
      </c>
      <c r="K1548" s="26">
        <v>1</v>
      </c>
      <c r="L1548" s="14">
        <v>0</v>
      </c>
      <c r="M1548" s="229">
        <v>0</v>
      </c>
      <c r="N1548" s="229">
        <v>1</v>
      </c>
      <c r="O1548" s="229">
        <v>0</v>
      </c>
      <c r="P1548" s="26">
        <v>1</v>
      </c>
      <c r="Q1548" s="14">
        <v>2</v>
      </c>
      <c r="R1548" s="229">
        <v>0</v>
      </c>
      <c r="S1548" s="229">
        <v>20</v>
      </c>
      <c r="T1548" s="229">
        <v>0</v>
      </c>
      <c r="U1548" s="229">
        <v>0</v>
      </c>
      <c r="V1548" s="229">
        <v>0</v>
      </c>
      <c r="W1548" s="229">
        <v>8</v>
      </c>
      <c r="X1548" s="229">
        <v>0</v>
      </c>
      <c r="Y1548" s="229">
        <v>0</v>
      </c>
      <c r="Z1548" s="229">
        <v>0</v>
      </c>
      <c r="AA1548" s="229">
        <v>0</v>
      </c>
      <c r="AB1548" s="229">
        <v>1</v>
      </c>
      <c r="AC1548" s="12">
        <v>2</v>
      </c>
      <c r="AD1548" s="14">
        <v>6</v>
      </c>
      <c r="AE1548" s="14">
        <v>54</v>
      </c>
      <c r="AF1548" s="26">
        <v>212</v>
      </c>
      <c r="AG1548" s="12">
        <v>45</v>
      </c>
      <c r="AH1548" s="14">
        <v>1</v>
      </c>
      <c r="AI1548" s="209"/>
      <c r="AJ1548" s="3"/>
      <c r="AK1548" s="3"/>
      <c r="AL1548" s="3"/>
      <c r="AM1548" s="3"/>
      <c r="AN1548" s="3"/>
      <c r="AO1548" s="40"/>
      <c r="AP1548" s="209"/>
      <c r="AQ1548" s="3"/>
      <c r="AR1548" s="40"/>
      <c r="AS1548" s="238"/>
    </row>
    <row r="1549" spans="1:45" s="229" customFormat="1">
      <c r="A1549" s="42" t="s">
        <v>326</v>
      </c>
      <c r="B1549" s="386">
        <v>48.318333333333335</v>
      </c>
      <c r="C1549" s="24" t="s">
        <v>756</v>
      </c>
      <c r="D1549" s="229" t="s">
        <v>757</v>
      </c>
      <c r="E1549" s="229" t="s">
        <v>2</v>
      </c>
      <c r="F1549" s="229">
        <v>168</v>
      </c>
      <c r="G1549" s="40">
        <f>F1549/99</f>
        <v>1.696969696969697</v>
      </c>
      <c r="H1549" s="14">
        <v>1</v>
      </c>
      <c r="I1549" s="229">
        <v>0</v>
      </c>
      <c r="J1549" s="229">
        <v>0</v>
      </c>
      <c r="K1549" s="26">
        <v>0</v>
      </c>
      <c r="L1549" s="14">
        <v>0</v>
      </c>
      <c r="M1549" s="229">
        <v>0</v>
      </c>
      <c r="N1549" s="229">
        <v>1</v>
      </c>
      <c r="O1549" s="229">
        <v>0</v>
      </c>
      <c r="P1549" s="26">
        <v>1</v>
      </c>
      <c r="Q1549" s="14">
        <v>2</v>
      </c>
      <c r="R1549" s="229">
        <v>0</v>
      </c>
      <c r="S1549" s="229">
        <v>0</v>
      </c>
      <c r="T1549" s="229">
        <v>0</v>
      </c>
      <c r="U1549" s="229">
        <v>0</v>
      </c>
      <c r="V1549" s="229">
        <v>0</v>
      </c>
      <c r="W1549" s="229">
        <v>33</v>
      </c>
      <c r="X1549" s="229">
        <v>0</v>
      </c>
      <c r="Y1549" s="229">
        <v>0</v>
      </c>
      <c r="Z1549" s="229">
        <v>0</v>
      </c>
      <c r="AA1549" s="229">
        <v>0</v>
      </c>
      <c r="AB1549" s="229">
        <v>0</v>
      </c>
      <c r="AC1549" s="12">
        <v>1</v>
      </c>
      <c r="AD1549" s="14">
        <v>1</v>
      </c>
      <c r="AE1549" s="14">
        <v>0</v>
      </c>
      <c r="AF1549" s="26">
        <v>0</v>
      </c>
      <c r="AG1549" s="12">
        <v>45</v>
      </c>
      <c r="AH1549" s="14">
        <v>1</v>
      </c>
      <c r="AI1549" s="209"/>
      <c r="AJ1549" s="3"/>
      <c r="AK1549" s="3"/>
      <c r="AL1549" s="3"/>
      <c r="AM1549" s="3"/>
      <c r="AN1549" s="3"/>
      <c r="AO1549" s="40"/>
      <c r="AP1549" s="209"/>
      <c r="AQ1549" s="3"/>
      <c r="AR1549" s="40"/>
      <c r="AS1549" s="238"/>
    </row>
    <row r="1550" spans="1:45" s="229" customFormat="1">
      <c r="A1550" s="42" t="s">
        <v>326</v>
      </c>
      <c r="B1550" s="386">
        <v>48.318333333333335</v>
      </c>
      <c r="C1550" s="24" t="s">
        <v>756</v>
      </c>
      <c r="D1550" s="229" t="s">
        <v>745</v>
      </c>
      <c r="E1550" s="229" t="s">
        <v>0</v>
      </c>
      <c r="F1550" s="229">
        <v>169</v>
      </c>
      <c r="G1550" s="40">
        <f>F1550/131</f>
        <v>1.2900763358778626</v>
      </c>
      <c r="H1550" s="14">
        <v>1</v>
      </c>
      <c r="I1550" s="229">
        <v>0</v>
      </c>
      <c r="J1550" s="229">
        <v>0</v>
      </c>
      <c r="K1550" s="26">
        <v>0</v>
      </c>
      <c r="L1550" s="14">
        <v>0</v>
      </c>
      <c r="M1550" s="229">
        <v>0</v>
      </c>
      <c r="N1550" s="229">
        <v>1</v>
      </c>
      <c r="O1550" s="229">
        <v>0</v>
      </c>
      <c r="P1550" s="26">
        <v>1</v>
      </c>
      <c r="Q1550" s="14">
        <v>0</v>
      </c>
      <c r="R1550" s="229">
        <v>0</v>
      </c>
      <c r="S1550" s="229">
        <v>0</v>
      </c>
      <c r="T1550" s="229">
        <v>0</v>
      </c>
      <c r="U1550" s="229">
        <v>0</v>
      </c>
      <c r="V1550" s="229">
        <v>0</v>
      </c>
      <c r="W1550" s="229">
        <v>0</v>
      </c>
      <c r="X1550" s="229">
        <v>0</v>
      </c>
      <c r="Y1550" s="229">
        <v>0</v>
      </c>
      <c r="Z1550" s="229">
        <v>0</v>
      </c>
      <c r="AA1550" s="229">
        <v>0</v>
      </c>
      <c r="AB1550" s="229">
        <v>0</v>
      </c>
      <c r="AC1550" s="12">
        <v>2</v>
      </c>
      <c r="AD1550" s="14">
        <v>3</v>
      </c>
      <c r="AE1550" s="14">
        <v>30</v>
      </c>
      <c r="AF1550" s="26">
        <v>107</v>
      </c>
      <c r="AG1550" s="12">
        <v>61</v>
      </c>
      <c r="AH1550" s="14">
        <v>1</v>
      </c>
      <c r="AI1550" s="209"/>
      <c r="AJ1550" s="3"/>
      <c r="AK1550" s="3"/>
      <c r="AL1550" s="3"/>
      <c r="AM1550" s="3"/>
      <c r="AN1550" s="3"/>
      <c r="AO1550" s="40"/>
      <c r="AP1550" s="209"/>
      <c r="AQ1550" s="3"/>
      <c r="AR1550" s="40"/>
      <c r="AS1550" s="238"/>
    </row>
    <row r="1551" spans="1:45" s="229" customFormat="1" ht="17" thickBot="1">
      <c r="A1551" s="42" t="s">
        <v>326</v>
      </c>
      <c r="B1551" s="385">
        <v>48.318333333333335</v>
      </c>
      <c r="C1551" s="103" t="s">
        <v>756</v>
      </c>
      <c r="D1551" s="36" t="s">
        <v>745</v>
      </c>
      <c r="E1551" s="36" t="s">
        <v>1</v>
      </c>
      <c r="F1551" s="36">
        <v>415</v>
      </c>
      <c r="G1551" s="48">
        <f>F1551/111</f>
        <v>3.7387387387387387</v>
      </c>
      <c r="H1551" s="34">
        <v>0</v>
      </c>
      <c r="I1551" s="36">
        <v>0</v>
      </c>
      <c r="J1551" s="36">
        <v>1</v>
      </c>
      <c r="K1551" s="35">
        <v>1</v>
      </c>
      <c r="L1551" s="34">
        <v>0</v>
      </c>
      <c r="M1551" s="36">
        <v>0</v>
      </c>
      <c r="N1551" s="36">
        <v>1</v>
      </c>
      <c r="O1551" s="36">
        <v>0</v>
      </c>
      <c r="P1551" s="35">
        <v>1</v>
      </c>
      <c r="Q1551" s="34">
        <v>3</v>
      </c>
      <c r="R1551" s="36">
        <v>0</v>
      </c>
      <c r="S1551" s="36">
        <v>0</v>
      </c>
      <c r="T1551" s="36">
        <v>0</v>
      </c>
      <c r="U1551" s="36">
        <v>0</v>
      </c>
      <c r="V1551" s="36">
        <v>0</v>
      </c>
      <c r="W1551" s="36">
        <v>22</v>
      </c>
      <c r="X1551" s="36">
        <v>0</v>
      </c>
      <c r="Y1551" s="36">
        <v>0</v>
      </c>
      <c r="Z1551" s="36">
        <v>0</v>
      </c>
      <c r="AA1551" s="36">
        <v>0</v>
      </c>
      <c r="AB1551" s="36">
        <v>1</v>
      </c>
      <c r="AC1551" s="33">
        <v>2</v>
      </c>
      <c r="AD1551" s="34">
        <v>3</v>
      </c>
      <c r="AE1551" s="34">
        <v>37</v>
      </c>
      <c r="AF1551" s="35">
        <v>381</v>
      </c>
      <c r="AG1551" s="33">
        <v>61</v>
      </c>
      <c r="AH1551" s="34">
        <v>1</v>
      </c>
      <c r="AI1551" s="210"/>
      <c r="AJ1551" s="51"/>
      <c r="AK1551" s="51"/>
      <c r="AL1551" s="51"/>
      <c r="AM1551" s="51"/>
      <c r="AN1551" s="51"/>
      <c r="AO1551" s="48"/>
      <c r="AP1551" s="210"/>
      <c r="AQ1551" s="51"/>
      <c r="AR1551" s="48"/>
      <c r="AS1551" s="239"/>
    </row>
    <row r="1552" spans="1:45" s="229" customFormat="1">
      <c r="A1552" s="87" t="s">
        <v>326</v>
      </c>
      <c r="B1552" s="384">
        <v>49.511666666666663</v>
      </c>
      <c r="C1552" s="24" t="s">
        <v>758</v>
      </c>
      <c r="D1552" s="229" t="s">
        <v>423</v>
      </c>
      <c r="F1552" s="229">
        <v>213</v>
      </c>
      <c r="G1552" s="40">
        <f>F1552/144</f>
        <v>1.4791666666666667</v>
      </c>
      <c r="H1552" s="14">
        <v>0</v>
      </c>
      <c r="I1552" s="229">
        <v>0</v>
      </c>
      <c r="J1552" s="229">
        <v>0</v>
      </c>
      <c r="K1552" s="26">
        <v>1</v>
      </c>
      <c r="L1552" s="14">
        <v>0</v>
      </c>
      <c r="M1552" s="229">
        <v>0</v>
      </c>
      <c r="N1552" s="229">
        <v>0</v>
      </c>
      <c r="O1552" s="229">
        <v>0</v>
      </c>
      <c r="P1552" s="26">
        <v>0</v>
      </c>
      <c r="Q1552" s="14">
        <v>0</v>
      </c>
      <c r="R1552" s="229">
        <v>0</v>
      </c>
      <c r="S1552" s="229">
        <v>0</v>
      </c>
      <c r="T1552" s="229">
        <v>0</v>
      </c>
      <c r="U1552" s="229">
        <v>0</v>
      </c>
      <c r="V1552" s="229">
        <v>0</v>
      </c>
      <c r="W1552" s="229">
        <v>0</v>
      </c>
      <c r="X1552" s="229">
        <v>0</v>
      </c>
      <c r="Y1552" s="229">
        <v>0</v>
      </c>
      <c r="Z1552" s="229">
        <v>0</v>
      </c>
      <c r="AA1552" s="229">
        <v>0</v>
      </c>
      <c r="AB1552" s="229">
        <v>0</v>
      </c>
      <c r="AC1552" s="12">
        <v>2</v>
      </c>
      <c r="AD1552" s="14">
        <v>2</v>
      </c>
      <c r="AE1552" s="14">
        <v>131</v>
      </c>
      <c r="AF1552" s="26">
        <v>158</v>
      </c>
      <c r="AG1552" s="12">
        <v>18</v>
      </c>
      <c r="AH1552" s="14">
        <v>0</v>
      </c>
      <c r="AI1552" s="209"/>
      <c r="AJ1552" s="3"/>
      <c r="AK1552" s="3"/>
      <c r="AL1552" s="3"/>
      <c r="AM1552" s="3"/>
      <c r="AN1552" s="3"/>
      <c r="AO1552" s="40"/>
      <c r="AP1552" s="209"/>
      <c r="AQ1552" s="3"/>
      <c r="AR1552" s="40"/>
      <c r="AS1552" s="238"/>
    </row>
    <row r="1553" spans="1:45" s="229" customFormat="1">
      <c r="A1553" s="42" t="s">
        <v>326</v>
      </c>
      <c r="B1553" s="386">
        <v>49.511666666666663</v>
      </c>
      <c r="C1553" s="24" t="s">
        <v>758</v>
      </c>
      <c r="D1553" s="229" t="s">
        <v>622</v>
      </c>
      <c r="F1553" s="229">
        <v>545</v>
      </c>
      <c r="G1553" s="40">
        <f>F1553/356</f>
        <v>1.5308988764044944</v>
      </c>
      <c r="H1553" s="14">
        <v>0</v>
      </c>
      <c r="I1553" s="229">
        <v>0</v>
      </c>
      <c r="J1553" s="229">
        <v>0</v>
      </c>
      <c r="K1553" s="26">
        <v>1</v>
      </c>
      <c r="L1553" s="14">
        <v>0</v>
      </c>
      <c r="M1553" s="229">
        <v>0</v>
      </c>
      <c r="N1553" s="229">
        <v>0</v>
      </c>
      <c r="O1553" s="229">
        <v>0</v>
      </c>
      <c r="P1553" s="26">
        <v>0</v>
      </c>
      <c r="Q1553" s="14">
        <v>1</v>
      </c>
      <c r="R1553" s="229">
        <v>0</v>
      </c>
      <c r="S1553" s="229">
        <v>8</v>
      </c>
      <c r="T1553" s="229">
        <v>0</v>
      </c>
      <c r="U1553" s="229">
        <v>0</v>
      </c>
      <c r="V1553" s="229">
        <v>0</v>
      </c>
      <c r="W1553" s="229">
        <v>0</v>
      </c>
      <c r="X1553" s="229">
        <v>0</v>
      </c>
      <c r="Y1553" s="229">
        <v>0</v>
      </c>
      <c r="Z1553" s="229">
        <v>0</v>
      </c>
      <c r="AA1553" s="229">
        <v>0</v>
      </c>
      <c r="AB1553" s="229">
        <v>1</v>
      </c>
      <c r="AC1553" s="12">
        <v>2</v>
      </c>
      <c r="AD1553" s="14">
        <v>6</v>
      </c>
      <c r="AE1553" s="14">
        <v>64</v>
      </c>
      <c r="AF1553" s="26">
        <v>387</v>
      </c>
      <c r="AG1553" s="12">
        <v>25</v>
      </c>
      <c r="AH1553" s="14">
        <v>1</v>
      </c>
      <c r="AI1553" s="209"/>
      <c r="AJ1553" s="3"/>
      <c r="AK1553" s="3"/>
      <c r="AL1553" s="3"/>
      <c r="AM1553" s="3"/>
      <c r="AN1553" s="3"/>
      <c r="AO1553" s="40"/>
      <c r="AP1553" s="209"/>
      <c r="AQ1553" s="3"/>
      <c r="AR1553" s="40"/>
      <c r="AS1553" s="238"/>
    </row>
    <row r="1554" spans="1:45" s="229" customFormat="1">
      <c r="A1554" s="42" t="s">
        <v>326</v>
      </c>
      <c r="B1554" s="386">
        <v>49.511666666666663</v>
      </c>
      <c r="C1554" s="24" t="s">
        <v>758</v>
      </c>
      <c r="D1554" s="229" t="s">
        <v>629</v>
      </c>
      <c r="E1554" s="229" t="s">
        <v>0</v>
      </c>
      <c r="F1554" s="229">
        <v>254</v>
      </c>
      <c r="G1554" s="40">
        <f>F1554/77</f>
        <v>3.2987012987012987</v>
      </c>
      <c r="H1554" s="14">
        <v>0</v>
      </c>
      <c r="I1554" s="229">
        <v>0</v>
      </c>
      <c r="J1554" s="229">
        <v>0</v>
      </c>
      <c r="K1554" s="26">
        <v>1</v>
      </c>
      <c r="L1554" s="14">
        <v>0</v>
      </c>
      <c r="M1554" s="229">
        <v>0</v>
      </c>
      <c r="N1554" s="229">
        <v>0</v>
      </c>
      <c r="O1554" s="229">
        <v>1</v>
      </c>
      <c r="P1554" s="26">
        <v>1</v>
      </c>
      <c r="Q1554" s="14">
        <v>1</v>
      </c>
      <c r="R1554" s="229">
        <v>0</v>
      </c>
      <c r="S1554" s="229">
        <v>0</v>
      </c>
      <c r="T1554" s="229">
        <v>0</v>
      </c>
      <c r="U1554" s="229">
        <v>0</v>
      </c>
      <c r="V1554" s="229">
        <v>17</v>
      </c>
      <c r="W1554" s="229">
        <v>18</v>
      </c>
      <c r="X1554" s="229">
        <v>0</v>
      </c>
      <c r="Y1554" s="229">
        <v>0</v>
      </c>
      <c r="Z1554" s="229">
        <v>0</v>
      </c>
      <c r="AA1554" s="229">
        <v>0</v>
      </c>
      <c r="AB1554" s="229">
        <v>1</v>
      </c>
      <c r="AC1554" s="12">
        <v>1</v>
      </c>
      <c r="AD1554" s="14">
        <v>1</v>
      </c>
      <c r="AE1554" s="14">
        <v>0</v>
      </c>
      <c r="AF1554" s="26">
        <v>0</v>
      </c>
      <c r="AG1554" s="12">
        <v>27</v>
      </c>
      <c r="AH1554" s="14">
        <v>1</v>
      </c>
      <c r="AI1554" s="209"/>
      <c r="AJ1554" s="3"/>
      <c r="AK1554" s="3"/>
      <c r="AL1554" s="3"/>
      <c r="AM1554" s="3"/>
      <c r="AN1554" s="3"/>
      <c r="AO1554" s="40"/>
      <c r="AP1554" s="209"/>
      <c r="AQ1554" s="3"/>
      <c r="AR1554" s="40"/>
      <c r="AS1554" s="238"/>
    </row>
    <row r="1555" spans="1:45" s="229" customFormat="1">
      <c r="A1555" s="42" t="s">
        <v>326</v>
      </c>
      <c r="B1555" s="386">
        <v>49.511666666666663</v>
      </c>
      <c r="C1555" s="24" t="s">
        <v>758</v>
      </c>
      <c r="D1555" s="229" t="s">
        <v>629</v>
      </c>
      <c r="E1555" s="229" t="s">
        <v>1</v>
      </c>
      <c r="F1555" s="229">
        <v>318</v>
      </c>
      <c r="G1555" s="40">
        <f>F1555/195</f>
        <v>1.6307692307692307</v>
      </c>
      <c r="H1555" s="14">
        <v>0</v>
      </c>
      <c r="I1555" s="229">
        <v>0</v>
      </c>
      <c r="J1555" s="229">
        <v>1</v>
      </c>
      <c r="K1555" s="26">
        <v>0</v>
      </c>
      <c r="L1555" s="14">
        <v>0</v>
      </c>
      <c r="M1555" s="229">
        <v>1</v>
      </c>
      <c r="N1555" s="229">
        <v>0</v>
      </c>
      <c r="O1555" s="229">
        <v>1</v>
      </c>
      <c r="P1555" s="26">
        <v>2</v>
      </c>
      <c r="Q1555" s="14">
        <v>5</v>
      </c>
      <c r="R1555" s="229">
        <v>0</v>
      </c>
      <c r="S1555" s="229">
        <v>6</v>
      </c>
      <c r="T1555" s="229">
        <v>0</v>
      </c>
      <c r="U1555" s="229">
        <v>0</v>
      </c>
      <c r="V1555" s="229">
        <v>71</v>
      </c>
      <c r="W1555" s="229">
        <v>75</v>
      </c>
      <c r="X1555" s="229">
        <v>0</v>
      </c>
      <c r="Y1555" s="229">
        <v>0</v>
      </c>
      <c r="Z1555" s="229">
        <v>0</v>
      </c>
      <c r="AA1555" s="229">
        <v>0</v>
      </c>
      <c r="AB1555" s="229">
        <v>1</v>
      </c>
      <c r="AC1555" s="12">
        <v>1</v>
      </c>
      <c r="AD1555" s="14">
        <v>1</v>
      </c>
      <c r="AE1555" s="14">
        <v>0</v>
      </c>
      <c r="AF1555" s="26">
        <v>0</v>
      </c>
      <c r="AG1555" s="12">
        <v>27</v>
      </c>
      <c r="AH1555" s="14">
        <v>1</v>
      </c>
      <c r="AI1555" s="209"/>
      <c r="AJ1555" s="3"/>
      <c r="AK1555" s="3"/>
      <c r="AL1555" s="3"/>
      <c r="AM1555" s="3"/>
      <c r="AN1555" s="3"/>
      <c r="AO1555" s="40"/>
      <c r="AP1555" s="209"/>
      <c r="AQ1555" s="3"/>
      <c r="AR1555" s="40"/>
      <c r="AS1555" s="238"/>
    </row>
    <row r="1556" spans="1:45" s="229" customFormat="1">
      <c r="A1556" s="42" t="s">
        <v>326</v>
      </c>
      <c r="B1556" s="386">
        <v>49.511666666666663</v>
      </c>
      <c r="C1556" s="24" t="s">
        <v>758</v>
      </c>
      <c r="D1556" s="229" t="s">
        <v>625</v>
      </c>
      <c r="E1556" s="229" t="s">
        <v>0</v>
      </c>
      <c r="F1556" s="229">
        <v>388</v>
      </c>
      <c r="G1556" s="40">
        <f>F1556/377</f>
        <v>1.0291777188328912</v>
      </c>
      <c r="H1556" s="14">
        <v>1</v>
      </c>
      <c r="I1556" s="229">
        <v>0</v>
      </c>
      <c r="J1556" s="229">
        <v>0</v>
      </c>
      <c r="K1556" s="26">
        <v>0</v>
      </c>
      <c r="L1556" s="14">
        <v>0</v>
      </c>
      <c r="M1556" s="229">
        <v>0</v>
      </c>
      <c r="N1556" s="229">
        <v>0</v>
      </c>
      <c r="O1556" s="229">
        <v>0</v>
      </c>
      <c r="P1556" s="26">
        <v>0</v>
      </c>
      <c r="Q1556" s="14">
        <v>1</v>
      </c>
      <c r="R1556" s="229">
        <v>5</v>
      </c>
      <c r="T1556" s="229">
        <v>12</v>
      </c>
      <c r="U1556" s="229">
        <v>0</v>
      </c>
      <c r="V1556" s="229">
        <v>0</v>
      </c>
      <c r="W1556" s="229">
        <v>0</v>
      </c>
      <c r="X1556" s="229">
        <v>0</v>
      </c>
      <c r="Y1556" s="229">
        <v>0</v>
      </c>
      <c r="Z1556" s="229">
        <v>0</v>
      </c>
      <c r="AA1556" s="229">
        <v>0</v>
      </c>
      <c r="AB1556" s="229">
        <v>1</v>
      </c>
      <c r="AC1556" s="12">
        <v>2</v>
      </c>
      <c r="AD1556" s="14">
        <v>2</v>
      </c>
      <c r="AE1556" s="14">
        <v>295</v>
      </c>
      <c r="AF1556" s="26">
        <v>376</v>
      </c>
      <c r="AG1556" s="12">
        <v>49</v>
      </c>
      <c r="AH1556" s="14">
        <v>1</v>
      </c>
      <c r="AI1556" s="209"/>
      <c r="AJ1556" s="3"/>
      <c r="AK1556" s="3"/>
      <c r="AL1556" s="3"/>
      <c r="AM1556" s="3"/>
      <c r="AN1556" s="3"/>
      <c r="AO1556" s="40"/>
      <c r="AP1556" s="209"/>
      <c r="AQ1556" s="3"/>
      <c r="AR1556" s="40"/>
      <c r="AS1556" s="238"/>
    </row>
    <row r="1557" spans="1:45" s="229" customFormat="1">
      <c r="A1557" s="42" t="s">
        <v>326</v>
      </c>
      <c r="B1557" s="386">
        <v>49.511666666666663</v>
      </c>
      <c r="C1557" s="24" t="s">
        <v>758</v>
      </c>
      <c r="D1557" s="229" t="s">
        <v>625</v>
      </c>
      <c r="E1557" s="229" t="s">
        <v>1</v>
      </c>
      <c r="F1557" s="229">
        <v>186</v>
      </c>
      <c r="G1557" s="40">
        <f>F1557/161</f>
        <v>1.15527950310559</v>
      </c>
      <c r="H1557" s="14">
        <v>0</v>
      </c>
      <c r="I1557" s="229">
        <v>0</v>
      </c>
      <c r="J1557" s="229">
        <v>0</v>
      </c>
      <c r="K1557" s="26">
        <v>1</v>
      </c>
      <c r="L1557" s="14">
        <v>0</v>
      </c>
      <c r="M1557" s="229">
        <v>0</v>
      </c>
      <c r="N1557" s="229">
        <v>0</v>
      </c>
      <c r="O1557" s="229">
        <v>0</v>
      </c>
      <c r="P1557" s="26">
        <v>0</v>
      </c>
      <c r="Q1557" s="14">
        <v>1</v>
      </c>
      <c r="R1557" s="229">
        <v>0</v>
      </c>
      <c r="S1557" s="229">
        <v>3</v>
      </c>
      <c r="T1557" s="229">
        <v>0</v>
      </c>
      <c r="U1557" s="229">
        <v>0</v>
      </c>
      <c r="V1557" s="229">
        <v>0</v>
      </c>
      <c r="W1557" s="229">
        <v>0</v>
      </c>
      <c r="X1557" s="229">
        <v>0</v>
      </c>
      <c r="Y1557" s="229">
        <v>0</v>
      </c>
      <c r="Z1557" s="229">
        <v>0</v>
      </c>
      <c r="AA1557" s="229">
        <v>0</v>
      </c>
      <c r="AB1557" s="229">
        <v>1</v>
      </c>
      <c r="AC1557" s="12">
        <v>2</v>
      </c>
      <c r="AD1557" s="14">
        <v>2</v>
      </c>
      <c r="AE1557" s="14">
        <v>141</v>
      </c>
      <c r="AF1557" s="26">
        <v>186</v>
      </c>
      <c r="AG1557" s="12">
        <v>49</v>
      </c>
      <c r="AH1557" s="14">
        <v>0</v>
      </c>
      <c r="AI1557" s="209"/>
      <c r="AJ1557" s="3"/>
      <c r="AK1557" s="3"/>
      <c r="AL1557" s="3"/>
      <c r="AM1557" s="3"/>
      <c r="AN1557" s="3"/>
      <c r="AO1557" s="40"/>
      <c r="AP1557" s="209"/>
      <c r="AQ1557" s="3"/>
      <c r="AR1557" s="40"/>
      <c r="AS1557" s="238"/>
    </row>
    <row r="1558" spans="1:45" s="229" customFormat="1">
      <c r="A1558" s="42" t="s">
        <v>326</v>
      </c>
      <c r="B1558" s="386">
        <v>49.511666666666663</v>
      </c>
      <c r="C1558" s="24" t="s">
        <v>758</v>
      </c>
      <c r="D1558" s="229" t="s">
        <v>625</v>
      </c>
      <c r="E1558" s="229" t="s">
        <v>2</v>
      </c>
      <c r="F1558" s="229">
        <v>271</v>
      </c>
      <c r="G1558" s="40">
        <f>F1558/140</f>
        <v>1.9357142857142857</v>
      </c>
      <c r="H1558" s="14">
        <v>0</v>
      </c>
      <c r="I1558" s="229">
        <v>0</v>
      </c>
      <c r="J1558" s="229">
        <v>1</v>
      </c>
      <c r="K1558" s="26">
        <v>0</v>
      </c>
      <c r="L1558" s="14">
        <v>0</v>
      </c>
      <c r="M1558" s="229">
        <v>0</v>
      </c>
      <c r="N1558" s="229">
        <v>0</v>
      </c>
      <c r="O1558" s="229">
        <v>0</v>
      </c>
      <c r="P1558" s="26">
        <v>0</v>
      </c>
      <c r="Q1558" s="14">
        <v>2</v>
      </c>
      <c r="R1558" s="229">
        <v>0</v>
      </c>
      <c r="S1558" s="229">
        <v>26</v>
      </c>
      <c r="T1558" s="229">
        <v>0</v>
      </c>
      <c r="U1558" s="229">
        <v>0</v>
      </c>
      <c r="V1558" s="229">
        <v>0</v>
      </c>
      <c r="W1558" s="229">
        <v>13</v>
      </c>
      <c r="X1558" s="229">
        <v>0</v>
      </c>
      <c r="Y1558" s="229">
        <v>0</v>
      </c>
      <c r="Z1558" s="229">
        <v>0</v>
      </c>
      <c r="AA1558" s="229">
        <v>0</v>
      </c>
      <c r="AB1558" s="229">
        <v>1</v>
      </c>
      <c r="AC1558" s="12">
        <v>1</v>
      </c>
      <c r="AD1558" s="14">
        <v>1</v>
      </c>
      <c r="AE1558" s="14">
        <v>0</v>
      </c>
      <c r="AF1558" s="26">
        <v>0</v>
      </c>
      <c r="AG1558" s="12">
        <v>49</v>
      </c>
      <c r="AH1558" s="14">
        <v>1</v>
      </c>
      <c r="AI1558" s="209"/>
      <c r="AJ1558" s="3"/>
      <c r="AK1558" s="3"/>
      <c r="AL1558" s="3"/>
      <c r="AM1558" s="3"/>
      <c r="AN1558" s="3"/>
      <c r="AO1558" s="40"/>
      <c r="AP1558" s="209"/>
      <c r="AQ1558" s="3"/>
      <c r="AR1558" s="40"/>
      <c r="AS1558" s="238"/>
    </row>
    <row r="1559" spans="1:45" s="229" customFormat="1">
      <c r="A1559" s="42" t="s">
        <v>326</v>
      </c>
      <c r="B1559" s="386">
        <v>49.511666666666663</v>
      </c>
      <c r="C1559" s="24" t="s">
        <v>758</v>
      </c>
      <c r="D1559" s="229" t="s">
        <v>637</v>
      </c>
      <c r="F1559" s="229">
        <v>293</v>
      </c>
      <c r="G1559" s="40">
        <f>F1559/265</f>
        <v>1.1056603773584905</v>
      </c>
      <c r="H1559" s="14">
        <v>0</v>
      </c>
      <c r="I1559" s="229">
        <v>0</v>
      </c>
      <c r="J1559" s="229">
        <v>1</v>
      </c>
      <c r="K1559" s="26">
        <v>0</v>
      </c>
      <c r="L1559" s="14">
        <v>0</v>
      </c>
      <c r="M1559" s="229">
        <v>0</v>
      </c>
      <c r="N1559" s="229">
        <v>1</v>
      </c>
      <c r="O1559" s="229">
        <v>0</v>
      </c>
      <c r="P1559" s="26">
        <v>1</v>
      </c>
      <c r="Q1559" s="14">
        <v>0</v>
      </c>
      <c r="R1559" s="229">
        <v>0</v>
      </c>
      <c r="S1559" s="229">
        <v>0</v>
      </c>
      <c r="T1559" s="229">
        <v>0</v>
      </c>
      <c r="U1559" s="229">
        <v>0</v>
      </c>
      <c r="V1559" s="229">
        <v>0</v>
      </c>
      <c r="W1559" s="229">
        <v>0</v>
      </c>
      <c r="X1559" s="229">
        <v>0</v>
      </c>
      <c r="Y1559" s="229">
        <v>0</v>
      </c>
      <c r="Z1559" s="229">
        <v>0</v>
      </c>
      <c r="AA1559" s="229">
        <v>0</v>
      </c>
      <c r="AB1559" s="229">
        <v>0</v>
      </c>
      <c r="AC1559" s="12">
        <v>2</v>
      </c>
      <c r="AD1559" s="14">
        <v>2</v>
      </c>
      <c r="AE1559" s="14">
        <v>171</v>
      </c>
      <c r="AF1559" s="26">
        <v>265</v>
      </c>
      <c r="AG1559" s="12"/>
      <c r="AH1559" s="14">
        <v>1</v>
      </c>
      <c r="AI1559" s="209"/>
      <c r="AJ1559" s="3"/>
      <c r="AK1559" s="3"/>
      <c r="AL1559" s="3"/>
      <c r="AM1559" s="3"/>
      <c r="AN1559" s="3"/>
      <c r="AO1559" s="40"/>
      <c r="AP1559" s="209"/>
      <c r="AQ1559" s="3"/>
      <c r="AR1559" s="40"/>
      <c r="AS1559" s="238"/>
    </row>
    <row r="1560" spans="1:45" s="229" customFormat="1">
      <c r="A1560" s="42" t="s">
        <v>326</v>
      </c>
      <c r="B1560" s="386">
        <v>49.511666666666663</v>
      </c>
      <c r="C1560" s="24" t="s">
        <v>758</v>
      </c>
      <c r="D1560" s="229" t="s">
        <v>640</v>
      </c>
      <c r="F1560" s="229">
        <v>642</v>
      </c>
      <c r="G1560" s="40">
        <f>F1560/406</f>
        <v>1.5812807881773399</v>
      </c>
      <c r="H1560" s="14">
        <v>0</v>
      </c>
      <c r="I1560" s="229">
        <v>0</v>
      </c>
      <c r="J1560" s="229">
        <v>1</v>
      </c>
      <c r="K1560" s="26">
        <v>1</v>
      </c>
      <c r="L1560" s="14">
        <v>0</v>
      </c>
      <c r="M1560" s="229">
        <v>0</v>
      </c>
      <c r="N1560" s="229">
        <v>0</v>
      </c>
      <c r="O1560" s="229">
        <v>0</v>
      </c>
      <c r="P1560" s="26">
        <v>0</v>
      </c>
      <c r="Q1560" s="14">
        <v>2</v>
      </c>
      <c r="R1560" s="229">
        <v>13</v>
      </c>
      <c r="S1560" s="229">
        <v>17</v>
      </c>
      <c r="T1560" s="229">
        <v>0</v>
      </c>
      <c r="U1560" s="229">
        <v>0</v>
      </c>
      <c r="V1560" s="229">
        <v>13</v>
      </c>
      <c r="W1560" s="229">
        <v>83</v>
      </c>
      <c r="X1560" s="229">
        <v>0</v>
      </c>
      <c r="Y1560" s="229">
        <v>0</v>
      </c>
      <c r="Z1560" s="229">
        <v>0</v>
      </c>
      <c r="AA1560" s="229">
        <v>0</v>
      </c>
      <c r="AB1560" s="229">
        <v>1</v>
      </c>
      <c r="AC1560" s="12">
        <v>2</v>
      </c>
      <c r="AD1560" s="14">
        <v>5</v>
      </c>
      <c r="AE1560" s="14">
        <v>135</v>
      </c>
      <c r="AF1560" s="26">
        <v>406</v>
      </c>
      <c r="AG1560" s="12">
        <v>42</v>
      </c>
      <c r="AH1560" s="14">
        <v>1</v>
      </c>
      <c r="AI1560" s="209"/>
      <c r="AJ1560" s="3"/>
      <c r="AK1560" s="3"/>
      <c r="AL1560" s="3"/>
      <c r="AM1560" s="3"/>
      <c r="AN1560" s="3"/>
      <c r="AO1560" s="40"/>
      <c r="AP1560" s="209"/>
      <c r="AQ1560" s="3"/>
      <c r="AR1560" s="40"/>
      <c r="AS1560" s="238"/>
    </row>
    <row r="1561" spans="1:45" s="229" customFormat="1">
      <c r="A1561" s="42" t="s">
        <v>326</v>
      </c>
      <c r="B1561" s="386">
        <v>49.511666666666663</v>
      </c>
      <c r="C1561" s="24" t="s">
        <v>758</v>
      </c>
      <c r="D1561" s="229" t="s">
        <v>641</v>
      </c>
      <c r="F1561" s="229">
        <v>605</v>
      </c>
      <c r="G1561" s="40">
        <f>F1561/293</f>
        <v>2.0648464163822524</v>
      </c>
      <c r="H1561" s="14">
        <v>0</v>
      </c>
      <c r="I1561" s="229">
        <v>0</v>
      </c>
      <c r="J1561" s="229">
        <v>1</v>
      </c>
      <c r="K1561" s="26">
        <v>0</v>
      </c>
      <c r="L1561" s="14">
        <v>0</v>
      </c>
      <c r="M1561" s="229">
        <v>0</v>
      </c>
      <c r="N1561" s="229">
        <v>1</v>
      </c>
      <c r="O1561" s="229">
        <v>0</v>
      </c>
      <c r="P1561" s="26">
        <v>1</v>
      </c>
      <c r="Q1561" s="14">
        <v>5</v>
      </c>
      <c r="R1561" s="229">
        <v>0</v>
      </c>
      <c r="S1561" s="229">
        <v>6</v>
      </c>
      <c r="T1561" s="229">
        <v>0</v>
      </c>
      <c r="U1561" s="229">
        <v>0</v>
      </c>
      <c r="V1561" s="229">
        <v>4</v>
      </c>
      <c r="W1561" s="229">
        <v>60</v>
      </c>
      <c r="X1561" s="229">
        <v>0</v>
      </c>
      <c r="Y1561" s="229">
        <v>0</v>
      </c>
      <c r="Z1561" s="229">
        <v>0</v>
      </c>
      <c r="AA1561" s="229">
        <v>0</v>
      </c>
      <c r="AB1561" s="229">
        <v>1</v>
      </c>
      <c r="AC1561" s="12">
        <v>2</v>
      </c>
      <c r="AD1561" s="14">
        <v>4</v>
      </c>
      <c r="AE1561" s="14">
        <v>143</v>
      </c>
      <c r="AF1561" s="26">
        <v>296</v>
      </c>
      <c r="AG1561" s="12">
        <v>30</v>
      </c>
      <c r="AH1561" s="14">
        <v>1</v>
      </c>
      <c r="AI1561" s="209"/>
      <c r="AJ1561" s="3"/>
      <c r="AK1561" s="3"/>
      <c r="AL1561" s="3"/>
      <c r="AM1561" s="3"/>
      <c r="AN1561" s="3"/>
      <c r="AO1561" s="40"/>
      <c r="AP1561" s="209"/>
      <c r="AQ1561" s="3"/>
      <c r="AR1561" s="40"/>
      <c r="AS1561" s="238"/>
    </row>
    <row r="1562" spans="1:45" s="229" customFormat="1">
      <c r="A1562" s="42" t="s">
        <v>326</v>
      </c>
      <c r="B1562" s="386">
        <v>49.511666666666663</v>
      </c>
      <c r="C1562" s="24" t="s">
        <v>758</v>
      </c>
      <c r="D1562" s="229" t="s">
        <v>648</v>
      </c>
      <c r="F1562" s="229">
        <v>279</v>
      </c>
      <c r="G1562" s="40">
        <f>F1562/176</f>
        <v>1.5852272727272727</v>
      </c>
      <c r="H1562" s="14">
        <v>0</v>
      </c>
      <c r="I1562" s="229">
        <v>0</v>
      </c>
      <c r="J1562" s="229">
        <v>1</v>
      </c>
      <c r="K1562" s="26">
        <v>0</v>
      </c>
      <c r="L1562" s="14">
        <v>0</v>
      </c>
      <c r="M1562" s="229">
        <v>0</v>
      </c>
      <c r="N1562" s="229">
        <v>0</v>
      </c>
      <c r="O1562" s="229">
        <v>1</v>
      </c>
      <c r="P1562" s="26">
        <v>1</v>
      </c>
      <c r="Q1562" s="14">
        <v>1</v>
      </c>
      <c r="R1562" s="229">
        <v>0</v>
      </c>
      <c r="S1562" s="229">
        <v>12</v>
      </c>
      <c r="T1562" s="229">
        <v>0</v>
      </c>
      <c r="U1562" s="229">
        <v>0</v>
      </c>
      <c r="V1562" s="229">
        <v>0</v>
      </c>
      <c r="W1562" s="229">
        <v>0</v>
      </c>
      <c r="X1562" s="229">
        <v>0</v>
      </c>
      <c r="Y1562" s="229">
        <v>0</v>
      </c>
      <c r="Z1562" s="229">
        <v>0</v>
      </c>
      <c r="AA1562" s="229">
        <v>0</v>
      </c>
      <c r="AB1562" s="229">
        <v>1</v>
      </c>
      <c r="AC1562" s="12">
        <v>1</v>
      </c>
      <c r="AD1562" s="14">
        <v>1</v>
      </c>
      <c r="AE1562" s="14">
        <v>0</v>
      </c>
      <c r="AF1562" s="26">
        <v>0</v>
      </c>
      <c r="AG1562" s="12">
        <v>24</v>
      </c>
      <c r="AH1562" s="14">
        <v>1</v>
      </c>
      <c r="AI1562" s="209"/>
      <c r="AJ1562" s="3"/>
      <c r="AK1562" s="3"/>
      <c r="AL1562" s="3"/>
      <c r="AM1562" s="3"/>
      <c r="AN1562" s="3"/>
      <c r="AO1562" s="40"/>
      <c r="AP1562" s="209"/>
      <c r="AQ1562" s="3"/>
      <c r="AR1562" s="40"/>
      <c r="AS1562" s="238"/>
    </row>
    <row r="1563" spans="1:45" s="229" customFormat="1">
      <c r="A1563" s="42" t="s">
        <v>326</v>
      </c>
      <c r="B1563" s="386">
        <v>49.511666666666663</v>
      </c>
      <c r="C1563" s="24" t="s">
        <v>758</v>
      </c>
      <c r="D1563" s="229" t="s">
        <v>649</v>
      </c>
      <c r="E1563" s="229" t="s">
        <v>0</v>
      </c>
      <c r="F1563" s="229">
        <v>272</v>
      </c>
      <c r="G1563" s="40">
        <f>F1563/131</f>
        <v>2.0763358778625953</v>
      </c>
      <c r="H1563" s="14">
        <v>1</v>
      </c>
      <c r="I1563" s="229">
        <v>0</v>
      </c>
      <c r="J1563" s="229">
        <v>0</v>
      </c>
      <c r="K1563" s="26">
        <v>0</v>
      </c>
      <c r="L1563" s="14">
        <v>0</v>
      </c>
      <c r="M1563" s="229">
        <v>0</v>
      </c>
      <c r="N1563" s="229">
        <v>0</v>
      </c>
      <c r="O1563" s="229">
        <v>0</v>
      </c>
      <c r="P1563" s="26">
        <v>0</v>
      </c>
      <c r="Q1563" s="14">
        <v>2</v>
      </c>
      <c r="R1563" s="229">
        <v>0</v>
      </c>
      <c r="S1563" s="229">
        <v>0</v>
      </c>
      <c r="T1563" s="229">
        <v>0</v>
      </c>
      <c r="U1563" s="229">
        <v>0</v>
      </c>
      <c r="V1563" s="229">
        <v>9</v>
      </c>
      <c r="W1563" s="229">
        <v>20</v>
      </c>
      <c r="X1563" s="229">
        <v>0</v>
      </c>
      <c r="Y1563" s="229">
        <v>0</v>
      </c>
      <c r="Z1563" s="229">
        <v>0</v>
      </c>
      <c r="AA1563" s="229">
        <v>0</v>
      </c>
      <c r="AB1563" s="229">
        <v>1</v>
      </c>
      <c r="AC1563" s="12">
        <v>2</v>
      </c>
      <c r="AD1563" s="14">
        <v>2</v>
      </c>
      <c r="AE1563" s="14">
        <v>181</v>
      </c>
      <c r="AF1563" s="26">
        <v>186</v>
      </c>
      <c r="AG1563" s="12">
        <v>50</v>
      </c>
      <c r="AH1563" s="14">
        <v>1</v>
      </c>
      <c r="AI1563" s="209"/>
      <c r="AJ1563" s="3"/>
      <c r="AK1563" s="3"/>
      <c r="AL1563" s="3"/>
      <c r="AM1563" s="3"/>
      <c r="AN1563" s="3"/>
      <c r="AO1563" s="40"/>
      <c r="AP1563" s="209"/>
      <c r="AQ1563" s="3"/>
      <c r="AR1563" s="40"/>
      <c r="AS1563" s="238"/>
    </row>
    <row r="1564" spans="1:45" s="229" customFormat="1">
      <c r="A1564" s="42" t="s">
        <v>326</v>
      </c>
      <c r="B1564" s="386">
        <v>49.511666666666663</v>
      </c>
      <c r="C1564" s="24" t="s">
        <v>758</v>
      </c>
      <c r="D1564" s="229" t="s">
        <v>649</v>
      </c>
      <c r="E1564" s="229" t="s">
        <v>1</v>
      </c>
      <c r="F1564" s="229">
        <v>183</v>
      </c>
      <c r="G1564" s="40">
        <f>F1564/110</f>
        <v>1.6636363636363636</v>
      </c>
      <c r="H1564" s="14">
        <v>1</v>
      </c>
      <c r="I1564" s="229">
        <v>0</v>
      </c>
      <c r="J1564" s="229">
        <v>0</v>
      </c>
      <c r="K1564" s="26">
        <v>0</v>
      </c>
      <c r="L1564" s="14">
        <v>0</v>
      </c>
      <c r="M1564" s="229">
        <v>0</v>
      </c>
      <c r="N1564" s="229">
        <v>0</v>
      </c>
      <c r="O1564" s="229">
        <v>0</v>
      </c>
      <c r="P1564" s="26">
        <v>0</v>
      </c>
      <c r="Q1564" s="14">
        <v>0</v>
      </c>
      <c r="R1564" s="229">
        <v>0</v>
      </c>
      <c r="S1564" s="229">
        <v>0</v>
      </c>
      <c r="T1564" s="229">
        <v>0</v>
      </c>
      <c r="U1564" s="229">
        <v>0</v>
      </c>
      <c r="V1564" s="229">
        <v>0</v>
      </c>
      <c r="W1564" s="229">
        <v>0</v>
      </c>
      <c r="X1564" s="229">
        <v>0</v>
      </c>
      <c r="Y1564" s="229">
        <v>0</v>
      </c>
      <c r="Z1564" s="229">
        <v>0</v>
      </c>
      <c r="AA1564" s="229">
        <v>0</v>
      </c>
      <c r="AB1564" s="229">
        <v>0</v>
      </c>
      <c r="AC1564" s="12">
        <v>1</v>
      </c>
      <c r="AD1564" s="14">
        <v>1</v>
      </c>
      <c r="AE1564" s="14">
        <v>0</v>
      </c>
      <c r="AF1564" s="26">
        <v>0</v>
      </c>
      <c r="AG1564" s="12">
        <v>50</v>
      </c>
      <c r="AH1564" s="14">
        <v>0</v>
      </c>
      <c r="AI1564" s="209"/>
      <c r="AJ1564" s="3"/>
      <c r="AK1564" s="3"/>
      <c r="AL1564" s="3"/>
      <c r="AM1564" s="3"/>
      <c r="AN1564" s="3"/>
      <c r="AO1564" s="40"/>
      <c r="AP1564" s="209"/>
      <c r="AQ1564" s="3"/>
      <c r="AR1564" s="40"/>
      <c r="AS1564" s="238"/>
    </row>
    <row r="1565" spans="1:45" s="229" customFormat="1">
      <c r="A1565" s="42" t="s">
        <v>326</v>
      </c>
      <c r="B1565" s="386">
        <v>49.511666666666663</v>
      </c>
      <c r="C1565" s="24" t="s">
        <v>758</v>
      </c>
      <c r="D1565" s="229" t="s">
        <v>669</v>
      </c>
      <c r="F1565" s="229">
        <v>506</v>
      </c>
      <c r="G1565" s="40">
        <f>F1565/134</f>
        <v>3.7761194029850746</v>
      </c>
      <c r="H1565" s="14">
        <v>0</v>
      </c>
      <c r="I1565" s="229">
        <v>0</v>
      </c>
      <c r="J1565" s="229">
        <v>1</v>
      </c>
      <c r="K1565" s="26">
        <v>0</v>
      </c>
      <c r="L1565" s="14">
        <v>0</v>
      </c>
      <c r="M1565" s="229">
        <v>0</v>
      </c>
      <c r="N1565" s="229">
        <v>0</v>
      </c>
      <c r="O1565" s="229">
        <v>0</v>
      </c>
      <c r="P1565" s="26">
        <v>0</v>
      </c>
      <c r="Q1565" s="14">
        <v>10</v>
      </c>
      <c r="R1565" s="229">
        <v>0</v>
      </c>
      <c r="S1565" s="229">
        <v>0</v>
      </c>
      <c r="T1565" s="229">
        <v>0</v>
      </c>
      <c r="U1565" s="229">
        <v>0</v>
      </c>
      <c r="V1565" s="229">
        <v>56</v>
      </c>
      <c r="W1565" s="229">
        <v>137</v>
      </c>
      <c r="X1565" s="229">
        <v>0</v>
      </c>
      <c r="Y1565" s="229">
        <v>0</v>
      </c>
      <c r="Z1565" s="229">
        <v>0</v>
      </c>
      <c r="AA1565" s="229">
        <v>0</v>
      </c>
      <c r="AB1565" s="229">
        <v>1</v>
      </c>
      <c r="AC1565" s="12">
        <v>1</v>
      </c>
      <c r="AD1565" s="14">
        <v>1</v>
      </c>
      <c r="AE1565" s="14">
        <v>0</v>
      </c>
      <c r="AF1565" s="26">
        <v>0</v>
      </c>
      <c r="AG1565" s="12">
        <v>43</v>
      </c>
      <c r="AH1565" s="14">
        <v>0</v>
      </c>
      <c r="AI1565" s="209"/>
      <c r="AJ1565" s="3"/>
      <c r="AK1565" s="3"/>
      <c r="AL1565" s="3"/>
      <c r="AM1565" s="3"/>
      <c r="AN1565" s="3"/>
      <c r="AO1565" s="40"/>
      <c r="AP1565" s="209"/>
      <c r="AQ1565" s="3"/>
      <c r="AR1565" s="40"/>
      <c r="AS1565" s="238"/>
    </row>
    <row r="1566" spans="1:45" s="229" customFormat="1">
      <c r="A1566" s="42" t="s">
        <v>326</v>
      </c>
      <c r="B1566" s="386">
        <v>49.511666666666663</v>
      </c>
      <c r="C1566" s="24" t="s">
        <v>758</v>
      </c>
      <c r="D1566" s="229" t="s">
        <v>670</v>
      </c>
      <c r="F1566" s="229">
        <v>421</v>
      </c>
      <c r="G1566" s="40">
        <f>F1566/272</f>
        <v>1.5477941176470589</v>
      </c>
      <c r="H1566" s="14">
        <v>0</v>
      </c>
      <c r="I1566" s="229">
        <v>0</v>
      </c>
      <c r="J1566" s="229">
        <v>1</v>
      </c>
      <c r="K1566" s="26">
        <v>0</v>
      </c>
      <c r="L1566" s="14">
        <v>0</v>
      </c>
      <c r="M1566" s="229">
        <v>0</v>
      </c>
      <c r="N1566" s="229">
        <v>0</v>
      </c>
      <c r="O1566" s="229">
        <v>0</v>
      </c>
      <c r="P1566" s="26">
        <v>0</v>
      </c>
      <c r="Q1566" s="14">
        <v>15</v>
      </c>
      <c r="R1566" s="229">
        <v>0</v>
      </c>
      <c r="S1566" s="229">
        <v>0</v>
      </c>
      <c r="T1566" s="229">
        <v>0</v>
      </c>
      <c r="U1566" s="229">
        <v>0</v>
      </c>
      <c r="V1566" s="229">
        <v>0</v>
      </c>
      <c r="W1566" s="229">
        <v>115</v>
      </c>
      <c r="X1566" s="229">
        <v>0</v>
      </c>
      <c r="Y1566" s="229">
        <v>0</v>
      </c>
      <c r="Z1566" s="229">
        <v>0</v>
      </c>
      <c r="AA1566" s="229">
        <v>92</v>
      </c>
      <c r="AB1566" s="229">
        <v>1</v>
      </c>
      <c r="AC1566" s="12">
        <v>1</v>
      </c>
      <c r="AD1566" s="14">
        <v>1</v>
      </c>
      <c r="AE1566" s="14">
        <v>0</v>
      </c>
      <c r="AF1566" s="26">
        <v>0</v>
      </c>
      <c r="AG1566" s="12">
        <v>38</v>
      </c>
      <c r="AH1566" s="14">
        <v>0</v>
      </c>
      <c r="AI1566" s="209"/>
      <c r="AJ1566" s="3"/>
      <c r="AK1566" s="3"/>
      <c r="AL1566" s="3"/>
      <c r="AM1566" s="3"/>
      <c r="AN1566" s="3"/>
      <c r="AO1566" s="40"/>
      <c r="AP1566" s="209"/>
      <c r="AQ1566" s="3"/>
      <c r="AR1566" s="40"/>
      <c r="AS1566" s="238"/>
    </row>
    <row r="1567" spans="1:45" s="229" customFormat="1">
      <c r="A1567" s="42" t="s">
        <v>326</v>
      </c>
      <c r="B1567" s="386">
        <v>49.511666666666663</v>
      </c>
      <c r="C1567" s="24" t="s">
        <v>758</v>
      </c>
      <c r="D1567" s="229" t="s">
        <v>671</v>
      </c>
      <c r="F1567" s="229">
        <v>334</v>
      </c>
      <c r="G1567" s="40">
        <f>F1567/218</f>
        <v>1.5321100917431192</v>
      </c>
      <c r="H1567" s="14">
        <v>0</v>
      </c>
      <c r="I1567" s="229">
        <v>0</v>
      </c>
      <c r="J1567" s="229">
        <v>1</v>
      </c>
      <c r="K1567" s="26">
        <v>0</v>
      </c>
      <c r="L1567" s="14">
        <v>0</v>
      </c>
      <c r="M1567" s="229">
        <v>0</v>
      </c>
      <c r="N1567" s="229">
        <v>0</v>
      </c>
      <c r="O1567" s="229">
        <v>1</v>
      </c>
      <c r="P1567" s="26">
        <v>1</v>
      </c>
      <c r="Q1567" s="14">
        <v>0</v>
      </c>
      <c r="R1567" s="229">
        <v>0</v>
      </c>
      <c r="S1567" s="229">
        <v>0</v>
      </c>
      <c r="T1567" s="229">
        <v>0</v>
      </c>
      <c r="U1567" s="229">
        <v>0</v>
      </c>
      <c r="V1567" s="229">
        <v>0</v>
      </c>
      <c r="W1567" s="229">
        <v>0</v>
      </c>
      <c r="X1567" s="229">
        <v>0</v>
      </c>
      <c r="Y1567" s="229">
        <v>0</v>
      </c>
      <c r="Z1567" s="229">
        <v>0</v>
      </c>
      <c r="AA1567" s="229">
        <v>0</v>
      </c>
      <c r="AB1567" s="229">
        <v>0</v>
      </c>
      <c r="AC1567" s="12">
        <v>1</v>
      </c>
      <c r="AD1567" s="14">
        <v>1</v>
      </c>
      <c r="AE1567" s="14">
        <v>0</v>
      </c>
      <c r="AF1567" s="26">
        <v>0</v>
      </c>
      <c r="AG1567" s="12">
        <v>28</v>
      </c>
      <c r="AH1567" s="14">
        <v>0</v>
      </c>
      <c r="AI1567" s="209"/>
      <c r="AJ1567" s="3"/>
      <c r="AK1567" s="3"/>
      <c r="AL1567" s="3"/>
      <c r="AM1567" s="3"/>
      <c r="AN1567" s="3"/>
      <c r="AO1567" s="40"/>
      <c r="AP1567" s="209"/>
      <c r="AQ1567" s="3"/>
      <c r="AR1567" s="40"/>
      <c r="AS1567" s="238"/>
    </row>
    <row r="1568" spans="1:45" s="229" customFormat="1">
      <c r="A1568" s="42" t="s">
        <v>326</v>
      </c>
      <c r="B1568" s="386">
        <v>49.511666666666663</v>
      </c>
      <c r="C1568" s="24" t="s">
        <v>758</v>
      </c>
      <c r="D1568" s="229" t="s">
        <v>673</v>
      </c>
      <c r="F1568" s="229">
        <v>346</v>
      </c>
      <c r="G1568" s="40">
        <f>F1568/188</f>
        <v>1.8404255319148937</v>
      </c>
      <c r="H1568" s="14">
        <v>0</v>
      </c>
      <c r="I1568" s="229">
        <v>0</v>
      </c>
      <c r="J1568" s="229">
        <v>0</v>
      </c>
      <c r="K1568" s="26">
        <v>1</v>
      </c>
      <c r="L1568" s="14">
        <v>0</v>
      </c>
      <c r="M1568" s="229">
        <v>0</v>
      </c>
      <c r="N1568" s="229">
        <v>0</v>
      </c>
      <c r="O1568" s="229">
        <v>0</v>
      </c>
      <c r="P1568" s="26">
        <v>0</v>
      </c>
      <c r="Q1568" s="14">
        <v>2</v>
      </c>
      <c r="R1568" s="229">
        <v>0</v>
      </c>
      <c r="S1568" s="229">
        <v>7</v>
      </c>
      <c r="T1568" s="229">
        <v>0</v>
      </c>
      <c r="U1568" s="229">
        <v>0</v>
      </c>
      <c r="V1568" s="229">
        <v>22</v>
      </c>
      <c r="W1568" s="229">
        <v>27</v>
      </c>
      <c r="X1568" s="229">
        <v>0</v>
      </c>
      <c r="Y1568" s="229">
        <v>0</v>
      </c>
      <c r="Z1568" s="229">
        <v>0</v>
      </c>
      <c r="AA1568" s="229">
        <v>0</v>
      </c>
      <c r="AB1568" s="229">
        <v>1</v>
      </c>
      <c r="AC1568" s="12">
        <v>2</v>
      </c>
      <c r="AD1568" s="14">
        <v>3</v>
      </c>
      <c r="AE1568" s="14">
        <v>118</v>
      </c>
      <c r="AF1568" s="26">
        <v>188</v>
      </c>
      <c r="AG1568" s="12">
        <v>16</v>
      </c>
      <c r="AH1568" s="14">
        <v>1</v>
      </c>
      <c r="AI1568" s="209"/>
      <c r="AJ1568" s="3"/>
      <c r="AK1568" s="3"/>
      <c r="AL1568" s="3"/>
      <c r="AM1568" s="3"/>
      <c r="AN1568" s="3"/>
      <c r="AO1568" s="40"/>
      <c r="AP1568" s="209"/>
      <c r="AQ1568" s="3"/>
      <c r="AR1568" s="40"/>
      <c r="AS1568" s="238"/>
    </row>
    <row r="1569" spans="1:45" s="229" customFormat="1">
      <c r="A1569" s="42" t="s">
        <v>326</v>
      </c>
      <c r="B1569" s="386">
        <v>49.511666666666663</v>
      </c>
      <c r="C1569" s="24" t="s">
        <v>758</v>
      </c>
      <c r="D1569" s="229" t="s">
        <v>674</v>
      </c>
      <c r="F1569" s="229">
        <v>661</v>
      </c>
      <c r="G1569" s="40">
        <f>F1569/452</f>
        <v>1.4623893805309736</v>
      </c>
      <c r="H1569" s="14">
        <v>0</v>
      </c>
      <c r="I1569" s="229">
        <v>0</v>
      </c>
      <c r="J1569" s="229">
        <v>1</v>
      </c>
      <c r="K1569" s="26">
        <v>0</v>
      </c>
      <c r="L1569" s="14">
        <v>0</v>
      </c>
      <c r="M1569" s="229">
        <v>0</v>
      </c>
      <c r="N1569" s="229">
        <v>0</v>
      </c>
      <c r="O1569" s="229">
        <v>0</v>
      </c>
      <c r="P1569" s="26">
        <v>0</v>
      </c>
      <c r="Q1569" s="14">
        <v>2</v>
      </c>
      <c r="R1569" s="229">
        <v>0</v>
      </c>
      <c r="S1569" s="229">
        <v>0</v>
      </c>
      <c r="T1569" s="229">
        <v>0</v>
      </c>
      <c r="U1569" s="229">
        <v>0</v>
      </c>
      <c r="V1569" s="229">
        <v>0</v>
      </c>
      <c r="W1569" s="229">
        <v>47</v>
      </c>
      <c r="X1569" s="229">
        <v>0</v>
      </c>
      <c r="Y1569" s="229">
        <v>0</v>
      </c>
      <c r="Z1569" s="229">
        <v>0</v>
      </c>
      <c r="AA1569" s="229">
        <v>0</v>
      </c>
      <c r="AB1569" s="229">
        <v>1</v>
      </c>
      <c r="AC1569" s="12">
        <v>1</v>
      </c>
      <c r="AD1569" s="14">
        <v>1</v>
      </c>
      <c r="AE1569" s="14">
        <v>0</v>
      </c>
      <c r="AF1569" s="26">
        <v>0</v>
      </c>
      <c r="AG1569" s="12">
        <v>28</v>
      </c>
      <c r="AH1569" s="14">
        <v>1</v>
      </c>
      <c r="AI1569" s="209"/>
      <c r="AJ1569" s="3"/>
      <c r="AK1569" s="3"/>
      <c r="AL1569" s="3"/>
      <c r="AM1569" s="3"/>
      <c r="AN1569" s="3"/>
      <c r="AO1569" s="40"/>
      <c r="AP1569" s="209"/>
      <c r="AQ1569" s="3"/>
      <c r="AR1569" s="40"/>
      <c r="AS1569" s="238"/>
    </row>
    <row r="1570" spans="1:45" s="229" customFormat="1">
      <c r="A1570" s="42" t="s">
        <v>326</v>
      </c>
      <c r="B1570" s="386">
        <v>49.511666666666663</v>
      </c>
      <c r="C1570" s="24" t="s">
        <v>758</v>
      </c>
      <c r="D1570" s="229" t="s">
        <v>677</v>
      </c>
      <c r="E1570" s="229" t="s">
        <v>0</v>
      </c>
      <c r="F1570" s="229">
        <v>507</v>
      </c>
      <c r="G1570" s="40">
        <f>F1570/353</f>
        <v>1.4362606232294617</v>
      </c>
      <c r="H1570" s="14">
        <v>0</v>
      </c>
      <c r="I1570" s="229">
        <v>0</v>
      </c>
      <c r="J1570" s="229">
        <v>1</v>
      </c>
      <c r="K1570" s="26">
        <v>1</v>
      </c>
      <c r="L1570" s="14">
        <v>0</v>
      </c>
      <c r="M1570" s="229">
        <v>0</v>
      </c>
      <c r="N1570" s="229">
        <v>0</v>
      </c>
      <c r="O1570" s="229">
        <v>1</v>
      </c>
      <c r="P1570" s="26">
        <v>1</v>
      </c>
      <c r="Q1570" s="14">
        <v>1</v>
      </c>
      <c r="R1570" s="229">
        <v>6</v>
      </c>
      <c r="S1570" s="229">
        <v>9</v>
      </c>
      <c r="T1570" s="229">
        <v>0</v>
      </c>
      <c r="U1570" s="229">
        <v>0</v>
      </c>
      <c r="V1570" s="229">
        <v>17</v>
      </c>
      <c r="W1570" s="229">
        <v>27</v>
      </c>
      <c r="X1570" s="229">
        <v>0</v>
      </c>
      <c r="Y1570" s="229">
        <v>0</v>
      </c>
      <c r="Z1570" s="229">
        <v>0</v>
      </c>
      <c r="AA1570" s="229">
        <v>0</v>
      </c>
      <c r="AB1570" s="229">
        <v>1</v>
      </c>
      <c r="AC1570" s="12">
        <v>2</v>
      </c>
      <c r="AD1570" s="14">
        <v>3</v>
      </c>
      <c r="AE1570" s="14">
        <v>102</v>
      </c>
      <c r="AF1570" s="26">
        <v>308</v>
      </c>
      <c r="AG1570" s="12"/>
      <c r="AH1570" s="14">
        <v>1</v>
      </c>
      <c r="AI1570" s="209"/>
      <c r="AJ1570" s="3"/>
      <c r="AK1570" s="3"/>
      <c r="AL1570" s="3"/>
      <c r="AM1570" s="3"/>
      <c r="AN1570" s="3"/>
      <c r="AO1570" s="40"/>
      <c r="AP1570" s="209"/>
      <c r="AQ1570" s="3"/>
      <c r="AR1570" s="40"/>
      <c r="AS1570" s="238"/>
    </row>
    <row r="1571" spans="1:45" s="229" customFormat="1">
      <c r="A1571" s="42" t="s">
        <v>326</v>
      </c>
      <c r="B1571" s="386">
        <v>49.511666666666663</v>
      </c>
      <c r="C1571" s="24" t="s">
        <v>758</v>
      </c>
      <c r="D1571" s="229" t="s">
        <v>677</v>
      </c>
      <c r="E1571" s="229" t="s">
        <v>1</v>
      </c>
      <c r="F1571" s="229">
        <v>309</v>
      </c>
      <c r="G1571" s="40">
        <f>F1571/277</f>
        <v>1.1155234657039712</v>
      </c>
      <c r="H1571" s="14">
        <v>0</v>
      </c>
      <c r="I1571" s="229">
        <v>0</v>
      </c>
      <c r="J1571" s="229">
        <v>1</v>
      </c>
      <c r="K1571" s="26">
        <v>1</v>
      </c>
      <c r="L1571" s="14">
        <v>0</v>
      </c>
      <c r="M1571" s="229">
        <v>0</v>
      </c>
      <c r="N1571" s="229">
        <v>0</v>
      </c>
      <c r="O1571" s="229">
        <v>0</v>
      </c>
      <c r="P1571" s="26">
        <v>0</v>
      </c>
      <c r="Q1571" s="14">
        <v>1</v>
      </c>
      <c r="R1571" s="229">
        <v>0</v>
      </c>
      <c r="S1571" s="229">
        <v>0</v>
      </c>
      <c r="T1571" s="229">
        <v>0</v>
      </c>
      <c r="U1571" s="229">
        <v>0</v>
      </c>
      <c r="V1571" s="229">
        <v>15</v>
      </c>
      <c r="W1571" s="229">
        <v>21</v>
      </c>
      <c r="X1571" s="229">
        <v>0</v>
      </c>
      <c r="Y1571" s="229">
        <v>0</v>
      </c>
      <c r="Z1571" s="229">
        <v>0</v>
      </c>
      <c r="AA1571" s="229">
        <v>0</v>
      </c>
      <c r="AB1571" s="229">
        <v>1</v>
      </c>
      <c r="AC1571" s="12">
        <v>2</v>
      </c>
      <c r="AD1571" s="14">
        <v>7</v>
      </c>
      <c r="AE1571" s="14">
        <v>45</v>
      </c>
      <c r="AF1571" s="26">
        <v>160</v>
      </c>
      <c r="AG1571" s="12"/>
      <c r="AH1571" s="14">
        <v>1</v>
      </c>
      <c r="AI1571" s="209"/>
      <c r="AJ1571" s="3"/>
      <c r="AK1571" s="3"/>
      <c r="AL1571" s="3"/>
      <c r="AM1571" s="3"/>
      <c r="AN1571" s="3"/>
      <c r="AO1571" s="40"/>
      <c r="AP1571" s="209"/>
      <c r="AQ1571" s="3"/>
      <c r="AR1571" s="40"/>
      <c r="AS1571" s="238"/>
    </row>
    <row r="1572" spans="1:45" s="229" customFormat="1">
      <c r="A1572" s="42" t="s">
        <v>326</v>
      </c>
      <c r="B1572" s="386">
        <v>49.511666666666663</v>
      </c>
      <c r="C1572" s="24" t="s">
        <v>758</v>
      </c>
      <c r="D1572" s="229" t="s">
        <v>677</v>
      </c>
      <c r="E1572" s="229" t="s">
        <v>2</v>
      </c>
      <c r="F1572" s="229">
        <v>230</v>
      </c>
      <c r="G1572" s="40">
        <f>F1572/138</f>
        <v>1.6666666666666667</v>
      </c>
      <c r="H1572" s="14">
        <v>0</v>
      </c>
      <c r="I1572" s="229">
        <v>0</v>
      </c>
      <c r="J1572" s="229">
        <v>1</v>
      </c>
      <c r="K1572" s="26">
        <v>0</v>
      </c>
      <c r="L1572" s="14">
        <v>0</v>
      </c>
      <c r="M1572" s="229">
        <v>0</v>
      </c>
      <c r="N1572" s="229">
        <v>0</v>
      </c>
      <c r="O1572" s="229">
        <v>0</v>
      </c>
      <c r="P1572" s="26">
        <v>0</v>
      </c>
      <c r="Q1572" s="14">
        <v>10</v>
      </c>
      <c r="R1572" s="229">
        <v>0</v>
      </c>
      <c r="S1572" s="229">
        <v>0</v>
      </c>
      <c r="T1572" s="229">
        <v>0</v>
      </c>
      <c r="U1572" s="229">
        <v>0</v>
      </c>
      <c r="V1572" s="229">
        <v>0</v>
      </c>
      <c r="W1572" s="229">
        <v>0</v>
      </c>
      <c r="X1572" s="229">
        <v>0</v>
      </c>
      <c r="Y1572" s="229">
        <v>0</v>
      </c>
      <c r="Z1572" s="229">
        <v>0</v>
      </c>
      <c r="AA1572" s="229">
        <v>109</v>
      </c>
      <c r="AB1572" s="229">
        <v>1</v>
      </c>
      <c r="AC1572" s="12">
        <v>1</v>
      </c>
      <c r="AD1572" s="14">
        <v>1</v>
      </c>
      <c r="AE1572" s="14">
        <v>0</v>
      </c>
      <c r="AF1572" s="26">
        <v>0</v>
      </c>
      <c r="AG1572" s="12"/>
      <c r="AH1572" s="14">
        <v>1</v>
      </c>
      <c r="AI1572" s="209"/>
      <c r="AJ1572" s="3"/>
      <c r="AK1572" s="3"/>
      <c r="AL1572" s="3"/>
      <c r="AM1572" s="3"/>
      <c r="AN1572" s="3"/>
      <c r="AO1572" s="40"/>
      <c r="AP1572" s="209"/>
      <c r="AQ1572" s="3"/>
      <c r="AR1572" s="40"/>
      <c r="AS1572" s="238"/>
    </row>
    <row r="1573" spans="1:45" s="229" customFormat="1">
      <c r="A1573" s="42" t="s">
        <v>326</v>
      </c>
      <c r="B1573" s="386">
        <v>49.511666666666663</v>
      </c>
      <c r="C1573" s="24" t="s">
        <v>758</v>
      </c>
      <c r="D1573" s="229" t="s">
        <v>680</v>
      </c>
      <c r="F1573" s="229">
        <v>823</v>
      </c>
      <c r="G1573" s="40">
        <f>F1573/322</f>
        <v>2.5559006211180124</v>
      </c>
      <c r="H1573" s="14">
        <v>0</v>
      </c>
      <c r="I1573" s="229">
        <v>0</v>
      </c>
      <c r="J1573" s="229">
        <v>1</v>
      </c>
      <c r="K1573" s="26">
        <v>0</v>
      </c>
      <c r="L1573" s="14">
        <v>0</v>
      </c>
      <c r="M1573" s="229">
        <v>0</v>
      </c>
      <c r="N1573" s="229">
        <v>0</v>
      </c>
      <c r="O1573" s="229">
        <v>1</v>
      </c>
      <c r="P1573" s="26">
        <v>1</v>
      </c>
      <c r="Q1573" s="14">
        <v>5</v>
      </c>
      <c r="R1573" s="229">
        <v>0</v>
      </c>
      <c r="S1573" s="229">
        <v>8</v>
      </c>
      <c r="T1573" s="229">
        <v>0</v>
      </c>
      <c r="U1573" s="229">
        <v>0</v>
      </c>
      <c r="V1573" s="229">
        <v>7</v>
      </c>
      <c r="W1573" s="229">
        <v>32</v>
      </c>
      <c r="X1573" s="229">
        <v>0</v>
      </c>
      <c r="Y1573" s="229">
        <v>0</v>
      </c>
      <c r="Z1573" s="229">
        <v>0</v>
      </c>
      <c r="AA1573" s="229">
        <v>0</v>
      </c>
      <c r="AB1573" s="229">
        <v>1</v>
      </c>
      <c r="AC1573" s="12">
        <v>2</v>
      </c>
      <c r="AD1573" s="14">
        <v>3</v>
      </c>
      <c r="AE1573" s="14">
        <v>203</v>
      </c>
      <c r="AF1573" s="26">
        <v>387</v>
      </c>
      <c r="AG1573" s="12">
        <v>34</v>
      </c>
      <c r="AH1573" s="14">
        <v>1</v>
      </c>
      <c r="AI1573" s="209"/>
      <c r="AJ1573" s="3"/>
      <c r="AK1573" s="3"/>
      <c r="AL1573" s="3"/>
      <c r="AM1573" s="3"/>
      <c r="AN1573" s="3"/>
      <c r="AO1573" s="40"/>
      <c r="AP1573" s="209"/>
      <c r="AQ1573" s="3"/>
      <c r="AR1573" s="40"/>
      <c r="AS1573" s="238"/>
    </row>
    <row r="1574" spans="1:45" s="229" customFormat="1">
      <c r="A1574" s="42" t="s">
        <v>326</v>
      </c>
      <c r="B1574" s="386">
        <v>49.511666666666663</v>
      </c>
      <c r="C1574" s="24" t="s">
        <v>758</v>
      </c>
      <c r="D1574" s="229" t="s">
        <v>682</v>
      </c>
      <c r="E1574" s="229" t="s">
        <v>0</v>
      </c>
      <c r="F1574" s="229">
        <v>375</v>
      </c>
      <c r="G1574" s="40">
        <f>F1574/130</f>
        <v>2.8846153846153846</v>
      </c>
      <c r="H1574" s="14">
        <v>1</v>
      </c>
      <c r="I1574" s="229">
        <v>0</v>
      </c>
      <c r="J1574" s="229">
        <v>0</v>
      </c>
      <c r="K1574" s="26">
        <v>0</v>
      </c>
      <c r="L1574" s="14">
        <v>0</v>
      </c>
      <c r="M1574" s="229">
        <v>0</v>
      </c>
      <c r="N1574" s="229">
        <v>0</v>
      </c>
      <c r="O1574" s="229">
        <v>0</v>
      </c>
      <c r="P1574" s="26">
        <v>0</v>
      </c>
      <c r="Q1574" s="14">
        <v>5</v>
      </c>
      <c r="R1574" s="229">
        <v>0</v>
      </c>
      <c r="S1574" s="229">
        <v>40</v>
      </c>
      <c r="T1574" s="229">
        <v>0</v>
      </c>
      <c r="U1574" s="229">
        <v>0</v>
      </c>
      <c r="V1574" s="229">
        <v>0</v>
      </c>
      <c r="W1574" s="229">
        <v>0</v>
      </c>
      <c r="X1574" s="229">
        <v>0</v>
      </c>
      <c r="Y1574" s="229">
        <v>0</v>
      </c>
      <c r="Z1574" s="229">
        <v>0</v>
      </c>
      <c r="AA1574" s="229">
        <v>0</v>
      </c>
      <c r="AB1574" s="229">
        <v>0</v>
      </c>
      <c r="AC1574" s="12">
        <v>1</v>
      </c>
      <c r="AD1574" s="14">
        <v>1</v>
      </c>
      <c r="AE1574" s="14">
        <v>0</v>
      </c>
      <c r="AF1574" s="26">
        <v>0</v>
      </c>
      <c r="AG1574" s="12">
        <v>21</v>
      </c>
      <c r="AH1574" s="14">
        <v>0</v>
      </c>
      <c r="AI1574" s="209"/>
      <c r="AJ1574" s="3"/>
      <c r="AK1574" s="3"/>
      <c r="AL1574" s="3"/>
      <c r="AM1574" s="3"/>
      <c r="AN1574" s="3"/>
      <c r="AO1574" s="40"/>
      <c r="AP1574" s="209"/>
      <c r="AQ1574" s="3"/>
      <c r="AR1574" s="40"/>
      <c r="AS1574" s="238"/>
    </row>
    <row r="1575" spans="1:45" s="229" customFormat="1">
      <c r="A1575" s="42" t="s">
        <v>326</v>
      </c>
      <c r="B1575" s="386">
        <v>49.511666666666663</v>
      </c>
      <c r="C1575" s="24" t="s">
        <v>758</v>
      </c>
      <c r="D1575" s="229" t="s">
        <v>682</v>
      </c>
      <c r="E1575" s="229" t="s">
        <v>1</v>
      </c>
      <c r="F1575" s="229">
        <v>288</v>
      </c>
      <c r="G1575" s="40">
        <f>F1575/215</f>
        <v>1.3395348837209302</v>
      </c>
      <c r="H1575" s="14">
        <v>0</v>
      </c>
      <c r="I1575" s="229">
        <v>0</v>
      </c>
      <c r="J1575" s="229">
        <v>1</v>
      </c>
      <c r="K1575" s="26">
        <v>0</v>
      </c>
      <c r="L1575" s="14">
        <v>0</v>
      </c>
      <c r="M1575" s="229">
        <v>0</v>
      </c>
      <c r="N1575" s="229">
        <v>0</v>
      </c>
      <c r="O1575" s="229">
        <v>0</v>
      </c>
      <c r="P1575" s="26">
        <v>0</v>
      </c>
      <c r="Q1575" s="14">
        <v>20</v>
      </c>
      <c r="R1575" s="229">
        <v>0</v>
      </c>
      <c r="S1575" s="229">
        <v>16</v>
      </c>
      <c r="T1575" s="229">
        <v>0</v>
      </c>
      <c r="U1575" s="229">
        <v>0</v>
      </c>
      <c r="V1575" s="229">
        <v>16</v>
      </c>
      <c r="W1575" s="229">
        <v>27</v>
      </c>
      <c r="X1575" s="229">
        <v>0</v>
      </c>
      <c r="Y1575" s="229">
        <v>0</v>
      </c>
      <c r="Z1575" s="229">
        <v>68</v>
      </c>
      <c r="AA1575" s="229">
        <v>72</v>
      </c>
      <c r="AB1575" s="229">
        <v>1</v>
      </c>
      <c r="AC1575" s="12">
        <v>1</v>
      </c>
      <c r="AD1575" s="14">
        <v>1</v>
      </c>
      <c r="AE1575" s="14">
        <v>0</v>
      </c>
      <c r="AF1575" s="26">
        <v>0</v>
      </c>
      <c r="AG1575" s="12">
        <v>21</v>
      </c>
      <c r="AH1575" s="14">
        <v>1</v>
      </c>
      <c r="AI1575" s="209"/>
      <c r="AJ1575" s="3"/>
      <c r="AK1575" s="3"/>
      <c r="AL1575" s="3"/>
      <c r="AM1575" s="3"/>
      <c r="AN1575" s="3"/>
      <c r="AO1575" s="40"/>
      <c r="AP1575" s="209"/>
      <c r="AQ1575" s="3"/>
      <c r="AR1575" s="40"/>
      <c r="AS1575" s="238"/>
    </row>
    <row r="1576" spans="1:45" s="229" customFormat="1">
      <c r="A1576" s="42" t="s">
        <v>326</v>
      </c>
      <c r="B1576" s="386">
        <v>49.511666666666663</v>
      </c>
      <c r="C1576" s="24" t="s">
        <v>758</v>
      </c>
      <c r="D1576" s="229" t="s">
        <v>683</v>
      </c>
      <c r="E1576" s="229" t="s">
        <v>0</v>
      </c>
      <c r="F1576" s="229">
        <v>138</v>
      </c>
      <c r="G1576" s="40">
        <f>F1576/69</f>
        <v>2</v>
      </c>
      <c r="H1576" s="14">
        <v>1</v>
      </c>
      <c r="I1576" s="229">
        <v>0</v>
      </c>
      <c r="J1576" s="229">
        <v>0</v>
      </c>
      <c r="K1576" s="26">
        <v>0</v>
      </c>
      <c r="L1576" s="14">
        <v>0</v>
      </c>
      <c r="M1576" s="229">
        <v>0</v>
      </c>
      <c r="N1576" s="229">
        <v>0</v>
      </c>
      <c r="O1576" s="229">
        <v>0</v>
      </c>
      <c r="P1576" s="26">
        <v>0</v>
      </c>
      <c r="Q1576" s="14">
        <v>0</v>
      </c>
      <c r="R1576" s="229">
        <v>0</v>
      </c>
      <c r="S1576" s="229">
        <v>0</v>
      </c>
      <c r="T1576" s="229">
        <v>0</v>
      </c>
      <c r="U1576" s="229">
        <v>0</v>
      </c>
      <c r="V1576" s="229">
        <v>0</v>
      </c>
      <c r="W1576" s="229">
        <v>0</v>
      </c>
      <c r="X1576" s="229">
        <v>0</v>
      </c>
      <c r="Y1576" s="229">
        <v>0</v>
      </c>
      <c r="Z1576" s="229">
        <v>0</v>
      </c>
      <c r="AA1576" s="229">
        <v>0</v>
      </c>
      <c r="AB1576" s="229">
        <v>0</v>
      </c>
      <c r="AC1576" s="12">
        <v>1</v>
      </c>
      <c r="AD1576" s="14">
        <v>1</v>
      </c>
      <c r="AE1576" s="14">
        <v>0</v>
      </c>
      <c r="AF1576" s="26">
        <v>0</v>
      </c>
      <c r="AG1576" s="12">
        <v>45</v>
      </c>
      <c r="AH1576" s="14">
        <v>1</v>
      </c>
      <c r="AI1576" s="209"/>
      <c r="AJ1576" s="3"/>
      <c r="AK1576" s="3"/>
      <c r="AL1576" s="3"/>
      <c r="AM1576" s="3"/>
      <c r="AN1576" s="3"/>
      <c r="AO1576" s="40"/>
      <c r="AP1576" s="209"/>
      <c r="AQ1576" s="3"/>
      <c r="AR1576" s="40"/>
      <c r="AS1576" s="238"/>
    </row>
    <row r="1577" spans="1:45" s="229" customFormat="1">
      <c r="A1577" s="42" t="s">
        <v>326</v>
      </c>
      <c r="B1577" s="386">
        <v>49.511666666666663</v>
      </c>
      <c r="C1577" s="24" t="s">
        <v>758</v>
      </c>
      <c r="D1577" s="229" t="s">
        <v>683</v>
      </c>
      <c r="E1577" s="229" t="s">
        <v>1</v>
      </c>
      <c r="F1577" s="229">
        <v>428</v>
      </c>
      <c r="G1577" s="40">
        <f>F1577/349</f>
        <v>1.2263610315186246</v>
      </c>
      <c r="H1577" s="14">
        <v>0</v>
      </c>
      <c r="I1577" s="229">
        <v>0</v>
      </c>
      <c r="J1577" s="229">
        <v>0</v>
      </c>
      <c r="K1577" s="26">
        <v>1</v>
      </c>
      <c r="L1577" s="14">
        <v>0</v>
      </c>
      <c r="M1577" s="229">
        <v>0</v>
      </c>
      <c r="N1577" s="229">
        <v>0</v>
      </c>
      <c r="O1577" s="229">
        <v>0</v>
      </c>
      <c r="P1577" s="26">
        <v>0</v>
      </c>
      <c r="Q1577" s="14">
        <v>2</v>
      </c>
      <c r="R1577" s="229">
        <v>5</v>
      </c>
      <c r="S1577" s="229">
        <v>22</v>
      </c>
      <c r="T1577" s="229">
        <v>0</v>
      </c>
      <c r="U1577" s="229">
        <v>0</v>
      </c>
      <c r="V1577" s="229">
        <v>0</v>
      </c>
      <c r="W1577" s="229">
        <v>30</v>
      </c>
      <c r="X1577" s="229">
        <v>0</v>
      </c>
      <c r="Y1577" s="229">
        <v>0</v>
      </c>
      <c r="Z1577" s="229">
        <v>0</v>
      </c>
      <c r="AA1577" s="229">
        <v>0</v>
      </c>
      <c r="AB1577" s="229">
        <v>0</v>
      </c>
      <c r="AC1577" s="12">
        <v>2</v>
      </c>
      <c r="AD1577" s="14">
        <v>5</v>
      </c>
      <c r="AE1577" s="14">
        <v>122</v>
      </c>
      <c r="AF1577" s="26">
        <v>256</v>
      </c>
      <c r="AG1577" s="12">
        <v>45</v>
      </c>
      <c r="AH1577" s="14">
        <v>1</v>
      </c>
      <c r="AI1577" s="209"/>
      <c r="AJ1577" s="3"/>
      <c r="AK1577" s="3"/>
      <c r="AL1577" s="3"/>
      <c r="AM1577" s="3"/>
      <c r="AN1577" s="3"/>
      <c r="AO1577" s="40"/>
      <c r="AP1577" s="209"/>
      <c r="AQ1577" s="3"/>
      <c r="AR1577" s="40"/>
      <c r="AS1577" s="238"/>
    </row>
    <row r="1578" spans="1:45" s="229" customFormat="1">
      <c r="A1578" s="42" t="s">
        <v>326</v>
      </c>
      <c r="B1578" s="386">
        <v>49.511666666666663</v>
      </c>
      <c r="C1578" s="24" t="s">
        <v>758</v>
      </c>
      <c r="D1578" s="229" t="s">
        <v>683</v>
      </c>
      <c r="E1578" s="229" t="s">
        <v>2</v>
      </c>
      <c r="F1578" s="229">
        <v>404</v>
      </c>
      <c r="G1578" s="40">
        <f>F1578/162</f>
        <v>2.4938271604938271</v>
      </c>
      <c r="H1578" s="14">
        <v>1</v>
      </c>
      <c r="I1578" s="229">
        <v>0</v>
      </c>
      <c r="J1578" s="229">
        <v>0</v>
      </c>
      <c r="K1578" s="26">
        <v>0</v>
      </c>
      <c r="L1578" s="14">
        <v>0</v>
      </c>
      <c r="M1578" s="229">
        <v>0</v>
      </c>
      <c r="N1578" s="229">
        <v>0</v>
      </c>
      <c r="O1578" s="229">
        <v>0</v>
      </c>
      <c r="P1578" s="26">
        <v>0</v>
      </c>
      <c r="Q1578" s="14">
        <v>1</v>
      </c>
      <c r="R1578" s="229">
        <v>0</v>
      </c>
      <c r="S1578" s="229">
        <v>0</v>
      </c>
      <c r="T1578" s="229">
        <v>0</v>
      </c>
      <c r="U1578" s="229">
        <v>0</v>
      </c>
      <c r="V1578" s="229">
        <v>0</v>
      </c>
      <c r="W1578" s="229">
        <v>19</v>
      </c>
      <c r="X1578" s="229">
        <v>0</v>
      </c>
      <c r="Y1578" s="229">
        <v>0</v>
      </c>
      <c r="Z1578" s="229">
        <v>0</v>
      </c>
      <c r="AA1578" s="229">
        <v>0</v>
      </c>
      <c r="AB1578" s="229">
        <v>0</v>
      </c>
      <c r="AC1578" s="12">
        <v>2</v>
      </c>
      <c r="AD1578" s="14">
        <v>2</v>
      </c>
      <c r="AE1578" s="14">
        <v>160</v>
      </c>
      <c r="AF1578" s="26">
        <v>283</v>
      </c>
      <c r="AG1578" s="12">
        <v>45</v>
      </c>
      <c r="AH1578" s="14">
        <v>1</v>
      </c>
      <c r="AI1578" s="209"/>
      <c r="AJ1578" s="3"/>
      <c r="AK1578" s="3"/>
      <c r="AL1578" s="3"/>
      <c r="AM1578" s="3"/>
      <c r="AN1578" s="3"/>
      <c r="AO1578" s="40"/>
      <c r="AP1578" s="209"/>
      <c r="AQ1578" s="3"/>
      <c r="AR1578" s="40"/>
      <c r="AS1578" s="238"/>
    </row>
    <row r="1579" spans="1:45" s="229" customFormat="1">
      <c r="A1579" s="42" t="s">
        <v>326</v>
      </c>
      <c r="B1579" s="386">
        <v>49.511666666666663</v>
      </c>
      <c r="C1579" s="24" t="s">
        <v>758</v>
      </c>
      <c r="D1579" s="229" t="s">
        <v>683</v>
      </c>
      <c r="E1579" s="229" t="s">
        <v>3</v>
      </c>
      <c r="F1579" s="229">
        <v>654</v>
      </c>
      <c r="G1579" s="40">
        <f>F1579/279</f>
        <v>2.3440860215053765</v>
      </c>
      <c r="H1579" s="14">
        <v>0</v>
      </c>
      <c r="I1579" s="229">
        <v>0</v>
      </c>
      <c r="J1579" s="229">
        <v>0</v>
      </c>
      <c r="K1579" s="26">
        <v>1</v>
      </c>
      <c r="L1579" s="14">
        <v>0</v>
      </c>
      <c r="M1579" s="229">
        <v>0</v>
      </c>
      <c r="N1579" s="229">
        <v>0</v>
      </c>
      <c r="O1579" s="229">
        <v>0</v>
      </c>
      <c r="P1579" s="26">
        <v>0</v>
      </c>
      <c r="Q1579" s="14">
        <v>1</v>
      </c>
      <c r="R1579" s="229">
        <v>20</v>
      </c>
      <c r="S1579" s="229">
        <v>0</v>
      </c>
      <c r="T1579" s="229">
        <v>0</v>
      </c>
      <c r="U1579" s="229">
        <v>0</v>
      </c>
      <c r="V1579" s="229">
        <v>0</v>
      </c>
      <c r="W1579" s="229">
        <v>11</v>
      </c>
      <c r="X1579" s="229">
        <v>0</v>
      </c>
      <c r="Y1579" s="229">
        <v>0</v>
      </c>
      <c r="Z1579" s="229">
        <v>0</v>
      </c>
      <c r="AA1579" s="229">
        <v>0</v>
      </c>
      <c r="AB1579" s="229">
        <v>0</v>
      </c>
      <c r="AC1579" s="12">
        <v>2</v>
      </c>
      <c r="AD1579" s="14">
        <v>9</v>
      </c>
      <c r="AE1579" s="14">
        <v>40</v>
      </c>
      <c r="AF1579" s="26">
        <v>353</v>
      </c>
      <c r="AG1579" s="12">
        <v>45</v>
      </c>
      <c r="AH1579" s="14">
        <v>1</v>
      </c>
      <c r="AI1579" s="209"/>
      <c r="AJ1579" s="3"/>
      <c r="AK1579" s="3"/>
      <c r="AL1579" s="3"/>
      <c r="AM1579" s="3"/>
      <c r="AN1579" s="3"/>
      <c r="AO1579" s="40"/>
      <c r="AP1579" s="209"/>
      <c r="AQ1579" s="3"/>
      <c r="AR1579" s="40"/>
      <c r="AS1579" s="238"/>
    </row>
    <row r="1580" spans="1:45" s="229" customFormat="1">
      <c r="A1580" s="42" t="s">
        <v>326</v>
      </c>
      <c r="B1580" s="386">
        <v>49.511666666666663</v>
      </c>
      <c r="C1580" s="24" t="s">
        <v>758</v>
      </c>
      <c r="D1580" s="229" t="s">
        <v>685</v>
      </c>
      <c r="F1580" s="229">
        <v>338</v>
      </c>
      <c r="G1580" s="40">
        <f>F1580/285</f>
        <v>1.1859649122807017</v>
      </c>
      <c r="H1580" s="14">
        <v>0</v>
      </c>
      <c r="I1580" s="229">
        <v>0</v>
      </c>
      <c r="J1580" s="229">
        <v>1</v>
      </c>
      <c r="K1580" s="26">
        <v>0</v>
      </c>
      <c r="L1580" s="14">
        <v>0</v>
      </c>
      <c r="M1580" s="229">
        <v>0</v>
      </c>
      <c r="N1580" s="229">
        <v>0</v>
      </c>
      <c r="O1580" s="229">
        <v>0</v>
      </c>
      <c r="P1580" s="26">
        <v>0</v>
      </c>
      <c r="Q1580" s="14">
        <v>15</v>
      </c>
      <c r="R1580" s="229">
        <v>8</v>
      </c>
      <c r="S1580" s="229">
        <v>24</v>
      </c>
      <c r="T1580" s="229">
        <v>0</v>
      </c>
      <c r="U1580" s="229">
        <v>0</v>
      </c>
      <c r="V1580" s="229">
        <v>0</v>
      </c>
      <c r="W1580" s="229">
        <v>66</v>
      </c>
      <c r="X1580" s="229">
        <v>0</v>
      </c>
      <c r="Y1580" s="229">
        <v>0</v>
      </c>
      <c r="Z1580" s="229">
        <v>78</v>
      </c>
      <c r="AA1580" s="229">
        <v>137</v>
      </c>
      <c r="AB1580" s="229">
        <v>1</v>
      </c>
      <c r="AC1580" s="12">
        <v>1</v>
      </c>
      <c r="AD1580" s="14">
        <v>1</v>
      </c>
      <c r="AE1580" s="14">
        <v>0</v>
      </c>
      <c r="AF1580" s="26">
        <v>0</v>
      </c>
      <c r="AG1580" s="12">
        <v>23</v>
      </c>
      <c r="AH1580" s="14">
        <v>1</v>
      </c>
      <c r="AI1580" s="209"/>
      <c r="AJ1580" s="3"/>
      <c r="AK1580" s="3"/>
      <c r="AL1580" s="3"/>
      <c r="AM1580" s="3"/>
      <c r="AN1580" s="3"/>
      <c r="AO1580" s="40"/>
      <c r="AP1580" s="209"/>
      <c r="AQ1580" s="3"/>
      <c r="AR1580" s="40"/>
      <c r="AS1580" s="238"/>
    </row>
    <row r="1581" spans="1:45" s="229" customFormat="1" ht="17" thickBot="1">
      <c r="A1581" s="55" t="s">
        <v>326</v>
      </c>
      <c r="B1581" s="385">
        <v>49.511666666666663</v>
      </c>
      <c r="C1581" s="24" t="s">
        <v>758</v>
      </c>
      <c r="D1581" s="229" t="s">
        <v>686</v>
      </c>
      <c r="F1581" s="229">
        <v>331</v>
      </c>
      <c r="G1581" s="40">
        <f>F1581/194</f>
        <v>1.7061855670103092</v>
      </c>
      <c r="H1581" s="14">
        <v>0</v>
      </c>
      <c r="I1581" s="229">
        <v>0</v>
      </c>
      <c r="J1581" s="229">
        <v>1</v>
      </c>
      <c r="K1581" s="26">
        <v>1</v>
      </c>
      <c r="L1581" s="14">
        <v>0</v>
      </c>
      <c r="M1581" s="229">
        <v>0</v>
      </c>
      <c r="N1581" s="229">
        <v>0</v>
      </c>
      <c r="O1581" s="229">
        <v>0</v>
      </c>
      <c r="P1581" s="26">
        <v>0</v>
      </c>
      <c r="Q1581" s="14">
        <v>10</v>
      </c>
      <c r="R1581" s="229">
        <v>0</v>
      </c>
      <c r="S1581" s="229">
        <v>0</v>
      </c>
      <c r="T1581" s="229">
        <v>0</v>
      </c>
      <c r="U1581" s="229">
        <v>0</v>
      </c>
      <c r="V1581" s="229">
        <v>7</v>
      </c>
      <c r="W1581" s="229">
        <v>35</v>
      </c>
      <c r="X1581" s="229">
        <v>0</v>
      </c>
      <c r="Y1581" s="229">
        <v>0</v>
      </c>
      <c r="Z1581" s="229">
        <v>0</v>
      </c>
      <c r="AA1581" s="229">
        <v>97</v>
      </c>
      <c r="AB1581" s="229">
        <v>1</v>
      </c>
      <c r="AC1581" s="12">
        <v>2</v>
      </c>
      <c r="AD1581" s="14">
        <v>2</v>
      </c>
      <c r="AE1581" s="14">
        <v>80</v>
      </c>
      <c r="AF1581" s="26">
        <v>290</v>
      </c>
      <c r="AG1581" s="12">
        <v>21</v>
      </c>
      <c r="AH1581" s="14">
        <v>1</v>
      </c>
      <c r="AI1581" s="209"/>
      <c r="AJ1581" s="3"/>
      <c r="AK1581" s="3"/>
      <c r="AL1581" s="3"/>
      <c r="AM1581" s="3"/>
      <c r="AN1581" s="3"/>
      <c r="AO1581" s="40"/>
      <c r="AP1581" s="209"/>
      <c r="AQ1581" s="3"/>
      <c r="AR1581" s="40"/>
      <c r="AS1581" s="238"/>
    </row>
    <row r="1582" spans="1:45" s="229" customFormat="1">
      <c r="A1582" s="42" t="s">
        <v>326</v>
      </c>
      <c r="B1582" s="384">
        <v>49.511666666666663</v>
      </c>
      <c r="C1582" s="100" t="s">
        <v>759</v>
      </c>
      <c r="D1582" s="8" t="s">
        <v>622</v>
      </c>
      <c r="E1582" s="8"/>
      <c r="F1582" s="8">
        <v>430</v>
      </c>
      <c r="G1582" s="10">
        <f>F1582/330</f>
        <v>1.303030303030303</v>
      </c>
      <c r="H1582" s="11">
        <v>0</v>
      </c>
      <c r="I1582" s="8">
        <v>0</v>
      </c>
      <c r="J1582" s="8">
        <v>1</v>
      </c>
      <c r="K1582" s="41">
        <v>0</v>
      </c>
      <c r="L1582" s="11">
        <v>0</v>
      </c>
      <c r="M1582" s="8">
        <v>0</v>
      </c>
      <c r="N1582" s="8">
        <v>1</v>
      </c>
      <c r="O1582" s="8">
        <v>0</v>
      </c>
      <c r="P1582" s="41">
        <v>1</v>
      </c>
      <c r="Q1582" s="11">
        <v>2</v>
      </c>
      <c r="R1582" s="8">
        <v>0</v>
      </c>
      <c r="S1582" s="8">
        <v>32</v>
      </c>
      <c r="T1582" s="8">
        <v>0</v>
      </c>
      <c r="U1582" s="8">
        <v>0</v>
      </c>
      <c r="V1582" s="8">
        <v>0</v>
      </c>
      <c r="W1582" s="8">
        <v>0</v>
      </c>
      <c r="X1582" s="8">
        <v>0</v>
      </c>
      <c r="Y1582" s="8">
        <v>0</v>
      </c>
      <c r="Z1582" s="8">
        <v>25</v>
      </c>
      <c r="AA1582" s="8">
        <v>0</v>
      </c>
      <c r="AB1582" s="8">
        <v>0</v>
      </c>
      <c r="AC1582" s="9">
        <v>2</v>
      </c>
      <c r="AD1582" s="11">
        <v>2</v>
      </c>
      <c r="AE1582" s="11">
        <v>309</v>
      </c>
      <c r="AF1582" s="41">
        <v>442</v>
      </c>
      <c r="AG1582" s="9">
        <v>83</v>
      </c>
      <c r="AH1582" s="11">
        <v>1</v>
      </c>
      <c r="AI1582" s="208"/>
      <c r="AJ1582" s="54"/>
      <c r="AK1582" s="54"/>
      <c r="AL1582" s="54"/>
      <c r="AM1582" s="54"/>
      <c r="AN1582" s="54"/>
      <c r="AO1582" s="10"/>
      <c r="AP1582" s="208"/>
      <c r="AQ1582" s="54"/>
      <c r="AR1582" s="10"/>
      <c r="AS1582" s="237"/>
    </row>
    <row r="1583" spans="1:45" s="229" customFormat="1">
      <c r="A1583" s="42" t="s">
        <v>326</v>
      </c>
      <c r="B1583" s="386">
        <v>49.511666666666663</v>
      </c>
      <c r="C1583" s="24" t="s">
        <v>759</v>
      </c>
      <c r="D1583" s="229" t="s">
        <v>625</v>
      </c>
      <c r="E1583" s="229" t="s">
        <v>0</v>
      </c>
      <c r="F1583" s="229">
        <v>305</v>
      </c>
      <c r="G1583" s="40">
        <f>F1583/170</f>
        <v>1.7941176470588236</v>
      </c>
      <c r="H1583" s="14">
        <v>0</v>
      </c>
      <c r="I1583" s="229">
        <v>0</v>
      </c>
      <c r="J1583" s="229">
        <v>1</v>
      </c>
      <c r="K1583" s="26">
        <v>0</v>
      </c>
      <c r="L1583" s="14">
        <v>0</v>
      </c>
      <c r="M1583" s="229">
        <v>0</v>
      </c>
      <c r="N1583" s="229">
        <v>0</v>
      </c>
      <c r="O1583" s="229">
        <v>1</v>
      </c>
      <c r="P1583" s="26">
        <v>1</v>
      </c>
      <c r="Q1583" s="14">
        <v>10</v>
      </c>
      <c r="R1583" s="229">
        <v>0</v>
      </c>
      <c r="S1583" s="229">
        <v>14</v>
      </c>
      <c r="T1583" s="229">
        <v>0</v>
      </c>
      <c r="U1583" s="229">
        <v>0</v>
      </c>
      <c r="V1583" s="229">
        <v>0</v>
      </c>
      <c r="W1583" s="229">
        <v>59</v>
      </c>
      <c r="X1583" s="229">
        <v>0</v>
      </c>
      <c r="Y1583" s="229">
        <v>0</v>
      </c>
      <c r="Z1583" s="229">
        <v>0</v>
      </c>
      <c r="AA1583" s="229">
        <v>102</v>
      </c>
      <c r="AB1583" s="229">
        <v>0</v>
      </c>
      <c r="AC1583" s="12">
        <v>1</v>
      </c>
      <c r="AD1583" s="14">
        <v>1</v>
      </c>
      <c r="AE1583" s="14">
        <v>0</v>
      </c>
      <c r="AF1583" s="26">
        <v>0</v>
      </c>
      <c r="AG1583" s="12">
        <v>144</v>
      </c>
      <c r="AH1583" s="14">
        <v>1</v>
      </c>
      <c r="AI1583" s="209"/>
      <c r="AJ1583" s="3"/>
      <c r="AK1583" s="3"/>
      <c r="AL1583" s="3"/>
      <c r="AM1583" s="3"/>
      <c r="AN1583" s="3"/>
      <c r="AO1583" s="40"/>
      <c r="AP1583" s="209"/>
      <c r="AQ1583" s="3"/>
      <c r="AR1583" s="40"/>
      <c r="AS1583" s="238"/>
    </row>
    <row r="1584" spans="1:45" s="229" customFormat="1">
      <c r="A1584" s="42" t="s">
        <v>326</v>
      </c>
      <c r="B1584" s="386">
        <v>49.511666666666663</v>
      </c>
      <c r="C1584" s="24" t="s">
        <v>759</v>
      </c>
      <c r="D1584" s="229" t="s">
        <v>625</v>
      </c>
      <c r="E1584" s="229" t="s">
        <v>1</v>
      </c>
      <c r="F1584" s="229">
        <v>383</v>
      </c>
      <c r="G1584" s="40">
        <f>F1584/185</f>
        <v>2.0702702702702704</v>
      </c>
      <c r="H1584" s="14">
        <v>0</v>
      </c>
      <c r="I1584" s="229">
        <v>0</v>
      </c>
      <c r="J1584" s="229">
        <v>1</v>
      </c>
      <c r="K1584" s="26">
        <v>0</v>
      </c>
      <c r="L1584" s="14">
        <v>0</v>
      </c>
      <c r="M1584" s="229">
        <v>0</v>
      </c>
      <c r="N1584" s="229">
        <v>0</v>
      </c>
      <c r="O1584" s="229">
        <v>1</v>
      </c>
      <c r="P1584" s="26">
        <v>1</v>
      </c>
      <c r="Q1584" s="14">
        <v>10</v>
      </c>
      <c r="R1584" s="229">
        <v>10</v>
      </c>
      <c r="S1584" s="229">
        <v>19</v>
      </c>
      <c r="T1584" s="229">
        <v>0</v>
      </c>
      <c r="U1584" s="229">
        <v>0</v>
      </c>
      <c r="V1584" s="229">
        <v>0</v>
      </c>
      <c r="W1584" s="229">
        <v>0</v>
      </c>
      <c r="X1584" s="229">
        <v>0</v>
      </c>
      <c r="Y1584" s="229">
        <v>0</v>
      </c>
      <c r="Z1584" s="229">
        <v>0</v>
      </c>
      <c r="AA1584" s="229">
        <v>103</v>
      </c>
      <c r="AB1584" s="229">
        <v>0</v>
      </c>
      <c r="AC1584" s="12">
        <v>1</v>
      </c>
      <c r="AD1584" s="14">
        <v>1</v>
      </c>
      <c r="AE1584" s="14">
        <v>0</v>
      </c>
      <c r="AF1584" s="26">
        <v>0</v>
      </c>
      <c r="AG1584" s="12">
        <v>144</v>
      </c>
      <c r="AH1584" s="14">
        <v>0</v>
      </c>
      <c r="AI1584" s="209"/>
      <c r="AJ1584" s="3"/>
      <c r="AK1584" s="3"/>
      <c r="AL1584" s="3"/>
      <c r="AM1584" s="3"/>
      <c r="AN1584" s="3"/>
      <c r="AO1584" s="40"/>
      <c r="AP1584" s="209"/>
      <c r="AQ1584" s="3"/>
      <c r="AR1584" s="40"/>
      <c r="AS1584" s="238"/>
    </row>
    <row r="1585" spans="1:45" s="229" customFormat="1">
      <c r="A1585" s="42" t="s">
        <v>326</v>
      </c>
      <c r="B1585" s="386">
        <v>49.511666666666663</v>
      </c>
      <c r="C1585" s="24" t="s">
        <v>759</v>
      </c>
      <c r="D1585" s="229" t="s">
        <v>630</v>
      </c>
      <c r="E1585" s="229" t="s">
        <v>0</v>
      </c>
      <c r="F1585" s="229">
        <v>263</v>
      </c>
      <c r="G1585" s="40">
        <f>F1585/168</f>
        <v>1.5654761904761905</v>
      </c>
      <c r="H1585" s="14">
        <v>0</v>
      </c>
      <c r="I1585" s="229">
        <v>0</v>
      </c>
      <c r="J1585" s="229">
        <v>1</v>
      </c>
      <c r="K1585" s="26">
        <v>0</v>
      </c>
      <c r="L1585" s="14">
        <v>0</v>
      </c>
      <c r="M1585" s="229">
        <v>0</v>
      </c>
      <c r="N1585" s="229">
        <v>0</v>
      </c>
      <c r="O1585" s="229">
        <v>0</v>
      </c>
      <c r="P1585" s="26">
        <v>0</v>
      </c>
      <c r="Q1585" s="14">
        <v>5</v>
      </c>
      <c r="R1585" s="229">
        <v>0</v>
      </c>
      <c r="S1585" s="229">
        <v>0</v>
      </c>
      <c r="T1585" s="229">
        <v>0</v>
      </c>
      <c r="U1585" s="229">
        <v>0</v>
      </c>
      <c r="V1585" s="229">
        <v>0</v>
      </c>
      <c r="W1585" s="229">
        <v>49</v>
      </c>
      <c r="X1585" s="229">
        <v>0</v>
      </c>
      <c r="Y1585" s="229">
        <v>0</v>
      </c>
      <c r="Z1585" s="229">
        <v>0</v>
      </c>
      <c r="AA1585" s="229">
        <v>0</v>
      </c>
      <c r="AB1585" s="229">
        <v>0</v>
      </c>
      <c r="AC1585" s="12">
        <v>1</v>
      </c>
      <c r="AD1585" s="14">
        <v>1</v>
      </c>
      <c r="AE1585" s="14">
        <v>0</v>
      </c>
      <c r="AF1585" s="26">
        <v>0</v>
      </c>
      <c r="AG1585" s="12">
        <v>143</v>
      </c>
      <c r="AH1585" s="14">
        <v>1</v>
      </c>
      <c r="AI1585" s="209"/>
      <c r="AJ1585" s="3"/>
      <c r="AK1585" s="3"/>
      <c r="AL1585" s="3"/>
      <c r="AM1585" s="3"/>
      <c r="AN1585" s="3"/>
      <c r="AO1585" s="40"/>
      <c r="AP1585" s="209"/>
      <c r="AQ1585" s="3"/>
      <c r="AR1585" s="40"/>
      <c r="AS1585" s="238"/>
    </row>
    <row r="1586" spans="1:45" s="229" customFormat="1">
      <c r="A1586" s="42" t="s">
        <v>326</v>
      </c>
      <c r="B1586" s="386">
        <v>49.511666666666663</v>
      </c>
      <c r="C1586" s="24" t="s">
        <v>759</v>
      </c>
      <c r="D1586" s="229" t="s">
        <v>630</v>
      </c>
      <c r="E1586" s="229" t="s">
        <v>1</v>
      </c>
      <c r="F1586" s="229">
        <v>587</v>
      </c>
      <c r="G1586" s="40">
        <f>F1586/354</f>
        <v>1.6581920903954803</v>
      </c>
      <c r="H1586" s="14">
        <v>0</v>
      </c>
      <c r="I1586" s="229">
        <v>0</v>
      </c>
      <c r="J1586" s="229">
        <v>0</v>
      </c>
      <c r="K1586" s="26">
        <v>1</v>
      </c>
      <c r="L1586" s="14">
        <v>0</v>
      </c>
      <c r="M1586" s="229">
        <v>0</v>
      </c>
      <c r="N1586" s="229">
        <v>0</v>
      </c>
      <c r="O1586" s="229">
        <v>0</v>
      </c>
      <c r="P1586" s="26">
        <v>0</v>
      </c>
      <c r="Q1586" s="14">
        <v>5</v>
      </c>
      <c r="R1586" s="229">
        <v>0</v>
      </c>
      <c r="S1586" s="229">
        <v>27</v>
      </c>
      <c r="T1586" s="229">
        <v>0</v>
      </c>
      <c r="U1586" s="229">
        <v>0</v>
      </c>
      <c r="V1586" s="229">
        <v>0</v>
      </c>
      <c r="W1586" s="229">
        <v>50</v>
      </c>
      <c r="X1586" s="229">
        <v>0</v>
      </c>
      <c r="Y1586" s="229">
        <v>0</v>
      </c>
      <c r="Z1586" s="229">
        <v>0</v>
      </c>
      <c r="AA1586" s="229">
        <v>80</v>
      </c>
      <c r="AB1586" s="229">
        <v>0</v>
      </c>
      <c r="AC1586" s="12">
        <v>2</v>
      </c>
      <c r="AD1586" s="14">
        <v>3</v>
      </c>
      <c r="AE1586" s="14">
        <v>169</v>
      </c>
      <c r="AF1586" s="26">
        <v>421</v>
      </c>
      <c r="AG1586" s="12">
        <v>143</v>
      </c>
      <c r="AH1586" s="14">
        <v>1</v>
      </c>
      <c r="AI1586" s="209"/>
      <c r="AJ1586" s="3"/>
      <c r="AK1586" s="3"/>
      <c r="AL1586" s="3"/>
      <c r="AM1586" s="3"/>
      <c r="AN1586" s="3"/>
      <c r="AO1586" s="40"/>
      <c r="AP1586" s="209"/>
      <c r="AQ1586" s="3"/>
      <c r="AR1586" s="40"/>
      <c r="AS1586" s="238"/>
    </row>
    <row r="1587" spans="1:45" s="229" customFormat="1">
      <c r="A1587" s="42" t="s">
        <v>326</v>
      </c>
      <c r="B1587" s="386">
        <v>49.511666666666663</v>
      </c>
      <c r="C1587" s="24" t="s">
        <v>759</v>
      </c>
      <c r="D1587" s="229" t="s">
        <v>630</v>
      </c>
      <c r="E1587" s="229" t="s">
        <v>2</v>
      </c>
      <c r="F1587" s="229">
        <v>338</v>
      </c>
      <c r="G1587" s="40">
        <f>F1587/211</f>
        <v>1.6018957345971565</v>
      </c>
      <c r="H1587" s="14">
        <v>0</v>
      </c>
      <c r="I1587" s="229">
        <v>0</v>
      </c>
      <c r="J1587" s="229">
        <v>0</v>
      </c>
      <c r="K1587" s="26">
        <v>1</v>
      </c>
      <c r="L1587" s="14">
        <v>0</v>
      </c>
      <c r="M1587" s="229">
        <v>0</v>
      </c>
      <c r="N1587" s="229">
        <v>0</v>
      </c>
      <c r="O1587" s="229">
        <v>0</v>
      </c>
      <c r="P1587" s="26">
        <v>0</v>
      </c>
      <c r="Q1587" s="14">
        <v>8</v>
      </c>
      <c r="R1587" s="229">
        <v>0</v>
      </c>
      <c r="S1587" s="229">
        <v>0</v>
      </c>
      <c r="T1587" s="229">
        <v>0</v>
      </c>
      <c r="U1587" s="229">
        <v>0</v>
      </c>
      <c r="V1587" s="229">
        <v>0</v>
      </c>
      <c r="W1587" s="229">
        <v>80</v>
      </c>
      <c r="X1587" s="229">
        <v>0</v>
      </c>
      <c r="Y1587" s="229">
        <v>0</v>
      </c>
      <c r="Z1587" s="229">
        <v>0</v>
      </c>
      <c r="AA1587" s="229">
        <v>0</v>
      </c>
      <c r="AB1587" s="229">
        <v>0</v>
      </c>
      <c r="AC1587" s="12">
        <v>1</v>
      </c>
      <c r="AD1587" s="14">
        <v>1</v>
      </c>
      <c r="AE1587" s="14">
        <v>0</v>
      </c>
      <c r="AF1587" s="26">
        <v>0</v>
      </c>
      <c r="AG1587" s="12">
        <v>143</v>
      </c>
      <c r="AH1587" s="14">
        <v>1</v>
      </c>
      <c r="AI1587" s="209"/>
      <c r="AJ1587" s="3"/>
      <c r="AK1587" s="3"/>
      <c r="AL1587" s="3"/>
      <c r="AM1587" s="3"/>
      <c r="AN1587" s="3"/>
      <c r="AO1587" s="40"/>
      <c r="AP1587" s="209"/>
      <c r="AQ1587" s="3"/>
      <c r="AR1587" s="40"/>
      <c r="AS1587" s="238"/>
    </row>
    <row r="1588" spans="1:45" s="229" customFormat="1">
      <c r="A1588" s="42" t="s">
        <v>326</v>
      </c>
      <c r="B1588" s="386">
        <v>49.511666666666663</v>
      </c>
      <c r="C1588" s="24" t="s">
        <v>759</v>
      </c>
      <c r="D1588" s="229" t="s">
        <v>640</v>
      </c>
      <c r="F1588" s="229">
        <v>807</v>
      </c>
      <c r="G1588" s="40">
        <f>F1588/442</f>
        <v>1.8257918552036199</v>
      </c>
      <c r="H1588" s="14">
        <v>0</v>
      </c>
      <c r="I1588" s="229">
        <v>0</v>
      </c>
      <c r="J1588" s="229">
        <v>1</v>
      </c>
      <c r="K1588" s="26">
        <v>0</v>
      </c>
      <c r="L1588" s="14">
        <v>0</v>
      </c>
      <c r="M1588" s="229">
        <v>1</v>
      </c>
      <c r="N1588" s="229">
        <v>0</v>
      </c>
      <c r="O1588" s="229">
        <v>0</v>
      </c>
      <c r="P1588" s="26">
        <v>1</v>
      </c>
      <c r="Q1588" s="14">
        <v>3</v>
      </c>
      <c r="R1588" s="229">
        <v>5</v>
      </c>
      <c r="S1588" s="229">
        <v>12</v>
      </c>
      <c r="T1588" s="229">
        <v>0</v>
      </c>
      <c r="U1588" s="229">
        <v>0</v>
      </c>
      <c r="V1588" s="229">
        <v>13</v>
      </c>
      <c r="W1588" s="229">
        <v>88</v>
      </c>
      <c r="X1588" s="229">
        <v>0</v>
      </c>
      <c r="Y1588" s="229">
        <v>0</v>
      </c>
      <c r="Z1588" s="229">
        <v>87</v>
      </c>
      <c r="AA1588" s="229">
        <v>93</v>
      </c>
      <c r="AB1588" s="229">
        <v>0</v>
      </c>
      <c r="AC1588" s="12">
        <v>2</v>
      </c>
      <c r="AD1588" s="14">
        <v>3</v>
      </c>
      <c r="AE1588" s="14">
        <v>155</v>
      </c>
      <c r="AF1588" s="26">
        <v>585</v>
      </c>
      <c r="AG1588" s="12">
        <v>103</v>
      </c>
      <c r="AH1588" s="14">
        <v>1</v>
      </c>
      <c r="AI1588" s="209"/>
      <c r="AJ1588" s="3"/>
      <c r="AK1588" s="3"/>
      <c r="AL1588" s="3"/>
      <c r="AM1588" s="3"/>
      <c r="AN1588" s="3"/>
      <c r="AO1588" s="40"/>
      <c r="AP1588" s="209"/>
      <c r="AQ1588" s="3"/>
      <c r="AR1588" s="40"/>
      <c r="AS1588" s="238"/>
    </row>
    <row r="1589" spans="1:45" s="229" customFormat="1">
      <c r="A1589" s="42" t="s">
        <v>326</v>
      </c>
      <c r="B1589" s="386">
        <v>49.511666666666663</v>
      </c>
      <c r="C1589" s="24" t="s">
        <v>759</v>
      </c>
      <c r="D1589" s="229" t="s">
        <v>648</v>
      </c>
      <c r="F1589" s="229">
        <v>446</v>
      </c>
      <c r="G1589" s="40">
        <f>F1589/276</f>
        <v>1.6159420289855073</v>
      </c>
      <c r="H1589" s="14">
        <v>0</v>
      </c>
      <c r="I1589" s="229">
        <v>0</v>
      </c>
      <c r="J1589" s="229">
        <v>1</v>
      </c>
      <c r="K1589" s="26">
        <v>0</v>
      </c>
      <c r="L1589" s="14">
        <v>0</v>
      </c>
      <c r="M1589" s="229">
        <v>0</v>
      </c>
      <c r="N1589" s="229">
        <v>1</v>
      </c>
      <c r="O1589" s="229">
        <v>0</v>
      </c>
      <c r="P1589" s="26">
        <v>1</v>
      </c>
      <c r="Q1589" s="14">
        <v>0</v>
      </c>
      <c r="R1589" s="229">
        <v>0</v>
      </c>
      <c r="S1589" s="229">
        <v>0</v>
      </c>
      <c r="T1589" s="229">
        <v>0</v>
      </c>
      <c r="U1589" s="229">
        <v>0</v>
      </c>
      <c r="V1589" s="229">
        <v>0</v>
      </c>
      <c r="W1589" s="229">
        <v>0</v>
      </c>
      <c r="X1589" s="229">
        <v>0</v>
      </c>
      <c r="Y1589" s="229">
        <v>0</v>
      </c>
      <c r="Z1589" s="229">
        <v>0</v>
      </c>
      <c r="AA1589" s="229">
        <v>0</v>
      </c>
      <c r="AB1589" s="229">
        <v>0</v>
      </c>
      <c r="AC1589" s="12">
        <v>2</v>
      </c>
      <c r="AD1589" s="14">
        <v>3</v>
      </c>
      <c r="AE1589" s="14">
        <v>58</v>
      </c>
      <c r="AF1589" s="26">
        <v>446</v>
      </c>
      <c r="AG1589" s="12">
        <v>112</v>
      </c>
      <c r="AH1589" s="14">
        <v>1</v>
      </c>
      <c r="AI1589" s="209">
        <v>88.603508993479437</v>
      </c>
      <c r="AJ1589" s="3"/>
      <c r="AK1589" s="3"/>
      <c r="AL1589" s="3"/>
      <c r="AM1589" s="3"/>
      <c r="AN1589" s="3"/>
      <c r="AO1589" s="40"/>
      <c r="AP1589" s="209">
        <v>88.562137299246231</v>
      </c>
      <c r="AQ1589" s="3"/>
      <c r="AR1589" s="40"/>
      <c r="AS1589" s="238"/>
    </row>
    <row r="1590" spans="1:45" s="229" customFormat="1">
      <c r="A1590" s="42" t="s">
        <v>326</v>
      </c>
      <c r="B1590" s="386">
        <v>49.511666666666663</v>
      </c>
      <c r="C1590" s="24" t="s">
        <v>759</v>
      </c>
      <c r="D1590" s="229" t="s">
        <v>669</v>
      </c>
      <c r="E1590" s="229" t="s">
        <v>0</v>
      </c>
      <c r="F1590" s="229">
        <v>525</v>
      </c>
      <c r="G1590" s="40">
        <f>F1590/275</f>
        <v>1.9090909090909092</v>
      </c>
      <c r="H1590" s="14">
        <v>0</v>
      </c>
      <c r="I1590" s="229">
        <v>0</v>
      </c>
      <c r="J1590" s="229">
        <v>1</v>
      </c>
      <c r="K1590" s="26">
        <v>0</v>
      </c>
      <c r="L1590" s="14">
        <v>0</v>
      </c>
      <c r="M1590" s="229">
        <v>0</v>
      </c>
      <c r="N1590" s="229">
        <v>0</v>
      </c>
      <c r="O1590" s="229">
        <v>0</v>
      </c>
      <c r="P1590" s="26">
        <v>0</v>
      </c>
      <c r="Q1590" s="14">
        <v>2</v>
      </c>
      <c r="R1590" s="229">
        <v>7</v>
      </c>
      <c r="S1590" s="229">
        <v>25</v>
      </c>
      <c r="T1590" s="229">
        <v>0</v>
      </c>
      <c r="U1590" s="229">
        <v>0</v>
      </c>
      <c r="V1590" s="229">
        <v>10</v>
      </c>
      <c r="W1590" s="229">
        <v>31</v>
      </c>
      <c r="X1590" s="229">
        <v>0</v>
      </c>
      <c r="Y1590" s="229">
        <v>0</v>
      </c>
      <c r="Z1590" s="229">
        <v>0</v>
      </c>
      <c r="AA1590" s="229">
        <v>0</v>
      </c>
      <c r="AB1590" s="229">
        <v>0</v>
      </c>
      <c r="AC1590" s="12">
        <v>2</v>
      </c>
      <c r="AD1590" s="14">
        <v>3</v>
      </c>
      <c r="AE1590" s="14">
        <v>169</v>
      </c>
      <c r="AF1590" s="26">
        <v>300</v>
      </c>
      <c r="AG1590" s="12">
        <v>96</v>
      </c>
      <c r="AH1590" s="14">
        <v>1</v>
      </c>
      <c r="AI1590" s="209"/>
      <c r="AJ1590" s="3"/>
      <c r="AK1590" s="3"/>
      <c r="AL1590" s="3"/>
      <c r="AM1590" s="3"/>
      <c r="AN1590" s="3"/>
      <c r="AO1590" s="40"/>
      <c r="AP1590" s="209"/>
      <c r="AQ1590" s="3"/>
      <c r="AR1590" s="40"/>
      <c r="AS1590" s="238"/>
    </row>
    <row r="1591" spans="1:45" s="229" customFormat="1">
      <c r="A1591" s="42" t="s">
        <v>326</v>
      </c>
      <c r="B1591" s="386">
        <v>49.511666666666663</v>
      </c>
      <c r="C1591" s="24" t="s">
        <v>759</v>
      </c>
      <c r="D1591" s="229" t="s">
        <v>669</v>
      </c>
      <c r="E1591" s="229" t="s">
        <v>1</v>
      </c>
      <c r="F1591" s="229">
        <v>176</v>
      </c>
      <c r="G1591" s="40">
        <f>F1591/78</f>
        <v>2.2564102564102564</v>
      </c>
      <c r="H1591" s="14">
        <v>0</v>
      </c>
      <c r="I1591" s="229">
        <v>0</v>
      </c>
      <c r="J1591" s="229">
        <v>0</v>
      </c>
      <c r="K1591" s="26">
        <v>1</v>
      </c>
      <c r="L1591" s="14">
        <v>0</v>
      </c>
      <c r="M1591" s="229">
        <v>0</v>
      </c>
      <c r="N1591" s="229">
        <v>0</v>
      </c>
      <c r="O1591" s="229">
        <v>0</v>
      </c>
      <c r="P1591" s="26">
        <v>0</v>
      </c>
      <c r="Q1591" s="14">
        <v>0</v>
      </c>
      <c r="R1591" s="229">
        <v>0</v>
      </c>
      <c r="S1591" s="229">
        <v>0</v>
      </c>
      <c r="T1591" s="229">
        <v>0</v>
      </c>
      <c r="U1591" s="229">
        <v>0</v>
      </c>
      <c r="V1591" s="229">
        <v>0</v>
      </c>
      <c r="W1591" s="229">
        <v>0</v>
      </c>
      <c r="X1591" s="229">
        <v>0</v>
      </c>
      <c r="Y1591" s="229">
        <v>0</v>
      </c>
      <c r="Z1591" s="229">
        <v>0</v>
      </c>
      <c r="AA1591" s="229">
        <v>0</v>
      </c>
      <c r="AB1591" s="229">
        <v>0</v>
      </c>
      <c r="AC1591" s="12">
        <v>2</v>
      </c>
      <c r="AD1591" s="14">
        <v>3</v>
      </c>
      <c r="AE1591" s="14">
        <v>72</v>
      </c>
      <c r="AF1591" s="26">
        <v>92</v>
      </c>
      <c r="AG1591" s="12">
        <v>96</v>
      </c>
      <c r="AH1591" s="14">
        <v>9</v>
      </c>
      <c r="AI1591" s="209"/>
      <c r="AJ1591" s="3"/>
      <c r="AK1591" s="3"/>
      <c r="AL1591" s="3"/>
      <c r="AM1591" s="3"/>
      <c r="AN1591" s="3"/>
      <c r="AO1591" s="40"/>
      <c r="AP1591" s="209"/>
      <c r="AQ1591" s="3"/>
      <c r="AR1591" s="40"/>
      <c r="AS1591" s="238"/>
    </row>
    <row r="1592" spans="1:45" s="229" customFormat="1">
      <c r="A1592" s="42" t="s">
        <v>326</v>
      </c>
      <c r="B1592" s="386">
        <v>49.511666666666663</v>
      </c>
      <c r="C1592" s="24" t="s">
        <v>759</v>
      </c>
      <c r="D1592" s="229" t="s">
        <v>669</v>
      </c>
      <c r="E1592" s="229" t="s">
        <v>2</v>
      </c>
      <c r="F1592" s="229">
        <v>160</v>
      </c>
      <c r="G1592" s="40">
        <f>F1592/74</f>
        <v>2.1621621621621623</v>
      </c>
      <c r="H1592" s="14">
        <v>0</v>
      </c>
      <c r="I1592" s="229">
        <v>0</v>
      </c>
      <c r="J1592" s="229">
        <v>1</v>
      </c>
      <c r="K1592" s="26">
        <v>0</v>
      </c>
      <c r="L1592" s="14">
        <v>0</v>
      </c>
      <c r="M1592" s="229">
        <v>0</v>
      </c>
      <c r="N1592" s="229">
        <v>0</v>
      </c>
      <c r="O1592" s="229">
        <v>0</v>
      </c>
      <c r="P1592" s="26">
        <v>0</v>
      </c>
      <c r="Q1592" s="14">
        <v>0</v>
      </c>
      <c r="R1592" s="229">
        <v>0</v>
      </c>
      <c r="S1592" s="229">
        <v>0</v>
      </c>
      <c r="T1592" s="229">
        <v>0</v>
      </c>
      <c r="U1592" s="229">
        <v>0</v>
      </c>
      <c r="V1592" s="229">
        <v>0</v>
      </c>
      <c r="W1592" s="229">
        <v>0</v>
      </c>
      <c r="X1592" s="229">
        <v>0</v>
      </c>
      <c r="Y1592" s="229">
        <v>0</v>
      </c>
      <c r="Z1592" s="229">
        <v>0</v>
      </c>
      <c r="AA1592" s="229">
        <v>0</v>
      </c>
      <c r="AB1592" s="229">
        <v>0</v>
      </c>
      <c r="AC1592" s="12">
        <v>1</v>
      </c>
      <c r="AD1592" s="14">
        <v>1</v>
      </c>
      <c r="AE1592" s="14">
        <v>1</v>
      </c>
      <c r="AF1592" s="26">
        <v>1</v>
      </c>
      <c r="AG1592" s="12">
        <v>96</v>
      </c>
      <c r="AH1592" s="14">
        <v>0</v>
      </c>
      <c r="AI1592" s="209"/>
      <c r="AJ1592" s="3"/>
      <c r="AK1592" s="3"/>
      <c r="AL1592" s="3"/>
      <c r="AM1592" s="3"/>
      <c r="AN1592" s="3"/>
      <c r="AO1592" s="40"/>
      <c r="AP1592" s="209"/>
      <c r="AQ1592" s="3"/>
      <c r="AR1592" s="40"/>
      <c r="AS1592" s="238"/>
    </row>
    <row r="1593" spans="1:45" s="229" customFormat="1">
      <c r="A1593" s="42" t="s">
        <v>326</v>
      </c>
      <c r="B1593" s="386">
        <v>49.511666666666663</v>
      </c>
      <c r="C1593" s="24" t="s">
        <v>759</v>
      </c>
      <c r="D1593" s="229" t="s">
        <v>670</v>
      </c>
      <c r="F1593" s="229">
        <v>587</v>
      </c>
      <c r="G1593" s="40">
        <f>F1593/315</f>
        <v>1.8634920634920635</v>
      </c>
      <c r="H1593" s="14">
        <v>0</v>
      </c>
      <c r="I1593" s="229">
        <v>0</v>
      </c>
      <c r="J1593" s="229">
        <v>0</v>
      </c>
      <c r="K1593" s="26">
        <v>1</v>
      </c>
      <c r="L1593" s="14">
        <v>0</v>
      </c>
      <c r="M1593" s="229">
        <v>0</v>
      </c>
      <c r="N1593" s="229">
        <v>0</v>
      </c>
      <c r="O1593" s="229">
        <v>0</v>
      </c>
      <c r="P1593" s="26">
        <v>0</v>
      </c>
      <c r="Q1593" s="14">
        <v>1</v>
      </c>
      <c r="R1593" s="229">
        <v>0</v>
      </c>
      <c r="S1593" s="229">
        <v>0</v>
      </c>
      <c r="T1593" s="229">
        <v>0</v>
      </c>
      <c r="U1593" s="229">
        <v>0</v>
      </c>
      <c r="V1593" s="229">
        <v>0</v>
      </c>
      <c r="W1593" s="229">
        <v>23</v>
      </c>
      <c r="X1593" s="229">
        <v>0</v>
      </c>
      <c r="Y1593" s="229">
        <v>0</v>
      </c>
      <c r="Z1593" s="229">
        <v>0</v>
      </c>
      <c r="AA1593" s="229">
        <v>0</v>
      </c>
      <c r="AB1593" s="229">
        <v>1</v>
      </c>
      <c r="AC1593" s="12">
        <v>2</v>
      </c>
      <c r="AD1593" s="14">
        <v>3</v>
      </c>
      <c r="AE1593" s="14">
        <v>45</v>
      </c>
      <c r="AF1593" s="26">
        <v>409</v>
      </c>
      <c r="AG1593" s="12">
        <v>77</v>
      </c>
      <c r="AH1593" s="14">
        <v>1</v>
      </c>
      <c r="AI1593" s="209">
        <v>88.696313620197728</v>
      </c>
      <c r="AJ1593" s="3"/>
      <c r="AK1593" s="3"/>
      <c r="AL1593" s="3"/>
      <c r="AM1593" s="3"/>
      <c r="AN1593" s="3"/>
      <c r="AO1593" s="40"/>
      <c r="AP1593" s="209">
        <v>88.525452131547269</v>
      </c>
      <c r="AQ1593" s="3"/>
      <c r="AR1593" s="40"/>
      <c r="AS1593" s="238"/>
    </row>
    <row r="1594" spans="1:45" s="229" customFormat="1">
      <c r="A1594" s="42" t="s">
        <v>326</v>
      </c>
      <c r="B1594" s="386">
        <v>49.511666666666663</v>
      </c>
      <c r="C1594" s="24" t="s">
        <v>759</v>
      </c>
      <c r="D1594" s="229" t="s">
        <v>672</v>
      </c>
      <c r="E1594" s="229" t="s">
        <v>0</v>
      </c>
      <c r="F1594" s="229">
        <v>413</v>
      </c>
      <c r="G1594" s="40">
        <f>F1594/355</f>
        <v>1.1633802816901408</v>
      </c>
      <c r="H1594" s="14">
        <v>0</v>
      </c>
      <c r="I1594" s="229">
        <v>0</v>
      </c>
      <c r="J1594" s="229">
        <v>1</v>
      </c>
      <c r="K1594" s="26">
        <v>1</v>
      </c>
      <c r="L1594" s="14">
        <v>0</v>
      </c>
      <c r="M1594" s="229">
        <v>0</v>
      </c>
      <c r="N1594" s="229">
        <v>0</v>
      </c>
      <c r="O1594" s="229">
        <v>0</v>
      </c>
      <c r="P1594" s="26">
        <v>0</v>
      </c>
      <c r="Q1594" s="14">
        <v>2</v>
      </c>
      <c r="R1594" s="229">
        <v>0</v>
      </c>
      <c r="S1594" s="229">
        <v>0</v>
      </c>
      <c r="T1594" s="229">
        <v>0</v>
      </c>
      <c r="U1594" s="229">
        <v>0</v>
      </c>
      <c r="V1594" s="229">
        <v>11</v>
      </c>
      <c r="W1594" s="229">
        <v>19</v>
      </c>
      <c r="X1594" s="229">
        <v>0</v>
      </c>
      <c r="Y1594" s="229">
        <v>0</v>
      </c>
      <c r="Z1594" s="229">
        <v>0</v>
      </c>
      <c r="AA1594" s="229">
        <v>0</v>
      </c>
      <c r="AB1594" s="229">
        <v>0</v>
      </c>
      <c r="AC1594" s="12">
        <v>2</v>
      </c>
      <c r="AD1594" s="14">
        <v>5</v>
      </c>
      <c r="AE1594" s="14">
        <v>35</v>
      </c>
      <c r="AF1594" s="26">
        <v>288</v>
      </c>
      <c r="AG1594" s="12">
        <v>87</v>
      </c>
      <c r="AH1594" s="14">
        <v>1</v>
      </c>
      <c r="AI1594" s="209"/>
      <c r="AJ1594" s="3"/>
      <c r="AK1594" s="3"/>
      <c r="AL1594" s="3"/>
      <c r="AM1594" s="3"/>
      <c r="AN1594" s="3"/>
      <c r="AO1594" s="40"/>
      <c r="AP1594" s="209"/>
      <c r="AQ1594" s="3"/>
      <c r="AR1594" s="40"/>
      <c r="AS1594" s="238"/>
    </row>
    <row r="1595" spans="1:45" s="229" customFormat="1">
      <c r="A1595" s="42" t="s">
        <v>326</v>
      </c>
      <c r="B1595" s="386">
        <v>49.511666666666663</v>
      </c>
      <c r="C1595" s="24" t="s">
        <v>759</v>
      </c>
      <c r="D1595" s="229" t="s">
        <v>672</v>
      </c>
      <c r="E1595" s="229" t="s">
        <v>1</v>
      </c>
      <c r="F1595" s="229">
        <v>176</v>
      </c>
      <c r="G1595" s="40">
        <f>F1595/130</f>
        <v>1.3538461538461539</v>
      </c>
      <c r="H1595" s="14">
        <v>0</v>
      </c>
      <c r="I1595" s="229">
        <v>0</v>
      </c>
      <c r="J1595" s="229">
        <v>1</v>
      </c>
      <c r="K1595" s="26">
        <v>0</v>
      </c>
      <c r="L1595" s="14">
        <v>0</v>
      </c>
      <c r="M1595" s="229">
        <v>0</v>
      </c>
      <c r="N1595" s="229">
        <v>0</v>
      </c>
      <c r="O1595" s="229">
        <v>0</v>
      </c>
      <c r="P1595" s="26">
        <v>0</v>
      </c>
      <c r="Q1595" s="14">
        <v>0</v>
      </c>
      <c r="R1595" s="229">
        <v>0</v>
      </c>
      <c r="S1595" s="229">
        <v>0</v>
      </c>
      <c r="T1595" s="229">
        <v>0</v>
      </c>
      <c r="U1595" s="229">
        <v>0</v>
      </c>
      <c r="V1595" s="229">
        <v>0</v>
      </c>
      <c r="W1595" s="229">
        <v>0</v>
      </c>
      <c r="X1595" s="229">
        <v>0</v>
      </c>
      <c r="Y1595" s="229">
        <v>0</v>
      </c>
      <c r="Z1595" s="229">
        <v>0</v>
      </c>
      <c r="AA1595" s="229">
        <v>0</v>
      </c>
      <c r="AB1595" s="229">
        <v>0</v>
      </c>
      <c r="AC1595" s="12">
        <v>1</v>
      </c>
      <c r="AD1595" s="14">
        <v>1</v>
      </c>
      <c r="AE1595" s="14">
        <v>0</v>
      </c>
      <c r="AF1595" s="26">
        <v>0</v>
      </c>
      <c r="AG1595" s="12">
        <v>87</v>
      </c>
      <c r="AH1595" s="14">
        <v>1</v>
      </c>
      <c r="AI1595" s="209"/>
      <c r="AJ1595" s="3"/>
      <c r="AK1595" s="3"/>
      <c r="AL1595" s="3"/>
      <c r="AM1595" s="3"/>
      <c r="AN1595" s="3"/>
      <c r="AO1595" s="40"/>
      <c r="AP1595" s="209"/>
      <c r="AQ1595" s="3"/>
      <c r="AR1595" s="40"/>
      <c r="AS1595" s="238"/>
    </row>
    <row r="1596" spans="1:45" s="229" customFormat="1">
      <c r="A1596" s="42" t="s">
        <v>326</v>
      </c>
      <c r="B1596" s="386">
        <v>49.511666666666663</v>
      </c>
      <c r="C1596" s="24" t="s">
        <v>759</v>
      </c>
      <c r="D1596" s="229" t="s">
        <v>677</v>
      </c>
      <c r="E1596" s="229" t="s">
        <v>0</v>
      </c>
      <c r="F1596" s="229">
        <v>470</v>
      </c>
      <c r="G1596" s="40">
        <f>F1596/285</f>
        <v>1.6491228070175439</v>
      </c>
      <c r="H1596" s="14">
        <v>0</v>
      </c>
      <c r="I1596" s="229">
        <v>0</v>
      </c>
      <c r="J1596" s="229">
        <v>1</v>
      </c>
      <c r="K1596" s="26">
        <v>1</v>
      </c>
      <c r="L1596" s="14">
        <v>0</v>
      </c>
      <c r="M1596" s="229">
        <v>1</v>
      </c>
      <c r="N1596" s="229">
        <v>0</v>
      </c>
      <c r="O1596" s="229">
        <v>0</v>
      </c>
      <c r="P1596" s="26">
        <v>1</v>
      </c>
      <c r="Q1596" s="14">
        <v>1</v>
      </c>
      <c r="R1596" s="229">
        <v>0</v>
      </c>
      <c r="S1596" s="229">
        <v>16</v>
      </c>
      <c r="T1596" s="229">
        <v>0</v>
      </c>
      <c r="U1596" s="229">
        <v>0</v>
      </c>
      <c r="V1596" s="229">
        <v>0</v>
      </c>
      <c r="W1596" s="229">
        <v>0</v>
      </c>
      <c r="X1596" s="229">
        <v>0</v>
      </c>
      <c r="Y1596" s="229">
        <v>0</v>
      </c>
      <c r="Z1596" s="229">
        <v>0</v>
      </c>
      <c r="AA1596" s="229">
        <v>0</v>
      </c>
      <c r="AB1596" s="229">
        <v>0</v>
      </c>
      <c r="AC1596" s="12">
        <v>2</v>
      </c>
      <c r="AD1596" s="14">
        <v>3</v>
      </c>
      <c r="AE1596" s="14">
        <v>65</v>
      </c>
      <c r="AF1596" s="26">
        <v>470</v>
      </c>
      <c r="AG1596" s="12">
        <v>72</v>
      </c>
      <c r="AH1596" s="14">
        <v>1</v>
      </c>
      <c r="AI1596" s="209">
        <v>88.435545705646291</v>
      </c>
      <c r="AJ1596" s="3"/>
      <c r="AK1596" s="3"/>
      <c r="AL1596" s="3"/>
      <c r="AM1596" s="3"/>
      <c r="AN1596" s="3"/>
      <c r="AO1596" s="40"/>
      <c r="AP1596" s="209">
        <v>88.524105542177978</v>
      </c>
      <c r="AQ1596" s="3"/>
      <c r="AR1596" s="40"/>
      <c r="AS1596" s="238"/>
    </row>
    <row r="1597" spans="1:45" s="229" customFormat="1">
      <c r="A1597" s="42" t="s">
        <v>326</v>
      </c>
      <c r="B1597" s="386">
        <v>49.511666666666663</v>
      </c>
      <c r="C1597" s="24" t="s">
        <v>759</v>
      </c>
      <c r="D1597" s="229" t="s">
        <v>677</v>
      </c>
      <c r="E1597" s="229" t="s">
        <v>1</v>
      </c>
      <c r="F1597" s="229">
        <v>221</v>
      </c>
      <c r="G1597" s="40">
        <f>F1597/182</f>
        <v>1.2142857142857142</v>
      </c>
      <c r="H1597" s="14">
        <v>0</v>
      </c>
      <c r="I1597" s="229">
        <v>0</v>
      </c>
      <c r="J1597" s="229">
        <v>1</v>
      </c>
      <c r="K1597" s="26">
        <v>1</v>
      </c>
      <c r="L1597" s="14">
        <v>0</v>
      </c>
      <c r="M1597" s="229">
        <v>0</v>
      </c>
      <c r="N1597" s="229">
        <v>0</v>
      </c>
      <c r="O1597" s="229">
        <v>0</v>
      </c>
      <c r="P1597" s="26">
        <v>0</v>
      </c>
      <c r="Q1597" s="14">
        <v>5</v>
      </c>
      <c r="R1597" s="229">
        <v>0</v>
      </c>
      <c r="S1597" s="229">
        <v>0</v>
      </c>
      <c r="T1597" s="229">
        <v>0</v>
      </c>
      <c r="U1597" s="229">
        <v>0</v>
      </c>
      <c r="V1597" s="229">
        <v>16</v>
      </c>
      <c r="W1597" s="229">
        <v>44</v>
      </c>
      <c r="X1597" s="229">
        <v>0</v>
      </c>
      <c r="Y1597" s="229">
        <v>0</v>
      </c>
      <c r="Z1597" s="229">
        <v>0</v>
      </c>
      <c r="AA1597" s="229">
        <v>0</v>
      </c>
      <c r="AB1597" s="229">
        <v>0</v>
      </c>
      <c r="AC1597" s="12">
        <v>2</v>
      </c>
      <c r="AD1597" s="14">
        <v>2</v>
      </c>
      <c r="AE1597" s="14">
        <v>166</v>
      </c>
      <c r="AF1597" s="26">
        <v>181</v>
      </c>
      <c r="AG1597" s="12">
        <v>72</v>
      </c>
      <c r="AH1597" s="14">
        <v>1</v>
      </c>
      <c r="AI1597" s="209"/>
      <c r="AJ1597" s="3"/>
      <c r="AK1597" s="3"/>
      <c r="AL1597" s="3"/>
      <c r="AM1597" s="3"/>
      <c r="AN1597" s="3"/>
      <c r="AO1597" s="40"/>
      <c r="AP1597" s="209"/>
      <c r="AQ1597" s="3"/>
      <c r="AR1597" s="40"/>
      <c r="AS1597" s="238"/>
    </row>
    <row r="1598" spans="1:45" s="229" customFormat="1">
      <c r="A1598" s="42" t="s">
        <v>326</v>
      </c>
      <c r="B1598" s="386">
        <v>49.511666666666663</v>
      </c>
      <c r="C1598" s="24" t="s">
        <v>759</v>
      </c>
      <c r="D1598" s="229" t="s">
        <v>677</v>
      </c>
      <c r="E1598" s="229" t="s">
        <v>2</v>
      </c>
      <c r="F1598" s="229">
        <v>237</v>
      </c>
      <c r="G1598" s="40">
        <f>F1598/146</f>
        <v>1.6232876712328768</v>
      </c>
      <c r="H1598" s="14">
        <v>1</v>
      </c>
      <c r="I1598" s="229">
        <v>0</v>
      </c>
      <c r="J1598" s="229">
        <v>0</v>
      </c>
      <c r="K1598" s="26">
        <v>0</v>
      </c>
      <c r="L1598" s="14">
        <v>0</v>
      </c>
      <c r="M1598" s="229">
        <v>0</v>
      </c>
      <c r="N1598" s="229">
        <v>0</v>
      </c>
      <c r="O1598" s="229">
        <v>0</v>
      </c>
      <c r="P1598" s="26">
        <v>0</v>
      </c>
      <c r="Q1598" s="14">
        <v>2</v>
      </c>
      <c r="R1598" s="229">
        <v>0</v>
      </c>
      <c r="S1598" s="229">
        <v>0</v>
      </c>
      <c r="T1598" s="229">
        <v>0</v>
      </c>
      <c r="U1598" s="229">
        <v>0</v>
      </c>
      <c r="V1598" s="229">
        <v>5</v>
      </c>
      <c r="W1598" s="229">
        <v>32</v>
      </c>
      <c r="X1598" s="229">
        <v>0</v>
      </c>
      <c r="Y1598" s="229">
        <v>0</v>
      </c>
      <c r="Z1598" s="229">
        <v>0</v>
      </c>
      <c r="AA1598" s="229">
        <v>0</v>
      </c>
      <c r="AB1598" s="229">
        <v>0</v>
      </c>
      <c r="AC1598" s="12">
        <v>1</v>
      </c>
      <c r="AD1598" s="14">
        <v>1</v>
      </c>
      <c r="AE1598" s="14">
        <v>0</v>
      </c>
      <c r="AF1598" s="26">
        <v>0</v>
      </c>
      <c r="AG1598" s="12">
        <v>72</v>
      </c>
      <c r="AH1598" s="14">
        <v>1</v>
      </c>
      <c r="AI1598" s="209"/>
      <c r="AJ1598" s="3"/>
      <c r="AK1598" s="3"/>
      <c r="AL1598" s="3"/>
      <c r="AM1598" s="3"/>
      <c r="AN1598" s="3"/>
      <c r="AO1598" s="40"/>
      <c r="AP1598" s="209"/>
      <c r="AQ1598" s="3"/>
      <c r="AR1598" s="40"/>
      <c r="AS1598" s="238"/>
    </row>
    <row r="1599" spans="1:45" s="229" customFormat="1">
      <c r="A1599" s="42" t="s">
        <v>326</v>
      </c>
      <c r="B1599" s="386">
        <v>49.511666666666663</v>
      </c>
      <c r="C1599" s="24" t="s">
        <v>759</v>
      </c>
      <c r="D1599" s="229" t="s">
        <v>678</v>
      </c>
      <c r="E1599" s="229" t="s">
        <v>0</v>
      </c>
      <c r="F1599" s="229">
        <v>396</v>
      </c>
      <c r="G1599" s="40">
        <f>F1599/270</f>
        <v>1.4666666666666666</v>
      </c>
      <c r="H1599" s="14">
        <v>0</v>
      </c>
      <c r="I1599" s="229">
        <v>0</v>
      </c>
      <c r="J1599" s="229">
        <v>1</v>
      </c>
      <c r="K1599" s="26">
        <v>1</v>
      </c>
      <c r="L1599" s="14">
        <v>0</v>
      </c>
      <c r="M1599" s="229">
        <v>0</v>
      </c>
      <c r="N1599" s="229">
        <v>1</v>
      </c>
      <c r="O1599" s="229">
        <v>0</v>
      </c>
      <c r="P1599" s="26">
        <v>1</v>
      </c>
      <c r="Q1599" s="14">
        <v>1</v>
      </c>
      <c r="R1599" s="229">
        <v>0</v>
      </c>
      <c r="S1599" s="229">
        <v>14</v>
      </c>
      <c r="T1599" s="229">
        <v>0</v>
      </c>
      <c r="U1599" s="229">
        <v>0</v>
      </c>
      <c r="V1599" s="229">
        <v>0</v>
      </c>
      <c r="W1599" s="229">
        <v>0</v>
      </c>
      <c r="X1599" s="229">
        <v>0</v>
      </c>
      <c r="Y1599" s="229">
        <v>0</v>
      </c>
      <c r="Z1599" s="229">
        <v>0</v>
      </c>
      <c r="AA1599" s="229">
        <v>0</v>
      </c>
      <c r="AB1599" s="229">
        <v>0</v>
      </c>
      <c r="AC1599" s="12">
        <v>2</v>
      </c>
      <c r="AD1599" s="14">
        <v>4</v>
      </c>
      <c r="AE1599" s="14">
        <v>81</v>
      </c>
      <c r="AF1599" s="26">
        <v>208</v>
      </c>
      <c r="AG1599" s="12">
        <v>66</v>
      </c>
      <c r="AH1599" s="14">
        <v>1</v>
      </c>
      <c r="AI1599" s="209"/>
      <c r="AJ1599" s="3"/>
      <c r="AK1599" s="3"/>
      <c r="AL1599" s="3"/>
      <c r="AM1599" s="3"/>
      <c r="AN1599" s="3"/>
      <c r="AO1599" s="40"/>
      <c r="AP1599" s="209"/>
      <c r="AQ1599" s="3"/>
      <c r="AR1599" s="40"/>
      <c r="AS1599" s="238"/>
    </row>
    <row r="1600" spans="1:45" s="229" customFormat="1">
      <c r="A1600" s="42" t="s">
        <v>326</v>
      </c>
      <c r="B1600" s="386">
        <v>49.511666666666663</v>
      </c>
      <c r="C1600" s="24" t="s">
        <v>759</v>
      </c>
      <c r="D1600" s="229" t="s">
        <v>678</v>
      </c>
      <c r="E1600" s="229" t="s">
        <v>1</v>
      </c>
      <c r="F1600" s="229">
        <v>736</v>
      </c>
      <c r="G1600" s="40">
        <f>F1600/286</f>
        <v>2.5734265734265733</v>
      </c>
      <c r="H1600" s="14">
        <v>0</v>
      </c>
      <c r="I1600" s="229">
        <v>0</v>
      </c>
      <c r="J1600" s="229">
        <v>0</v>
      </c>
      <c r="K1600" s="26">
        <v>1</v>
      </c>
      <c r="L1600" s="14">
        <v>0</v>
      </c>
      <c r="M1600" s="229">
        <v>0</v>
      </c>
      <c r="N1600" s="229">
        <v>0</v>
      </c>
      <c r="O1600" s="229">
        <v>0</v>
      </c>
      <c r="P1600" s="26">
        <v>0</v>
      </c>
      <c r="Q1600" s="14">
        <v>2</v>
      </c>
      <c r="R1600" s="229">
        <v>18</v>
      </c>
      <c r="S1600" s="229">
        <v>21</v>
      </c>
      <c r="T1600" s="229">
        <v>0</v>
      </c>
      <c r="U1600" s="229">
        <v>0</v>
      </c>
      <c r="V1600" s="229">
        <v>11</v>
      </c>
      <c r="W1600" s="229">
        <v>26</v>
      </c>
      <c r="X1600" s="229">
        <v>0</v>
      </c>
      <c r="Y1600" s="229">
        <v>0</v>
      </c>
      <c r="Z1600" s="229">
        <v>0</v>
      </c>
      <c r="AA1600" s="229">
        <v>0</v>
      </c>
      <c r="AB1600" s="229">
        <v>1</v>
      </c>
      <c r="AC1600" s="12">
        <v>2</v>
      </c>
      <c r="AD1600" s="14">
        <v>2</v>
      </c>
      <c r="AE1600" s="14">
        <v>380</v>
      </c>
      <c r="AF1600" s="26">
        <v>392</v>
      </c>
      <c r="AG1600" s="12">
        <v>66</v>
      </c>
      <c r="AH1600" s="14">
        <v>1</v>
      </c>
      <c r="AI1600" s="209"/>
      <c r="AJ1600" s="3"/>
      <c r="AK1600" s="3"/>
      <c r="AL1600" s="3"/>
      <c r="AM1600" s="3"/>
      <c r="AN1600" s="3"/>
      <c r="AO1600" s="40"/>
      <c r="AP1600" s="209"/>
      <c r="AQ1600" s="3"/>
      <c r="AR1600" s="40"/>
      <c r="AS1600" s="238"/>
    </row>
    <row r="1601" spans="1:45" s="229" customFormat="1">
      <c r="A1601" s="42" t="s">
        <v>326</v>
      </c>
      <c r="B1601" s="386">
        <v>49.511666666666663</v>
      </c>
      <c r="C1601" s="24" t="s">
        <v>759</v>
      </c>
      <c r="D1601" s="229" t="s">
        <v>678</v>
      </c>
      <c r="E1601" s="229" t="s">
        <v>2</v>
      </c>
      <c r="F1601" s="229">
        <v>361</v>
      </c>
      <c r="G1601" s="40">
        <f>F1601/190</f>
        <v>1.9</v>
      </c>
      <c r="H1601" s="14">
        <v>0</v>
      </c>
      <c r="I1601" s="229">
        <v>0</v>
      </c>
      <c r="J1601" s="229">
        <v>1</v>
      </c>
      <c r="K1601" s="26">
        <v>0</v>
      </c>
      <c r="L1601" s="14">
        <v>0</v>
      </c>
      <c r="M1601" s="229">
        <v>0</v>
      </c>
      <c r="N1601" s="229">
        <v>1</v>
      </c>
      <c r="O1601" s="229">
        <v>0</v>
      </c>
      <c r="P1601" s="26">
        <v>1</v>
      </c>
      <c r="Q1601" s="14"/>
      <c r="R1601" s="229">
        <v>0</v>
      </c>
      <c r="S1601" s="229">
        <v>10</v>
      </c>
      <c r="T1601" s="229">
        <v>0</v>
      </c>
      <c r="U1601" s="229">
        <v>0</v>
      </c>
      <c r="V1601" s="229">
        <v>0</v>
      </c>
      <c r="W1601" s="229">
        <v>0</v>
      </c>
      <c r="X1601" s="229">
        <v>0</v>
      </c>
      <c r="Y1601" s="229">
        <v>0</v>
      </c>
      <c r="Z1601" s="229">
        <v>56</v>
      </c>
      <c r="AA1601" s="229">
        <v>62</v>
      </c>
      <c r="AB1601" s="229">
        <v>0</v>
      </c>
      <c r="AC1601" s="12">
        <v>1</v>
      </c>
      <c r="AD1601" s="14">
        <v>1</v>
      </c>
      <c r="AE1601" s="14">
        <v>0</v>
      </c>
      <c r="AF1601" s="26">
        <v>0</v>
      </c>
      <c r="AG1601" s="12">
        <v>66</v>
      </c>
      <c r="AH1601" s="14">
        <v>1</v>
      </c>
      <c r="AI1601" s="209"/>
      <c r="AJ1601" s="3"/>
      <c r="AK1601" s="3"/>
      <c r="AL1601" s="3"/>
      <c r="AM1601" s="3"/>
      <c r="AN1601" s="3"/>
      <c r="AO1601" s="40"/>
      <c r="AP1601" s="209"/>
      <c r="AQ1601" s="3"/>
      <c r="AR1601" s="40"/>
      <c r="AS1601" s="238"/>
    </row>
    <row r="1602" spans="1:45" s="229" customFormat="1">
      <c r="A1602" s="42" t="s">
        <v>326</v>
      </c>
      <c r="B1602" s="386">
        <v>49.511666666666663</v>
      </c>
      <c r="C1602" s="24" t="s">
        <v>759</v>
      </c>
      <c r="D1602" s="229" t="s">
        <v>680</v>
      </c>
      <c r="F1602" s="229">
        <v>794</v>
      </c>
      <c r="G1602" s="40">
        <f>F1602/290</f>
        <v>2.7379310344827585</v>
      </c>
      <c r="H1602" s="14">
        <v>0</v>
      </c>
      <c r="I1602" s="229">
        <v>0</v>
      </c>
      <c r="J1602" s="229">
        <v>1</v>
      </c>
      <c r="K1602" s="26">
        <v>0</v>
      </c>
      <c r="L1602" s="14">
        <v>0</v>
      </c>
      <c r="M1602" s="229">
        <v>0</v>
      </c>
      <c r="N1602" s="229">
        <v>0</v>
      </c>
      <c r="O1602" s="229">
        <v>1</v>
      </c>
      <c r="P1602" s="26">
        <v>1</v>
      </c>
      <c r="Q1602" s="14">
        <v>50</v>
      </c>
      <c r="R1602" s="229">
        <v>0</v>
      </c>
      <c r="S1602" s="229">
        <v>0</v>
      </c>
      <c r="T1602" s="229">
        <v>0</v>
      </c>
      <c r="U1602" s="229">
        <v>0</v>
      </c>
      <c r="V1602" s="229">
        <v>0</v>
      </c>
      <c r="W1602" s="229">
        <v>0</v>
      </c>
      <c r="X1602" s="229">
        <v>0</v>
      </c>
      <c r="Y1602" s="229">
        <v>0</v>
      </c>
      <c r="Z1602" s="229">
        <v>217</v>
      </c>
      <c r="AA1602" s="229">
        <v>427</v>
      </c>
      <c r="AB1602" s="229">
        <v>0</v>
      </c>
      <c r="AC1602" s="12">
        <v>2</v>
      </c>
      <c r="AD1602" s="14">
        <v>2</v>
      </c>
      <c r="AE1602" s="14">
        <v>49</v>
      </c>
      <c r="AF1602" s="26">
        <v>794</v>
      </c>
      <c r="AG1602" s="12">
        <v>34</v>
      </c>
      <c r="AH1602" s="14">
        <v>1</v>
      </c>
      <c r="AI1602" s="209"/>
      <c r="AJ1602" s="3"/>
      <c r="AK1602" s="3"/>
      <c r="AL1602" s="3"/>
      <c r="AM1602" s="3"/>
      <c r="AN1602" s="3"/>
      <c r="AO1602" s="40"/>
      <c r="AP1602" s="209"/>
      <c r="AQ1602" s="3"/>
      <c r="AR1602" s="40"/>
      <c r="AS1602" s="238"/>
    </row>
    <row r="1603" spans="1:45" s="229" customFormat="1">
      <c r="A1603" s="42" t="s">
        <v>326</v>
      </c>
      <c r="B1603" s="386">
        <v>49.511666666666663</v>
      </c>
      <c r="C1603" s="24" t="s">
        <v>759</v>
      </c>
      <c r="D1603" s="229" t="s">
        <v>681</v>
      </c>
      <c r="F1603" s="229">
        <v>665</v>
      </c>
      <c r="G1603" s="40">
        <f>F1603/512</f>
        <v>1.298828125</v>
      </c>
      <c r="H1603" s="14">
        <v>0</v>
      </c>
      <c r="I1603" s="229">
        <v>0</v>
      </c>
      <c r="J1603" s="229">
        <v>1</v>
      </c>
      <c r="K1603" s="26">
        <v>0</v>
      </c>
      <c r="L1603" s="14">
        <v>0</v>
      </c>
      <c r="M1603" s="229">
        <v>1</v>
      </c>
      <c r="N1603" s="229">
        <v>0</v>
      </c>
      <c r="O1603" s="229">
        <v>0</v>
      </c>
      <c r="P1603" s="26">
        <v>1</v>
      </c>
      <c r="Q1603" s="14">
        <v>10</v>
      </c>
      <c r="R1603" s="229">
        <v>6</v>
      </c>
      <c r="S1603" s="229">
        <v>10</v>
      </c>
      <c r="T1603" s="229">
        <v>0</v>
      </c>
      <c r="U1603" s="229">
        <v>0</v>
      </c>
      <c r="V1603" s="229">
        <v>8</v>
      </c>
      <c r="W1603" s="229">
        <v>42</v>
      </c>
      <c r="X1603" s="229">
        <v>0</v>
      </c>
      <c r="Y1603" s="229">
        <v>0</v>
      </c>
      <c r="Z1603" s="229">
        <v>51</v>
      </c>
      <c r="AA1603" s="229">
        <v>292</v>
      </c>
      <c r="AB1603" s="229">
        <v>0</v>
      </c>
      <c r="AC1603" s="12">
        <v>1</v>
      </c>
      <c r="AD1603" s="14">
        <v>1</v>
      </c>
      <c r="AE1603" s="14">
        <v>0</v>
      </c>
      <c r="AF1603" s="26">
        <v>0</v>
      </c>
      <c r="AG1603" s="12">
        <v>70</v>
      </c>
      <c r="AH1603" s="14">
        <v>1</v>
      </c>
      <c r="AI1603" s="209"/>
      <c r="AJ1603" s="3"/>
      <c r="AK1603" s="3"/>
      <c r="AL1603" s="3"/>
      <c r="AM1603" s="3"/>
      <c r="AN1603" s="3"/>
      <c r="AO1603" s="40"/>
      <c r="AP1603" s="209"/>
      <c r="AQ1603" s="3"/>
      <c r="AR1603" s="40"/>
      <c r="AS1603" s="238"/>
    </row>
    <row r="1604" spans="1:45" s="229" customFormat="1">
      <c r="A1604" s="42" t="s">
        <v>326</v>
      </c>
      <c r="B1604" s="386">
        <v>49.511666666666663</v>
      </c>
      <c r="C1604" s="24" t="s">
        <v>759</v>
      </c>
      <c r="D1604" s="229" t="s">
        <v>683</v>
      </c>
      <c r="F1604" s="229">
        <v>1035</v>
      </c>
      <c r="G1604" s="40">
        <f>F1604/270</f>
        <v>3.8333333333333335</v>
      </c>
      <c r="H1604" s="14">
        <v>0</v>
      </c>
      <c r="I1604" s="229">
        <v>0</v>
      </c>
      <c r="J1604" s="229">
        <v>1</v>
      </c>
      <c r="K1604" s="26">
        <v>1</v>
      </c>
      <c r="L1604" s="14">
        <v>0</v>
      </c>
      <c r="M1604" s="229">
        <v>0</v>
      </c>
      <c r="N1604" s="229">
        <v>0</v>
      </c>
      <c r="O1604" s="229">
        <v>0</v>
      </c>
      <c r="P1604" s="26">
        <v>0</v>
      </c>
      <c r="Q1604" s="14">
        <v>10</v>
      </c>
      <c r="R1604" s="229">
        <v>0</v>
      </c>
      <c r="S1604" s="229">
        <v>0</v>
      </c>
      <c r="T1604" s="229">
        <v>0</v>
      </c>
      <c r="U1604" s="229">
        <v>0</v>
      </c>
      <c r="V1604" s="229">
        <v>0</v>
      </c>
      <c r="W1604" s="229">
        <v>32</v>
      </c>
      <c r="X1604" s="229">
        <v>0</v>
      </c>
      <c r="Y1604" s="229">
        <v>0</v>
      </c>
      <c r="Z1604" s="229">
        <v>260</v>
      </c>
      <c r="AA1604" s="229">
        <v>356</v>
      </c>
      <c r="AB1604" s="229">
        <v>0</v>
      </c>
      <c r="AC1604" s="12">
        <v>2</v>
      </c>
      <c r="AD1604" s="14">
        <v>3</v>
      </c>
      <c r="AE1604" s="14">
        <v>90</v>
      </c>
      <c r="AF1604" s="26">
        <v>1035</v>
      </c>
      <c r="AG1604" s="12">
        <v>52</v>
      </c>
      <c r="AH1604" s="14">
        <v>1</v>
      </c>
      <c r="AI1604" s="209"/>
      <c r="AJ1604" s="3"/>
      <c r="AK1604" s="3"/>
      <c r="AL1604" s="3"/>
      <c r="AM1604" s="3"/>
      <c r="AN1604" s="3"/>
      <c r="AO1604" s="40"/>
      <c r="AP1604" s="209"/>
      <c r="AQ1604" s="3"/>
      <c r="AR1604" s="40"/>
      <c r="AS1604" s="238"/>
    </row>
    <row r="1605" spans="1:45" s="229" customFormat="1">
      <c r="A1605" s="42" t="s">
        <v>326</v>
      </c>
      <c r="B1605" s="386">
        <v>49.511666666666663</v>
      </c>
      <c r="C1605" s="24" t="s">
        <v>759</v>
      </c>
      <c r="D1605" s="229" t="s">
        <v>684</v>
      </c>
      <c r="F1605" s="229">
        <v>474</v>
      </c>
      <c r="G1605" s="40">
        <f>F1605/349</f>
        <v>1.3581661891117478</v>
      </c>
      <c r="H1605" s="14">
        <v>1</v>
      </c>
      <c r="I1605" s="229">
        <v>0</v>
      </c>
      <c r="J1605" s="229">
        <v>0</v>
      </c>
      <c r="K1605" s="26">
        <v>1</v>
      </c>
      <c r="L1605" s="14">
        <v>0</v>
      </c>
      <c r="M1605" s="229">
        <v>0</v>
      </c>
      <c r="N1605" s="229">
        <v>0</v>
      </c>
      <c r="O1605" s="229">
        <v>1</v>
      </c>
      <c r="P1605" s="26">
        <v>1</v>
      </c>
      <c r="Q1605" s="14">
        <v>2</v>
      </c>
      <c r="R1605" s="229">
        <v>0</v>
      </c>
      <c r="S1605" s="229">
        <v>31</v>
      </c>
      <c r="T1605" s="229">
        <v>0</v>
      </c>
      <c r="U1605" s="229">
        <v>0</v>
      </c>
      <c r="V1605" s="229">
        <v>11</v>
      </c>
      <c r="W1605" s="229">
        <v>37</v>
      </c>
      <c r="X1605" s="229">
        <v>0</v>
      </c>
      <c r="Y1605" s="229">
        <v>0</v>
      </c>
      <c r="Z1605" s="229">
        <v>0</v>
      </c>
      <c r="AA1605" s="229">
        <v>0</v>
      </c>
      <c r="AB1605" s="229">
        <v>0</v>
      </c>
      <c r="AC1605" s="12">
        <v>2</v>
      </c>
      <c r="AD1605" s="14">
        <v>4</v>
      </c>
      <c r="AE1605" s="14">
        <v>55</v>
      </c>
      <c r="AF1605" s="26">
        <v>318</v>
      </c>
      <c r="AG1605" s="12">
        <v>44</v>
      </c>
      <c r="AH1605" s="14">
        <v>1</v>
      </c>
      <c r="AI1605" s="209">
        <v>88.119484275861737</v>
      </c>
      <c r="AJ1605" s="3" t="s">
        <v>760</v>
      </c>
      <c r="AK1605" s="3" t="s">
        <v>761</v>
      </c>
      <c r="AL1605" s="3"/>
      <c r="AM1605" s="3"/>
      <c r="AN1605" s="3"/>
      <c r="AO1605" s="40"/>
      <c r="AP1605" s="209">
        <v>88.533217630622303</v>
      </c>
      <c r="AQ1605" s="3"/>
      <c r="AR1605" s="40"/>
      <c r="AS1605" s="238"/>
    </row>
    <row r="1606" spans="1:45" s="229" customFormat="1">
      <c r="A1606" s="42" t="s">
        <v>326</v>
      </c>
      <c r="B1606" s="386">
        <v>49.511666666666663</v>
      </c>
      <c r="C1606" s="24" t="s">
        <v>759</v>
      </c>
      <c r="D1606" s="229" t="s">
        <v>685</v>
      </c>
      <c r="F1606" s="229">
        <v>628</v>
      </c>
      <c r="G1606" s="40">
        <f>F1606/554</f>
        <v>1.1335740072202165</v>
      </c>
      <c r="H1606" s="14">
        <v>0</v>
      </c>
      <c r="I1606" s="229">
        <v>0</v>
      </c>
      <c r="J1606" s="229">
        <v>1</v>
      </c>
      <c r="K1606" s="26">
        <v>1</v>
      </c>
      <c r="L1606" s="14">
        <v>0</v>
      </c>
      <c r="M1606" s="229">
        <v>0</v>
      </c>
      <c r="N1606" s="229">
        <v>0</v>
      </c>
      <c r="O1606" s="229">
        <v>1</v>
      </c>
      <c r="P1606" s="26">
        <v>1</v>
      </c>
      <c r="Q1606" s="14">
        <v>5</v>
      </c>
      <c r="R1606" s="229">
        <v>0</v>
      </c>
      <c r="S1606" s="229">
        <v>7</v>
      </c>
      <c r="T1606" s="229">
        <v>11</v>
      </c>
      <c r="U1606" s="229">
        <v>71</v>
      </c>
      <c r="V1606" s="229">
        <v>0</v>
      </c>
      <c r="W1606" s="229">
        <v>0</v>
      </c>
      <c r="X1606" s="229">
        <v>0</v>
      </c>
      <c r="Y1606" s="229">
        <v>0</v>
      </c>
      <c r="Z1606" s="229">
        <v>0</v>
      </c>
      <c r="AA1606" s="229">
        <v>92</v>
      </c>
      <c r="AB1606" s="229">
        <v>0</v>
      </c>
      <c r="AC1606" s="12">
        <v>2</v>
      </c>
      <c r="AD1606" s="14">
        <v>3</v>
      </c>
      <c r="AE1606" s="14">
        <v>288</v>
      </c>
      <c r="AF1606" s="26">
        <v>420</v>
      </c>
      <c r="AG1606" s="12">
        <v>53</v>
      </c>
      <c r="AH1606" s="14">
        <v>1</v>
      </c>
      <c r="AI1606" s="209"/>
      <c r="AJ1606" s="3"/>
      <c r="AK1606" s="3"/>
      <c r="AL1606" s="3"/>
      <c r="AM1606" s="3"/>
      <c r="AN1606" s="3"/>
      <c r="AO1606" s="40"/>
      <c r="AP1606" s="209"/>
      <c r="AQ1606" s="3"/>
      <c r="AR1606" s="40"/>
      <c r="AS1606" s="238"/>
    </row>
    <row r="1607" spans="1:45" s="229" customFormat="1">
      <c r="A1607" s="42" t="s">
        <v>326</v>
      </c>
      <c r="B1607" s="386">
        <v>49.511666666666663</v>
      </c>
      <c r="C1607" s="24" t="s">
        <v>759</v>
      </c>
      <c r="D1607" s="229" t="s">
        <v>689</v>
      </c>
      <c r="F1607" s="229">
        <v>391</v>
      </c>
      <c r="G1607" s="40">
        <f>F1607/250</f>
        <v>1.5640000000000001</v>
      </c>
      <c r="H1607" s="14">
        <v>0</v>
      </c>
      <c r="I1607" s="229">
        <v>0</v>
      </c>
      <c r="J1607" s="229">
        <v>0</v>
      </c>
      <c r="K1607" s="26">
        <v>1</v>
      </c>
      <c r="L1607" s="14">
        <v>0</v>
      </c>
      <c r="M1607" s="229">
        <v>0</v>
      </c>
      <c r="N1607" s="229">
        <v>0</v>
      </c>
      <c r="O1607" s="229">
        <v>0</v>
      </c>
      <c r="P1607" s="26">
        <v>0</v>
      </c>
      <c r="Q1607" s="14">
        <v>1</v>
      </c>
      <c r="R1607" s="229">
        <v>0</v>
      </c>
      <c r="S1607" s="229">
        <v>28</v>
      </c>
      <c r="T1607" s="229">
        <v>0</v>
      </c>
      <c r="U1607" s="229">
        <v>0</v>
      </c>
      <c r="V1607" s="229">
        <v>0</v>
      </c>
      <c r="W1607" s="229">
        <v>0</v>
      </c>
      <c r="X1607" s="229">
        <v>0</v>
      </c>
      <c r="Y1607" s="229">
        <v>0</v>
      </c>
      <c r="Z1607" s="229">
        <v>0</v>
      </c>
      <c r="AA1607" s="229">
        <v>0</v>
      </c>
      <c r="AB1607" s="229">
        <v>0</v>
      </c>
      <c r="AC1607" s="12">
        <v>2</v>
      </c>
      <c r="AD1607" s="14">
        <v>3</v>
      </c>
      <c r="AE1607" s="14">
        <v>125</v>
      </c>
      <c r="AF1607" s="26">
        <v>329</v>
      </c>
      <c r="AG1607" s="12">
        <v>35</v>
      </c>
      <c r="AH1607" s="14">
        <v>1</v>
      </c>
      <c r="AI1607" s="209"/>
      <c r="AJ1607" s="3"/>
      <c r="AK1607" s="3"/>
      <c r="AL1607" s="3"/>
      <c r="AM1607" s="3"/>
      <c r="AN1607" s="3"/>
      <c r="AO1607" s="40"/>
      <c r="AP1607" s="209"/>
      <c r="AQ1607" s="3"/>
      <c r="AR1607" s="40"/>
      <c r="AS1607" s="238"/>
    </row>
    <row r="1608" spans="1:45" s="229" customFormat="1">
      <c r="A1608" s="42" t="s">
        <v>326</v>
      </c>
      <c r="B1608" s="386">
        <v>49.511666666666663</v>
      </c>
      <c r="C1608" s="24" t="s">
        <v>759</v>
      </c>
      <c r="D1608" s="229" t="s">
        <v>690</v>
      </c>
      <c r="E1608" s="229" t="s">
        <v>0</v>
      </c>
      <c r="F1608" s="229">
        <v>350</v>
      </c>
      <c r="G1608" s="40">
        <f>F1608/310</f>
        <v>1.1290322580645162</v>
      </c>
      <c r="H1608" s="14">
        <v>0</v>
      </c>
      <c r="I1608" s="229">
        <v>0</v>
      </c>
      <c r="J1608" s="229">
        <v>0</v>
      </c>
      <c r="K1608" s="26">
        <v>1</v>
      </c>
      <c r="L1608" s="14">
        <v>0</v>
      </c>
      <c r="M1608" s="229">
        <v>0</v>
      </c>
      <c r="N1608" s="229">
        <v>0</v>
      </c>
      <c r="O1608" s="229">
        <v>0</v>
      </c>
      <c r="P1608" s="26">
        <v>0</v>
      </c>
      <c r="Q1608" s="14">
        <v>0</v>
      </c>
      <c r="R1608" s="229">
        <v>0</v>
      </c>
      <c r="S1608" s="229">
        <v>0</v>
      </c>
      <c r="T1608" s="229">
        <v>0</v>
      </c>
      <c r="U1608" s="229">
        <v>0</v>
      </c>
      <c r="V1608" s="229">
        <v>0</v>
      </c>
      <c r="W1608" s="229">
        <v>0</v>
      </c>
      <c r="X1608" s="229">
        <v>0</v>
      </c>
      <c r="Y1608" s="229">
        <v>0</v>
      </c>
      <c r="Z1608" s="229">
        <v>0</v>
      </c>
      <c r="AA1608" s="229">
        <v>0</v>
      </c>
      <c r="AB1608" s="229">
        <v>0</v>
      </c>
      <c r="AC1608" s="12">
        <v>2</v>
      </c>
      <c r="AD1608" s="14">
        <v>8</v>
      </c>
      <c r="AE1608" s="14">
        <v>61</v>
      </c>
      <c r="AF1608" s="26">
        <v>181</v>
      </c>
      <c r="AG1608" s="12">
        <v>50</v>
      </c>
      <c r="AH1608" s="14">
        <v>1</v>
      </c>
      <c r="AI1608" s="209"/>
      <c r="AJ1608" s="3"/>
      <c r="AK1608" s="3"/>
      <c r="AL1608" s="3"/>
      <c r="AM1608" s="3"/>
      <c r="AN1608" s="3"/>
      <c r="AO1608" s="40"/>
      <c r="AP1608" s="209"/>
      <c r="AQ1608" s="3"/>
      <c r="AR1608" s="40"/>
      <c r="AS1608" s="238"/>
    </row>
    <row r="1609" spans="1:45" s="229" customFormat="1">
      <c r="A1609" s="42" t="s">
        <v>326</v>
      </c>
      <c r="B1609" s="386">
        <v>49.511666666666663</v>
      </c>
      <c r="C1609" s="24" t="s">
        <v>759</v>
      </c>
      <c r="D1609" s="229" t="s">
        <v>690</v>
      </c>
      <c r="E1609" s="229" t="s">
        <v>1</v>
      </c>
      <c r="F1609" s="229">
        <v>521</v>
      </c>
      <c r="G1609" s="40">
        <f>F1609/198</f>
        <v>2.6313131313131315</v>
      </c>
      <c r="H1609" s="14">
        <v>0</v>
      </c>
      <c r="I1609" s="229">
        <v>0</v>
      </c>
      <c r="J1609" s="229">
        <v>0</v>
      </c>
      <c r="K1609" s="26">
        <v>1</v>
      </c>
      <c r="L1609" s="14">
        <v>0</v>
      </c>
      <c r="M1609" s="229">
        <v>0</v>
      </c>
      <c r="N1609" s="229">
        <v>0</v>
      </c>
      <c r="O1609" s="229">
        <v>0</v>
      </c>
      <c r="P1609" s="26">
        <v>0</v>
      </c>
      <c r="Q1609" s="14">
        <v>2</v>
      </c>
      <c r="R1609" s="229">
        <v>0</v>
      </c>
      <c r="S1609" s="229">
        <v>0</v>
      </c>
      <c r="T1609" s="229">
        <v>0</v>
      </c>
      <c r="U1609" s="229">
        <v>0</v>
      </c>
      <c r="V1609" s="229">
        <v>0</v>
      </c>
      <c r="W1609" s="229">
        <v>48</v>
      </c>
      <c r="X1609" s="229">
        <v>0</v>
      </c>
      <c r="Y1609" s="229">
        <v>0</v>
      </c>
      <c r="Z1609" s="229">
        <v>0</v>
      </c>
      <c r="AA1609" s="229">
        <v>0</v>
      </c>
      <c r="AB1609" s="229">
        <v>1</v>
      </c>
      <c r="AC1609" s="12">
        <v>2</v>
      </c>
      <c r="AD1609" s="14">
        <v>3</v>
      </c>
      <c r="AE1609" s="14">
        <v>60</v>
      </c>
      <c r="AF1609" s="26">
        <v>276</v>
      </c>
      <c r="AG1609" s="12">
        <v>50</v>
      </c>
      <c r="AH1609" s="14">
        <v>1</v>
      </c>
      <c r="AI1609" s="209"/>
      <c r="AJ1609" s="3"/>
      <c r="AK1609" s="3"/>
      <c r="AL1609" s="3"/>
      <c r="AM1609" s="3"/>
      <c r="AN1609" s="3"/>
      <c r="AO1609" s="40"/>
      <c r="AP1609" s="209">
        <v>88.569770042764944</v>
      </c>
      <c r="AQ1609" s="3">
        <v>88.750402625912216</v>
      </c>
      <c r="AR1609" s="40"/>
      <c r="AS1609" s="238"/>
    </row>
    <row r="1610" spans="1:45" s="229" customFormat="1">
      <c r="A1610" s="42" t="s">
        <v>326</v>
      </c>
      <c r="B1610" s="386">
        <v>49.511666666666663</v>
      </c>
      <c r="C1610" s="24" t="s">
        <v>759</v>
      </c>
      <c r="D1610" s="229" t="s">
        <v>690</v>
      </c>
      <c r="E1610" s="229" t="s">
        <v>2</v>
      </c>
      <c r="F1610" s="229">
        <v>270</v>
      </c>
      <c r="G1610" s="40">
        <f>F1610/220</f>
        <v>1.2272727272727273</v>
      </c>
      <c r="H1610" s="14">
        <v>1</v>
      </c>
      <c r="I1610" s="229">
        <v>0</v>
      </c>
      <c r="J1610" s="229">
        <v>0</v>
      </c>
      <c r="K1610" s="26">
        <v>0</v>
      </c>
      <c r="L1610" s="14">
        <v>0</v>
      </c>
      <c r="M1610" s="229">
        <v>0</v>
      </c>
      <c r="N1610" s="229">
        <v>0</v>
      </c>
      <c r="O1610" s="229">
        <v>0</v>
      </c>
      <c r="P1610" s="26">
        <v>0</v>
      </c>
      <c r="Q1610" s="14">
        <v>5</v>
      </c>
      <c r="R1610" s="229">
        <v>0</v>
      </c>
      <c r="S1610" s="229">
        <v>0</v>
      </c>
      <c r="T1610" s="229">
        <v>0</v>
      </c>
      <c r="U1610" s="229">
        <v>0</v>
      </c>
      <c r="V1610" s="229">
        <v>0</v>
      </c>
      <c r="W1610" s="229">
        <v>46</v>
      </c>
      <c r="X1610" s="229">
        <v>0</v>
      </c>
      <c r="Y1610" s="229">
        <v>21</v>
      </c>
      <c r="Z1610" s="229">
        <v>0</v>
      </c>
      <c r="AA1610" s="229">
        <v>0</v>
      </c>
      <c r="AB1610" s="229">
        <v>1</v>
      </c>
      <c r="AC1610" s="12">
        <v>1</v>
      </c>
      <c r="AD1610" s="14">
        <v>1</v>
      </c>
      <c r="AE1610" s="14">
        <v>0</v>
      </c>
      <c r="AF1610" s="26">
        <v>0</v>
      </c>
      <c r="AG1610" s="12">
        <v>50</v>
      </c>
      <c r="AH1610" s="14">
        <v>1</v>
      </c>
      <c r="AI1610" s="209">
        <v>88.758675197241345</v>
      </c>
      <c r="AJ1610" s="3"/>
      <c r="AK1610" s="3"/>
      <c r="AL1610" s="3"/>
      <c r="AM1610" s="3"/>
      <c r="AN1610" s="3"/>
      <c r="AO1610" s="40"/>
      <c r="AP1610" s="209">
        <v>88.72343247914543</v>
      </c>
      <c r="AQ1610" s="3"/>
      <c r="AR1610" s="40"/>
      <c r="AS1610" s="238"/>
    </row>
    <row r="1611" spans="1:45" s="229" customFormat="1">
      <c r="A1611" s="42" t="s">
        <v>326</v>
      </c>
      <c r="B1611" s="386">
        <v>49.511666666666663</v>
      </c>
      <c r="C1611" s="24" t="s">
        <v>759</v>
      </c>
      <c r="D1611" s="229" t="s">
        <v>690</v>
      </c>
      <c r="E1611" s="229" t="s">
        <v>3</v>
      </c>
      <c r="F1611" s="229">
        <v>100</v>
      </c>
      <c r="G1611" s="40">
        <f>F1611/32</f>
        <v>3.125</v>
      </c>
      <c r="H1611" s="14">
        <v>1</v>
      </c>
      <c r="I1611" s="229">
        <v>0</v>
      </c>
      <c r="J1611" s="229">
        <v>0</v>
      </c>
      <c r="K1611" s="26">
        <v>0</v>
      </c>
      <c r="L1611" s="14">
        <v>0</v>
      </c>
      <c r="M1611" s="229">
        <v>0</v>
      </c>
      <c r="N1611" s="229">
        <v>0</v>
      </c>
      <c r="O1611" s="229">
        <v>0</v>
      </c>
      <c r="P1611" s="26">
        <v>0</v>
      </c>
      <c r="Q1611" s="14">
        <v>0</v>
      </c>
      <c r="R1611" s="229">
        <v>0</v>
      </c>
      <c r="S1611" s="229">
        <v>0</v>
      </c>
      <c r="T1611" s="229">
        <v>0</v>
      </c>
      <c r="U1611" s="229">
        <v>0</v>
      </c>
      <c r="V1611" s="229">
        <v>0</v>
      </c>
      <c r="W1611" s="229">
        <v>0</v>
      </c>
      <c r="X1611" s="229">
        <v>0</v>
      </c>
      <c r="Y1611" s="229">
        <v>0</v>
      </c>
      <c r="Z1611" s="229">
        <v>0</v>
      </c>
      <c r="AA1611" s="229">
        <v>0</v>
      </c>
      <c r="AB1611" s="229">
        <v>0</v>
      </c>
      <c r="AC1611" s="12">
        <v>1</v>
      </c>
      <c r="AD1611" s="14">
        <v>1</v>
      </c>
      <c r="AE1611" s="14">
        <v>0</v>
      </c>
      <c r="AF1611" s="26">
        <v>0</v>
      </c>
      <c r="AG1611" s="12">
        <v>50</v>
      </c>
      <c r="AH1611" s="14">
        <v>0</v>
      </c>
      <c r="AI1611" s="209"/>
      <c r="AJ1611" s="3"/>
      <c r="AK1611" s="3"/>
      <c r="AL1611" s="3"/>
      <c r="AM1611" s="3"/>
      <c r="AN1611" s="3"/>
      <c r="AO1611" s="40"/>
      <c r="AP1611" s="209"/>
      <c r="AQ1611" s="3"/>
      <c r="AR1611" s="40"/>
      <c r="AS1611" s="238"/>
    </row>
    <row r="1612" spans="1:45" s="229" customFormat="1">
      <c r="A1612" s="42" t="s">
        <v>326</v>
      </c>
      <c r="B1612" s="386">
        <v>49.511666666666663</v>
      </c>
      <c r="C1612" s="24" t="s">
        <v>759</v>
      </c>
      <c r="D1612" s="229" t="s">
        <v>695</v>
      </c>
      <c r="F1612" s="229">
        <v>474</v>
      </c>
      <c r="G1612" s="40">
        <f>F1612/455</f>
        <v>1.0417582417582418</v>
      </c>
      <c r="H1612" s="14">
        <v>0</v>
      </c>
      <c r="I1612" s="229">
        <v>0</v>
      </c>
      <c r="J1612" s="229">
        <v>1</v>
      </c>
      <c r="K1612" s="26">
        <v>0</v>
      </c>
      <c r="L1612" s="14">
        <v>0</v>
      </c>
      <c r="M1612" s="229">
        <v>0</v>
      </c>
      <c r="N1612" s="229">
        <v>1</v>
      </c>
      <c r="O1612" s="229">
        <v>0</v>
      </c>
      <c r="P1612" s="26">
        <v>1</v>
      </c>
      <c r="Q1612" s="14">
        <v>2</v>
      </c>
      <c r="R1612" s="229">
        <v>18</v>
      </c>
      <c r="S1612" s="229">
        <v>27</v>
      </c>
      <c r="T1612" s="229">
        <v>0</v>
      </c>
      <c r="U1612" s="229">
        <v>0</v>
      </c>
      <c r="V1612" s="229">
        <v>0</v>
      </c>
      <c r="W1612" s="229">
        <v>29</v>
      </c>
      <c r="X1612" s="229">
        <v>0</v>
      </c>
      <c r="Y1612" s="229">
        <v>0</v>
      </c>
      <c r="Z1612" s="229">
        <v>25</v>
      </c>
      <c r="AA1612" s="229">
        <v>57</v>
      </c>
      <c r="AB1612" s="229">
        <v>0</v>
      </c>
      <c r="AC1612" s="12">
        <v>1</v>
      </c>
      <c r="AD1612" s="14">
        <v>1</v>
      </c>
      <c r="AE1612" s="14">
        <v>0</v>
      </c>
      <c r="AF1612" s="26">
        <v>0</v>
      </c>
      <c r="AG1612" s="12">
        <v>44</v>
      </c>
      <c r="AH1612" s="14">
        <v>1</v>
      </c>
      <c r="AI1612" s="209"/>
      <c r="AJ1612" s="3"/>
      <c r="AK1612" s="3"/>
      <c r="AL1612" s="3"/>
      <c r="AM1612" s="3"/>
      <c r="AN1612" s="3"/>
      <c r="AO1612" s="40"/>
      <c r="AP1612" s="209"/>
      <c r="AQ1612" s="3"/>
      <c r="AR1612" s="40"/>
      <c r="AS1612" s="238"/>
    </row>
    <row r="1613" spans="1:45" s="229" customFormat="1">
      <c r="A1613" s="42" t="s">
        <v>326</v>
      </c>
      <c r="B1613" s="386">
        <v>49.511666666666663</v>
      </c>
      <c r="C1613" s="24" t="s">
        <v>759</v>
      </c>
      <c r="D1613" s="229" t="s">
        <v>697</v>
      </c>
      <c r="F1613" s="229">
        <v>719</v>
      </c>
      <c r="G1613" s="40">
        <f>F1613/480</f>
        <v>1.4979166666666666</v>
      </c>
      <c r="H1613" s="14">
        <v>0</v>
      </c>
      <c r="I1613" s="229">
        <v>0</v>
      </c>
      <c r="J1613" s="229">
        <v>1</v>
      </c>
      <c r="K1613" s="26">
        <v>1</v>
      </c>
      <c r="L1613" s="14">
        <v>1</v>
      </c>
      <c r="M1613" s="229">
        <v>0</v>
      </c>
      <c r="N1613" s="229">
        <v>0</v>
      </c>
      <c r="O1613" s="229">
        <v>0</v>
      </c>
      <c r="P1613" s="26">
        <v>1</v>
      </c>
      <c r="Q1613" s="14">
        <v>1</v>
      </c>
      <c r="R1613" s="229">
        <v>0</v>
      </c>
      <c r="S1613" s="229">
        <v>0</v>
      </c>
      <c r="T1613" s="229">
        <v>0</v>
      </c>
      <c r="U1613" s="229">
        <v>0</v>
      </c>
      <c r="V1613" s="229">
        <v>6</v>
      </c>
      <c r="W1613" s="229">
        <v>47</v>
      </c>
      <c r="X1613" s="229">
        <v>0</v>
      </c>
      <c r="Y1613" s="229">
        <v>0</v>
      </c>
      <c r="Z1613" s="229">
        <v>0</v>
      </c>
      <c r="AA1613" s="229">
        <v>0</v>
      </c>
      <c r="AB1613" s="229">
        <v>0</v>
      </c>
      <c r="AC1613" s="12">
        <v>2</v>
      </c>
      <c r="AD1613" s="14">
        <v>2</v>
      </c>
      <c r="AE1613" s="14">
        <v>190</v>
      </c>
      <c r="AF1613" s="26">
        <v>719</v>
      </c>
      <c r="AG1613" s="12">
        <v>65</v>
      </c>
      <c r="AH1613" s="14">
        <v>1</v>
      </c>
      <c r="AI1613" s="209">
        <v>85.896031735631382</v>
      </c>
      <c r="AJ1613" s="3"/>
      <c r="AK1613" s="3"/>
      <c r="AL1613" s="3"/>
      <c r="AM1613" s="3"/>
      <c r="AN1613" s="3"/>
      <c r="AO1613" s="40"/>
      <c r="AP1613" s="209">
        <v>88.697104897022342</v>
      </c>
      <c r="AQ1613" s="3"/>
      <c r="AR1613" s="40"/>
      <c r="AS1613" s="238"/>
    </row>
    <row r="1614" spans="1:45" s="229" customFormat="1">
      <c r="A1614" s="42" t="s">
        <v>326</v>
      </c>
      <c r="B1614" s="386">
        <v>49.511666666666663</v>
      </c>
      <c r="C1614" s="24" t="s">
        <v>759</v>
      </c>
      <c r="D1614" s="229" t="s">
        <v>699</v>
      </c>
      <c r="E1614" s="229" t="s">
        <v>0</v>
      </c>
      <c r="F1614" s="229">
        <v>388</v>
      </c>
      <c r="G1614" s="40">
        <f>F1614/118</f>
        <v>3.2881355932203391</v>
      </c>
      <c r="H1614" s="14">
        <v>0</v>
      </c>
      <c r="I1614" s="229">
        <v>0</v>
      </c>
      <c r="J1614" s="229">
        <v>1</v>
      </c>
      <c r="K1614" s="26">
        <v>0</v>
      </c>
      <c r="L1614" s="14">
        <v>0</v>
      </c>
      <c r="M1614" s="229">
        <v>0</v>
      </c>
      <c r="N1614" s="229">
        <v>0</v>
      </c>
      <c r="O1614" s="229">
        <v>0</v>
      </c>
      <c r="P1614" s="26">
        <v>0</v>
      </c>
      <c r="Q1614" s="14">
        <v>5</v>
      </c>
      <c r="R1614" s="229">
        <v>0</v>
      </c>
      <c r="S1614" s="229">
        <v>0</v>
      </c>
      <c r="T1614" s="229">
        <v>0</v>
      </c>
      <c r="U1614" s="229">
        <v>0</v>
      </c>
      <c r="V1614" s="229">
        <v>32</v>
      </c>
      <c r="W1614" s="229">
        <v>75</v>
      </c>
      <c r="X1614" s="229">
        <v>0</v>
      </c>
      <c r="Y1614" s="229">
        <v>0</v>
      </c>
      <c r="Z1614" s="229">
        <v>0</v>
      </c>
      <c r="AA1614" s="229">
        <v>0</v>
      </c>
      <c r="AB1614" s="229">
        <v>0</v>
      </c>
      <c r="AC1614" s="12">
        <v>1</v>
      </c>
      <c r="AD1614" s="14">
        <v>1</v>
      </c>
      <c r="AE1614" s="14">
        <v>0</v>
      </c>
      <c r="AF1614" s="26">
        <v>0</v>
      </c>
      <c r="AG1614" s="12">
        <v>42</v>
      </c>
      <c r="AH1614" s="14">
        <v>1</v>
      </c>
      <c r="AI1614" s="209"/>
      <c r="AJ1614" s="3"/>
      <c r="AK1614" s="3"/>
      <c r="AL1614" s="3"/>
      <c r="AM1614" s="3"/>
      <c r="AN1614" s="3"/>
      <c r="AO1614" s="40"/>
      <c r="AP1614" s="209"/>
      <c r="AQ1614" s="3"/>
      <c r="AR1614" s="40"/>
      <c r="AS1614" s="238"/>
    </row>
    <row r="1615" spans="1:45" s="229" customFormat="1">
      <c r="A1615" s="42" t="s">
        <v>326</v>
      </c>
      <c r="B1615" s="386">
        <v>49.511666666666663</v>
      </c>
      <c r="C1615" s="24" t="s">
        <v>759</v>
      </c>
      <c r="D1615" s="229" t="s">
        <v>699</v>
      </c>
      <c r="E1615" s="229" t="s">
        <v>1</v>
      </c>
      <c r="F1615" s="229">
        <v>825</v>
      </c>
      <c r="G1615" s="40">
        <f>F1615/267</f>
        <v>3.0898876404494384</v>
      </c>
      <c r="H1615" s="14">
        <v>0</v>
      </c>
      <c r="I1615" s="229">
        <v>0</v>
      </c>
      <c r="J1615" s="229">
        <v>1</v>
      </c>
      <c r="K1615" s="26">
        <v>0</v>
      </c>
      <c r="L1615" s="14">
        <v>0</v>
      </c>
      <c r="M1615" s="229">
        <v>1</v>
      </c>
      <c r="N1615" s="229">
        <v>0</v>
      </c>
      <c r="O1615" s="229">
        <v>0</v>
      </c>
      <c r="P1615" s="26">
        <v>1</v>
      </c>
      <c r="Q1615" s="14">
        <v>10</v>
      </c>
      <c r="R1615" s="229">
        <v>0</v>
      </c>
      <c r="S1615" s="229">
        <v>60</v>
      </c>
      <c r="T1615" s="229">
        <v>0</v>
      </c>
      <c r="U1615" s="229">
        <v>0</v>
      </c>
      <c r="V1615" s="229">
        <v>18</v>
      </c>
      <c r="W1615" s="229">
        <v>166</v>
      </c>
      <c r="X1615" s="229">
        <v>0</v>
      </c>
      <c r="Y1615" s="229">
        <v>0</v>
      </c>
      <c r="Z1615" s="229">
        <v>0</v>
      </c>
      <c r="AA1615" s="229">
        <v>0</v>
      </c>
      <c r="AB1615" s="229">
        <v>0</v>
      </c>
      <c r="AC1615" s="12">
        <v>1</v>
      </c>
      <c r="AD1615" s="14">
        <v>1</v>
      </c>
      <c r="AE1615" s="14">
        <v>0</v>
      </c>
      <c r="AF1615" s="26">
        <v>0</v>
      </c>
      <c r="AG1615" s="12">
        <v>42</v>
      </c>
      <c r="AH1615" s="14">
        <v>1</v>
      </c>
      <c r="AI1615" s="209"/>
      <c r="AJ1615" s="3"/>
      <c r="AK1615" s="3"/>
      <c r="AL1615" s="3"/>
      <c r="AM1615" s="3"/>
      <c r="AN1615" s="3"/>
      <c r="AO1615" s="40"/>
      <c r="AP1615" s="209"/>
      <c r="AQ1615" s="3"/>
      <c r="AR1615" s="40"/>
      <c r="AS1615" s="238"/>
    </row>
    <row r="1616" spans="1:45" s="229" customFormat="1">
      <c r="A1616" s="42" t="s">
        <v>326</v>
      </c>
      <c r="B1616" s="386">
        <v>49.511666666666663</v>
      </c>
      <c r="C1616" s="24" t="s">
        <v>759</v>
      </c>
      <c r="D1616" s="229" t="s">
        <v>699</v>
      </c>
      <c r="E1616" s="229" t="s">
        <v>2</v>
      </c>
      <c r="F1616" s="229">
        <v>307</v>
      </c>
      <c r="G1616" s="40">
        <f>F1616/181</f>
        <v>1.6961325966850829</v>
      </c>
      <c r="H1616" s="14">
        <v>0</v>
      </c>
      <c r="I1616" s="229">
        <v>0</v>
      </c>
      <c r="J1616" s="229">
        <v>1</v>
      </c>
      <c r="K1616" s="26">
        <v>0</v>
      </c>
      <c r="L1616" s="14">
        <v>0</v>
      </c>
      <c r="M1616" s="229">
        <v>0</v>
      </c>
      <c r="N1616" s="229">
        <v>0</v>
      </c>
      <c r="O1616" s="229">
        <v>0</v>
      </c>
      <c r="P1616" s="26">
        <v>0</v>
      </c>
      <c r="Q1616" s="14">
        <v>10</v>
      </c>
      <c r="R1616" s="229">
        <v>0</v>
      </c>
      <c r="S1616" s="229">
        <v>0</v>
      </c>
      <c r="T1616" s="229">
        <v>0</v>
      </c>
      <c r="U1616" s="229">
        <v>0</v>
      </c>
      <c r="V1616" s="229">
        <v>0</v>
      </c>
      <c r="W1616" s="229">
        <v>0</v>
      </c>
      <c r="X1616" s="229">
        <v>0</v>
      </c>
      <c r="Y1616" s="229">
        <v>0</v>
      </c>
      <c r="Z1616" s="229">
        <v>0</v>
      </c>
      <c r="AA1616" s="229">
        <v>83</v>
      </c>
      <c r="AB1616" s="229">
        <v>0</v>
      </c>
      <c r="AC1616" s="12">
        <v>1</v>
      </c>
      <c r="AD1616" s="14">
        <v>1</v>
      </c>
      <c r="AE1616" s="14">
        <v>0</v>
      </c>
      <c r="AF1616" s="26">
        <v>0</v>
      </c>
      <c r="AG1616" s="12">
        <v>42</v>
      </c>
      <c r="AH1616" s="14">
        <v>1</v>
      </c>
      <c r="AI1616" s="209"/>
      <c r="AJ1616" s="3"/>
      <c r="AK1616" s="3"/>
      <c r="AL1616" s="3"/>
      <c r="AM1616" s="3"/>
      <c r="AN1616" s="3"/>
      <c r="AO1616" s="40"/>
      <c r="AP1616" s="209"/>
      <c r="AQ1616" s="3"/>
      <c r="AR1616" s="40"/>
      <c r="AS1616" s="238"/>
    </row>
    <row r="1617" spans="1:45" s="229" customFormat="1" ht="17" thickBot="1">
      <c r="A1617" s="42" t="s">
        <v>326</v>
      </c>
      <c r="B1617" s="385">
        <v>49.511666666666663</v>
      </c>
      <c r="C1617" s="103" t="s">
        <v>759</v>
      </c>
      <c r="D1617" s="36" t="s">
        <v>700</v>
      </c>
      <c r="E1617" s="36"/>
      <c r="F1617" s="36">
        <v>1322</v>
      </c>
      <c r="G1617" s="48">
        <f>F1617/362</f>
        <v>3.6519337016574585</v>
      </c>
      <c r="H1617" s="34">
        <v>0</v>
      </c>
      <c r="I1617" s="36">
        <v>0</v>
      </c>
      <c r="J1617" s="36">
        <v>1</v>
      </c>
      <c r="K1617" s="35">
        <v>1</v>
      </c>
      <c r="L1617" s="34">
        <v>0</v>
      </c>
      <c r="M1617" s="36">
        <v>0</v>
      </c>
      <c r="N1617" s="36">
        <v>0</v>
      </c>
      <c r="O1617" s="36">
        <v>0</v>
      </c>
      <c r="P1617" s="35">
        <v>0</v>
      </c>
      <c r="Q1617" s="34">
        <v>15</v>
      </c>
      <c r="R1617" s="36">
        <v>0</v>
      </c>
      <c r="S1617" s="36">
        <v>0</v>
      </c>
      <c r="T1617" s="36">
        <v>0</v>
      </c>
      <c r="U1617" s="36">
        <v>0</v>
      </c>
      <c r="V1617" s="36">
        <v>14</v>
      </c>
      <c r="W1617" s="36">
        <v>237</v>
      </c>
      <c r="X1617" s="36">
        <v>0</v>
      </c>
      <c r="Y1617" s="36">
        <v>0</v>
      </c>
      <c r="Z1617" s="36">
        <v>0</v>
      </c>
      <c r="AA1617" s="36">
        <v>0</v>
      </c>
      <c r="AB1617" s="36">
        <v>0</v>
      </c>
      <c r="AC1617" s="33">
        <v>2</v>
      </c>
      <c r="AD1617" s="34">
        <v>5</v>
      </c>
      <c r="AE1617" s="34">
        <v>45</v>
      </c>
      <c r="AF1617" s="35">
        <v>1272</v>
      </c>
      <c r="AG1617" s="33">
        <v>103</v>
      </c>
      <c r="AH1617" s="34">
        <v>1</v>
      </c>
      <c r="AI1617" s="210">
        <v>88.522043008073979</v>
      </c>
      <c r="AJ1617" s="51"/>
      <c r="AK1617" s="51"/>
      <c r="AL1617" s="51"/>
      <c r="AM1617" s="51"/>
      <c r="AN1617" s="51"/>
      <c r="AO1617" s="48"/>
      <c r="AP1617" s="210">
        <v>88.572420052777062</v>
      </c>
      <c r="AQ1617" s="51"/>
      <c r="AR1617" s="48"/>
      <c r="AS1617" s="239"/>
    </row>
    <row r="1618" spans="1:45" s="229" customFormat="1">
      <c r="A1618" s="147" t="s">
        <v>326</v>
      </c>
      <c r="B1618" s="386">
        <v>46.27</v>
      </c>
      <c r="C1618" s="24" t="s">
        <v>137</v>
      </c>
      <c r="D1618" s="229" t="s">
        <v>423</v>
      </c>
      <c r="E1618" s="229" t="s">
        <v>0</v>
      </c>
      <c r="F1618" s="229">
        <v>1158</v>
      </c>
      <c r="G1618" s="40">
        <f>F1618/822</f>
        <v>1.4087591240875912</v>
      </c>
      <c r="H1618" s="14">
        <v>1</v>
      </c>
      <c r="I1618" s="229">
        <v>0</v>
      </c>
      <c r="J1618" s="229">
        <v>0</v>
      </c>
      <c r="K1618" s="26">
        <v>1</v>
      </c>
      <c r="L1618" s="14">
        <v>0</v>
      </c>
      <c r="M1618" s="229">
        <v>0</v>
      </c>
      <c r="N1618" s="229">
        <v>0</v>
      </c>
      <c r="O1618" s="229">
        <v>0</v>
      </c>
      <c r="P1618" s="26">
        <v>0</v>
      </c>
      <c r="Q1618" s="14">
        <v>1</v>
      </c>
      <c r="R1618" s="229">
        <v>0</v>
      </c>
      <c r="S1618" s="229">
        <v>0</v>
      </c>
      <c r="T1618" s="229">
        <v>0</v>
      </c>
      <c r="U1618" s="229">
        <v>0</v>
      </c>
      <c r="V1618" s="229">
        <v>19</v>
      </c>
      <c r="W1618" s="229">
        <v>65</v>
      </c>
      <c r="X1618" s="229">
        <v>0</v>
      </c>
      <c r="Y1618" s="229">
        <v>0</v>
      </c>
      <c r="Z1618" s="229">
        <v>0</v>
      </c>
      <c r="AA1618" s="229">
        <v>0</v>
      </c>
      <c r="AB1618" s="229">
        <v>0</v>
      </c>
      <c r="AC1618" s="12">
        <v>2</v>
      </c>
      <c r="AD1618" s="14">
        <v>6</v>
      </c>
      <c r="AE1618" s="14">
        <v>61</v>
      </c>
      <c r="AF1618" s="26">
        <v>822</v>
      </c>
      <c r="AG1618" s="12">
        <v>113</v>
      </c>
      <c r="AH1618" s="14">
        <v>1</v>
      </c>
      <c r="AI1618" s="209"/>
      <c r="AJ1618" s="3"/>
      <c r="AK1618" s="3"/>
      <c r="AL1618" s="3"/>
      <c r="AM1618" s="3"/>
      <c r="AN1618" s="3"/>
      <c r="AO1618" s="40"/>
      <c r="AP1618" s="209"/>
      <c r="AQ1618" s="3"/>
      <c r="AR1618" s="40"/>
      <c r="AS1618" s="238"/>
    </row>
    <row r="1619" spans="1:45" s="229" customFormat="1">
      <c r="A1619" s="83" t="s">
        <v>326</v>
      </c>
      <c r="B1619" s="386">
        <v>46.27</v>
      </c>
      <c r="C1619" s="24" t="s">
        <v>137</v>
      </c>
      <c r="D1619" s="229" t="s">
        <v>423</v>
      </c>
      <c r="E1619" s="229" t="s">
        <v>1</v>
      </c>
      <c r="F1619" s="229">
        <v>1792</v>
      </c>
      <c r="G1619" s="40">
        <f>F1619/1025</f>
        <v>1.7482926829268293</v>
      </c>
      <c r="H1619" s="14">
        <v>1</v>
      </c>
      <c r="I1619" s="229">
        <v>0</v>
      </c>
      <c r="J1619" s="229">
        <v>0</v>
      </c>
      <c r="K1619" s="26">
        <v>1</v>
      </c>
      <c r="L1619" s="14">
        <v>0</v>
      </c>
      <c r="M1619" s="229">
        <v>0</v>
      </c>
      <c r="N1619" s="229">
        <v>0</v>
      </c>
      <c r="O1619" s="229">
        <v>0</v>
      </c>
      <c r="P1619" s="26">
        <v>0</v>
      </c>
      <c r="Q1619" s="14">
        <v>1</v>
      </c>
      <c r="R1619" s="229">
        <v>0</v>
      </c>
      <c r="S1619" s="229">
        <v>0</v>
      </c>
      <c r="T1619" s="229">
        <v>0</v>
      </c>
      <c r="U1619" s="229">
        <v>0</v>
      </c>
      <c r="V1619" s="229">
        <v>25</v>
      </c>
      <c r="W1619" s="229">
        <v>53</v>
      </c>
      <c r="X1619" s="229">
        <v>0</v>
      </c>
      <c r="Y1619" s="229">
        <v>0</v>
      </c>
      <c r="Z1619" s="229">
        <v>0</v>
      </c>
      <c r="AA1619" s="229">
        <v>0</v>
      </c>
      <c r="AB1619" s="229">
        <v>0</v>
      </c>
      <c r="AC1619" s="12">
        <v>2</v>
      </c>
      <c r="AD1619" s="14">
        <v>12</v>
      </c>
      <c r="AE1619" s="14">
        <v>147</v>
      </c>
      <c r="AF1619" s="26">
        <v>770</v>
      </c>
      <c r="AG1619" s="12">
        <v>113</v>
      </c>
      <c r="AH1619" s="14">
        <v>1</v>
      </c>
      <c r="AI1619" s="209"/>
      <c r="AJ1619" s="3"/>
      <c r="AK1619" s="3"/>
      <c r="AL1619" s="3"/>
      <c r="AM1619" s="3"/>
      <c r="AN1619" s="3"/>
      <c r="AO1619" s="40"/>
      <c r="AP1619" s="209"/>
      <c r="AQ1619" s="3"/>
      <c r="AR1619" s="40"/>
      <c r="AS1619" s="238"/>
    </row>
    <row r="1620" spans="1:45" s="229" customFormat="1">
      <c r="A1620" s="83" t="s">
        <v>326</v>
      </c>
      <c r="B1620" s="386">
        <v>46.27</v>
      </c>
      <c r="C1620" s="24" t="s">
        <v>137</v>
      </c>
      <c r="D1620" s="229" t="s">
        <v>622</v>
      </c>
      <c r="E1620" s="229" t="s">
        <v>0</v>
      </c>
      <c r="F1620" s="229">
        <v>471</v>
      </c>
      <c r="G1620" s="40">
        <f>F1620/295</f>
        <v>1.5966101694915253</v>
      </c>
      <c r="H1620" s="14">
        <v>0</v>
      </c>
      <c r="I1620" s="229">
        <v>0</v>
      </c>
      <c r="J1620" s="229">
        <v>0</v>
      </c>
      <c r="K1620" s="26">
        <v>1</v>
      </c>
      <c r="L1620" s="14">
        <v>0</v>
      </c>
      <c r="M1620" s="229">
        <v>0</v>
      </c>
      <c r="N1620" s="229">
        <v>1</v>
      </c>
      <c r="O1620" s="229">
        <v>0</v>
      </c>
      <c r="P1620" s="26">
        <v>1</v>
      </c>
      <c r="Q1620" s="14">
        <v>1</v>
      </c>
      <c r="R1620" s="229">
        <v>0</v>
      </c>
      <c r="S1620" s="229">
        <v>0</v>
      </c>
      <c r="T1620" s="229">
        <v>0</v>
      </c>
      <c r="U1620" s="229">
        <v>28</v>
      </c>
      <c r="V1620" s="229">
        <v>20</v>
      </c>
      <c r="W1620" s="229">
        <v>31</v>
      </c>
      <c r="X1620" s="229">
        <v>0</v>
      </c>
      <c r="Y1620" s="229">
        <v>0</v>
      </c>
      <c r="Z1620" s="229">
        <v>0</v>
      </c>
      <c r="AA1620" s="229">
        <v>0</v>
      </c>
      <c r="AB1620" s="229">
        <v>1</v>
      </c>
      <c r="AC1620" s="12">
        <v>2</v>
      </c>
      <c r="AD1620" s="14">
        <v>2</v>
      </c>
      <c r="AE1620" s="14">
        <v>251</v>
      </c>
      <c r="AF1620" s="26">
        <v>308</v>
      </c>
      <c r="AG1620" s="12">
        <v>114</v>
      </c>
      <c r="AH1620" s="14">
        <v>1</v>
      </c>
      <c r="AI1620" s="209"/>
      <c r="AJ1620" s="3"/>
      <c r="AK1620" s="3"/>
      <c r="AL1620" s="3"/>
      <c r="AM1620" s="3"/>
      <c r="AN1620" s="3"/>
      <c r="AO1620" s="40"/>
      <c r="AP1620" s="209"/>
      <c r="AQ1620" s="3"/>
      <c r="AR1620" s="40"/>
      <c r="AS1620" s="238"/>
    </row>
    <row r="1621" spans="1:45" s="229" customFormat="1">
      <c r="A1621" s="83" t="s">
        <v>326</v>
      </c>
      <c r="B1621" s="386">
        <v>46.27</v>
      </c>
      <c r="C1621" s="24" t="s">
        <v>137</v>
      </c>
      <c r="D1621" s="229" t="s">
        <v>622</v>
      </c>
      <c r="E1621" s="229" t="s">
        <v>1</v>
      </c>
      <c r="F1621" s="229">
        <v>557</v>
      </c>
      <c r="G1621" s="40">
        <f>F1621/362</f>
        <v>1.5386740331491713</v>
      </c>
      <c r="H1621" s="14">
        <v>0</v>
      </c>
      <c r="I1621" s="229">
        <v>0</v>
      </c>
      <c r="J1621" s="229">
        <v>0</v>
      </c>
      <c r="K1621" s="26">
        <v>1</v>
      </c>
      <c r="L1621" s="14">
        <v>0</v>
      </c>
      <c r="M1621" s="229">
        <v>0</v>
      </c>
      <c r="N1621" s="229">
        <v>1</v>
      </c>
      <c r="O1621" s="229">
        <v>0</v>
      </c>
      <c r="P1621" s="26">
        <v>1</v>
      </c>
      <c r="Q1621" s="14">
        <v>0</v>
      </c>
      <c r="R1621" s="229">
        <v>0</v>
      </c>
      <c r="S1621" s="229">
        <v>0</v>
      </c>
      <c r="T1621" s="229">
        <v>0</v>
      </c>
      <c r="U1621" s="229">
        <v>0</v>
      </c>
      <c r="V1621" s="229">
        <v>0</v>
      </c>
      <c r="W1621" s="229">
        <v>0</v>
      </c>
      <c r="X1621" s="229">
        <v>0</v>
      </c>
      <c r="Y1621" s="229">
        <v>0</v>
      </c>
      <c r="Z1621" s="229">
        <v>0</v>
      </c>
      <c r="AA1621" s="229">
        <v>0</v>
      </c>
      <c r="AB1621" s="229">
        <v>0</v>
      </c>
      <c r="AC1621" s="12">
        <v>2</v>
      </c>
      <c r="AD1621" s="14">
        <v>6</v>
      </c>
      <c r="AE1621" s="14">
        <v>78</v>
      </c>
      <c r="AF1621" s="26">
        <v>304</v>
      </c>
      <c r="AG1621" s="12">
        <v>114</v>
      </c>
      <c r="AH1621" s="14">
        <v>1</v>
      </c>
      <c r="AI1621" s="209"/>
      <c r="AJ1621" s="3"/>
      <c r="AK1621" s="3"/>
      <c r="AL1621" s="3"/>
      <c r="AM1621" s="3"/>
      <c r="AN1621" s="3"/>
      <c r="AO1621" s="40"/>
      <c r="AP1621" s="209"/>
      <c r="AQ1621" s="3"/>
      <c r="AR1621" s="40"/>
      <c r="AS1621" s="238"/>
    </row>
    <row r="1622" spans="1:45" s="229" customFormat="1">
      <c r="A1622" s="83" t="s">
        <v>326</v>
      </c>
      <c r="B1622" s="386">
        <v>46.27</v>
      </c>
      <c r="C1622" s="24" t="s">
        <v>137</v>
      </c>
      <c r="D1622" s="229" t="s">
        <v>620</v>
      </c>
      <c r="E1622" s="229" t="s">
        <v>0</v>
      </c>
      <c r="F1622" s="229">
        <v>274</v>
      </c>
      <c r="G1622" s="40">
        <f>F1622/153</f>
        <v>1.7908496732026145</v>
      </c>
      <c r="H1622" s="14">
        <v>0</v>
      </c>
      <c r="I1622" s="229">
        <v>0</v>
      </c>
      <c r="J1622" s="229">
        <v>0</v>
      </c>
      <c r="K1622" s="26">
        <v>1</v>
      </c>
      <c r="L1622" s="14">
        <v>0</v>
      </c>
      <c r="M1622" s="229">
        <v>0</v>
      </c>
      <c r="N1622" s="229">
        <v>0</v>
      </c>
      <c r="O1622" s="229">
        <v>0</v>
      </c>
      <c r="P1622" s="26">
        <v>0</v>
      </c>
      <c r="Q1622" s="14">
        <v>1</v>
      </c>
      <c r="R1622" s="229">
        <v>0</v>
      </c>
      <c r="S1622" s="229">
        <v>0</v>
      </c>
      <c r="T1622" s="229">
        <v>0</v>
      </c>
      <c r="U1622" s="229">
        <v>0</v>
      </c>
      <c r="V1622" s="229">
        <v>16</v>
      </c>
      <c r="W1622" s="229">
        <v>20</v>
      </c>
      <c r="X1622" s="229">
        <v>0</v>
      </c>
      <c r="Y1622" s="229">
        <v>0</v>
      </c>
      <c r="Z1622" s="229">
        <v>0</v>
      </c>
      <c r="AA1622" s="229">
        <v>0</v>
      </c>
      <c r="AB1622" s="229">
        <v>1</v>
      </c>
      <c r="AC1622" s="12">
        <v>1</v>
      </c>
      <c r="AD1622" s="14">
        <v>1</v>
      </c>
      <c r="AE1622" s="14">
        <v>0</v>
      </c>
      <c r="AF1622" s="26">
        <v>0</v>
      </c>
      <c r="AG1622" s="12">
        <v>146</v>
      </c>
      <c r="AH1622" s="14">
        <v>0</v>
      </c>
      <c r="AI1622" s="209"/>
      <c r="AJ1622" s="3"/>
      <c r="AK1622" s="3"/>
      <c r="AL1622" s="3"/>
      <c r="AM1622" s="3"/>
      <c r="AN1622" s="3"/>
      <c r="AO1622" s="40"/>
      <c r="AP1622" s="209"/>
      <c r="AQ1622" s="3"/>
      <c r="AR1622" s="40"/>
      <c r="AS1622" s="238"/>
    </row>
    <row r="1623" spans="1:45" s="229" customFormat="1">
      <c r="A1623" s="83" t="s">
        <v>326</v>
      </c>
      <c r="B1623" s="386">
        <v>46.27</v>
      </c>
      <c r="C1623" s="24" t="s">
        <v>137</v>
      </c>
      <c r="D1623" s="229" t="s">
        <v>620</v>
      </c>
      <c r="E1623" s="229" t="s">
        <v>1</v>
      </c>
      <c r="F1623" s="229">
        <v>256</v>
      </c>
      <c r="G1623" s="40">
        <f>F1623/134</f>
        <v>1.9104477611940298</v>
      </c>
      <c r="H1623" s="14">
        <v>0</v>
      </c>
      <c r="I1623" s="229">
        <v>0</v>
      </c>
      <c r="J1623" s="229">
        <v>0</v>
      </c>
      <c r="K1623" s="26">
        <v>1</v>
      </c>
      <c r="L1623" s="14">
        <v>0</v>
      </c>
      <c r="M1623" s="229">
        <v>0</v>
      </c>
      <c r="N1623" s="229">
        <v>0</v>
      </c>
      <c r="O1623" s="229">
        <v>0</v>
      </c>
      <c r="P1623" s="26">
        <v>0</v>
      </c>
      <c r="Q1623" s="14">
        <v>0</v>
      </c>
      <c r="R1623" s="229">
        <v>0</v>
      </c>
      <c r="S1623" s="229">
        <v>0</v>
      </c>
      <c r="T1623" s="229">
        <v>0</v>
      </c>
      <c r="U1623" s="229">
        <v>0</v>
      </c>
      <c r="V1623" s="229">
        <v>0</v>
      </c>
      <c r="W1623" s="229">
        <v>0</v>
      </c>
      <c r="X1623" s="229">
        <v>0</v>
      </c>
      <c r="Y1623" s="229">
        <v>0</v>
      </c>
      <c r="Z1623" s="229">
        <v>0</v>
      </c>
      <c r="AA1623" s="229">
        <v>0</v>
      </c>
      <c r="AB1623" s="229">
        <v>0</v>
      </c>
      <c r="AC1623" s="12">
        <v>1</v>
      </c>
      <c r="AD1623" s="14">
        <v>1</v>
      </c>
      <c r="AE1623" s="14">
        <v>0</v>
      </c>
      <c r="AF1623" s="26">
        <v>0</v>
      </c>
      <c r="AG1623" s="12">
        <v>146</v>
      </c>
      <c r="AH1623" s="14">
        <v>1</v>
      </c>
      <c r="AI1623" s="209"/>
      <c r="AJ1623" s="3"/>
      <c r="AK1623" s="3"/>
      <c r="AL1623" s="3"/>
      <c r="AM1623" s="3"/>
      <c r="AN1623" s="3"/>
      <c r="AO1623" s="40"/>
      <c r="AP1623" s="209"/>
      <c r="AQ1623" s="3"/>
      <c r="AR1623" s="40"/>
      <c r="AS1623" s="238"/>
    </row>
    <row r="1624" spans="1:45" s="229" customFormat="1">
      <c r="A1624" s="83" t="s">
        <v>326</v>
      </c>
      <c r="B1624" s="386">
        <v>46.27</v>
      </c>
      <c r="C1624" s="24" t="s">
        <v>137</v>
      </c>
      <c r="D1624" s="229" t="s">
        <v>620</v>
      </c>
      <c r="E1624" s="229" t="s">
        <v>2</v>
      </c>
      <c r="F1624" s="229">
        <v>436</v>
      </c>
      <c r="G1624" s="40">
        <f>F1624/319</f>
        <v>1.3667711598746082</v>
      </c>
      <c r="H1624" s="14">
        <v>0</v>
      </c>
      <c r="I1624" s="229">
        <v>0</v>
      </c>
      <c r="J1624" s="229">
        <v>0</v>
      </c>
      <c r="K1624" s="26">
        <v>1</v>
      </c>
      <c r="L1624" s="14">
        <v>0</v>
      </c>
      <c r="M1624" s="229">
        <v>0</v>
      </c>
      <c r="N1624" s="229">
        <v>0</v>
      </c>
      <c r="O1624" s="229">
        <v>0</v>
      </c>
      <c r="P1624" s="26">
        <v>0</v>
      </c>
      <c r="Q1624" s="14">
        <v>1</v>
      </c>
      <c r="R1624" s="229">
        <v>0</v>
      </c>
      <c r="S1624" s="229">
        <v>0</v>
      </c>
      <c r="T1624" s="229">
        <v>0</v>
      </c>
      <c r="U1624" s="229">
        <v>0</v>
      </c>
      <c r="V1624" s="229">
        <v>0</v>
      </c>
      <c r="W1624" s="229">
        <v>32</v>
      </c>
      <c r="X1624" s="229">
        <v>0</v>
      </c>
      <c r="Y1624" s="229">
        <v>0</v>
      </c>
      <c r="Z1624" s="229">
        <v>0</v>
      </c>
      <c r="AA1624" s="229">
        <v>0</v>
      </c>
      <c r="AB1624" s="229">
        <v>0</v>
      </c>
      <c r="AC1624" s="12">
        <v>2</v>
      </c>
      <c r="AD1624" s="14">
        <v>2</v>
      </c>
      <c r="AE1624" s="14">
        <v>436</v>
      </c>
      <c r="AF1624" s="26">
        <v>257</v>
      </c>
      <c r="AG1624" s="12">
        <v>146</v>
      </c>
      <c r="AH1624" s="14">
        <v>1</v>
      </c>
      <c r="AI1624" s="209">
        <v>85.60830997054687</v>
      </c>
      <c r="AJ1624" s="3">
        <v>85.748712210918384</v>
      </c>
      <c r="AK1624" s="3"/>
      <c r="AL1624" s="3"/>
      <c r="AM1624" s="3"/>
      <c r="AN1624" s="3"/>
      <c r="AO1624" s="40"/>
      <c r="AP1624" s="209"/>
      <c r="AQ1624" s="3"/>
      <c r="AR1624" s="40"/>
      <c r="AS1624" s="238"/>
    </row>
    <row r="1625" spans="1:45" s="229" customFormat="1">
      <c r="A1625" s="83" t="s">
        <v>326</v>
      </c>
      <c r="B1625" s="386">
        <v>46.27</v>
      </c>
      <c r="C1625" s="24" t="s">
        <v>137</v>
      </c>
      <c r="D1625" s="229" t="s">
        <v>625</v>
      </c>
      <c r="E1625" s="229" t="s">
        <v>0</v>
      </c>
      <c r="F1625" s="229">
        <v>449</v>
      </c>
      <c r="G1625" s="40">
        <f>F1625/301</f>
        <v>1.4916943521594683</v>
      </c>
      <c r="H1625" s="14">
        <v>0</v>
      </c>
      <c r="I1625" s="229">
        <v>0</v>
      </c>
      <c r="J1625" s="229">
        <v>0</v>
      </c>
      <c r="K1625" s="26">
        <v>1</v>
      </c>
      <c r="L1625" s="14">
        <v>0</v>
      </c>
      <c r="M1625" s="229">
        <v>0</v>
      </c>
      <c r="N1625" s="229">
        <v>1</v>
      </c>
      <c r="O1625" s="229">
        <v>0</v>
      </c>
      <c r="P1625" s="26">
        <v>1</v>
      </c>
      <c r="Q1625" s="14">
        <v>0</v>
      </c>
      <c r="R1625" s="229">
        <v>0</v>
      </c>
      <c r="S1625" s="229">
        <v>0</v>
      </c>
      <c r="T1625" s="229">
        <v>0</v>
      </c>
      <c r="U1625" s="229">
        <v>0</v>
      </c>
      <c r="V1625" s="229">
        <v>0</v>
      </c>
      <c r="W1625" s="229">
        <v>0</v>
      </c>
      <c r="X1625" s="229">
        <v>0</v>
      </c>
      <c r="Y1625" s="229">
        <v>0</v>
      </c>
      <c r="Z1625" s="229">
        <v>0</v>
      </c>
      <c r="AA1625" s="229">
        <v>0</v>
      </c>
      <c r="AB1625" s="229">
        <v>0</v>
      </c>
      <c r="AC1625" s="12">
        <v>2</v>
      </c>
      <c r="AD1625" s="14">
        <v>3</v>
      </c>
      <c r="AE1625" s="14">
        <v>199</v>
      </c>
      <c r="AF1625" s="26">
        <v>296</v>
      </c>
      <c r="AG1625" s="12">
        <v>113</v>
      </c>
      <c r="AH1625" s="14">
        <v>1</v>
      </c>
      <c r="AI1625" s="209"/>
      <c r="AJ1625" s="3"/>
      <c r="AK1625" s="3"/>
      <c r="AL1625" s="3"/>
      <c r="AM1625" s="3"/>
      <c r="AN1625" s="3"/>
      <c r="AO1625" s="40"/>
      <c r="AP1625" s="209"/>
      <c r="AQ1625" s="3"/>
      <c r="AR1625" s="40"/>
      <c r="AS1625" s="238"/>
    </row>
    <row r="1626" spans="1:45" s="229" customFormat="1">
      <c r="A1626" s="83" t="s">
        <v>326</v>
      </c>
      <c r="B1626" s="386">
        <v>46.27</v>
      </c>
      <c r="C1626" s="24" t="s">
        <v>137</v>
      </c>
      <c r="D1626" s="229" t="s">
        <v>625</v>
      </c>
      <c r="E1626" s="229" t="s">
        <v>1</v>
      </c>
      <c r="F1626" s="229">
        <v>769</v>
      </c>
      <c r="G1626" s="40">
        <f>F1626/686</f>
        <v>1.120991253644315</v>
      </c>
      <c r="H1626" s="14">
        <v>1</v>
      </c>
      <c r="I1626" s="229">
        <v>0</v>
      </c>
      <c r="J1626" s="229">
        <v>0</v>
      </c>
      <c r="K1626" s="26">
        <v>1</v>
      </c>
      <c r="L1626" s="14">
        <v>0</v>
      </c>
      <c r="M1626" s="229">
        <v>0</v>
      </c>
      <c r="N1626" s="229">
        <v>0</v>
      </c>
      <c r="O1626" s="229">
        <v>0</v>
      </c>
      <c r="P1626" s="26">
        <v>0</v>
      </c>
      <c r="Q1626" s="14">
        <v>1</v>
      </c>
      <c r="R1626" s="229">
        <v>0</v>
      </c>
      <c r="S1626" s="229">
        <v>52</v>
      </c>
      <c r="T1626" s="229">
        <v>0</v>
      </c>
      <c r="U1626" s="229">
        <v>0</v>
      </c>
      <c r="V1626" s="229">
        <v>0</v>
      </c>
      <c r="W1626" s="229">
        <v>0</v>
      </c>
      <c r="X1626" s="229">
        <v>0</v>
      </c>
      <c r="Y1626" s="229">
        <v>0</v>
      </c>
      <c r="Z1626" s="229">
        <v>0</v>
      </c>
      <c r="AA1626" s="229">
        <v>0</v>
      </c>
      <c r="AB1626" s="229">
        <v>0</v>
      </c>
      <c r="AC1626" s="12">
        <v>2</v>
      </c>
      <c r="AD1626" s="14">
        <v>6</v>
      </c>
      <c r="AE1626" s="14">
        <v>177</v>
      </c>
      <c r="AF1626" s="26">
        <v>480</v>
      </c>
      <c r="AG1626" s="12">
        <v>113</v>
      </c>
      <c r="AH1626" s="14">
        <v>1</v>
      </c>
      <c r="AI1626" s="209"/>
      <c r="AJ1626" s="3"/>
      <c r="AK1626" s="3"/>
      <c r="AL1626" s="3"/>
      <c r="AM1626" s="3"/>
      <c r="AN1626" s="3"/>
      <c r="AO1626" s="40"/>
      <c r="AP1626" s="209"/>
      <c r="AQ1626" s="3"/>
      <c r="AR1626" s="40"/>
      <c r="AS1626" s="238"/>
    </row>
    <row r="1627" spans="1:45" s="229" customFormat="1">
      <c r="A1627" s="83" t="s">
        <v>326</v>
      </c>
      <c r="B1627" s="386">
        <v>46.27</v>
      </c>
      <c r="C1627" s="24" t="s">
        <v>137</v>
      </c>
      <c r="D1627" s="229" t="s">
        <v>625</v>
      </c>
      <c r="E1627" s="229" t="s">
        <v>2</v>
      </c>
      <c r="F1627" s="229">
        <v>498</v>
      </c>
      <c r="G1627" s="40">
        <f>F1627/473</f>
        <v>1.0528541226215644</v>
      </c>
      <c r="H1627" s="14">
        <v>0</v>
      </c>
      <c r="I1627" s="229">
        <v>0</v>
      </c>
      <c r="J1627" s="229">
        <v>1</v>
      </c>
      <c r="K1627" s="26">
        <v>1</v>
      </c>
      <c r="L1627" s="14">
        <v>0</v>
      </c>
      <c r="M1627" s="229">
        <v>0</v>
      </c>
      <c r="N1627" s="229">
        <v>1</v>
      </c>
      <c r="O1627" s="229">
        <v>0</v>
      </c>
      <c r="P1627" s="26">
        <v>1</v>
      </c>
      <c r="Q1627" s="14">
        <v>5</v>
      </c>
      <c r="R1627" s="229">
        <v>0</v>
      </c>
      <c r="S1627" s="229">
        <v>0</v>
      </c>
      <c r="T1627" s="229">
        <v>0</v>
      </c>
      <c r="U1627" s="229">
        <v>0</v>
      </c>
      <c r="V1627" s="229">
        <v>0</v>
      </c>
      <c r="W1627" s="229">
        <v>0</v>
      </c>
      <c r="X1627" s="229">
        <v>0</v>
      </c>
      <c r="Y1627" s="229">
        <v>0</v>
      </c>
      <c r="Z1627" s="229">
        <v>0</v>
      </c>
      <c r="AA1627" s="229">
        <v>120</v>
      </c>
      <c r="AB1627" s="229">
        <v>0</v>
      </c>
      <c r="AC1627" s="12">
        <v>2</v>
      </c>
      <c r="AD1627" s="14">
        <v>6</v>
      </c>
      <c r="AE1627" s="14">
        <v>80</v>
      </c>
      <c r="AF1627" s="26">
        <v>311</v>
      </c>
      <c r="AG1627" s="12">
        <v>113</v>
      </c>
      <c r="AH1627" s="14">
        <v>1</v>
      </c>
      <c r="AI1627" s="209"/>
      <c r="AJ1627" s="3"/>
      <c r="AK1627" s="3"/>
      <c r="AL1627" s="3"/>
      <c r="AM1627" s="3"/>
      <c r="AN1627" s="3"/>
      <c r="AO1627" s="40"/>
      <c r="AP1627" s="209"/>
      <c r="AQ1627" s="3"/>
      <c r="AR1627" s="40"/>
      <c r="AS1627" s="238"/>
    </row>
    <row r="1628" spans="1:45" s="229" customFormat="1">
      <c r="A1628" s="83" t="s">
        <v>326</v>
      </c>
      <c r="B1628" s="386">
        <v>46.27</v>
      </c>
      <c r="C1628" s="24" t="s">
        <v>137</v>
      </c>
      <c r="D1628" s="229" t="s">
        <v>625</v>
      </c>
      <c r="E1628" s="229" t="s">
        <v>3</v>
      </c>
      <c r="F1628" s="229">
        <v>1156</v>
      </c>
      <c r="G1628" s="40">
        <f>F1628/463</f>
        <v>2.4967602591792657</v>
      </c>
      <c r="H1628" s="14">
        <v>0</v>
      </c>
      <c r="I1628" s="229">
        <v>0</v>
      </c>
      <c r="J1628" s="229">
        <v>1</v>
      </c>
      <c r="K1628" s="26">
        <v>1</v>
      </c>
      <c r="L1628" s="14">
        <v>0</v>
      </c>
      <c r="M1628" s="229">
        <v>0</v>
      </c>
      <c r="N1628" s="229">
        <v>1</v>
      </c>
      <c r="O1628" s="229">
        <v>0</v>
      </c>
      <c r="P1628" s="26">
        <v>1</v>
      </c>
      <c r="Q1628" s="14">
        <v>2</v>
      </c>
      <c r="R1628" s="229">
        <v>11</v>
      </c>
      <c r="S1628" s="229">
        <v>67</v>
      </c>
      <c r="T1628" s="229">
        <v>0</v>
      </c>
      <c r="U1628" s="229">
        <v>0</v>
      </c>
      <c r="V1628" s="229">
        <v>0</v>
      </c>
      <c r="W1628" s="229">
        <v>0</v>
      </c>
      <c r="X1628" s="229">
        <v>0</v>
      </c>
      <c r="Y1628" s="229">
        <v>0</v>
      </c>
      <c r="Z1628" s="229">
        <v>0</v>
      </c>
      <c r="AA1628" s="229">
        <v>0</v>
      </c>
      <c r="AB1628" s="229">
        <v>1</v>
      </c>
      <c r="AC1628" s="12">
        <v>2</v>
      </c>
      <c r="AD1628" s="14">
        <v>11</v>
      </c>
      <c r="AE1628" s="14">
        <v>72</v>
      </c>
      <c r="AF1628" s="26">
        <v>602</v>
      </c>
      <c r="AG1628" s="12">
        <v>113</v>
      </c>
      <c r="AH1628" s="14">
        <v>1</v>
      </c>
      <c r="AI1628" s="209"/>
      <c r="AJ1628" s="3"/>
      <c r="AK1628" s="3"/>
      <c r="AL1628" s="3"/>
      <c r="AM1628" s="3"/>
      <c r="AN1628" s="3"/>
      <c r="AO1628" s="40"/>
      <c r="AP1628" s="209"/>
      <c r="AQ1628" s="3"/>
      <c r="AR1628" s="40"/>
      <c r="AS1628" s="238"/>
    </row>
    <row r="1629" spans="1:45" s="229" customFormat="1">
      <c r="A1629" s="83" t="s">
        <v>326</v>
      </c>
      <c r="B1629" s="386">
        <v>46.27</v>
      </c>
      <c r="C1629" s="24" t="s">
        <v>137</v>
      </c>
      <c r="D1629" s="229" t="s">
        <v>630</v>
      </c>
      <c r="F1629" s="229">
        <v>1453</v>
      </c>
      <c r="G1629" s="40">
        <f>F1629/502</f>
        <v>2.8944223107569722</v>
      </c>
      <c r="H1629" s="14">
        <v>0</v>
      </c>
      <c r="I1629" s="229">
        <v>0</v>
      </c>
      <c r="J1629" s="229">
        <v>0</v>
      </c>
      <c r="K1629" s="26">
        <v>1</v>
      </c>
      <c r="L1629" s="14">
        <v>0</v>
      </c>
      <c r="M1629" s="229">
        <v>1</v>
      </c>
      <c r="N1629" s="229">
        <v>0</v>
      </c>
      <c r="O1629" s="229">
        <v>0</v>
      </c>
      <c r="P1629" s="26">
        <v>1</v>
      </c>
      <c r="Q1629" s="14">
        <v>2</v>
      </c>
      <c r="R1629" s="229">
        <v>0</v>
      </c>
      <c r="S1629" s="229">
        <v>12</v>
      </c>
      <c r="T1629" s="229">
        <v>0</v>
      </c>
      <c r="U1629" s="229">
        <v>0</v>
      </c>
      <c r="V1629" s="229">
        <v>0</v>
      </c>
      <c r="W1629" s="229">
        <v>52</v>
      </c>
      <c r="X1629" s="229">
        <v>0</v>
      </c>
      <c r="Y1629" s="229">
        <v>0</v>
      </c>
      <c r="Z1629" s="229">
        <v>0</v>
      </c>
      <c r="AA1629" s="229">
        <v>0</v>
      </c>
      <c r="AB1629" s="229">
        <v>1</v>
      </c>
      <c r="AC1629" s="12">
        <v>2</v>
      </c>
      <c r="AD1629" s="14">
        <v>10</v>
      </c>
      <c r="AE1629" s="14">
        <v>72</v>
      </c>
      <c r="AF1629" s="26">
        <v>719</v>
      </c>
      <c r="AG1629" s="12">
        <v>133</v>
      </c>
      <c r="AH1629" s="14">
        <v>1</v>
      </c>
      <c r="AI1629" s="209"/>
      <c r="AJ1629" s="3"/>
      <c r="AK1629" s="3"/>
      <c r="AL1629" s="3"/>
      <c r="AM1629" s="3"/>
      <c r="AN1629" s="3"/>
      <c r="AO1629" s="40"/>
      <c r="AP1629" s="209"/>
      <c r="AQ1629" s="3"/>
      <c r="AR1629" s="40"/>
      <c r="AS1629" s="238"/>
    </row>
    <row r="1630" spans="1:45" s="229" customFormat="1">
      <c r="A1630" s="83" t="s">
        <v>326</v>
      </c>
      <c r="B1630" s="386">
        <v>46.27</v>
      </c>
      <c r="C1630" s="24" t="s">
        <v>137</v>
      </c>
      <c r="D1630" s="229" t="s">
        <v>637</v>
      </c>
      <c r="E1630" s="229" t="s">
        <v>0</v>
      </c>
      <c r="F1630" s="229">
        <v>507</v>
      </c>
      <c r="G1630" s="40">
        <f>F1630/476</f>
        <v>1.0651260504201681</v>
      </c>
      <c r="H1630" s="14">
        <v>0</v>
      </c>
      <c r="I1630" s="229">
        <v>0</v>
      </c>
      <c r="J1630" s="229">
        <v>0</v>
      </c>
      <c r="K1630" s="26">
        <v>1</v>
      </c>
      <c r="L1630" s="14">
        <v>0</v>
      </c>
      <c r="M1630" s="229">
        <v>0</v>
      </c>
      <c r="N1630" s="229">
        <v>1</v>
      </c>
      <c r="O1630" s="229">
        <v>0</v>
      </c>
      <c r="P1630" s="26">
        <v>1</v>
      </c>
      <c r="Q1630" s="14">
        <v>2</v>
      </c>
      <c r="R1630" s="229">
        <v>24</v>
      </c>
      <c r="S1630" s="229">
        <v>57</v>
      </c>
      <c r="T1630" s="229">
        <v>0</v>
      </c>
      <c r="U1630" s="229">
        <v>0</v>
      </c>
      <c r="V1630" s="229">
        <v>0</v>
      </c>
      <c r="W1630" s="229">
        <v>0</v>
      </c>
      <c r="X1630" s="229">
        <v>0</v>
      </c>
      <c r="Y1630" s="229">
        <v>0</v>
      </c>
      <c r="Z1630" s="229">
        <v>0</v>
      </c>
      <c r="AA1630" s="229">
        <v>0</v>
      </c>
      <c r="AB1630" s="229">
        <v>0</v>
      </c>
      <c r="AC1630" s="12">
        <v>2</v>
      </c>
      <c r="AD1630" s="14">
        <v>4</v>
      </c>
      <c r="AE1630" s="14">
        <v>62</v>
      </c>
      <c r="AF1630" s="26">
        <v>476</v>
      </c>
      <c r="AG1630" s="12">
        <v>130</v>
      </c>
      <c r="AH1630" s="14">
        <v>1</v>
      </c>
      <c r="AI1630" s="209"/>
      <c r="AJ1630" s="3"/>
      <c r="AK1630" s="3"/>
      <c r="AL1630" s="3"/>
      <c r="AM1630" s="3"/>
      <c r="AN1630" s="3"/>
      <c r="AO1630" s="40"/>
      <c r="AP1630" s="209"/>
      <c r="AQ1630" s="3"/>
      <c r="AR1630" s="40"/>
      <c r="AS1630" s="238"/>
    </row>
    <row r="1631" spans="1:45" s="229" customFormat="1">
      <c r="A1631" s="83" t="s">
        <v>326</v>
      </c>
      <c r="B1631" s="386">
        <v>46.27</v>
      </c>
      <c r="C1631" s="24" t="s">
        <v>137</v>
      </c>
      <c r="D1631" s="229" t="s">
        <v>637</v>
      </c>
      <c r="E1631" s="229" t="s">
        <v>1</v>
      </c>
      <c r="F1631" s="229">
        <v>410</v>
      </c>
      <c r="G1631" s="40">
        <f>F1631/289</f>
        <v>1.4186851211072664</v>
      </c>
      <c r="H1631" s="14">
        <v>0</v>
      </c>
      <c r="I1631" s="229">
        <v>0</v>
      </c>
      <c r="J1631" s="229">
        <v>1</v>
      </c>
      <c r="K1631" s="26">
        <v>0</v>
      </c>
      <c r="L1631" s="14">
        <v>0</v>
      </c>
      <c r="M1631" s="229">
        <v>0</v>
      </c>
      <c r="N1631" s="229">
        <v>1</v>
      </c>
      <c r="O1631" s="229">
        <v>0</v>
      </c>
      <c r="P1631" s="26">
        <v>1</v>
      </c>
      <c r="Q1631" s="14">
        <v>2</v>
      </c>
      <c r="R1631" s="229">
        <v>0</v>
      </c>
      <c r="S1631" s="229">
        <v>0</v>
      </c>
      <c r="T1631" s="229">
        <v>0</v>
      </c>
      <c r="U1631" s="229">
        <v>0</v>
      </c>
      <c r="V1631" s="229">
        <v>0</v>
      </c>
      <c r="W1631" s="229">
        <v>0</v>
      </c>
      <c r="X1631" s="229">
        <v>0</v>
      </c>
      <c r="Y1631" s="229">
        <v>0</v>
      </c>
      <c r="Z1631" s="229">
        <v>0</v>
      </c>
      <c r="AA1631" s="229">
        <v>80</v>
      </c>
      <c r="AB1631" s="229">
        <v>0</v>
      </c>
      <c r="AC1631" s="12">
        <v>1</v>
      </c>
      <c r="AD1631" s="14">
        <v>1</v>
      </c>
      <c r="AE1631" s="14">
        <v>0</v>
      </c>
      <c r="AF1631" s="26">
        <v>0</v>
      </c>
      <c r="AG1631" s="12">
        <v>130</v>
      </c>
      <c r="AH1631" s="14">
        <v>0</v>
      </c>
      <c r="AI1631" s="209"/>
      <c r="AJ1631" s="3"/>
      <c r="AK1631" s="3"/>
      <c r="AL1631" s="3"/>
      <c r="AM1631" s="3"/>
      <c r="AN1631" s="3"/>
      <c r="AO1631" s="40"/>
      <c r="AP1631" s="209"/>
      <c r="AQ1631" s="3"/>
      <c r="AR1631" s="40"/>
      <c r="AS1631" s="238"/>
    </row>
    <row r="1632" spans="1:45" s="229" customFormat="1">
      <c r="A1632" s="83" t="s">
        <v>326</v>
      </c>
      <c r="B1632" s="386">
        <v>46.27</v>
      </c>
      <c r="C1632" s="24" t="s">
        <v>137</v>
      </c>
      <c r="D1632" s="229" t="s">
        <v>638</v>
      </c>
      <c r="E1632" s="229" t="s">
        <v>0</v>
      </c>
      <c r="F1632" s="229">
        <v>807</v>
      </c>
      <c r="G1632" s="40">
        <f>F1632/409</f>
        <v>1.9731051344743276</v>
      </c>
      <c r="H1632" s="14">
        <v>1</v>
      </c>
      <c r="I1632" s="229">
        <v>0</v>
      </c>
      <c r="J1632" s="229">
        <v>0</v>
      </c>
      <c r="K1632" s="26">
        <v>1</v>
      </c>
      <c r="L1632" s="14">
        <v>0</v>
      </c>
      <c r="M1632" s="229">
        <v>0</v>
      </c>
      <c r="N1632" s="229">
        <v>0</v>
      </c>
      <c r="O1632" s="229">
        <v>0</v>
      </c>
      <c r="P1632" s="26">
        <v>0</v>
      </c>
      <c r="Q1632" s="14">
        <v>0</v>
      </c>
      <c r="R1632" s="229">
        <v>0</v>
      </c>
      <c r="S1632" s="229">
        <v>0</v>
      </c>
      <c r="T1632" s="229">
        <v>0</v>
      </c>
      <c r="U1632" s="229">
        <v>0</v>
      </c>
      <c r="V1632" s="229">
        <v>0</v>
      </c>
      <c r="W1632" s="229">
        <v>0</v>
      </c>
      <c r="X1632" s="229">
        <v>0</v>
      </c>
      <c r="Y1632" s="229">
        <v>0</v>
      </c>
      <c r="Z1632" s="229">
        <v>0</v>
      </c>
      <c r="AA1632" s="229">
        <v>0</v>
      </c>
      <c r="AB1632" s="229">
        <v>0</v>
      </c>
      <c r="AC1632" s="12">
        <v>2</v>
      </c>
      <c r="AD1632" s="14">
        <v>2</v>
      </c>
      <c r="AE1632" s="14">
        <v>415</v>
      </c>
      <c r="AF1632" s="26">
        <v>576</v>
      </c>
      <c r="AG1632" s="12">
        <v>126</v>
      </c>
      <c r="AH1632" s="14">
        <v>1</v>
      </c>
      <c r="AI1632" s="209"/>
      <c r="AJ1632" s="3"/>
      <c r="AK1632" s="3"/>
      <c r="AL1632" s="3"/>
      <c r="AM1632" s="3"/>
      <c r="AN1632" s="3"/>
      <c r="AO1632" s="40"/>
      <c r="AP1632" s="209"/>
      <c r="AQ1632" s="3"/>
      <c r="AR1632" s="40"/>
      <c r="AS1632" s="238"/>
    </row>
    <row r="1633" spans="1:45" s="229" customFormat="1">
      <c r="A1633" s="83" t="s">
        <v>326</v>
      </c>
      <c r="B1633" s="386">
        <v>46.27</v>
      </c>
      <c r="C1633" s="24" t="s">
        <v>137</v>
      </c>
      <c r="D1633" s="229" t="s">
        <v>638</v>
      </c>
      <c r="E1633" s="229" t="s">
        <v>1</v>
      </c>
      <c r="F1633" s="229">
        <v>226</v>
      </c>
      <c r="G1633" s="40">
        <f>F1633/180</f>
        <v>1.2555555555555555</v>
      </c>
      <c r="H1633" s="14">
        <v>0</v>
      </c>
      <c r="I1633" s="229">
        <v>0</v>
      </c>
      <c r="J1633" s="229">
        <v>0</v>
      </c>
      <c r="K1633" s="26">
        <v>1</v>
      </c>
      <c r="L1633" s="14">
        <v>0</v>
      </c>
      <c r="M1633" s="229">
        <v>0</v>
      </c>
      <c r="N1633" s="229">
        <v>0</v>
      </c>
      <c r="O1633" s="229">
        <v>0</v>
      </c>
      <c r="P1633" s="26">
        <v>0</v>
      </c>
      <c r="Q1633" s="14">
        <v>0</v>
      </c>
      <c r="R1633" s="229">
        <v>0</v>
      </c>
      <c r="S1633" s="229">
        <v>0</v>
      </c>
      <c r="T1633" s="229">
        <v>0</v>
      </c>
      <c r="U1633" s="229">
        <v>0</v>
      </c>
      <c r="V1633" s="229">
        <v>0</v>
      </c>
      <c r="W1633" s="229">
        <v>0</v>
      </c>
      <c r="X1633" s="229">
        <v>0</v>
      </c>
      <c r="Y1633" s="229">
        <v>0</v>
      </c>
      <c r="Z1633" s="229">
        <v>0</v>
      </c>
      <c r="AA1633" s="229">
        <v>0</v>
      </c>
      <c r="AB1633" s="229">
        <v>0</v>
      </c>
      <c r="AC1633" s="12">
        <v>1</v>
      </c>
      <c r="AD1633" s="14">
        <v>1</v>
      </c>
      <c r="AE1633" s="14">
        <v>0</v>
      </c>
      <c r="AF1633" s="26">
        <v>0</v>
      </c>
      <c r="AG1633" s="12">
        <v>126</v>
      </c>
      <c r="AH1633" s="14">
        <v>0</v>
      </c>
      <c r="AI1633" s="209"/>
      <c r="AJ1633" s="3"/>
      <c r="AK1633" s="3"/>
      <c r="AL1633" s="3"/>
      <c r="AM1633" s="3"/>
      <c r="AN1633" s="3"/>
      <c r="AO1633" s="40"/>
      <c r="AP1633" s="209"/>
      <c r="AQ1633" s="3"/>
      <c r="AR1633" s="40"/>
      <c r="AS1633" s="238"/>
    </row>
    <row r="1634" spans="1:45" s="229" customFormat="1">
      <c r="A1634" s="83" t="s">
        <v>326</v>
      </c>
      <c r="B1634" s="386">
        <v>46.27</v>
      </c>
      <c r="C1634" s="24" t="s">
        <v>137</v>
      </c>
      <c r="D1634" s="229" t="s">
        <v>638</v>
      </c>
      <c r="E1634" s="229" t="s">
        <v>2</v>
      </c>
      <c r="F1634" s="229">
        <v>1534</v>
      </c>
      <c r="G1634" s="40">
        <f>F1634/870</f>
        <v>1.7632183908045977</v>
      </c>
      <c r="H1634" s="14">
        <v>0</v>
      </c>
      <c r="I1634" s="229">
        <v>0</v>
      </c>
      <c r="J1634" s="229">
        <v>0</v>
      </c>
      <c r="K1634" s="26">
        <v>1</v>
      </c>
      <c r="L1634" s="14">
        <v>0</v>
      </c>
      <c r="M1634" s="229">
        <v>0</v>
      </c>
      <c r="N1634" s="229">
        <v>0</v>
      </c>
      <c r="O1634" s="229">
        <v>0</v>
      </c>
      <c r="P1634" s="26">
        <v>0</v>
      </c>
      <c r="Q1634" s="14">
        <v>2</v>
      </c>
      <c r="R1634" s="229">
        <v>0</v>
      </c>
      <c r="S1634" s="229">
        <v>26</v>
      </c>
      <c r="T1634" s="229">
        <v>0</v>
      </c>
      <c r="U1634" s="229">
        <v>0</v>
      </c>
      <c r="V1634" s="229">
        <v>54</v>
      </c>
      <c r="W1634" s="229">
        <v>124</v>
      </c>
      <c r="X1634" s="229">
        <v>0</v>
      </c>
      <c r="Y1634" s="229">
        <v>0</v>
      </c>
      <c r="Z1634" s="229">
        <v>0</v>
      </c>
      <c r="AA1634" s="229">
        <v>0</v>
      </c>
      <c r="AB1634" s="229">
        <v>0</v>
      </c>
      <c r="AC1634" s="12">
        <v>2</v>
      </c>
      <c r="AD1634" s="14">
        <v>7</v>
      </c>
      <c r="AE1634" s="14">
        <v>81</v>
      </c>
      <c r="AF1634" s="26">
        <v>857</v>
      </c>
      <c r="AG1634" s="12">
        <v>126</v>
      </c>
      <c r="AH1634" s="14">
        <v>1</v>
      </c>
      <c r="AI1634" s="209">
        <v>86.373084965713346</v>
      </c>
      <c r="AJ1634" s="3"/>
      <c r="AK1634" s="3"/>
      <c r="AL1634" s="3"/>
      <c r="AM1634" s="3"/>
      <c r="AN1634" s="3"/>
      <c r="AO1634" s="40"/>
      <c r="AP1634" s="209">
        <v>86.035860411603451</v>
      </c>
      <c r="AQ1634" s="3"/>
      <c r="AR1634" s="40"/>
      <c r="AS1634" s="238"/>
    </row>
    <row r="1635" spans="1:45" s="229" customFormat="1">
      <c r="A1635" s="83" t="s">
        <v>326</v>
      </c>
      <c r="B1635" s="386">
        <v>46.27</v>
      </c>
      <c r="C1635" s="24" t="s">
        <v>137</v>
      </c>
      <c r="D1635" s="229" t="s">
        <v>639</v>
      </c>
      <c r="E1635" s="229" t="s">
        <v>0</v>
      </c>
      <c r="F1635" s="229">
        <v>434</v>
      </c>
      <c r="G1635" s="40">
        <f>F1635/281</f>
        <v>1.5444839857651245</v>
      </c>
      <c r="H1635" s="14">
        <v>1</v>
      </c>
      <c r="I1635" s="229">
        <v>0</v>
      </c>
      <c r="J1635" s="229">
        <v>0</v>
      </c>
      <c r="K1635" s="26">
        <v>0</v>
      </c>
      <c r="L1635" s="14">
        <v>0</v>
      </c>
      <c r="M1635" s="229">
        <v>0</v>
      </c>
      <c r="N1635" s="229">
        <v>0</v>
      </c>
      <c r="O1635" s="229">
        <v>0</v>
      </c>
      <c r="P1635" s="26">
        <v>0</v>
      </c>
      <c r="Q1635" s="14">
        <v>0</v>
      </c>
      <c r="R1635" s="229">
        <v>0</v>
      </c>
      <c r="S1635" s="229">
        <v>0</v>
      </c>
      <c r="T1635" s="229">
        <v>0</v>
      </c>
      <c r="U1635" s="229">
        <v>0</v>
      </c>
      <c r="V1635" s="229">
        <v>0</v>
      </c>
      <c r="W1635" s="229">
        <v>0</v>
      </c>
      <c r="X1635" s="229">
        <v>0</v>
      </c>
      <c r="Y1635" s="229">
        <v>0</v>
      </c>
      <c r="Z1635" s="229">
        <v>0</v>
      </c>
      <c r="AA1635" s="229">
        <v>0</v>
      </c>
      <c r="AB1635" s="229">
        <v>0</v>
      </c>
      <c r="AC1635" s="12">
        <v>1</v>
      </c>
      <c r="AD1635" s="14">
        <v>1</v>
      </c>
      <c r="AE1635" s="14">
        <v>0</v>
      </c>
      <c r="AF1635" s="26">
        <v>0</v>
      </c>
      <c r="AG1635" s="12">
        <v>138</v>
      </c>
      <c r="AH1635" s="14">
        <v>1</v>
      </c>
      <c r="AI1635" s="209"/>
      <c r="AJ1635" s="3"/>
      <c r="AK1635" s="3"/>
      <c r="AL1635" s="3"/>
      <c r="AM1635" s="3"/>
      <c r="AN1635" s="3"/>
      <c r="AO1635" s="40"/>
      <c r="AP1635" s="209"/>
      <c r="AQ1635" s="3"/>
      <c r="AR1635" s="40"/>
      <c r="AS1635" s="238"/>
    </row>
    <row r="1636" spans="1:45" s="229" customFormat="1">
      <c r="A1636" s="83" t="s">
        <v>326</v>
      </c>
      <c r="B1636" s="386">
        <v>46.27</v>
      </c>
      <c r="C1636" s="24" t="s">
        <v>137</v>
      </c>
      <c r="D1636" s="229" t="s">
        <v>639</v>
      </c>
      <c r="E1636" s="229" t="s">
        <v>1</v>
      </c>
      <c r="F1636" s="229">
        <v>298</v>
      </c>
      <c r="G1636" s="40">
        <f>F1636/146</f>
        <v>2.0410958904109591</v>
      </c>
      <c r="H1636" s="14">
        <v>0</v>
      </c>
      <c r="I1636" s="229">
        <v>0</v>
      </c>
      <c r="J1636" s="229">
        <v>0</v>
      </c>
      <c r="K1636" s="26">
        <v>1</v>
      </c>
      <c r="L1636" s="14">
        <v>0</v>
      </c>
      <c r="M1636" s="229">
        <v>0</v>
      </c>
      <c r="N1636" s="229">
        <v>0</v>
      </c>
      <c r="O1636" s="229">
        <v>0</v>
      </c>
      <c r="P1636" s="26">
        <v>0</v>
      </c>
      <c r="Q1636" s="14">
        <v>0</v>
      </c>
      <c r="R1636" s="229">
        <v>0</v>
      </c>
      <c r="S1636" s="229">
        <v>0</v>
      </c>
      <c r="T1636" s="229">
        <v>0</v>
      </c>
      <c r="U1636" s="229">
        <v>0</v>
      </c>
      <c r="V1636" s="229">
        <v>0</v>
      </c>
      <c r="W1636" s="229">
        <v>0</v>
      </c>
      <c r="X1636" s="229">
        <v>0</v>
      </c>
      <c r="Y1636" s="229">
        <v>0</v>
      </c>
      <c r="Z1636" s="229">
        <v>0</v>
      </c>
      <c r="AA1636" s="229">
        <v>0</v>
      </c>
      <c r="AB1636" s="229">
        <v>0</v>
      </c>
      <c r="AC1636" s="12">
        <v>1</v>
      </c>
      <c r="AD1636" s="14">
        <v>1</v>
      </c>
      <c r="AE1636" s="14">
        <v>0</v>
      </c>
      <c r="AF1636" s="26">
        <v>0</v>
      </c>
      <c r="AG1636" s="12">
        <v>138</v>
      </c>
      <c r="AH1636" s="14">
        <v>1</v>
      </c>
      <c r="AI1636" s="209"/>
      <c r="AJ1636" s="3"/>
      <c r="AK1636" s="3"/>
      <c r="AL1636" s="3"/>
      <c r="AM1636" s="3"/>
      <c r="AN1636" s="3"/>
      <c r="AO1636" s="40"/>
      <c r="AP1636" s="209"/>
      <c r="AQ1636" s="3"/>
      <c r="AR1636" s="40"/>
      <c r="AS1636" s="238"/>
    </row>
    <row r="1637" spans="1:45" s="229" customFormat="1">
      <c r="A1637" s="83" t="s">
        <v>326</v>
      </c>
      <c r="B1637" s="386">
        <v>46.27</v>
      </c>
      <c r="C1637" s="24" t="s">
        <v>137</v>
      </c>
      <c r="D1637" s="229" t="s">
        <v>639</v>
      </c>
      <c r="E1637" s="229" t="s">
        <v>2</v>
      </c>
      <c r="F1637" s="229">
        <v>1259</v>
      </c>
      <c r="G1637" s="40">
        <f>F1637/695</f>
        <v>1.8115107913669064</v>
      </c>
      <c r="H1637" s="14">
        <v>0</v>
      </c>
      <c r="I1637" s="229">
        <v>0</v>
      </c>
      <c r="J1637" s="229">
        <v>1</v>
      </c>
      <c r="K1637" s="26">
        <v>1</v>
      </c>
      <c r="L1637" s="14">
        <v>0</v>
      </c>
      <c r="M1637" s="229">
        <v>0</v>
      </c>
      <c r="N1637" s="229">
        <v>1</v>
      </c>
      <c r="O1637" s="229">
        <v>0</v>
      </c>
      <c r="P1637" s="26">
        <v>1</v>
      </c>
      <c r="Q1637" s="14">
        <v>1</v>
      </c>
      <c r="R1637" s="229">
        <v>0</v>
      </c>
      <c r="S1637" s="229">
        <v>0</v>
      </c>
      <c r="T1637" s="229">
        <v>0</v>
      </c>
      <c r="U1637" s="229">
        <v>0</v>
      </c>
      <c r="V1637" s="229">
        <v>0</v>
      </c>
      <c r="W1637" s="229">
        <v>22</v>
      </c>
      <c r="X1637" s="229">
        <v>0</v>
      </c>
      <c r="Y1637" s="229">
        <v>0</v>
      </c>
      <c r="Z1637" s="229">
        <v>0</v>
      </c>
      <c r="AA1637" s="229">
        <v>0</v>
      </c>
      <c r="AB1637" s="229">
        <v>0</v>
      </c>
      <c r="AC1637" s="12">
        <v>2</v>
      </c>
      <c r="AD1637" s="14">
        <v>5</v>
      </c>
      <c r="AE1637" s="14">
        <v>253</v>
      </c>
      <c r="AF1637" s="26">
        <v>1051</v>
      </c>
      <c r="AG1637" s="12">
        <v>138</v>
      </c>
      <c r="AH1637" s="14">
        <v>1</v>
      </c>
      <c r="AI1637" s="209"/>
      <c r="AJ1637" s="3"/>
      <c r="AK1637" s="3"/>
      <c r="AL1637" s="3"/>
      <c r="AM1637" s="3"/>
      <c r="AN1637" s="3"/>
      <c r="AO1637" s="40"/>
      <c r="AP1637" s="209"/>
      <c r="AQ1637" s="3"/>
      <c r="AR1637" s="40"/>
      <c r="AS1637" s="238"/>
    </row>
    <row r="1638" spans="1:45" s="229" customFormat="1">
      <c r="A1638" s="83" t="s">
        <v>326</v>
      </c>
      <c r="B1638" s="386">
        <v>46.27</v>
      </c>
      <c r="C1638" s="24" t="s">
        <v>137</v>
      </c>
      <c r="D1638" s="229" t="s">
        <v>640</v>
      </c>
      <c r="E1638" s="229" t="s">
        <v>0</v>
      </c>
      <c r="F1638" s="229">
        <v>1074</v>
      </c>
      <c r="G1638" s="40">
        <f>F1638/526</f>
        <v>2.041825095057034</v>
      </c>
      <c r="H1638" s="14">
        <v>0</v>
      </c>
      <c r="I1638" s="229">
        <v>0</v>
      </c>
      <c r="J1638" s="229">
        <v>0</v>
      </c>
      <c r="K1638" s="26">
        <v>1</v>
      </c>
      <c r="L1638" s="14">
        <v>0</v>
      </c>
      <c r="M1638" s="229">
        <v>0</v>
      </c>
      <c r="N1638" s="229">
        <v>1</v>
      </c>
      <c r="O1638" s="229">
        <v>0</v>
      </c>
      <c r="P1638" s="26">
        <v>1</v>
      </c>
      <c r="Q1638" s="14">
        <v>1</v>
      </c>
      <c r="R1638" s="229">
        <v>0</v>
      </c>
      <c r="S1638" s="229">
        <v>47</v>
      </c>
      <c r="T1638" s="229">
        <v>0</v>
      </c>
      <c r="U1638" s="229">
        <v>0</v>
      </c>
      <c r="V1638" s="229">
        <v>0</v>
      </c>
      <c r="W1638" s="229">
        <v>0</v>
      </c>
      <c r="X1638" s="229">
        <v>0</v>
      </c>
      <c r="Y1638" s="229">
        <v>0</v>
      </c>
      <c r="Z1638" s="229">
        <v>0</v>
      </c>
      <c r="AA1638" s="229">
        <v>0</v>
      </c>
      <c r="AB1638" s="229">
        <v>0</v>
      </c>
      <c r="AC1638" s="12">
        <v>2</v>
      </c>
      <c r="AD1638" s="14">
        <v>3</v>
      </c>
      <c r="AE1638" s="14">
        <v>172</v>
      </c>
      <c r="AF1638" s="26">
        <v>1074</v>
      </c>
      <c r="AG1638" s="12">
        <v>116</v>
      </c>
      <c r="AH1638" s="14">
        <v>1</v>
      </c>
      <c r="AI1638" s="209"/>
      <c r="AJ1638" s="3"/>
      <c r="AK1638" s="3"/>
      <c r="AL1638" s="3"/>
      <c r="AM1638" s="3"/>
      <c r="AN1638" s="3"/>
      <c r="AO1638" s="40"/>
      <c r="AP1638" s="209"/>
      <c r="AQ1638" s="3"/>
      <c r="AR1638" s="40"/>
      <c r="AS1638" s="238"/>
    </row>
    <row r="1639" spans="1:45" s="229" customFormat="1">
      <c r="A1639" s="83" t="s">
        <v>326</v>
      </c>
      <c r="B1639" s="386">
        <v>46.27</v>
      </c>
      <c r="C1639" s="24" t="s">
        <v>137</v>
      </c>
      <c r="D1639" s="229" t="s">
        <v>640</v>
      </c>
      <c r="E1639" s="229" t="s">
        <v>1</v>
      </c>
      <c r="F1639" s="229">
        <v>884</v>
      </c>
      <c r="G1639" s="40">
        <f>F1639/562</f>
        <v>1.5729537366548043</v>
      </c>
      <c r="H1639" s="14">
        <v>0</v>
      </c>
      <c r="I1639" s="229">
        <v>0</v>
      </c>
      <c r="J1639" s="229">
        <v>0</v>
      </c>
      <c r="K1639" s="26">
        <v>1</v>
      </c>
      <c r="L1639" s="14">
        <v>0</v>
      </c>
      <c r="M1639" s="229">
        <v>0</v>
      </c>
      <c r="N1639" s="229">
        <v>1</v>
      </c>
      <c r="O1639" s="229">
        <v>0</v>
      </c>
      <c r="P1639" s="26">
        <v>1</v>
      </c>
      <c r="Q1639" s="14">
        <v>3</v>
      </c>
      <c r="R1639" s="229">
        <v>0</v>
      </c>
      <c r="S1639" s="229">
        <v>0</v>
      </c>
      <c r="T1639" s="229">
        <v>0</v>
      </c>
      <c r="U1639" s="229">
        <v>0</v>
      </c>
      <c r="V1639" s="229">
        <v>0</v>
      </c>
      <c r="W1639" s="229">
        <v>115</v>
      </c>
      <c r="X1639" s="229">
        <v>0</v>
      </c>
      <c r="Y1639" s="229">
        <v>0</v>
      </c>
      <c r="Z1639" s="229">
        <v>0</v>
      </c>
      <c r="AA1639" s="229">
        <v>0</v>
      </c>
      <c r="AB1639" s="229">
        <v>0</v>
      </c>
      <c r="AC1639" s="12">
        <v>2</v>
      </c>
      <c r="AD1639" s="14">
        <v>4</v>
      </c>
      <c r="AE1639" s="14">
        <v>236</v>
      </c>
      <c r="AF1639" s="26">
        <v>566</v>
      </c>
      <c r="AG1639" s="12">
        <v>116</v>
      </c>
      <c r="AH1639" s="14">
        <v>1</v>
      </c>
      <c r="AI1639" s="209"/>
      <c r="AJ1639" s="3"/>
      <c r="AK1639" s="3"/>
      <c r="AL1639" s="3"/>
      <c r="AM1639" s="3"/>
      <c r="AN1639" s="3"/>
      <c r="AO1639" s="40"/>
      <c r="AP1639" s="209"/>
      <c r="AQ1639" s="3"/>
      <c r="AR1639" s="40"/>
      <c r="AS1639" s="238"/>
    </row>
    <row r="1640" spans="1:45" s="229" customFormat="1">
      <c r="A1640" s="83" t="s">
        <v>326</v>
      </c>
      <c r="B1640" s="386">
        <v>46.27</v>
      </c>
      <c r="C1640" s="24" t="s">
        <v>137</v>
      </c>
      <c r="D1640" s="229" t="s">
        <v>641</v>
      </c>
      <c r="E1640" s="229" t="s">
        <v>0</v>
      </c>
      <c r="F1640" s="229">
        <v>342</v>
      </c>
      <c r="G1640" s="40">
        <f>F1640/257</f>
        <v>1.3307392996108949</v>
      </c>
      <c r="H1640" s="14">
        <v>0</v>
      </c>
      <c r="I1640" s="229">
        <v>0</v>
      </c>
      <c r="J1640" s="229">
        <v>0</v>
      </c>
      <c r="K1640" s="26">
        <v>1</v>
      </c>
      <c r="L1640" s="14"/>
      <c r="M1640" s="229">
        <v>0</v>
      </c>
      <c r="N1640" s="229">
        <v>0</v>
      </c>
      <c r="O1640" s="229">
        <v>0</v>
      </c>
      <c r="P1640" s="26">
        <v>0</v>
      </c>
      <c r="Q1640" s="14">
        <v>3</v>
      </c>
      <c r="R1640" s="229">
        <v>14</v>
      </c>
      <c r="S1640" s="229">
        <v>18</v>
      </c>
      <c r="T1640" s="229">
        <v>0</v>
      </c>
      <c r="U1640" s="229">
        <v>0</v>
      </c>
      <c r="V1640" s="229">
        <v>0</v>
      </c>
      <c r="W1640" s="229">
        <v>27</v>
      </c>
      <c r="X1640" s="229">
        <v>0</v>
      </c>
      <c r="Y1640" s="229">
        <v>0</v>
      </c>
      <c r="Z1640" s="229">
        <v>0</v>
      </c>
      <c r="AA1640" s="229">
        <v>0</v>
      </c>
      <c r="AB1640" s="229">
        <v>1</v>
      </c>
      <c r="AC1640" s="12">
        <v>1</v>
      </c>
      <c r="AD1640" s="14">
        <v>1</v>
      </c>
      <c r="AE1640" s="14">
        <v>0</v>
      </c>
      <c r="AF1640" s="26">
        <v>0</v>
      </c>
      <c r="AG1640" s="12">
        <v>115</v>
      </c>
      <c r="AH1640" s="14">
        <v>1</v>
      </c>
      <c r="AI1640" s="209">
        <v>85.951512925342527</v>
      </c>
      <c r="AJ1640" s="3"/>
      <c r="AK1640" s="3"/>
      <c r="AL1640" s="3"/>
      <c r="AM1640" s="3"/>
      <c r="AN1640" s="3"/>
      <c r="AO1640" s="40"/>
      <c r="AP1640" s="209"/>
      <c r="AQ1640" s="3"/>
      <c r="AR1640" s="40"/>
      <c r="AS1640" s="238"/>
    </row>
    <row r="1641" spans="1:45" s="229" customFormat="1" ht="17" customHeight="1">
      <c r="A1641" s="83" t="s">
        <v>326</v>
      </c>
      <c r="B1641" s="386">
        <v>46.27</v>
      </c>
      <c r="C1641" s="24" t="s">
        <v>137</v>
      </c>
      <c r="D1641" s="229" t="s">
        <v>641</v>
      </c>
      <c r="E1641" s="229" t="s">
        <v>1</v>
      </c>
      <c r="F1641" s="229">
        <v>993</v>
      </c>
      <c r="G1641" s="40">
        <f>F1641/737</f>
        <v>1.3473541383989145</v>
      </c>
      <c r="H1641" s="14">
        <v>0</v>
      </c>
      <c r="I1641" s="229">
        <v>0</v>
      </c>
      <c r="J1641" s="229">
        <v>0</v>
      </c>
      <c r="K1641" s="26">
        <v>1</v>
      </c>
      <c r="L1641" s="14">
        <v>0</v>
      </c>
      <c r="M1641" s="229">
        <v>0</v>
      </c>
      <c r="N1641" s="229">
        <v>1</v>
      </c>
      <c r="O1641" s="229">
        <v>0</v>
      </c>
      <c r="P1641" s="26">
        <v>1</v>
      </c>
      <c r="Q1641" s="14">
        <v>0</v>
      </c>
      <c r="R1641" s="229">
        <v>0</v>
      </c>
      <c r="S1641" s="229">
        <v>0</v>
      </c>
      <c r="T1641" s="229">
        <v>0</v>
      </c>
      <c r="U1641" s="229">
        <v>0</v>
      </c>
      <c r="V1641" s="229">
        <v>0</v>
      </c>
      <c r="W1641" s="229">
        <v>0</v>
      </c>
      <c r="X1641" s="229">
        <v>0</v>
      </c>
      <c r="Y1641" s="229">
        <v>0</v>
      </c>
      <c r="Z1641" s="229">
        <v>0</v>
      </c>
      <c r="AA1641" s="229">
        <v>0</v>
      </c>
      <c r="AB1641" s="229">
        <v>0</v>
      </c>
      <c r="AC1641" s="12">
        <v>2</v>
      </c>
      <c r="AD1641" s="14">
        <v>14</v>
      </c>
      <c r="AE1641" s="14">
        <v>140</v>
      </c>
      <c r="AF1641" s="26">
        <v>426</v>
      </c>
      <c r="AG1641" s="12">
        <v>115</v>
      </c>
      <c r="AH1641" s="14">
        <v>1</v>
      </c>
      <c r="AI1641" s="209">
        <v>85.838946915917091</v>
      </c>
      <c r="AJ1641" s="3">
        <v>85.761862753835047</v>
      </c>
      <c r="AK1641" s="3">
        <v>85.960511547812047</v>
      </c>
      <c r="AL1641" s="3">
        <v>85.873376731750326</v>
      </c>
      <c r="AM1641" s="3"/>
      <c r="AN1641" s="3"/>
      <c r="AO1641" s="40"/>
      <c r="AP1641" s="209">
        <v>85.839979601031246</v>
      </c>
      <c r="AQ1641" s="3"/>
      <c r="AR1641" s="40"/>
      <c r="AS1641" s="238"/>
    </row>
    <row r="1642" spans="1:45" s="229" customFormat="1">
      <c r="A1642" s="83" t="s">
        <v>326</v>
      </c>
      <c r="B1642" s="386">
        <v>46.27</v>
      </c>
      <c r="C1642" s="24" t="s">
        <v>137</v>
      </c>
      <c r="D1642" s="229" t="s">
        <v>649</v>
      </c>
      <c r="E1642" s="229" t="s">
        <v>0</v>
      </c>
      <c r="F1642" s="229">
        <v>334</v>
      </c>
      <c r="G1642" s="40">
        <f>F1642/277</f>
        <v>1.2057761732851986</v>
      </c>
      <c r="H1642" s="14">
        <v>0</v>
      </c>
      <c r="I1642" s="229">
        <v>0</v>
      </c>
      <c r="J1642" s="229">
        <v>0</v>
      </c>
      <c r="K1642" s="26">
        <v>1</v>
      </c>
      <c r="L1642" s="14">
        <v>0</v>
      </c>
      <c r="M1642" s="229">
        <v>0</v>
      </c>
      <c r="N1642" s="229">
        <v>1</v>
      </c>
      <c r="O1642" s="229">
        <v>0</v>
      </c>
      <c r="P1642" s="26">
        <v>1</v>
      </c>
      <c r="Q1642" s="14">
        <v>10</v>
      </c>
      <c r="R1642" s="229">
        <v>0</v>
      </c>
      <c r="S1642" s="229">
        <v>0</v>
      </c>
      <c r="T1642" s="229">
        <v>0</v>
      </c>
      <c r="U1642" s="229">
        <v>0</v>
      </c>
      <c r="V1642" s="229">
        <v>0</v>
      </c>
      <c r="W1642" s="229">
        <v>107</v>
      </c>
      <c r="X1642" s="229">
        <v>0</v>
      </c>
      <c r="Y1642" s="229">
        <v>0</v>
      </c>
      <c r="Z1642" s="229">
        <v>0</v>
      </c>
      <c r="AA1642" s="229">
        <v>0</v>
      </c>
      <c r="AB1642" s="229">
        <v>0</v>
      </c>
      <c r="AC1642" s="12">
        <v>2</v>
      </c>
      <c r="AD1642" s="14">
        <v>2</v>
      </c>
      <c r="AE1642" s="14">
        <v>121</v>
      </c>
      <c r="AF1642" s="26">
        <v>334</v>
      </c>
      <c r="AG1642" s="12">
        <v>110</v>
      </c>
      <c r="AH1642" s="14">
        <v>0</v>
      </c>
      <c r="AI1642" s="209"/>
      <c r="AJ1642" s="3"/>
      <c r="AK1642" s="3"/>
      <c r="AL1642" s="3"/>
      <c r="AM1642" s="3"/>
      <c r="AN1642" s="3"/>
      <c r="AO1642" s="40"/>
      <c r="AP1642" s="209"/>
      <c r="AQ1642" s="3"/>
      <c r="AR1642" s="40"/>
      <c r="AS1642" s="238"/>
    </row>
    <row r="1643" spans="1:45" s="229" customFormat="1">
      <c r="A1643" s="83" t="s">
        <v>326</v>
      </c>
      <c r="B1643" s="386">
        <v>46.27</v>
      </c>
      <c r="C1643" s="24" t="s">
        <v>137</v>
      </c>
      <c r="D1643" s="229" t="s">
        <v>649</v>
      </c>
      <c r="E1643" s="229" t="s">
        <v>1</v>
      </c>
      <c r="F1643" s="229">
        <v>266</v>
      </c>
      <c r="G1643" s="40">
        <f>F1643/227</f>
        <v>1.1718061674008811</v>
      </c>
      <c r="H1643" s="14">
        <v>0</v>
      </c>
      <c r="I1643" s="229">
        <v>0</v>
      </c>
      <c r="J1643" s="229">
        <v>0</v>
      </c>
      <c r="K1643" s="26">
        <v>1</v>
      </c>
      <c r="L1643" s="14">
        <v>0</v>
      </c>
      <c r="M1643" s="229">
        <v>0</v>
      </c>
      <c r="N1643" s="229">
        <v>0</v>
      </c>
      <c r="O1643" s="229">
        <v>0</v>
      </c>
      <c r="P1643" s="26">
        <v>0</v>
      </c>
      <c r="Q1643" s="14">
        <v>0</v>
      </c>
      <c r="R1643" s="229">
        <v>0</v>
      </c>
      <c r="S1643" s="229">
        <v>0</v>
      </c>
      <c r="T1643" s="229">
        <v>0</v>
      </c>
      <c r="U1643" s="229">
        <v>0</v>
      </c>
      <c r="V1643" s="229">
        <v>0</v>
      </c>
      <c r="W1643" s="229">
        <v>0</v>
      </c>
      <c r="X1643" s="229">
        <v>0</v>
      </c>
      <c r="Y1643" s="229">
        <v>0</v>
      </c>
      <c r="Z1643" s="229">
        <v>0</v>
      </c>
      <c r="AA1643" s="229">
        <v>0</v>
      </c>
      <c r="AB1643" s="229">
        <v>0</v>
      </c>
      <c r="AC1643" s="12">
        <v>1</v>
      </c>
      <c r="AD1643" s="14">
        <v>1</v>
      </c>
      <c r="AE1643" s="14">
        <v>0</v>
      </c>
      <c r="AF1643" s="26">
        <v>0</v>
      </c>
      <c r="AG1643" s="12">
        <v>110</v>
      </c>
      <c r="AH1643" s="14">
        <v>0</v>
      </c>
      <c r="AI1643" s="209"/>
      <c r="AJ1643" s="3"/>
      <c r="AK1643" s="3"/>
      <c r="AL1643" s="3"/>
      <c r="AM1643" s="3"/>
      <c r="AN1643" s="3"/>
      <c r="AO1643" s="40"/>
      <c r="AP1643" s="209"/>
      <c r="AQ1643" s="3"/>
      <c r="AR1643" s="40"/>
      <c r="AS1643" s="238"/>
    </row>
    <row r="1644" spans="1:45" s="229" customFormat="1">
      <c r="A1644" s="83" t="s">
        <v>326</v>
      </c>
      <c r="B1644" s="386">
        <v>46.27</v>
      </c>
      <c r="C1644" s="24" t="s">
        <v>137</v>
      </c>
      <c r="D1644" s="229" t="s">
        <v>649</v>
      </c>
      <c r="E1644" s="229" t="s">
        <v>2</v>
      </c>
      <c r="F1644" s="229">
        <v>934</v>
      </c>
      <c r="G1644" s="40">
        <f>F1644/588</f>
        <v>1.58843537414966</v>
      </c>
      <c r="H1644" s="14">
        <v>0</v>
      </c>
      <c r="I1644" s="229">
        <v>0</v>
      </c>
      <c r="J1644" s="229">
        <v>1</v>
      </c>
      <c r="K1644" s="26">
        <v>0</v>
      </c>
      <c r="L1644" s="14">
        <v>0</v>
      </c>
      <c r="M1644" s="229">
        <v>0</v>
      </c>
      <c r="N1644" s="229">
        <v>0</v>
      </c>
      <c r="O1644" s="229">
        <v>0</v>
      </c>
      <c r="P1644" s="26">
        <v>0</v>
      </c>
      <c r="Q1644" s="14">
        <v>1</v>
      </c>
      <c r="R1644" s="229">
        <v>0</v>
      </c>
      <c r="S1644" s="229">
        <v>0</v>
      </c>
      <c r="T1644" s="229">
        <v>0</v>
      </c>
      <c r="U1644" s="229">
        <v>0</v>
      </c>
      <c r="V1644" s="229">
        <v>20</v>
      </c>
      <c r="W1644" s="229">
        <v>25</v>
      </c>
      <c r="X1644" s="229">
        <v>0</v>
      </c>
      <c r="Y1644" s="229">
        <v>0</v>
      </c>
      <c r="Z1644" s="229">
        <v>0</v>
      </c>
      <c r="AA1644" s="229">
        <v>0</v>
      </c>
      <c r="AB1644" s="229">
        <v>1</v>
      </c>
      <c r="AC1644" s="12">
        <v>1</v>
      </c>
      <c r="AD1644" s="14">
        <v>1</v>
      </c>
      <c r="AE1644" s="14">
        <v>0</v>
      </c>
      <c r="AF1644" s="26">
        <v>0</v>
      </c>
      <c r="AG1644" s="12">
        <v>110</v>
      </c>
      <c r="AH1644" s="14">
        <v>1</v>
      </c>
      <c r="AI1644" s="209"/>
      <c r="AJ1644" s="3"/>
      <c r="AK1644" s="3"/>
      <c r="AL1644" s="3"/>
      <c r="AM1644" s="3"/>
      <c r="AN1644" s="3"/>
      <c r="AO1644" s="40"/>
      <c r="AP1644" s="209"/>
      <c r="AQ1644" s="3"/>
      <c r="AR1644" s="40"/>
      <c r="AS1644" s="238"/>
    </row>
    <row r="1645" spans="1:45" s="229" customFormat="1">
      <c r="A1645" s="83" t="s">
        <v>326</v>
      </c>
      <c r="B1645" s="386">
        <v>46.27</v>
      </c>
      <c r="C1645" s="24" t="s">
        <v>137</v>
      </c>
      <c r="D1645" s="229" t="s">
        <v>649</v>
      </c>
      <c r="E1645" s="229" t="s">
        <v>3</v>
      </c>
      <c r="F1645" s="229">
        <v>380</v>
      </c>
      <c r="G1645" s="40">
        <f>F1645/279</f>
        <v>1.3620071684587813</v>
      </c>
      <c r="H1645" s="14">
        <v>0</v>
      </c>
      <c r="I1645" s="229">
        <v>0</v>
      </c>
      <c r="J1645" s="229">
        <v>1</v>
      </c>
      <c r="K1645" s="26">
        <v>1</v>
      </c>
      <c r="L1645" s="14">
        <v>0</v>
      </c>
      <c r="M1645" s="229">
        <v>0</v>
      </c>
      <c r="N1645" s="229">
        <v>0</v>
      </c>
      <c r="O1645" s="229">
        <v>0</v>
      </c>
      <c r="P1645" s="26">
        <v>0</v>
      </c>
      <c r="Q1645" s="14">
        <v>1</v>
      </c>
      <c r="R1645" s="229">
        <v>0</v>
      </c>
      <c r="S1645" s="229">
        <v>0</v>
      </c>
      <c r="T1645" s="229">
        <v>0</v>
      </c>
      <c r="U1645" s="229">
        <v>0</v>
      </c>
      <c r="V1645" s="229">
        <v>7</v>
      </c>
      <c r="W1645" s="229">
        <v>11</v>
      </c>
      <c r="X1645" s="229">
        <v>0</v>
      </c>
      <c r="Y1645" s="229">
        <v>0</v>
      </c>
      <c r="Z1645" s="229">
        <v>0</v>
      </c>
      <c r="AA1645" s="229">
        <v>0</v>
      </c>
      <c r="AB1645" s="229">
        <v>0</v>
      </c>
      <c r="AC1645" s="12">
        <v>2</v>
      </c>
      <c r="AD1645" s="14">
        <v>11</v>
      </c>
      <c r="AE1645" s="14">
        <v>38</v>
      </c>
      <c r="AF1645" s="26">
        <v>159</v>
      </c>
      <c r="AG1645" s="12">
        <v>110</v>
      </c>
      <c r="AH1645" s="14">
        <v>1</v>
      </c>
      <c r="AI1645" s="209"/>
      <c r="AJ1645" s="3"/>
      <c r="AK1645" s="3"/>
      <c r="AL1645" s="3"/>
      <c r="AM1645" s="3"/>
      <c r="AN1645" s="3"/>
      <c r="AO1645" s="40"/>
      <c r="AP1645" s="209"/>
      <c r="AQ1645" s="3"/>
      <c r="AR1645" s="40"/>
      <c r="AS1645" s="238"/>
    </row>
    <row r="1646" spans="1:45" s="229" customFormat="1">
      <c r="A1646" s="83" t="s">
        <v>326</v>
      </c>
      <c r="B1646" s="386">
        <v>46.27</v>
      </c>
      <c r="C1646" s="24" t="s">
        <v>137</v>
      </c>
      <c r="D1646" s="229" t="s">
        <v>649</v>
      </c>
      <c r="E1646" s="229" t="s">
        <v>4</v>
      </c>
      <c r="F1646" s="229">
        <v>365</v>
      </c>
      <c r="G1646" s="40">
        <f>F1646/143</f>
        <v>2.5524475524475525</v>
      </c>
      <c r="H1646" s="14">
        <v>1</v>
      </c>
      <c r="I1646" s="229">
        <v>0</v>
      </c>
      <c r="J1646" s="229">
        <v>0</v>
      </c>
      <c r="K1646" s="26">
        <v>0</v>
      </c>
      <c r="L1646" s="14">
        <v>0</v>
      </c>
      <c r="M1646" s="229">
        <v>0</v>
      </c>
      <c r="N1646" s="229">
        <v>0</v>
      </c>
      <c r="O1646" s="229">
        <v>0</v>
      </c>
      <c r="P1646" s="26">
        <v>0</v>
      </c>
      <c r="Q1646" s="14">
        <v>0</v>
      </c>
      <c r="R1646" s="229">
        <v>0</v>
      </c>
      <c r="S1646" s="229">
        <v>0</v>
      </c>
      <c r="T1646" s="229">
        <v>0</v>
      </c>
      <c r="U1646" s="229">
        <v>0</v>
      </c>
      <c r="V1646" s="229">
        <v>0</v>
      </c>
      <c r="W1646" s="229">
        <v>0</v>
      </c>
      <c r="X1646" s="229">
        <v>0</v>
      </c>
      <c r="Y1646" s="229">
        <v>0</v>
      </c>
      <c r="Z1646" s="229">
        <v>0</v>
      </c>
      <c r="AA1646" s="229">
        <v>0</v>
      </c>
      <c r="AB1646" s="229">
        <v>0</v>
      </c>
      <c r="AC1646" s="12">
        <v>1</v>
      </c>
      <c r="AD1646" s="14">
        <v>1</v>
      </c>
      <c r="AE1646" s="14">
        <v>0</v>
      </c>
      <c r="AF1646" s="26">
        <v>0</v>
      </c>
      <c r="AG1646" s="12">
        <v>110</v>
      </c>
      <c r="AH1646" s="14">
        <v>0</v>
      </c>
      <c r="AI1646" s="209"/>
      <c r="AJ1646" s="3"/>
      <c r="AK1646" s="3"/>
      <c r="AL1646" s="3"/>
      <c r="AM1646" s="3"/>
      <c r="AN1646" s="3"/>
      <c r="AO1646" s="40"/>
      <c r="AP1646" s="209"/>
      <c r="AQ1646" s="3"/>
      <c r="AR1646" s="40"/>
      <c r="AS1646" s="238"/>
    </row>
    <row r="1647" spans="1:45" s="229" customFormat="1">
      <c r="A1647" s="83" t="s">
        <v>326</v>
      </c>
      <c r="B1647" s="386">
        <v>46.27</v>
      </c>
      <c r="C1647" s="24" t="s">
        <v>137</v>
      </c>
      <c r="D1647" s="229" t="s">
        <v>649</v>
      </c>
      <c r="E1647" s="229" t="s">
        <v>5</v>
      </c>
      <c r="F1647" s="229">
        <v>408</v>
      </c>
      <c r="G1647" s="40">
        <f>F1647/276</f>
        <v>1.4782608695652173</v>
      </c>
      <c r="H1647" s="14">
        <v>1</v>
      </c>
      <c r="I1647" s="229">
        <v>0</v>
      </c>
      <c r="J1647" s="229">
        <v>0</v>
      </c>
      <c r="K1647" s="26">
        <v>0</v>
      </c>
      <c r="L1647" s="14">
        <v>0</v>
      </c>
      <c r="M1647" s="229">
        <v>0</v>
      </c>
      <c r="N1647" s="229">
        <v>0</v>
      </c>
      <c r="O1647" s="229">
        <v>0</v>
      </c>
      <c r="P1647" s="26">
        <v>0</v>
      </c>
      <c r="Q1647" s="14">
        <v>2</v>
      </c>
      <c r="R1647" s="229">
        <v>0</v>
      </c>
      <c r="S1647" s="229">
        <v>0</v>
      </c>
      <c r="T1647" s="229">
        <v>0</v>
      </c>
      <c r="U1647" s="229">
        <v>0</v>
      </c>
      <c r="V1647" s="229">
        <v>0</v>
      </c>
      <c r="W1647" s="229">
        <v>50</v>
      </c>
      <c r="X1647" s="229">
        <v>0</v>
      </c>
      <c r="Y1647" s="229">
        <v>0</v>
      </c>
      <c r="Z1647" s="229">
        <v>0</v>
      </c>
      <c r="AA1647" s="229">
        <v>0</v>
      </c>
      <c r="AB1647" s="229">
        <v>0</v>
      </c>
      <c r="AC1647" s="12">
        <v>1</v>
      </c>
      <c r="AD1647" s="14">
        <v>1</v>
      </c>
      <c r="AE1647" s="14">
        <v>0</v>
      </c>
      <c r="AF1647" s="26">
        <v>0</v>
      </c>
      <c r="AG1647" s="12">
        <v>110</v>
      </c>
      <c r="AH1647" s="14">
        <v>1</v>
      </c>
      <c r="AI1647" s="209"/>
      <c r="AJ1647" s="3"/>
      <c r="AK1647" s="3"/>
      <c r="AL1647" s="3"/>
      <c r="AM1647" s="3"/>
      <c r="AN1647" s="3"/>
      <c r="AO1647" s="40"/>
      <c r="AP1647" s="209"/>
      <c r="AQ1647" s="3"/>
      <c r="AR1647" s="40"/>
      <c r="AS1647" s="238"/>
    </row>
    <row r="1648" spans="1:45" s="229" customFormat="1">
      <c r="A1648" s="83" t="s">
        <v>326</v>
      </c>
      <c r="B1648" s="386">
        <v>46.27</v>
      </c>
      <c r="C1648" s="24" t="s">
        <v>137</v>
      </c>
      <c r="D1648" s="229" t="s">
        <v>670</v>
      </c>
      <c r="E1648" s="229" t="s">
        <v>0</v>
      </c>
      <c r="F1648" s="229">
        <v>263</v>
      </c>
      <c r="G1648" s="40">
        <f>F1648/246</f>
        <v>1.0691056910569106</v>
      </c>
      <c r="H1648" s="14">
        <v>0</v>
      </c>
      <c r="I1648" s="229">
        <v>0</v>
      </c>
      <c r="J1648" s="229">
        <v>0</v>
      </c>
      <c r="K1648" s="26">
        <v>1</v>
      </c>
      <c r="L1648" s="14">
        <v>0</v>
      </c>
      <c r="M1648" s="229">
        <v>0</v>
      </c>
      <c r="N1648" s="229">
        <v>0</v>
      </c>
      <c r="O1648" s="229">
        <v>0</v>
      </c>
      <c r="P1648" s="26">
        <v>0</v>
      </c>
      <c r="Q1648" s="14">
        <v>1</v>
      </c>
      <c r="R1648" s="229">
        <v>0</v>
      </c>
      <c r="S1648" s="229">
        <v>0</v>
      </c>
      <c r="T1648" s="229">
        <v>0</v>
      </c>
      <c r="U1648" s="229">
        <v>0</v>
      </c>
      <c r="V1648" s="229">
        <v>0</v>
      </c>
      <c r="W1648" s="229">
        <v>6</v>
      </c>
      <c r="X1648" s="229">
        <v>0</v>
      </c>
      <c r="Y1648" s="229">
        <v>0</v>
      </c>
      <c r="Z1648" s="229">
        <v>0</v>
      </c>
      <c r="AA1648" s="229">
        <v>0</v>
      </c>
      <c r="AB1648" s="229">
        <v>1</v>
      </c>
      <c r="AC1648" s="12">
        <v>2</v>
      </c>
      <c r="AD1648" s="14">
        <v>3</v>
      </c>
      <c r="AE1648" s="14">
        <v>149</v>
      </c>
      <c r="AF1648" s="26">
        <v>243</v>
      </c>
      <c r="AG1648" s="12">
        <v>97</v>
      </c>
      <c r="AH1648" s="14">
        <v>0</v>
      </c>
      <c r="AI1648" s="209"/>
      <c r="AJ1648" s="3"/>
      <c r="AK1648" s="3"/>
      <c r="AL1648" s="3"/>
      <c r="AM1648" s="3"/>
      <c r="AN1648" s="3"/>
      <c r="AO1648" s="40"/>
      <c r="AP1648" s="209"/>
      <c r="AQ1648" s="3"/>
      <c r="AR1648" s="40"/>
      <c r="AS1648" s="238"/>
    </row>
    <row r="1649" spans="1:45" s="229" customFormat="1">
      <c r="A1649" s="83" t="s">
        <v>326</v>
      </c>
      <c r="B1649" s="386">
        <v>46.27</v>
      </c>
      <c r="C1649" s="24" t="s">
        <v>137</v>
      </c>
      <c r="D1649" s="229" t="s">
        <v>670</v>
      </c>
      <c r="E1649" s="229" t="s">
        <v>1</v>
      </c>
      <c r="F1649" s="229">
        <v>695</v>
      </c>
      <c r="G1649" s="40">
        <f>F1649/539</f>
        <v>1.2894248608534322</v>
      </c>
      <c r="H1649" s="14">
        <v>0</v>
      </c>
      <c r="I1649" s="229">
        <v>0</v>
      </c>
      <c r="J1649" s="229">
        <v>0</v>
      </c>
      <c r="K1649" s="26">
        <v>1</v>
      </c>
      <c r="L1649" s="14">
        <v>0</v>
      </c>
      <c r="M1649" s="229">
        <v>0</v>
      </c>
      <c r="N1649" s="229">
        <v>0</v>
      </c>
      <c r="O1649" s="229">
        <v>0</v>
      </c>
      <c r="P1649" s="26">
        <v>0</v>
      </c>
      <c r="Q1649" s="14">
        <v>1</v>
      </c>
      <c r="R1649" s="229">
        <v>0</v>
      </c>
      <c r="S1649" s="229">
        <v>0</v>
      </c>
      <c r="T1649" s="229">
        <v>0</v>
      </c>
      <c r="U1649" s="229">
        <v>0</v>
      </c>
      <c r="V1649" s="229">
        <v>0</v>
      </c>
      <c r="W1649" s="229">
        <v>26</v>
      </c>
      <c r="X1649" s="229">
        <v>0</v>
      </c>
      <c r="Y1649" s="229">
        <v>0</v>
      </c>
      <c r="Z1649" s="229">
        <v>0</v>
      </c>
      <c r="AA1649" s="229">
        <v>0</v>
      </c>
      <c r="AB1649" s="229">
        <v>0</v>
      </c>
      <c r="AC1649" s="12">
        <v>2</v>
      </c>
      <c r="AD1649" s="14">
        <v>5</v>
      </c>
      <c r="AE1649" s="14">
        <v>41</v>
      </c>
      <c r="AF1649" s="26">
        <v>332</v>
      </c>
      <c r="AG1649" s="12">
        <v>97</v>
      </c>
      <c r="AH1649" s="14">
        <v>1</v>
      </c>
      <c r="AI1649" s="209"/>
      <c r="AJ1649" s="3"/>
      <c r="AK1649" s="3"/>
      <c r="AL1649" s="3"/>
      <c r="AM1649" s="3"/>
      <c r="AN1649" s="3"/>
      <c r="AO1649" s="40"/>
      <c r="AP1649" s="209"/>
      <c r="AQ1649" s="3"/>
      <c r="AR1649" s="40"/>
      <c r="AS1649" s="238"/>
    </row>
    <row r="1650" spans="1:45" s="229" customFormat="1">
      <c r="A1650" s="83" t="s">
        <v>326</v>
      </c>
      <c r="B1650" s="386">
        <v>46.27</v>
      </c>
      <c r="C1650" s="24" t="s">
        <v>137</v>
      </c>
      <c r="D1650" s="229" t="s">
        <v>670</v>
      </c>
      <c r="E1650" s="229" t="s">
        <v>2</v>
      </c>
      <c r="F1650" s="229">
        <v>513</v>
      </c>
      <c r="G1650" s="40">
        <f>F1650/238</f>
        <v>2.1554621848739495</v>
      </c>
      <c r="H1650" s="14">
        <v>0</v>
      </c>
      <c r="I1650" s="229">
        <v>0</v>
      </c>
      <c r="J1650" s="229">
        <v>0</v>
      </c>
      <c r="K1650" s="26">
        <v>1</v>
      </c>
      <c r="L1650" s="14">
        <v>0</v>
      </c>
      <c r="M1650" s="229">
        <v>0</v>
      </c>
      <c r="N1650" s="229">
        <v>0</v>
      </c>
      <c r="O1650" s="229">
        <v>0</v>
      </c>
      <c r="P1650" s="26">
        <v>0</v>
      </c>
      <c r="Q1650" s="14">
        <v>0</v>
      </c>
      <c r="R1650" s="229">
        <v>0</v>
      </c>
      <c r="S1650" s="229">
        <v>0</v>
      </c>
      <c r="T1650" s="229">
        <v>0</v>
      </c>
      <c r="U1650" s="229">
        <v>0</v>
      </c>
      <c r="V1650" s="229">
        <v>0</v>
      </c>
      <c r="W1650" s="229">
        <v>0</v>
      </c>
      <c r="X1650" s="229">
        <v>0</v>
      </c>
      <c r="Y1650" s="229">
        <v>0</v>
      </c>
      <c r="Z1650" s="229">
        <v>0</v>
      </c>
      <c r="AA1650" s="229">
        <v>0</v>
      </c>
      <c r="AB1650" s="229">
        <v>0</v>
      </c>
      <c r="AC1650" s="12">
        <v>1</v>
      </c>
      <c r="AD1650" s="14">
        <v>1</v>
      </c>
      <c r="AE1650" s="14">
        <v>0</v>
      </c>
      <c r="AF1650" s="26">
        <v>0</v>
      </c>
      <c r="AG1650" s="12">
        <v>97</v>
      </c>
      <c r="AH1650" s="14">
        <v>0</v>
      </c>
      <c r="AI1650" s="209"/>
      <c r="AJ1650" s="3"/>
      <c r="AK1650" s="3"/>
      <c r="AL1650" s="3"/>
      <c r="AM1650" s="3"/>
      <c r="AN1650" s="3"/>
      <c r="AO1650" s="40"/>
      <c r="AP1650" s="209"/>
      <c r="AQ1650" s="3"/>
      <c r="AR1650" s="40"/>
      <c r="AS1650" s="238"/>
    </row>
    <row r="1651" spans="1:45" s="229" customFormat="1">
      <c r="A1651" s="83" t="s">
        <v>326</v>
      </c>
      <c r="B1651" s="386">
        <v>46.27</v>
      </c>
      <c r="C1651" s="24" t="s">
        <v>137</v>
      </c>
      <c r="D1651" s="229" t="s">
        <v>671</v>
      </c>
      <c r="F1651" s="229">
        <v>1167</v>
      </c>
      <c r="G1651" s="40">
        <f>F1651/1274</f>
        <v>0.91601255886970168</v>
      </c>
      <c r="H1651" s="14">
        <v>0</v>
      </c>
      <c r="I1651" s="229">
        <v>0</v>
      </c>
      <c r="J1651" s="229">
        <v>0</v>
      </c>
      <c r="K1651" s="26">
        <v>1</v>
      </c>
      <c r="L1651" s="14">
        <v>0</v>
      </c>
      <c r="M1651" s="229">
        <v>0</v>
      </c>
      <c r="N1651" s="229">
        <v>1</v>
      </c>
      <c r="O1651" s="229">
        <v>0</v>
      </c>
      <c r="P1651" s="26">
        <v>1</v>
      </c>
      <c r="Q1651" s="14">
        <v>1</v>
      </c>
      <c r="R1651" s="229">
        <v>0</v>
      </c>
      <c r="S1651" s="229">
        <v>0</v>
      </c>
      <c r="T1651" s="229">
        <v>0</v>
      </c>
      <c r="U1651" s="229">
        <v>0</v>
      </c>
      <c r="V1651" s="229">
        <v>0</v>
      </c>
      <c r="W1651" s="229">
        <v>13</v>
      </c>
      <c r="X1651" s="229">
        <v>0</v>
      </c>
      <c r="Y1651" s="229">
        <v>0</v>
      </c>
      <c r="Z1651" s="229">
        <v>0</v>
      </c>
      <c r="AA1651" s="229">
        <v>0</v>
      </c>
      <c r="AB1651" s="229">
        <v>1</v>
      </c>
      <c r="AC1651" s="12">
        <v>2</v>
      </c>
      <c r="AD1651" s="14">
        <v>8</v>
      </c>
      <c r="AE1651" s="14">
        <v>98</v>
      </c>
      <c r="AF1651" s="26">
        <v>786</v>
      </c>
      <c r="AG1651" s="12">
        <v>119</v>
      </c>
      <c r="AH1651" s="14">
        <v>1</v>
      </c>
      <c r="AI1651" s="209"/>
      <c r="AJ1651" s="3"/>
      <c r="AK1651" s="3"/>
      <c r="AL1651" s="3"/>
      <c r="AM1651" s="3"/>
      <c r="AN1651" s="3"/>
      <c r="AO1651" s="40"/>
      <c r="AP1651" s="209"/>
      <c r="AQ1651" s="3"/>
      <c r="AR1651" s="40"/>
      <c r="AS1651" s="238"/>
    </row>
    <row r="1652" spans="1:45" s="229" customFormat="1">
      <c r="A1652" s="83" t="s">
        <v>326</v>
      </c>
      <c r="B1652" s="386">
        <v>46.27</v>
      </c>
      <c r="C1652" s="24" t="s">
        <v>137</v>
      </c>
      <c r="D1652" s="229" t="s">
        <v>673</v>
      </c>
      <c r="F1652" s="229">
        <v>535</v>
      </c>
      <c r="G1652" s="40">
        <f>F1652/416</f>
        <v>1.2860576923076923</v>
      </c>
      <c r="H1652" s="14">
        <v>0</v>
      </c>
      <c r="I1652" s="229">
        <v>0</v>
      </c>
      <c r="J1652" s="229">
        <v>1</v>
      </c>
      <c r="K1652" s="26">
        <v>0</v>
      </c>
      <c r="L1652" s="14">
        <v>0</v>
      </c>
      <c r="M1652" s="229">
        <v>0</v>
      </c>
      <c r="N1652" s="229">
        <v>1</v>
      </c>
      <c r="O1652" s="229">
        <v>0</v>
      </c>
      <c r="P1652" s="26">
        <v>1</v>
      </c>
      <c r="Q1652" s="14">
        <v>0</v>
      </c>
      <c r="R1652" s="229">
        <v>0</v>
      </c>
      <c r="S1652" s="229">
        <v>0</v>
      </c>
      <c r="T1652" s="229">
        <v>0</v>
      </c>
      <c r="U1652" s="229">
        <v>0</v>
      </c>
      <c r="V1652" s="229">
        <v>0</v>
      </c>
      <c r="W1652" s="229">
        <v>0</v>
      </c>
      <c r="X1652" s="229">
        <v>0</v>
      </c>
      <c r="Y1652" s="229">
        <v>0</v>
      </c>
      <c r="Z1652" s="229">
        <v>0</v>
      </c>
      <c r="AA1652" s="229">
        <v>0</v>
      </c>
      <c r="AB1652" s="229">
        <v>0</v>
      </c>
      <c r="AC1652" s="12">
        <v>1</v>
      </c>
      <c r="AD1652" s="14">
        <v>1</v>
      </c>
      <c r="AE1652" s="14">
        <v>0</v>
      </c>
      <c r="AF1652" s="26">
        <v>0</v>
      </c>
      <c r="AG1652" s="12">
        <v>96</v>
      </c>
      <c r="AH1652" s="14">
        <v>1</v>
      </c>
      <c r="AI1652" s="209"/>
      <c r="AJ1652" s="3"/>
      <c r="AK1652" s="3"/>
      <c r="AL1652" s="3"/>
      <c r="AM1652" s="3"/>
      <c r="AN1652" s="3"/>
      <c r="AO1652" s="40"/>
      <c r="AP1652" s="209"/>
      <c r="AQ1652" s="3"/>
      <c r="AR1652" s="40"/>
      <c r="AS1652" s="238"/>
    </row>
    <row r="1653" spans="1:45" s="229" customFormat="1">
      <c r="A1653" s="83" t="s">
        <v>326</v>
      </c>
      <c r="B1653" s="386">
        <v>46.27</v>
      </c>
      <c r="C1653" s="24" t="s">
        <v>137</v>
      </c>
      <c r="D1653" s="229" t="s">
        <v>674</v>
      </c>
      <c r="E1653" s="229" t="s">
        <v>0</v>
      </c>
      <c r="F1653" s="229">
        <v>418</v>
      </c>
      <c r="G1653" s="40">
        <f>F1653/284</f>
        <v>1.471830985915493</v>
      </c>
      <c r="H1653" s="14">
        <v>0</v>
      </c>
      <c r="I1653" s="229">
        <v>0</v>
      </c>
      <c r="J1653" s="229">
        <v>0</v>
      </c>
      <c r="K1653" s="26">
        <v>1</v>
      </c>
      <c r="L1653" s="14">
        <v>0</v>
      </c>
      <c r="M1653" s="229">
        <v>0</v>
      </c>
      <c r="N1653" s="229">
        <v>1</v>
      </c>
      <c r="O1653" s="229">
        <v>0</v>
      </c>
      <c r="P1653" s="26">
        <v>1</v>
      </c>
      <c r="Q1653" s="14">
        <v>0</v>
      </c>
      <c r="R1653" s="229">
        <v>0</v>
      </c>
      <c r="S1653" s="229">
        <v>0</v>
      </c>
      <c r="T1653" s="229">
        <v>0</v>
      </c>
      <c r="U1653" s="229">
        <v>0</v>
      </c>
      <c r="V1653" s="229">
        <v>0</v>
      </c>
      <c r="W1653" s="229">
        <v>0</v>
      </c>
      <c r="X1653" s="229">
        <v>0</v>
      </c>
      <c r="Y1653" s="229">
        <v>0</v>
      </c>
      <c r="Z1653" s="229">
        <v>0</v>
      </c>
      <c r="AA1653" s="229">
        <v>0</v>
      </c>
      <c r="AB1653" s="229">
        <v>0</v>
      </c>
      <c r="AC1653" s="12">
        <v>2</v>
      </c>
      <c r="AD1653" s="14">
        <v>2</v>
      </c>
      <c r="AE1653" s="14">
        <v>148</v>
      </c>
      <c r="AF1653" s="26">
        <v>351</v>
      </c>
      <c r="AG1653" s="12">
        <v>119</v>
      </c>
      <c r="AH1653" s="14">
        <v>1</v>
      </c>
      <c r="AI1653" s="209"/>
      <c r="AJ1653" s="3"/>
      <c r="AK1653" s="3"/>
      <c r="AL1653" s="3"/>
      <c r="AM1653" s="3"/>
      <c r="AN1653" s="3"/>
      <c r="AO1653" s="40"/>
      <c r="AP1653" s="209"/>
      <c r="AQ1653" s="3"/>
      <c r="AR1653" s="40"/>
      <c r="AS1653" s="238"/>
    </row>
    <row r="1654" spans="1:45" s="229" customFormat="1">
      <c r="A1654" s="83" t="s">
        <v>326</v>
      </c>
      <c r="B1654" s="386">
        <v>46.27</v>
      </c>
      <c r="C1654" s="24" t="s">
        <v>137</v>
      </c>
      <c r="D1654" s="229" t="s">
        <v>674</v>
      </c>
      <c r="E1654" s="229" t="s">
        <v>1</v>
      </c>
      <c r="F1654" s="229">
        <v>795</v>
      </c>
      <c r="G1654" s="40">
        <f>F1654/349</f>
        <v>2.2779369627507164</v>
      </c>
      <c r="H1654" s="14">
        <v>1</v>
      </c>
      <c r="I1654" s="229">
        <v>0</v>
      </c>
      <c r="J1654" s="229">
        <v>0</v>
      </c>
      <c r="K1654" s="26">
        <v>1</v>
      </c>
      <c r="L1654" s="14">
        <v>0</v>
      </c>
      <c r="M1654" s="229">
        <v>0</v>
      </c>
      <c r="N1654" s="229">
        <v>1</v>
      </c>
      <c r="O1654" s="229">
        <v>0</v>
      </c>
      <c r="P1654" s="26">
        <v>1</v>
      </c>
      <c r="Q1654" s="14">
        <v>1</v>
      </c>
      <c r="R1654" s="229">
        <v>7</v>
      </c>
      <c r="S1654" s="229">
        <v>18</v>
      </c>
      <c r="T1654" s="229">
        <v>0</v>
      </c>
      <c r="U1654" s="229">
        <v>0</v>
      </c>
      <c r="V1654" s="229">
        <v>0</v>
      </c>
      <c r="W1654" s="229">
        <v>0</v>
      </c>
      <c r="X1654" s="229">
        <v>0</v>
      </c>
      <c r="Y1654" s="229">
        <v>0</v>
      </c>
      <c r="Z1654" s="229">
        <v>0</v>
      </c>
      <c r="AA1654" s="229">
        <v>0</v>
      </c>
      <c r="AB1654" s="229">
        <v>1</v>
      </c>
      <c r="AC1654" s="12">
        <v>2</v>
      </c>
      <c r="AD1654" s="14">
        <v>7</v>
      </c>
      <c r="AE1654" s="14">
        <v>124</v>
      </c>
      <c r="AF1654" s="26">
        <v>312</v>
      </c>
      <c r="AG1654" s="12">
        <v>119</v>
      </c>
      <c r="AH1654" s="14">
        <v>1</v>
      </c>
      <c r="AI1654" s="209"/>
      <c r="AJ1654" s="3"/>
      <c r="AK1654" s="3"/>
      <c r="AL1654" s="3"/>
      <c r="AM1654" s="3"/>
      <c r="AN1654" s="3"/>
      <c r="AO1654" s="40"/>
      <c r="AP1654" s="209"/>
      <c r="AQ1654" s="3"/>
      <c r="AR1654" s="40"/>
      <c r="AS1654" s="238"/>
    </row>
    <row r="1655" spans="1:45" s="229" customFormat="1">
      <c r="A1655" s="83" t="s">
        <v>326</v>
      </c>
      <c r="B1655" s="386">
        <v>46.27</v>
      </c>
      <c r="C1655" s="24" t="s">
        <v>137</v>
      </c>
      <c r="D1655" s="229" t="s">
        <v>674</v>
      </c>
      <c r="E1655" s="229" t="s">
        <v>2</v>
      </c>
      <c r="F1655" s="229">
        <v>489</v>
      </c>
      <c r="G1655" s="40">
        <f>F1655/450</f>
        <v>1.0866666666666667</v>
      </c>
      <c r="H1655" s="14">
        <v>0</v>
      </c>
      <c r="I1655" s="229">
        <v>0</v>
      </c>
      <c r="J1655" s="229">
        <v>1</v>
      </c>
      <c r="K1655" s="26">
        <v>1</v>
      </c>
      <c r="L1655" s="14">
        <v>0</v>
      </c>
      <c r="M1655" s="229">
        <v>0</v>
      </c>
      <c r="N1655" s="229">
        <v>1</v>
      </c>
      <c r="O1655" s="229">
        <v>0</v>
      </c>
      <c r="P1655" s="26">
        <v>1</v>
      </c>
      <c r="Q1655" s="14">
        <v>1</v>
      </c>
      <c r="R1655" s="229">
        <v>0</v>
      </c>
      <c r="S1655" s="229">
        <v>8</v>
      </c>
      <c r="T1655" s="229">
        <v>0</v>
      </c>
      <c r="U1655" s="229">
        <v>0</v>
      </c>
      <c r="V1655" s="229">
        <v>0</v>
      </c>
      <c r="W1655" s="229">
        <v>0</v>
      </c>
      <c r="X1655" s="229">
        <v>0</v>
      </c>
      <c r="Y1655" s="229">
        <v>0</v>
      </c>
      <c r="Z1655" s="229">
        <v>0</v>
      </c>
      <c r="AA1655" s="229">
        <v>0</v>
      </c>
      <c r="AB1655" s="229">
        <v>0</v>
      </c>
      <c r="AC1655" s="12">
        <v>2</v>
      </c>
      <c r="AD1655" s="14">
        <v>6</v>
      </c>
      <c r="AE1655" s="14">
        <v>60</v>
      </c>
      <c r="AF1655" s="26">
        <v>345</v>
      </c>
      <c r="AG1655" s="12">
        <v>119</v>
      </c>
      <c r="AH1655" s="14">
        <v>1</v>
      </c>
      <c r="AI1655" s="209"/>
      <c r="AJ1655" s="3"/>
      <c r="AK1655" s="3"/>
      <c r="AL1655" s="3"/>
      <c r="AM1655" s="3"/>
      <c r="AN1655" s="3"/>
      <c r="AO1655" s="40"/>
      <c r="AP1655" s="209"/>
      <c r="AQ1655" s="3"/>
      <c r="AR1655" s="40"/>
      <c r="AS1655" s="238"/>
    </row>
    <row r="1656" spans="1:45" s="229" customFormat="1">
      <c r="A1656" s="83" t="s">
        <v>326</v>
      </c>
      <c r="B1656" s="386">
        <v>46.27</v>
      </c>
      <c r="C1656" s="24" t="s">
        <v>137</v>
      </c>
      <c r="D1656" s="229" t="s">
        <v>674</v>
      </c>
      <c r="E1656" s="229" t="s">
        <v>3</v>
      </c>
      <c r="F1656" s="229">
        <v>645</v>
      </c>
      <c r="G1656" s="40">
        <f>F1656/320</f>
        <v>2.015625</v>
      </c>
      <c r="H1656" s="14">
        <v>1</v>
      </c>
      <c r="I1656" s="229">
        <v>0</v>
      </c>
      <c r="J1656" s="229">
        <v>0</v>
      </c>
      <c r="K1656" s="26">
        <v>1</v>
      </c>
      <c r="L1656" s="14">
        <v>0</v>
      </c>
      <c r="M1656" s="229">
        <v>0</v>
      </c>
      <c r="N1656" s="229">
        <v>0</v>
      </c>
      <c r="O1656" s="229">
        <v>0</v>
      </c>
      <c r="P1656" s="26">
        <v>0</v>
      </c>
      <c r="Q1656" s="14">
        <v>0</v>
      </c>
      <c r="R1656" s="229">
        <v>0</v>
      </c>
      <c r="S1656" s="229">
        <v>0</v>
      </c>
      <c r="T1656" s="229">
        <v>0</v>
      </c>
      <c r="U1656" s="229">
        <v>0</v>
      </c>
      <c r="V1656" s="229">
        <v>0</v>
      </c>
      <c r="W1656" s="229">
        <v>0</v>
      </c>
      <c r="X1656" s="229">
        <v>0</v>
      </c>
      <c r="Y1656" s="229">
        <v>0</v>
      </c>
      <c r="Z1656" s="229">
        <v>0</v>
      </c>
      <c r="AA1656" s="229">
        <v>0</v>
      </c>
      <c r="AB1656" s="229">
        <v>0</v>
      </c>
      <c r="AC1656" s="12">
        <v>2</v>
      </c>
      <c r="AD1656" s="14">
        <v>4</v>
      </c>
      <c r="AE1656" s="14">
        <v>104</v>
      </c>
      <c r="AF1656" s="26">
        <v>328</v>
      </c>
      <c r="AG1656" s="12">
        <v>119</v>
      </c>
      <c r="AH1656" s="14">
        <v>1</v>
      </c>
      <c r="AI1656" s="209"/>
      <c r="AJ1656" s="3"/>
      <c r="AK1656" s="3"/>
      <c r="AL1656" s="3"/>
      <c r="AM1656" s="3"/>
      <c r="AN1656" s="3"/>
      <c r="AO1656" s="40"/>
      <c r="AP1656" s="209"/>
      <c r="AQ1656" s="3"/>
      <c r="AR1656" s="40"/>
      <c r="AS1656" s="238"/>
    </row>
    <row r="1657" spans="1:45" s="229" customFormat="1">
      <c r="A1657" s="83" t="s">
        <v>326</v>
      </c>
      <c r="B1657" s="386">
        <v>46.27</v>
      </c>
      <c r="C1657" s="24" t="s">
        <v>137</v>
      </c>
      <c r="D1657" s="229" t="s">
        <v>675</v>
      </c>
      <c r="E1657" s="229" t="s">
        <v>0</v>
      </c>
      <c r="F1657" s="229">
        <v>861</v>
      </c>
      <c r="G1657" s="40">
        <f>F1657/340</f>
        <v>2.5323529411764705</v>
      </c>
      <c r="H1657" s="14">
        <v>0</v>
      </c>
      <c r="I1657" s="229">
        <v>0</v>
      </c>
      <c r="J1657" s="229">
        <v>0</v>
      </c>
      <c r="K1657" s="26">
        <v>1</v>
      </c>
      <c r="L1657" s="14">
        <v>0</v>
      </c>
      <c r="M1657" s="229">
        <v>0</v>
      </c>
      <c r="N1657" s="229">
        <v>1</v>
      </c>
      <c r="O1657" s="229">
        <v>0</v>
      </c>
      <c r="P1657" s="26">
        <v>1</v>
      </c>
      <c r="Q1657" s="14">
        <v>2</v>
      </c>
      <c r="R1657" s="229">
        <v>16</v>
      </c>
      <c r="S1657" s="229">
        <v>41</v>
      </c>
      <c r="T1657" s="229">
        <v>0</v>
      </c>
      <c r="U1657" s="229">
        <v>0</v>
      </c>
      <c r="V1657" s="229">
        <v>0</v>
      </c>
      <c r="W1657" s="229">
        <v>14</v>
      </c>
      <c r="X1657" s="229">
        <v>0</v>
      </c>
      <c r="Y1657" s="229">
        <v>0</v>
      </c>
      <c r="Z1657" s="229">
        <v>0</v>
      </c>
      <c r="AA1657" s="229">
        <v>0</v>
      </c>
      <c r="AB1657" s="229">
        <v>1</v>
      </c>
      <c r="AC1657" s="12">
        <v>2</v>
      </c>
      <c r="AD1657" s="14">
        <v>6</v>
      </c>
      <c r="AE1657" s="14">
        <v>137</v>
      </c>
      <c r="AF1657" s="26">
        <v>414</v>
      </c>
      <c r="AG1657" s="12">
        <v>89</v>
      </c>
      <c r="AH1657" s="14">
        <v>1</v>
      </c>
      <c r="AI1657" s="209">
        <v>85.944741848065163</v>
      </c>
      <c r="AJ1657" s="3">
        <v>86.058801406042846</v>
      </c>
      <c r="AK1657" s="3"/>
      <c r="AL1657" s="3"/>
      <c r="AM1657" s="3"/>
      <c r="AN1657" s="3"/>
      <c r="AO1657" s="40"/>
      <c r="AP1657" s="209">
        <v>85.861138222644286</v>
      </c>
      <c r="AQ1657" s="3">
        <v>85.90959490511753</v>
      </c>
      <c r="AR1657" s="40"/>
      <c r="AS1657" s="238"/>
    </row>
    <row r="1658" spans="1:45" s="229" customFormat="1">
      <c r="A1658" s="83" t="s">
        <v>326</v>
      </c>
      <c r="B1658" s="386">
        <v>46.27</v>
      </c>
      <c r="C1658" s="24" t="s">
        <v>137</v>
      </c>
      <c r="D1658" s="229" t="s">
        <v>675</v>
      </c>
      <c r="E1658" s="229" t="s">
        <v>1</v>
      </c>
      <c r="F1658" s="229">
        <v>728</v>
      </c>
      <c r="G1658" s="40">
        <f>F1658/647</f>
        <v>1.1251931993817619</v>
      </c>
      <c r="H1658" s="14">
        <v>0</v>
      </c>
      <c r="I1658" s="229">
        <v>0</v>
      </c>
      <c r="J1658" s="229">
        <v>0</v>
      </c>
      <c r="K1658" s="26">
        <v>1</v>
      </c>
      <c r="L1658" s="14">
        <v>0</v>
      </c>
      <c r="M1658" s="229">
        <v>0</v>
      </c>
      <c r="N1658" s="229">
        <v>1</v>
      </c>
      <c r="O1658" s="229">
        <v>0</v>
      </c>
      <c r="P1658" s="26">
        <v>1</v>
      </c>
      <c r="Q1658" s="14">
        <v>1</v>
      </c>
      <c r="R1658" s="229">
        <v>0</v>
      </c>
      <c r="S1658" s="229">
        <v>12</v>
      </c>
      <c r="T1658" s="229">
        <v>0</v>
      </c>
      <c r="U1658" s="229">
        <v>0</v>
      </c>
      <c r="V1658" s="229">
        <v>0</v>
      </c>
      <c r="W1658" s="229">
        <v>0</v>
      </c>
      <c r="X1658" s="229">
        <v>0</v>
      </c>
      <c r="Y1658" s="229">
        <v>0</v>
      </c>
      <c r="AA1658" s="229">
        <v>0</v>
      </c>
      <c r="AB1658" s="229">
        <v>0</v>
      </c>
      <c r="AC1658" s="12">
        <v>2</v>
      </c>
      <c r="AD1658" s="14">
        <v>5</v>
      </c>
      <c r="AE1658" s="14">
        <v>168</v>
      </c>
      <c r="AF1658" s="26">
        <v>391</v>
      </c>
      <c r="AG1658" s="12">
        <v>89</v>
      </c>
      <c r="AH1658" s="14">
        <v>1</v>
      </c>
      <c r="AI1658" s="209">
        <v>86.022187268568842</v>
      </c>
      <c r="AJ1658" s="3">
        <v>85.556143420391805</v>
      </c>
      <c r="AK1658" s="3">
        <v>86.110398944725304</v>
      </c>
      <c r="AL1658" s="3">
        <v>86.118031700889944</v>
      </c>
      <c r="AM1658" s="3"/>
      <c r="AN1658" s="3"/>
      <c r="AO1658" s="40"/>
      <c r="AP1658" s="209"/>
      <c r="AQ1658" s="3"/>
      <c r="AR1658" s="40"/>
      <c r="AS1658" s="238"/>
    </row>
    <row r="1659" spans="1:45" s="229" customFormat="1">
      <c r="A1659" s="83" t="s">
        <v>326</v>
      </c>
      <c r="B1659" s="386">
        <v>46.27</v>
      </c>
      <c r="C1659" s="24" t="s">
        <v>137</v>
      </c>
      <c r="D1659" s="229" t="s">
        <v>675</v>
      </c>
      <c r="E1659" s="229" t="s">
        <v>2</v>
      </c>
      <c r="F1659" s="229">
        <v>322</v>
      </c>
      <c r="G1659" s="40">
        <f>F1659/301</f>
        <v>1.069767441860465</v>
      </c>
      <c r="H1659" s="14">
        <v>0</v>
      </c>
      <c r="I1659" s="229">
        <v>0</v>
      </c>
      <c r="J1659" s="229">
        <v>0</v>
      </c>
      <c r="K1659" s="26">
        <v>1</v>
      </c>
      <c r="L1659" s="14">
        <v>0</v>
      </c>
      <c r="M1659" s="229">
        <v>0</v>
      </c>
      <c r="N1659" s="229">
        <v>1</v>
      </c>
      <c r="O1659" s="229">
        <v>0</v>
      </c>
      <c r="P1659" s="26">
        <v>1</v>
      </c>
      <c r="Q1659" s="14">
        <v>2</v>
      </c>
      <c r="R1659" s="229">
        <v>0</v>
      </c>
      <c r="S1659" s="229">
        <v>0</v>
      </c>
      <c r="T1659" s="229">
        <v>0</v>
      </c>
      <c r="U1659" s="229">
        <v>0</v>
      </c>
      <c r="V1659" s="229">
        <v>0</v>
      </c>
      <c r="W1659" s="229">
        <v>40</v>
      </c>
      <c r="X1659" s="229">
        <v>0</v>
      </c>
      <c r="Y1659" s="229">
        <v>0</v>
      </c>
      <c r="Z1659" s="229">
        <v>0</v>
      </c>
      <c r="AA1659" s="229">
        <v>0</v>
      </c>
      <c r="AB1659" s="229">
        <v>0</v>
      </c>
      <c r="AC1659" s="12">
        <v>1</v>
      </c>
      <c r="AD1659" s="14">
        <v>1</v>
      </c>
      <c r="AE1659" s="14">
        <v>0</v>
      </c>
      <c r="AF1659" s="26">
        <v>0</v>
      </c>
      <c r="AG1659" s="12">
        <v>89</v>
      </c>
      <c r="AH1659" s="14">
        <v>1</v>
      </c>
      <c r="AI1659" s="209"/>
      <c r="AJ1659" s="3"/>
      <c r="AK1659" s="3"/>
      <c r="AL1659" s="3"/>
      <c r="AM1659" s="3"/>
      <c r="AN1659" s="3"/>
      <c r="AO1659" s="40"/>
      <c r="AP1659" s="209"/>
      <c r="AQ1659" s="3"/>
      <c r="AR1659" s="40"/>
      <c r="AS1659" s="238"/>
    </row>
    <row r="1660" spans="1:45" s="229" customFormat="1">
      <c r="A1660" s="83" t="s">
        <v>326</v>
      </c>
      <c r="B1660" s="386">
        <v>46.27</v>
      </c>
      <c r="C1660" s="24" t="s">
        <v>137</v>
      </c>
      <c r="D1660" s="229" t="s">
        <v>681</v>
      </c>
      <c r="E1660" s="229" t="s">
        <v>0</v>
      </c>
      <c r="F1660" s="229">
        <v>532</v>
      </c>
      <c r="G1660" s="40">
        <f>F1660/245</f>
        <v>2.1714285714285713</v>
      </c>
      <c r="H1660" s="14">
        <v>0</v>
      </c>
      <c r="I1660" s="229">
        <v>0</v>
      </c>
      <c r="J1660" s="229">
        <v>0</v>
      </c>
      <c r="K1660" s="26">
        <v>1</v>
      </c>
      <c r="L1660" s="14">
        <v>0</v>
      </c>
      <c r="M1660" s="229">
        <v>0</v>
      </c>
      <c r="N1660" s="229">
        <v>1</v>
      </c>
      <c r="O1660" s="229">
        <v>0</v>
      </c>
      <c r="P1660" s="26">
        <v>1</v>
      </c>
      <c r="Q1660" s="14">
        <v>0</v>
      </c>
      <c r="R1660" s="229">
        <v>0</v>
      </c>
      <c r="S1660" s="229">
        <v>0</v>
      </c>
      <c r="T1660" s="229">
        <v>0</v>
      </c>
      <c r="U1660" s="229">
        <v>0</v>
      </c>
      <c r="V1660" s="229">
        <v>0</v>
      </c>
      <c r="W1660" s="229">
        <v>0</v>
      </c>
      <c r="X1660" s="229">
        <v>0</v>
      </c>
      <c r="Y1660" s="229">
        <v>0</v>
      </c>
      <c r="Z1660" s="229">
        <v>0</v>
      </c>
      <c r="AA1660" s="229">
        <v>0</v>
      </c>
      <c r="AB1660" s="229">
        <v>0</v>
      </c>
      <c r="AC1660" s="12">
        <v>2</v>
      </c>
      <c r="AD1660" s="14">
        <v>3</v>
      </c>
      <c r="AE1660" s="14">
        <v>200</v>
      </c>
      <c r="AF1660" s="26">
        <v>294</v>
      </c>
      <c r="AG1660" s="12">
        <v>90</v>
      </c>
      <c r="AH1660" s="14">
        <v>0</v>
      </c>
      <c r="AI1660" s="209"/>
      <c r="AJ1660" s="3"/>
      <c r="AK1660" s="3"/>
      <c r="AL1660" s="3"/>
      <c r="AM1660" s="3"/>
      <c r="AN1660" s="3"/>
      <c r="AO1660" s="40"/>
      <c r="AP1660" s="209"/>
      <c r="AQ1660" s="3"/>
      <c r="AR1660" s="40"/>
      <c r="AS1660" s="238"/>
    </row>
    <row r="1661" spans="1:45" s="229" customFormat="1">
      <c r="A1661" s="83" t="s">
        <v>326</v>
      </c>
      <c r="B1661" s="386">
        <v>46.27</v>
      </c>
      <c r="C1661" s="24" t="s">
        <v>137</v>
      </c>
      <c r="D1661" s="229" t="s">
        <v>681</v>
      </c>
      <c r="E1661" s="229" t="s">
        <v>1</v>
      </c>
      <c r="F1661" s="229">
        <v>675</v>
      </c>
      <c r="G1661" s="40">
        <f>F1661/309</f>
        <v>2.1844660194174756</v>
      </c>
      <c r="H1661" s="14">
        <v>0</v>
      </c>
      <c r="I1661" s="229">
        <v>0</v>
      </c>
      <c r="J1661" s="229">
        <v>0</v>
      </c>
      <c r="K1661" s="26">
        <v>1</v>
      </c>
      <c r="L1661" s="14">
        <v>0</v>
      </c>
      <c r="M1661" s="229">
        <v>0</v>
      </c>
      <c r="N1661" s="229">
        <v>1</v>
      </c>
      <c r="O1661" s="229">
        <v>0</v>
      </c>
      <c r="P1661" s="26">
        <v>1</v>
      </c>
      <c r="Q1661" s="14">
        <v>1</v>
      </c>
      <c r="R1661" s="229">
        <v>0</v>
      </c>
      <c r="S1661" s="229">
        <v>10</v>
      </c>
      <c r="T1661" s="229">
        <v>0</v>
      </c>
      <c r="U1661" s="229">
        <v>0</v>
      </c>
      <c r="V1661" s="229">
        <v>0</v>
      </c>
      <c r="W1661" s="229">
        <v>0</v>
      </c>
      <c r="X1661" s="229">
        <v>0</v>
      </c>
      <c r="Y1661" s="229">
        <v>0</v>
      </c>
      <c r="Z1661" s="229">
        <v>0</v>
      </c>
      <c r="AA1661" s="229">
        <v>0</v>
      </c>
      <c r="AB1661" s="229">
        <v>1</v>
      </c>
      <c r="AC1661" s="12">
        <v>2</v>
      </c>
      <c r="AD1661" s="14">
        <v>4</v>
      </c>
      <c r="AE1661" s="14">
        <v>191</v>
      </c>
      <c r="AF1661" s="26">
        <v>358</v>
      </c>
      <c r="AG1661" s="12">
        <v>90</v>
      </c>
      <c r="AH1661" s="14">
        <v>1</v>
      </c>
      <c r="AI1661" s="209"/>
      <c r="AJ1661" s="3"/>
      <c r="AK1661" s="3"/>
      <c r="AL1661" s="3"/>
      <c r="AM1661" s="3"/>
      <c r="AN1661" s="3"/>
      <c r="AO1661" s="40"/>
      <c r="AP1661" s="209"/>
      <c r="AQ1661" s="3"/>
      <c r="AR1661" s="40"/>
      <c r="AS1661" s="238"/>
    </row>
    <row r="1662" spans="1:45" s="229" customFormat="1">
      <c r="A1662" s="83" t="s">
        <v>326</v>
      </c>
      <c r="B1662" s="386">
        <v>46.27</v>
      </c>
      <c r="C1662" s="24" t="s">
        <v>137</v>
      </c>
      <c r="D1662" s="229" t="s">
        <v>682</v>
      </c>
      <c r="F1662" s="229">
        <v>847</v>
      </c>
      <c r="G1662" s="40">
        <f>F1662/506</f>
        <v>1.673913043478261</v>
      </c>
      <c r="H1662" s="14">
        <v>0</v>
      </c>
      <c r="I1662" s="229">
        <v>0</v>
      </c>
      <c r="J1662" s="229">
        <v>0</v>
      </c>
      <c r="K1662" s="26">
        <v>1</v>
      </c>
      <c r="L1662" s="14">
        <v>0</v>
      </c>
      <c r="M1662" s="229">
        <v>0</v>
      </c>
      <c r="N1662" s="229">
        <v>1</v>
      </c>
      <c r="O1662" s="229">
        <v>1</v>
      </c>
      <c r="P1662" s="26">
        <v>2</v>
      </c>
      <c r="Q1662" s="14">
        <v>1</v>
      </c>
      <c r="R1662" s="229">
        <v>0</v>
      </c>
      <c r="S1662" s="229">
        <v>0</v>
      </c>
      <c r="T1662" s="229">
        <v>0</v>
      </c>
      <c r="U1662" s="229">
        <v>0</v>
      </c>
      <c r="V1662" s="229">
        <v>6</v>
      </c>
      <c r="W1662" s="229">
        <v>15</v>
      </c>
      <c r="X1662" s="229">
        <v>0</v>
      </c>
      <c r="Y1662" s="229">
        <v>0</v>
      </c>
      <c r="Z1662" s="229">
        <v>0</v>
      </c>
      <c r="AA1662" s="229">
        <v>0</v>
      </c>
      <c r="AB1662" s="229">
        <v>1</v>
      </c>
      <c r="AC1662" s="12">
        <v>2</v>
      </c>
      <c r="AD1662" s="14">
        <v>10</v>
      </c>
      <c r="AE1662" s="14">
        <v>126</v>
      </c>
      <c r="AF1662" s="26">
        <v>369</v>
      </c>
      <c r="AG1662" s="12">
        <v>98</v>
      </c>
      <c r="AH1662" s="14">
        <v>1</v>
      </c>
      <c r="AI1662" s="209"/>
      <c r="AJ1662" s="3"/>
      <c r="AK1662" s="3"/>
      <c r="AL1662" s="3"/>
      <c r="AM1662" s="3"/>
      <c r="AN1662" s="3"/>
      <c r="AO1662" s="40"/>
      <c r="AP1662" s="209"/>
      <c r="AQ1662" s="3"/>
      <c r="AR1662" s="40"/>
      <c r="AS1662" s="238"/>
    </row>
    <row r="1663" spans="1:45" s="229" customFormat="1">
      <c r="A1663" s="83" t="s">
        <v>326</v>
      </c>
      <c r="B1663" s="386">
        <v>46.27</v>
      </c>
      <c r="C1663" s="24" t="s">
        <v>137</v>
      </c>
      <c r="D1663" s="229" t="s">
        <v>694</v>
      </c>
      <c r="E1663" s="229" t="s">
        <v>0</v>
      </c>
      <c r="F1663" s="229">
        <v>1275</v>
      </c>
      <c r="G1663" s="40">
        <f>F1663/627</f>
        <v>2.0334928229665072</v>
      </c>
      <c r="H1663" s="14">
        <v>0</v>
      </c>
      <c r="I1663" s="229">
        <v>0</v>
      </c>
      <c r="J1663" s="229">
        <v>0</v>
      </c>
      <c r="K1663" s="26">
        <v>1</v>
      </c>
      <c r="L1663" s="14">
        <v>0</v>
      </c>
      <c r="M1663" s="229">
        <v>0</v>
      </c>
      <c r="N1663" s="229">
        <v>0</v>
      </c>
      <c r="O1663" s="229">
        <v>0</v>
      </c>
      <c r="P1663" s="26">
        <v>0</v>
      </c>
      <c r="Q1663" s="14">
        <v>1</v>
      </c>
      <c r="R1663" s="229">
        <v>0</v>
      </c>
      <c r="S1663" s="229">
        <v>16</v>
      </c>
      <c r="T1663" s="229">
        <v>0</v>
      </c>
      <c r="U1663" s="229">
        <v>0</v>
      </c>
      <c r="V1663" s="229">
        <v>21</v>
      </c>
      <c r="W1663" s="229">
        <v>52</v>
      </c>
      <c r="X1663" s="229">
        <v>0</v>
      </c>
      <c r="Y1663" s="229">
        <v>0</v>
      </c>
      <c r="Z1663" s="229">
        <v>0</v>
      </c>
      <c r="AA1663" s="229">
        <v>0</v>
      </c>
      <c r="AB1663" s="229">
        <v>1</v>
      </c>
      <c r="AC1663" s="12">
        <v>2</v>
      </c>
      <c r="AD1663" s="14">
        <v>9</v>
      </c>
      <c r="AE1663" s="14">
        <v>98</v>
      </c>
      <c r="AF1663" s="26">
        <v>600</v>
      </c>
      <c r="AG1663" s="12">
        <v>110</v>
      </c>
      <c r="AH1663" s="14">
        <v>1</v>
      </c>
      <c r="AI1663" s="209">
        <v>86.015061687307252</v>
      </c>
      <c r="AJ1663" s="3"/>
      <c r="AK1663" s="3"/>
      <c r="AL1663" s="3"/>
      <c r="AM1663" s="3"/>
      <c r="AN1663" s="3"/>
      <c r="AO1663" s="40"/>
      <c r="AP1663" s="209"/>
      <c r="AQ1663" s="3"/>
      <c r="AR1663" s="40"/>
      <c r="AS1663" s="238"/>
    </row>
    <row r="1664" spans="1:45" s="229" customFormat="1">
      <c r="A1664" s="83" t="s">
        <v>326</v>
      </c>
      <c r="B1664" s="386">
        <v>46.27</v>
      </c>
      <c r="C1664" s="24" t="s">
        <v>137</v>
      </c>
      <c r="D1664" s="229" t="s">
        <v>694</v>
      </c>
      <c r="E1664" s="229" t="s">
        <v>1</v>
      </c>
      <c r="F1664" s="229">
        <v>862</v>
      </c>
      <c r="G1664" s="40">
        <f>F1664/668</f>
        <v>1.2904191616766467</v>
      </c>
      <c r="H1664" s="14">
        <v>0</v>
      </c>
      <c r="I1664" s="229">
        <v>0</v>
      </c>
      <c r="J1664" s="229">
        <v>0</v>
      </c>
      <c r="K1664" s="26">
        <v>1</v>
      </c>
      <c r="L1664" s="14">
        <v>0</v>
      </c>
      <c r="M1664" s="229">
        <v>0</v>
      </c>
      <c r="N1664" s="229">
        <v>1</v>
      </c>
      <c r="O1664" s="229">
        <v>0</v>
      </c>
      <c r="P1664" s="26">
        <v>1</v>
      </c>
      <c r="Q1664" s="14">
        <v>1</v>
      </c>
      <c r="R1664" s="229">
        <v>0</v>
      </c>
      <c r="S1664" s="229">
        <v>0</v>
      </c>
      <c r="T1664" s="229">
        <v>0</v>
      </c>
      <c r="U1664" s="229">
        <v>0</v>
      </c>
      <c r="V1664" s="229">
        <v>0</v>
      </c>
      <c r="W1664" s="229">
        <v>14</v>
      </c>
      <c r="X1664" s="229">
        <v>0</v>
      </c>
      <c r="Y1664" s="229">
        <v>0</v>
      </c>
      <c r="Z1664" s="229">
        <v>0</v>
      </c>
      <c r="AA1664" s="229">
        <v>0</v>
      </c>
      <c r="AB1664" s="229">
        <v>1</v>
      </c>
      <c r="AC1664" s="12">
        <v>2</v>
      </c>
      <c r="AD1664" s="14">
        <v>5</v>
      </c>
      <c r="AE1664" s="14">
        <v>212</v>
      </c>
      <c r="AF1664" s="26">
        <v>403</v>
      </c>
      <c r="AG1664" s="12">
        <v>110</v>
      </c>
      <c r="AH1664" s="14">
        <v>1</v>
      </c>
      <c r="AI1664" s="209"/>
      <c r="AJ1664" s="3"/>
      <c r="AK1664" s="3"/>
      <c r="AL1664" s="3"/>
      <c r="AM1664" s="3"/>
      <c r="AN1664" s="3"/>
      <c r="AO1664" s="40"/>
      <c r="AP1664" s="209"/>
      <c r="AQ1664" s="3"/>
      <c r="AR1664" s="40"/>
      <c r="AS1664" s="238"/>
    </row>
    <row r="1665" spans="1:45" s="229" customFormat="1" ht="17" thickBot="1">
      <c r="A1665" s="84" t="s">
        <v>326</v>
      </c>
      <c r="B1665" s="385">
        <v>46.27</v>
      </c>
      <c r="C1665" s="24" t="s">
        <v>137</v>
      </c>
      <c r="D1665" s="229" t="s">
        <v>683</v>
      </c>
      <c r="F1665" s="229">
        <v>452</v>
      </c>
      <c r="G1665" s="40">
        <f>F1665/371</f>
        <v>1.2183288409703503</v>
      </c>
      <c r="H1665" s="14">
        <v>0</v>
      </c>
      <c r="I1665" s="229">
        <v>0</v>
      </c>
      <c r="J1665" s="229">
        <v>1</v>
      </c>
      <c r="K1665" s="26">
        <v>1</v>
      </c>
      <c r="L1665" s="14">
        <v>0</v>
      </c>
      <c r="M1665" s="229">
        <v>0</v>
      </c>
      <c r="N1665" s="229">
        <v>1</v>
      </c>
      <c r="O1665" s="229">
        <v>0</v>
      </c>
      <c r="P1665" s="26">
        <v>1</v>
      </c>
      <c r="Q1665" s="14">
        <v>1</v>
      </c>
      <c r="R1665" s="229">
        <v>0</v>
      </c>
      <c r="S1665" s="229">
        <v>10</v>
      </c>
      <c r="T1665" s="229">
        <v>0</v>
      </c>
      <c r="U1665" s="229">
        <v>0</v>
      </c>
      <c r="V1665" s="229">
        <v>0</v>
      </c>
      <c r="W1665" s="229">
        <v>0</v>
      </c>
      <c r="X1665" s="229">
        <v>0</v>
      </c>
      <c r="Y1665" s="229">
        <v>0</v>
      </c>
      <c r="Z1665" s="229">
        <v>0</v>
      </c>
      <c r="AA1665" s="229">
        <v>0</v>
      </c>
      <c r="AB1665" s="229">
        <v>0</v>
      </c>
      <c r="AC1665" s="12">
        <v>2</v>
      </c>
      <c r="AD1665" s="14">
        <v>3</v>
      </c>
      <c r="AE1665" s="14">
        <v>124</v>
      </c>
      <c r="AF1665" s="26">
        <v>392</v>
      </c>
      <c r="AG1665" s="12">
        <v>72</v>
      </c>
      <c r="AH1665" s="14">
        <v>1</v>
      </c>
      <c r="AI1665" s="209"/>
      <c r="AJ1665" s="3"/>
      <c r="AK1665" s="3"/>
      <c r="AL1665" s="3"/>
      <c r="AM1665" s="3"/>
      <c r="AN1665" s="3"/>
      <c r="AO1665" s="40"/>
      <c r="AP1665" s="209"/>
      <c r="AQ1665" s="3"/>
      <c r="AR1665" s="40"/>
      <c r="AS1665" s="238"/>
    </row>
    <row r="1666" spans="1:45" s="229" customFormat="1">
      <c r="A1666" s="83" t="s">
        <v>326</v>
      </c>
      <c r="B1666" s="384">
        <v>46.27</v>
      </c>
      <c r="C1666" s="100" t="s">
        <v>136</v>
      </c>
      <c r="D1666" s="8" t="s">
        <v>622</v>
      </c>
      <c r="E1666" s="8" t="s">
        <v>0</v>
      </c>
      <c r="F1666" s="8">
        <v>748</v>
      </c>
      <c r="G1666" s="10">
        <f>F1666/600</f>
        <v>1.2466666666666666</v>
      </c>
      <c r="H1666" s="11">
        <v>0</v>
      </c>
      <c r="I1666" s="8">
        <v>0</v>
      </c>
      <c r="J1666" s="8">
        <v>0</v>
      </c>
      <c r="K1666" s="41">
        <v>1</v>
      </c>
      <c r="L1666" s="11">
        <v>0</v>
      </c>
      <c r="M1666" s="8">
        <v>0</v>
      </c>
      <c r="N1666" s="8">
        <v>1</v>
      </c>
      <c r="O1666" s="8">
        <v>0</v>
      </c>
      <c r="P1666" s="41">
        <v>1</v>
      </c>
      <c r="Q1666" s="11">
        <v>0</v>
      </c>
      <c r="R1666" s="8">
        <v>0</v>
      </c>
      <c r="S1666" s="8">
        <v>0</v>
      </c>
      <c r="T1666" s="8">
        <v>0</v>
      </c>
      <c r="U1666" s="8">
        <v>0</v>
      </c>
      <c r="V1666" s="8">
        <v>0</v>
      </c>
      <c r="W1666" s="8">
        <v>0</v>
      </c>
      <c r="X1666" s="8">
        <v>0</v>
      </c>
      <c r="Y1666" s="8">
        <v>0</v>
      </c>
      <c r="Z1666" s="8">
        <v>0</v>
      </c>
      <c r="AA1666" s="8">
        <v>0</v>
      </c>
      <c r="AB1666" s="8">
        <v>0</v>
      </c>
      <c r="AC1666" s="9">
        <v>2</v>
      </c>
      <c r="AD1666" s="11">
        <v>3</v>
      </c>
      <c r="AE1666" s="11">
        <v>180</v>
      </c>
      <c r="AF1666" s="41">
        <v>600</v>
      </c>
      <c r="AG1666" s="9">
        <v>128</v>
      </c>
      <c r="AH1666" s="11">
        <v>1</v>
      </c>
      <c r="AI1666" s="208"/>
      <c r="AJ1666" s="54"/>
      <c r="AK1666" s="54"/>
      <c r="AL1666" s="54"/>
      <c r="AM1666" s="54"/>
      <c r="AN1666" s="54"/>
      <c r="AO1666" s="10"/>
      <c r="AP1666" s="208"/>
      <c r="AQ1666" s="54"/>
      <c r="AR1666" s="10"/>
      <c r="AS1666" s="237"/>
    </row>
    <row r="1667" spans="1:45" s="229" customFormat="1">
      <c r="A1667" s="83" t="s">
        <v>326</v>
      </c>
      <c r="B1667" s="386">
        <v>46.27</v>
      </c>
      <c r="C1667" s="24" t="s">
        <v>136</v>
      </c>
      <c r="D1667" s="229" t="s">
        <v>622</v>
      </c>
      <c r="E1667" s="229" t="s">
        <v>1</v>
      </c>
      <c r="F1667" s="229">
        <v>2058</v>
      </c>
      <c r="G1667" s="40">
        <f>F1667/555</f>
        <v>3.708108108108108</v>
      </c>
      <c r="H1667" s="14">
        <v>0</v>
      </c>
      <c r="I1667" s="229">
        <v>0</v>
      </c>
      <c r="J1667" s="229">
        <v>0</v>
      </c>
      <c r="K1667" s="26">
        <v>1</v>
      </c>
      <c r="L1667" s="14">
        <v>0</v>
      </c>
      <c r="M1667" s="229">
        <v>0</v>
      </c>
      <c r="N1667" s="229">
        <v>1</v>
      </c>
      <c r="O1667" s="229">
        <v>0</v>
      </c>
      <c r="P1667" s="26">
        <v>1</v>
      </c>
      <c r="Q1667" s="14">
        <v>2</v>
      </c>
      <c r="R1667" s="229">
        <v>12</v>
      </c>
      <c r="S1667" s="229">
        <v>77</v>
      </c>
      <c r="T1667" s="229">
        <v>0</v>
      </c>
      <c r="U1667" s="229">
        <v>0</v>
      </c>
      <c r="V1667" s="229">
        <v>42</v>
      </c>
      <c r="W1667" s="229">
        <v>63</v>
      </c>
      <c r="X1667" s="229">
        <v>0</v>
      </c>
      <c r="Y1667" s="229">
        <v>0</v>
      </c>
      <c r="Z1667" s="229">
        <v>0</v>
      </c>
      <c r="AA1667" s="229">
        <v>0</v>
      </c>
      <c r="AB1667" s="229">
        <v>0</v>
      </c>
      <c r="AC1667" s="12">
        <v>2</v>
      </c>
      <c r="AD1667" s="14">
        <v>13</v>
      </c>
      <c r="AE1667" s="14">
        <v>118</v>
      </c>
      <c r="AF1667" s="26">
        <v>652</v>
      </c>
      <c r="AG1667" s="12">
        <v>128</v>
      </c>
      <c r="AH1667" s="14">
        <v>1</v>
      </c>
      <c r="AI1667" s="209"/>
      <c r="AJ1667" s="3"/>
      <c r="AK1667" s="3"/>
      <c r="AL1667" s="3"/>
      <c r="AM1667" s="3"/>
      <c r="AN1667" s="3"/>
      <c r="AO1667" s="40"/>
      <c r="AP1667" s="209"/>
      <c r="AQ1667" s="3"/>
      <c r="AR1667" s="40"/>
      <c r="AS1667" s="238"/>
    </row>
    <row r="1668" spans="1:45" s="229" customFormat="1">
      <c r="A1668" s="83" t="s">
        <v>326</v>
      </c>
      <c r="B1668" s="386">
        <v>46.27</v>
      </c>
      <c r="C1668" s="24" t="s">
        <v>136</v>
      </c>
      <c r="D1668" s="229" t="s">
        <v>629</v>
      </c>
      <c r="E1668" s="229" t="s">
        <v>0</v>
      </c>
      <c r="F1668" s="229">
        <v>254</v>
      </c>
      <c r="G1668" s="40">
        <f>F1668/232</f>
        <v>1.0948275862068966</v>
      </c>
      <c r="H1668" s="14">
        <v>0</v>
      </c>
      <c r="I1668" s="229">
        <v>0</v>
      </c>
      <c r="J1668" s="229">
        <v>0</v>
      </c>
      <c r="K1668" s="26">
        <v>1</v>
      </c>
      <c r="L1668" s="14">
        <v>0</v>
      </c>
      <c r="M1668" s="229">
        <v>0</v>
      </c>
      <c r="N1668" s="229">
        <v>1</v>
      </c>
      <c r="O1668" s="229">
        <v>0</v>
      </c>
      <c r="P1668" s="26">
        <v>1</v>
      </c>
      <c r="Q1668" s="14">
        <v>0</v>
      </c>
      <c r="R1668" s="229">
        <v>0</v>
      </c>
      <c r="S1668" s="229">
        <v>0</v>
      </c>
      <c r="T1668" s="229">
        <v>0</v>
      </c>
      <c r="U1668" s="229">
        <v>0</v>
      </c>
      <c r="V1668" s="229">
        <v>0</v>
      </c>
      <c r="W1668" s="229">
        <v>0</v>
      </c>
      <c r="X1668" s="229">
        <v>0</v>
      </c>
      <c r="Y1668" s="229">
        <v>0</v>
      </c>
      <c r="Z1668" s="229">
        <v>0</v>
      </c>
      <c r="AA1668" s="229">
        <v>0</v>
      </c>
      <c r="AB1668" s="229">
        <v>0</v>
      </c>
      <c r="AC1668" s="12">
        <v>1</v>
      </c>
      <c r="AD1668" s="14">
        <v>1</v>
      </c>
      <c r="AE1668" s="14">
        <v>0</v>
      </c>
      <c r="AF1668" s="26">
        <v>0</v>
      </c>
      <c r="AG1668" s="12">
        <v>103</v>
      </c>
      <c r="AH1668" s="14">
        <v>1</v>
      </c>
      <c r="AI1668" s="209"/>
      <c r="AJ1668" s="3"/>
      <c r="AK1668" s="3"/>
      <c r="AL1668" s="3"/>
      <c r="AM1668" s="3"/>
      <c r="AN1668" s="3"/>
      <c r="AO1668" s="40"/>
      <c r="AP1668" s="209"/>
      <c r="AQ1668" s="3"/>
      <c r="AR1668" s="40"/>
      <c r="AS1668" s="238"/>
    </row>
    <row r="1669" spans="1:45" s="229" customFormat="1">
      <c r="A1669" s="83" t="s">
        <v>326</v>
      </c>
      <c r="B1669" s="386">
        <v>46.27</v>
      </c>
      <c r="C1669" s="24" t="s">
        <v>136</v>
      </c>
      <c r="D1669" s="229" t="s">
        <v>629</v>
      </c>
      <c r="E1669" s="229" t="s">
        <v>1</v>
      </c>
      <c r="F1669" s="229">
        <v>663</v>
      </c>
      <c r="G1669" s="40">
        <f>F1669/412</f>
        <v>1.6092233009708738</v>
      </c>
      <c r="H1669" s="14">
        <v>1</v>
      </c>
      <c r="I1669" s="229">
        <v>0</v>
      </c>
      <c r="J1669" s="229">
        <v>0</v>
      </c>
      <c r="K1669" s="26">
        <v>0</v>
      </c>
      <c r="L1669" s="14">
        <v>0</v>
      </c>
      <c r="M1669" s="229">
        <v>1</v>
      </c>
      <c r="N1669" s="229">
        <v>0</v>
      </c>
      <c r="O1669" s="229">
        <v>0</v>
      </c>
      <c r="P1669" s="26">
        <v>1</v>
      </c>
      <c r="Q1669" s="14">
        <v>0</v>
      </c>
      <c r="R1669" s="229">
        <v>0</v>
      </c>
      <c r="S1669" s="229">
        <v>0</v>
      </c>
      <c r="T1669" s="229">
        <v>0</v>
      </c>
      <c r="U1669" s="229">
        <v>0</v>
      </c>
      <c r="V1669" s="229">
        <v>0</v>
      </c>
      <c r="W1669" s="229">
        <v>0</v>
      </c>
      <c r="X1669" s="229">
        <v>0</v>
      </c>
      <c r="Y1669" s="229">
        <v>0</v>
      </c>
      <c r="Z1669" s="229">
        <v>0</v>
      </c>
      <c r="AA1669" s="229">
        <v>0</v>
      </c>
      <c r="AB1669" s="229">
        <v>0</v>
      </c>
      <c r="AC1669" s="12">
        <v>1</v>
      </c>
      <c r="AD1669" s="14">
        <v>1</v>
      </c>
      <c r="AE1669" s="14">
        <v>0</v>
      </c>
      <c r="AF1669" s="26">
        <v>0</v>
      </c>
      <c r="AG1669" s="12">
        <v>103</v>
      </c>
      <c r="AH1669" s="14">
        <v>1</v>
      </c>
      <c r="AI1669" s="209"/>
      <c r="AJ1669" s="3"/>
      <c r="AK1669" s="3"/>
      <c r="AL1669" s="3"/>
      <c r="AM1669" s="3"/>
      <c r="AN1669" s="3"/>
      <c r="AO1669" s="40"/>
      <c r="AP1669" s="209"/>
      <c r="AQ1669" s="3"/>
      <c r="AR1669" s="40"/>
      <c r="AS1669" s="238"/>
    </row>
    <row r="1670" spans="1:45" s="229" customFormat="1">
      <c r="A1670" s="83" t="s">
        <v>326</v>
      </c>
      <c r="B1670" s="386">
        <v>46.27</v>
      </c>
      <c r="C1670" s="24" t="s">
        <v>136</v>
      </c>
      <c r="D1670" s="229" t="s">
        <v>629</v>
      </c>
      <c r="E1670" s="229" t="s">
        <v>2</v>
      </c>
      <c r="F1670" s="229">
        <v>1062</v>
      </c>
      <c r="G1670" s="40">
        <f>F1670/479</f>
        <v>2.2171189979123174</v>
      </c>
      <c r="H1670" s="14">
        <v>1</v>
      </c>
      <c r="I1670" s="229">
        <v>0</v>
      </c>
      <c r="J1670" s="229">
        <v>0</v>
      </c>
      <c r="K1670" s="26">
        <v>1</v>
      </c>
      <c r="L1670" s="14">
        <v>0</v>
      </c>
      <c r="M1670" s="229">
        <v>1</v>
      </c>
      <c r="N1670" s="229">
        <v>0</v>
      </c>
      <c r="O1670" s="229">
        <v>0</v>
      </c>
      <c r="P1670" s="26">
        <v>1</v>
      </c>
      <c r="Q1670" s="14">
        <v>0</v>
      </c>
      <c r="R1670" s="229">
        <v>0</v>
      </c>
      <c r="S1670" s="229">
        <v>0</v>
      </c>
      <c r="T1670" s="229">
        <v>0</v>
      </c>
      <c r="U1670" s="229">
        <v>0</v>
      </c>
      <c r="V1670" s="229">
        <v>0</v>
      </c>
      <c r="W1670" s="229">
        <v>0</v>
      </c>
      <c r="X1670" s="229">
        <v>0</v>
      </c>
      <c r="Y1670" s="229">
        <v>0</v>
      </c>
      <c r="Z1670" s="229">
        <v>0</v>
      </c>
      <c r="AA1670" s="229">
        <v>0</v>
      </c>
      <c r="AB1670" s="229">
        <v>0</v>
      </c>
      <c r="AC1670" s="12">
        <v>2</v>
      </c>
      <c r="AD1670" s="14">
        <v>2</v>
      </c>
      <c r="AE1670" s="14">
        <v>261</v>
      </c>
      <c r="AF1670" s="26">
        <v>949</v>
      </c>
      <c r="AG1670" s="12">
        <v>103</v>
      </c>
      <c r="AH1670" s="14">
        <v>1</v>
      </c>
      <c r="AI1670" s="209"/>
      <c r="AJ1670" s="3"/>
      <c r="AK1670" s="3"/>
      <c r="AL1670" s="3"/>
      <c r="AM1670" s="3"/>
      <c r="AN1670" s="3"/>
      <c r="AO1670" s="40"/>
      <c r="AP1670" s="209"/>
      <c r="AQ1670" s="3"/>
      <c r="AR1670" s="40"/>
      <c r="AS1670" s="238"/>
    </row>
    <row r="1671" spans="1:45" s="229" customFormat="1">
      <c r="A1671" s="83" t="s">
        <v>326</v>
      </c>
      <c r="B1671" s="386">
        <v>46.27</v>
      </c>
      <c r="C1671" s="24" t="s">
        <v>136</v>
      </c>
      <c r="D1671" s="229" t="s">
        <v>637</v>
      </c>
      <c r="E1671" s="229" t="s">
        <v>0</v>
      </c>
      <c r="F1671" s="229">
        <v>325</v>
      </c>
      <c r="G1671" s="40">
        <f>F1671/279</f>
        <v>1.1648745519713262</v>
      </c>
      <c r="H1671" s="14">
        <v>0</v>
      </c>
      <c r="I1671" s="229">
        <v>0</v>
      </c>
      <c r="J1671" s="229">
        <v>1</v>
      </c>
      <c r="K1671" s="26">
        <v>0</v>
      </c>
      <c r="L1671" s="14">
        <v>0</v>
      </c>
      <c r="M1671" s="229">
        <v>0</v>
      </c>
      <c r="N1671" s="229">
        <v>1</v>
      </c>
      <c r="O1671" s="229">
        <v>0</v>
      </c>
      <c r="P1671" s="26">
        <v>1</v>
      </c>
      <c r="Q1671" s="14">
        <v>0</v>
      </c>
      <c r="R1671" s="229">
        <v>0</v>
      </c>
      <c r="S1671" s="229">
        <v>0</v>
      </c>
      <c r="T1671" s="229">
        <v>0</v>
      </c>
      <c r="U1671" s="229">
        <v>0</v>
      </c>
      <c r="V1671" s="229">
        <v>0</v>
      </c>
      <c r="W1671" s="229">
        <v>0</v>
      </c>
      <c r="X1671" s="229">
        <v>0</v>
      </c>
      <c r="Y1671" s="229">
        <v>0</v>
      </c>
      <c r="Z1671" s="229">
        <v>0</v>
      </c>
      <c r="AA1671" s="229">
        <v>0</v>
      </c>
      <c r="AB1671" s="229">
        <v>0</v>
      </c>
      <c r="AC1671" s="12">
        <v>1</v>
      </c>
      <c r="AD1671" s="14">
        <v>1</v>
      </c>
      <c r="AE1671" s="14">
        <v>0</v>
      </c>
      <c r="AF1671" s="26">
        <v>0</v>
      </c>
      <c r="AG1671" s="12">
        <v>139</v>
      </c>
      <c r="AH1671" s="14">
        <v>0</v>
      </c>
      <c r="AI1671" s="209"/>
      <c r="AJ1671" s="3"/>
      <c r="AK1671" s="3"/>
      <c r="AL1671" s="3"/>
      <c r="AM1671" s="3"/>
      <c r="AN1671" s="3"/>
      <c r="AO1671" s="40"/>
      <c r="AP1671" s="209"/>
      <c r="AQ1671" s="3"/>
      <c r="AR1671" s="40"/>
      <c r="AS1671" s="238"/>
    </row>
    <row r="1672" spans="1:45" s="229" customFormat="1">
      <c r="A1672" s="83" t="s">
        <v>326</v>
      </c>
      <c r="B1672" s="386">
        <v>46.27</v>
      </c>
      <c r="C1672" s="24" t="s">
        <v>136</v>
      </c>
      <c r="D1672" s="229" t="s">
        <v>637</v>
      </c>
      <c r="E1672" s="229" t="s">
        <v>1</v>
      </c>
      <c r="F1672" s="229">
        <v>671</v>
      </c>
      <c r="G1672" s="40">
        <f>F1672/412</f>
        <v>1.6286407766990292</v>
      </c>
      <c r="H1672" s="14">
        <v>0</v>
      </c>
      <c r="I1672" s="229">
        <v>0</v>
      </c>
      <c r="J1672" s="229">
        <v>0</v>
      </c>
      <c r="K1672" s="26">
        <v>1</v>
      </c>
      <c r="L1672" s="14">
        <v>0</v>
      </c>
      <c r="M1672" s="229">
        <v>0</v>
      </c>
      <c r="N1672" s="229">
        <v>1</v>
      </c>
      <c r="O1672" s="229">
        <v>0</v>
      </c>
      <c r="P1672" s="26">
        <v>1</v>
      </c>
      <c r="Q1672" s="14">
        <v>2</v>
      </c>
      <c r="R1672" s="229">
        <v>0</v>
      </c>
      <c r="S1672" s="229">
        <v>0</v>
      </c>
      <c r="T1672" s="229">
        <v>0</v>
      </c>
      <c r="U1672" s="229">
        <v>0</v>
      </c>
      <c r="V1672" s="229">
        <v>9</v>
      </c>
      <c r="W1672" s="229">
        <v>37</v>
      </c>
      <c r="X1672" s="229">
        <v>0</v>
      </c>
      <c r="Y1672" s="229">
        <v>0</v>
      </c>
      <c r="Z1672" s="229">
        <v>0</v>
      </c>
      <c r="AA1672" s="229">
        <v>0</v>
      </c>
      <c r="AB1672" s="229">
        <v>0</v>
      </c>
      <c r="AC1672" s="12">
        <v>2</v>
      </c>
      <c r="AD1672" s="14">
        <v>6</v>
      </c>
      <c r="AE1672" s="14">
        <v>71</v>
      </c>
      <c r="AF1672" s="26">
        <v>350</v>
      </c>
      <c r="AG1672" s="12">
        <v>139</v>
      </c>
      <c r="AH1672" s="14">
        <v>1</v>
      </c>
      <c r="AI1672" s="209"/>
      <c r="AJ1672" s="3"/>
      <c r="AK1672" s="3"/>
      <c r="AL1672" s="3"/>
      <c r="AM1672" s="3"/>
      <c r="AN1672" s="3"/>
      <c r="AO1672" s="40"/>
      <c r="AP1672" s="209"/>
      <c r="AQ1672" s="3"/>
      <c r="AR1672" s="40"/>
      <c r="AS1672" s="238"/>
    </row>
    <row r="1673" spans="1:45" s="229" customFormat="1">
      <c r="A1673" s="83" t="s">
        <v>326</v>
      </c>
      <c r="B1673" s="386">
        <v>46.27</v>
      </c>
      <c r="C1673" s="24" t="s">
        <v>136</v>
      </c>
      <c r="D1673" s="229" t="s">
        <v>637</v>
      </c>
      <c r="E1673" s="229" t="s">
        <v>2</v>
      </c>
      <c r="F1673" s="229">
        <v>842</v>
      </c>
      <c r="G1673" s="40">
        <f>F1673/777</f>
        <v>1.0836550836550836</v>
      </c>
      <c r="H1673" s="14">
        <v>0</v>
      </c>
      <c r="I1673" s="229">
        <v>0</v>
      </c>
      <c r="J1673" s="229">
        <v>0</v>
      </c>
      <c r="K1673" s="26">
        <v>1</v>
      </c>
      <c r="L1673" s="14">
        <v>1</v>
      </c>
      <c r="M1673" s="229">
        <v>0</v>
      </c>
      <c r="N1673" s="229">
        <v>0</v>
      </c>
      <c r="O1673" s="229">
        <v>0</v>
      </c>
      <c r="P1673" s="26">
        <v>1</v>
      </c>
      <c r="Q1673" s="14">
        <v>0</v>
      </c>
      <c r="R1673" s="229">
        <v>0</v>
      </c>
      <c r="S1673" s="229">
        <v>0</v>
      </c>
      <c r="T1673" s="229">
        <v>0</v>
      </c>
      <c r="U1673" s="229">
        <v>0</v>
      </c>
      <c r="V1673" s="229">
        <v>0</v>
      </c>
      <c r="W1673" s="229">
        <v>0</v>
      </c>
      <c r="X1673" s="229">
        <v>0</v>
      </c>
      <c r="Y1673" s="229">
        <v>0</v>
      </c>
      <c r="Z1673" s="229">
        <v>0</v>
      </c>
      <c r="AA1673" s="229">
        <v>0</v>
      </c>
      <c r="AB1673" s="229">
        <v>0</v>
      </c>
      <c r="AC1673" s="12">
        <v>2</v>
      </c>
      <c r="AD1673" s="14">
        <v>4</v>
      </c>
      <c r="AE1673" s="14">
        <v>142</v>
      </c>
      <c r="AF1673" s="26">
        <v>777</v>
      </c>
      <c r="AG1673" s="12">
        <v>139</v>
      </c>
      <c r="AH1673" s="14">
        <v>1</v>
      </c>
      <c r="AI1673" s="209">
        <v>86</v>
      </c>
      <c r="AJ1673" s="3"/>
      <c r="AK1673" s="3"/>
      <c r="AL1673" s="3"/>
      <c r="AM1673" s="3"/>
      <c r="AN1673" s="3"/>
      <c r="AO1673" s="40"/>
      <c r="AP1673" s="209"/>
      <c r="AQ1673" s="3"/>
      <c r="AR1673" s="40"/>
      <c r="AS1673" s="238"/>
    </row>
    <row r="1674" spans="1:45" s="229" customFormat="1">
      <c r="A1674" s="83" t="s">
        <v>326</v>
      </c>
      <c r="B1674" s="386">
        <v>46.27</v>
      </c>
      <c r="C1674" s="24" t="s">
        <v>136</v>
      </c>
      <c r="D1674" s="229" t="s">
        <v>638</v>
      </c>
      <c r="E1674" s="229" t="s">
        <v>0</v>
      </c>
      <c r="F1674" s="229">
        <v>1326</v>
      </c>
      <c r="G1674" s="40">
        <f>F1674/1020</f>
        <v>1.3</v>
      </c>
      <c r="H1674" s="14">
        <v>0</v>
      </c>
      <c r="I1674" s="229">
        <v>0</v>
      </c>
      <c r="J1674" s="229">
        <v>0</v>
      </c>
      <c r="K1674" s="26">
        <v>1</v>
      </c>
      <c r="L1674" s="14">
        <v>0</v>
      </c>
      <c r="M1674" s="229">
        <v>0</v>
      </c>
      <c r="N1674" s="229">
        <v>1</v>
      </c>
      <c r="O1674" s="229">
        <v>0</v>
      </c>
      <c r="P1674" s="26">
        <v>1</v>
      </c>
      <c r="Q1674" s="14">
        <v>1</v>
      </c>
      <c r="R1674" s="229">
        <v>0</v>
      </c>
      <c r="S1674" s="229">
        <v>47</v>
      </c>
      <c r="T1674" s="229">
        <v>0</v>
      </c>
      <c r="U1674" s="229">
        <v>0</v>
      </c>
      <c r="V1674" s="229">
        <v>0</v>
      </c>
      <c r="W1674" s="229">
        <v>0</v>
      </c>
      <c r="X1674" s="229">
        <v>0</v>
      </c>
      <c r="Y1674" s="229">
        <v>0</v>
      </c>
      <c r="Z1674" s="229">
        <v>0</v>
      </c>
      <c r="AA1674" s="229">
        <v>0</v>
      </c>
      <c r="AB1674" s="229">
        <v>0</v>
      </c>
      <c r="AC1674" s="12">
        <v>2</v>
      </c>
      <c r="AD1674" s="14">
        <v>8</v>
      </c>
      <c r="AE1674" s="14">
        <v>103</v>
      </c>
      <c r="AF1674" s="26">
        <v>1326</v>
      </c>
      <c r="AG1674" s="12">
        <v>150</v>
      </c>
      <c r="AH1674" s="14">
        <v>1</v>
      </c>
      <c r="AI1674" s="209">
        <v>86</v>
      </c>
      <c r="AJ1674" s="3"/>
      <c r="AK1674" s="3"/>
      <c r="AL1674" s="3"/>
      <c r="AM1674" s="3"/>
      <c r="AN1674" s="3"/>
      <c r="AO1674" s="40"/>
      <c r="AP1674" s="209"/>
      <c r="AQ1674" s="3"/>
      <c r="AR1674" s="40"/>
      <c r="AS1674" s="238"/>
    </row>
    <row r="1675" spans="1:45" s="229" customFormat="1">
      <c r="A1675" s="83" t="s">
        <v>326</v>
      </c>
      <c r="B1675" s="386">
        <v>46.27</v>
      </c>
      <c r="C1675" s="24" t="s">
        <v>136</v>
      </c>
      <c r="D1675" s="229" t="s">
        <v>638</v>
      </c>
      <c r="E1675" s="229" t="s">
        <v>1</v>
      </c>
      <c r="F1675" s="229">
        <v>1906</v>
      </c>
      <c r="G1675" s="40">
        <f>F1675/733</f>
        <v>2.6002728512960438</v>
      </c>
      <c r="H1675" s="14">
        <v>0</v>
      </c>
      <c r="I1675" s="229">
        <v>0</v>
      </c>
      <c r="J1675" s="229">
        <v>0</v>
      </c>
      <c r="K1675" s="26">
        <v>1</v>
      </c>
      <c r="L1675" s="14">
        <v>0</v>
      </c>
      <c r="M1675" s="229">
        <v>0</v>
      </c>
      <c r="N1675" s="229">
        <v>1</v>
      </c>
      <c r="O1675" s="229">
        <v>0</v>
      </c>
      <c r="P1675" s="26">
        <v>1</v>
      </c>
      <c r="Q1675" s="14">
        <v>2</v>
      </c>
      <c r="R1675" s="229">
        <v>0</v>
      </c>
      <c r="S1675" s="229">
        <v>0</v>
      </c>
      <c r="T1675" s="229">
        <v>0</v>
      </c>
      <c r="U1675" s="229">
        <v>0</v>
      </c>
      <c r="V1675" s="229">
        <v>75</v>
      </c>
      <c r="W1675" s="229">
        <v>158</v>
      </c>
      <c r="X1675" s="229">
        <v>0</v>
      </c>
      <c r="Y1675" s="229">
        <v>0</v>
      </c>
      <c r="Z1675" s="229">
        <v>0</v>
      </c>
      <c r="AA1675" s="229">
        <v>0</v>
      </c>
      <c r="AB1675" s="229">
        <v>0</v>
      </c>
      <c r="AC1675" s="12">
        <v>2</v>
      </c>
      <c r="AD1675" s="14">
        <v>7</v>
      </c>
      <c r="AE1675" s="14">
        <v>73</v>
      </c>
      <c r="AF1675" s="26">
        <v>1050</v>
      </c>
      <c r="AG1675" s="12">
        <v>150</v>
      </c>
      <c r="AH1675" s="14">
        <v>1</v>
      </c>
      <c r="AI1675" s="209"/>
      <c r="AJ1675" s="3"/>
      <c r="AK1675" s="3"/>
      <c r="AL1675" s="3"/>
      <c r="AM1675" s="3"/>
      <c r="AN1675" s="3"/>
      <c r="AO1675" s="40"/>
      <c r="AP1675" s="209"/>
      <c r="AQ1675" s="3"/>
      <c r="AR1675" s="40"/>
      <c r="AS1675" s="238"/>
    </row>
    <row r="1676" spans="1:45" s="229" customFormat="1">
      <c r="A1676" s="83" t="s">
        <v>326</v>
      </c>
      <c r="B1676" s="386">
        <v>46.27</v>
      </c>
      <c r="C1676" s="24" t="s">
        <v>136</v>
      </c>
      <c r="D1676" s="229" t="s">
        <v>638</v>
      </c>
      <c r="E1676" s="229" t="s">
        <v>2</v>
      </c>
      <c r="F1676" s="229">
        <v>931</v>
      </c>
      <c r="G1676" s="40">
        <f>F1676/659</f>
        <v>1.4127465857359636</v>
      </c>
      <c r="H1676" s="14">
        <v>0</v>
      </c>
      <c r="I1676" s="229">
        <v>0</v>
      </c>
      <c r="J1676" s="229">
        <v>0</v>
      </c>
      <c r="K1676" s="26">
        <v>1</v>
      </c>
      <c r="L1676" s="14">
        <v>0</v>
      </c>
      <c r="M1676" s="229">
        <v>0</v>
      </c>
      <c r="N1676" s="229">
        <v>0</v>
      </c>
      <c r="O1676" s="229">
        <v>0</v>
      </c>
      <c r="P1676" s="26">
        <v>0</v>
      </c>
      <c r="Q1676" s="14">
        <v>0</v>
      </c>
      <c r="R1676" s="229">
        <v>0</v>
      </c>
      <c r="S1676" s="229">
        <v>0</v>
      </c>
      <c r="T1676" s="229">
        <v>0</v>
      </c>
      <c r="U1676" s="229">
        <v>0</v>
      </c>
      <c r="V1676" s="229">
        <v>0</v>
      </c>
      <c r="W1676" s="229">
        <v>0</v>
      </c>
      <c r="X1676" s="229">
        <v>0</v>
      </c>
      <c r="Y1676" s="229">
        <v>0</v>
      </c>
      <c r="Z1676" s="229">
        <v>0</v>
      </c>
      <c r="AA1676" s="229">
        <v>0</v>
      </c>
      <c r="AC1676" s="12">
        <v>2</v>
      </c>
      <c r="AD1676" s="14">
        <v>5</v>
      </c>
      <c r="AE1676" s="14">
        <v>168</v>
      </c>
      <c r="AF1676" s="26">
        <v>488</v>
      </c>
      <c r="AG1676" s="12">
        <v>150</v>
      </c>
      <c r="AH1676" s="14">
        <v>1</v>
      </c>
      <c r="AI1676" s="209"/>
      <c r="AJ1676" s="3"/>
      <c r="AK1676" s="3"/>
      <c r="AL1676" s="3"/>
      <c r="AM1676" s="3"/>
      <c r="AN1676" s="3"/>
      <c r="AO1676" s="40"/>
      <c r="AP1676" s="209"/>
      <c r="AQ1676" s="3"/>
      <c r="AR1676" s="40"/>
      <c r="AS1676" s="238"/>
    </row>
    <row r="1677" spans="1:45" s="229" customFormat="1">
      <c r="A1677" s="83" t="s">
        <v>326</v>
      </c>
      <c r="B1677" s="386">
        <v>46.27</v>
      </c>
      <c r="C1677" s="24" t="s">
        <v>136</v>
      </c>
      <c r="D1677" s="229" t="s">
        <v>639</v>
      </c>
      <c r="E1677" s="229" t="s">
        <v>0</v>
      </c>
      <c r="F1677" s="229">
        <v>731</v>
      </c>
      <c r="G1677" s="40">
        <f>F1677/453</f>
        <v>1.6136865342163356</v>
      </c>
      <c r="H1677" s="14">
        <v>0</v>
      </c>
      <c r="I1677" s="229">
        <v>0</v>
      </c>
      <c r="J1677" s="229">
        <v>0</v>
      </c>
      <c r="K1677" s="26">
        <v>1</v>
      </c>
      <c r="L1677" s="14">
        <v>0</v>
      </c>
      <c r="M1677" s="229">
        <v>0</v>
      </c>
      <c r="N1677" s="229">
        <v>1</v>
      </c>
      <c r="O1677" s="229">
        <v>0</v>
      </c>
      <c r="P1677" s="26">
        <v>1</v>
      </c>
      <c r="Q1677" s="14">
        <v>2</v>
      </c>
      <c r="R1677" s="229">
        <v>0</v>
      </c>
      <c r="S1677" s="229">
        <v>0</v>
      </c>
      <c r="T1677" s="229">
        <v>0</v>
      </c>
      <c r="U1677" s="229">
        <v>0</v>
      </c>
      <c r="V1677" s="229">
        <v>0</v>
      </c>
      <c r="W1677" s="229">
        <v>97</v>
      </c>
      <c r="X1677" s="229">
        <v>0</v>
      </c>
      <c r="Y1677" s="229">
        <v>0</v>
      </c>
      <c r="Z1677" s="229">
        <v>0</v>
      </c>
      <c r="AA1677" s="229">
        <v>0</v>
      </c>
      <c r="AB1677" s="229">
        <v>0</v>
      </c>
      <c r="AC1677" s="12">
        <v>2</v>
      </c>
      <c r="AD1677" s="14">
        <v>4</v>
      </c>
      <c r="AE1677" s="14">
        <v>167</v>
      </c>
      <c r="AF1677" s="26">
        <v>459</v>
      </c>
      <c r="AG1677" s="12">
        <v>125</v>
      </c>
      <c r="AH1677" s="14">
        <v>1</v>
      </c>
      <c r="AI1677" s="209"/>
      <c r="AJ1677" s="3"/>
      <c r="AK1677" s="3"/>
      <c r="AL1677" s="3"/>
      <c r="AM1677" s="3"/>
      <c r="AN1677" s="3"/>
      <c r="AO1677" s="40"/>
      <c r="AP1677" s="209"/>
      <c r="AQ1677" s="3"/>
      <c r="AR1677" s="40"/>
      <c r="AS1677" s="238"/>
    </row>
    <row r="1678" spans="1:45" s="229" customFormat="1">
      <c r="A1678" s="83" t="s">
        <v>326</v>
      </c>
      <c r="B1678" s="386">
        <v>46.27</v>
      </c>
      <c r="C1678" s="24" t="s">
        <v>136</v>
      </c>
      <c r="D1678" s="229" t="s">
        <v>639</v>
      </c>
      <c r="E1678" s="229" t="s">
        <v>1</v>
      </c>
      <c r="F1678" s="229">
        <v>649</v>
      </c>
      <c r="G1678" s="40">
        <f>F1678/359</f>
        <v>1.8077994428969359</v>
      </c>
      <c r="H1678" s="14">
        <v>0</v>
      </c>
      <c r="I1678" s="229">
        <v>0</v>
      </c>
      <c r="J1678" s="229">
        <v>0</v>
      </c>
      <c r="K1678" s="26">
        <v>1</v>
      </c>
      <c r="L1678" s="14">
        <v>0</v>
      </c>
      <c r="M1678" s="229">
        <v>0</v>
      </c>
      <c r="N1678" s="229">
        <v>1</v>
      </c>
      <c r="O1678" s="229">
        <v>0</v>
      </c>
      <c r="P1678" s="26">
        <v>1</v>
      </c>
      <c r="Q1678" s="14">
        <v>1</v>
      </c>
      <c r="R1678" s="229">
        <v>0</v>
      </c>
      <c r="S1678" s="229">
        <v>18</v>
      </c>
      <c r="T1678" s="229">
        <v>0</v>
      </c>
      <c r="U1678" s="229">
        <v>0</v>
      </c>
      <c r="V1678" s="229">
        <v>0</v>
      </c>
      <c r="W1678" s="229">
        <v>0</v>
      </c>
      <c r="X1678" s="229">
        <v>0</v>
      </c>
      <c r="Y1678" s="229">
        <v>0</v>
      </c>
      <c r="Z1678" s="229">
        <v>0</v>
      </c>
      <c r="AA1678" s="229">
        <v>0</v>
      </c>
      <c r="AB1678" s="229">
        <v>0</v>
      </c>
      <c r="AC1678" s="12">
        <v>2</v>
      </c>
      <c r="AD1678" s="14">
        <v>4</v>
      </c>
      <c r="AE1678" s="14">
        <v>137</v>
      </c>
      <c r="AF1678" s="26">
        <v>484</v>
      </c>
      <c r="AG1678" s="12">
        <v>125</v>
      </c>
      <c r="AH1678" s="14">
        <v>1</v>
      </c>
      <c r="AI1678" s="209"/>
      <c r="AJ1678" s="3"/>
      <c r="AK1678" s="3"/>
      <c r="AL1678" s="3"/>
      <c r="AM1678" s="3"/>
      <c r="AN1678" s="3"/>
      <c r="AO1678" s="40"/>
      <c r="AP1678" s="209"/>
      <c r="AQ1678" s="3"/>
      <c r="AR1678" s="40"/>
      <c r="AS1678" s="238"/>
    </row>
    <row r="1679" spans="1:45" s="229" customFormat="1">
      <c r="A1679" s="83" t="s">
        <v>326</v>
      </c>
      <c r="B1679" s="386">
        <v>46.27</v>
      </c>
      <c r="C1679" s="24" t="s">
        <v>136</v>
      </c>
      <c r="D1679" s="229" t="s">
        <v>639</v>
      </c>
      <c r="E1679" s="229" t="s">
        <v>2</v>
      </c>
      <c r="F1679" s="229">
        <v>764</v>
      </c>
      <c r="G1679" s="40">
        <f>F1679/417</f>
        <v>1.8321342925659472</v>
      </c>
      <c r="H1679" s="14">
        <v>0</v>
      </c>
      <c r="I1679" s="229">
        <v>0</v>
      </c>
      <c r="J1679" s="229">
        <v>0</v>
      </c>
      <c r="K1679" s="26">
        <v>1</v>
      </c>
      <c r="L1679" s="14">
        <v>0</v>
      </c>
      <c r="M1679" s="229">
        <v>0</v>
      </c>
      <c r="N1679" s="229">
        <v>1</v>
      </c>
      <c r="O1679" s="229">
        <v>0</v>
      </c>
      <c r="P1679" s="26">
        <v>1</v>
      </c>
      <c r="Q1679" s="14">
        <v>0</v>
      </c>
      <c r="R1679" s="229">
        <v>0</v>
      </c>
      <c r="S1679" s="229">
        <v>0</v>
      </c>
      <c r="T1679" s="229">
        <v>0</v>
      </c>
      <c r="U1679" s="229">
        <v>0</v>
      </c>
      <c r="V1679" s="229">
        <v>0</v>
      </c>
      <c r="W1679" s="229">
        <v>0</v>
      </c>
      <c r="X1679" s="229">
        <v>0</v>
      </c>
      <c r="Y1679" s="229">
        <v>0</v>
      </c>
      <c r="Z1679" s="229">
        <v>0</v>
      </c>
      <c r="AA1679" s="229">
        <v>0</v>
      </c>
      <c r="AB1679" s="229">
        <v>0</v>
      </c>
      <c r="AC1679" s="12">
        <v>2</v>
      </c>
      <c r="AD1679" s="14">
        <v>5</v>
      </c>
      <c r="AE1679" s="14">
        <v>183</v>
      </c>
      <c r="AF1679" s="26">
        <v>339</v>
      </c>
      <c r="AG1679" s="12">
        <v>125</v>
      </c>
      <c r="AH1679" s="14">
        <v>1</v>
      </c>
      <c r="AI1679" s="209"/>
      <c r="AJ1679" s="3"/>
      <c r="AK1679" s="3"/>
      <c r="AL1679" s="3"/>
      <c r="AM1679" s="3"/>
      <c r="AN1679" s="3"/>
      <c r="AO1679" s="40"/>
      <c r="AP1679" s="209"/>
      <c r="AQ1679" s="3"/>
      <c r="AR1679" s="40"/>
      <c r="AS1679" s="238"/>
    </row>
    <row r="1680" spans="1:45" s="229" customFormat="1">
      <c r="A1680" s="83" t="s">
        <v>326</v>
      </c>
      <c r="B1680" s="386">
        <v>46.27</v>
      </c>
      <c r="C1680" s="24" t="s">
        <v>136</v>
      </c>
      <c r="D1680" s="229" t="s">
        <v>640</v>
      </c>
      <c r="F1680" s="229">
        <v>771</v>
      </c>
      <c r="G1680" s="40">
        <f>F1680/471</f>
        <v>1.6369426751592357</v>
      </c>
      <c r="H1680" s="14">
        <v>0</v>
      </c>
      <c r="I1680" s="229">
        <v>0</v>
      </c>
      <c r="J1680" s="229">
        <v>0</v>
      </c>
      <c r="K1680" s="26">
        <v>1</v>
      </c>
      <c r="L1680" s="14">
        <v>0</v>
      </c>
      <c r="M1680" s="229">
        <v>0</v>
      </c>
      <c r="N1680" s="229">
        <v>1</v>
      </c>
      <c r="O1680" s="229">
        <v>0</v>
      </c>
      <c r="P1680" s="26">
        <v>1</v>
      </c>
      <c r="Q1680" s="14">
        <v>1</v>
      </c>
      <c r="R1680" s="229">
        <v>0</v>
      </c>
      <c r="S1680" s="229">
        <v>0</v>
      </c>
      <c r="T1680" s="229">
        <v>0</v>
      </c>
      <c r="U1680" s="229">
        <v>0</v>
      </c>
      <c r="V1680" s="229">
        <v>0</v>
      </c>
      <c r="W1680" s="229">
        <v>20</v>
      </c>
      <c r="X1680" s="229">
        <v>0</v>
      </c>
      <c r="Y1680" s="229">
        <v>0</v>
      </c>
      <c r="Z1680" s="229">
        <v>0</v>
      </c>
      <c r="AA1680" s="229">
        <v>0</v>
      </c>
      <c r="AB1680" s="229">
        <v>0</v>
      </c>
      <c r="AC1680" s="12">
        <v>2</v>
      </c>
      <c r="AD1680" s="14">
        <v>3</v>
      </c>
      <c r="AE1680" s="14">
        <v>328</v>
      </c>
      <c r="AF1680" s="26">
        <v>471</v>
      </c>
      <c r="AG1680" s="12">
        <v>137</v>
      </c>
      <c r="AH1680" s="14">
        <v>1</v>
      </c>
      <c r="AI1680" s="209">
        <v>86</v>
      </c>
      <c r="AJ1680" s="3">
        <v>86</v>
      </c>
      <c r="AK1680" s="3"/>
      <c r="AL1680" s="3"/>
      <c r="AM1680" s="3"/>
      <c r="AN1680" s="3"/>
      <c r="AO1680" s="40"/>
      <c r="AP1680" s="209"/>
      <c r="AQ1680" s="3"/>
      <c r="AR1680" s="40"/>
      <c r="AS1680" s="238"/>
    </row>
    <row r="1681" spans="1:45" s="229" customFormat="1">
      <c r="A1681" s="83" t="s">
        <v>326</v>
      </c>
      <c r="B1681" s="386">
        <v>46.27</v>
      </c>
      <c r="C1681" s="24" t="s">
        <v>136</v>
      </c>
      <c r="D1681" s="229" t="s">
        <v>641</v>
      </c>
      <c r="E1681" s="229" t="s">
        <v>0</v>
      </c>
      <c r="F1681" s="229">
        <v>570</v>
      </c>
      <c r="G1681" s="40">
        <f>F1681/303</f>
        <v>1.8811881188118811</v>
      </c>
      <c r="H1681" s="14">
        <v>0</v>
      </c>
      <c r="I1681" s="229">
        <v>0</v>
      </c>
      <c r="J1681" s="229">
        <v>0</v>
      </c>
      <c r="K1681" s="26">
        <v>1</v>
      </c>
      <c r="L1681" s="14">
        <v>0</v>
      </c>
      <c r="M1681" s="229">
        <v>0</v>
      </c>
      <c r="N1681" s="229">
        <v>1</v>
      </c>
      <c r="O1681" s="229">
        <v>0</v>
      </c>
      <c r="P1681" s="26">
        <v>1</v>
      </c>
      <c r="Q1681" s="14">
        <v>0</v>
      </c>
      <c r="R1681" s="229">
        <v>0</v>
      </c>
      <c r="S1681" s="229">
        <v>0</v>
      </c>
      <c r="T1681" s="229">
        <v>0</v>
      </c>
      <c r="U1681" s="229">
        <v>0</v>
      </c>
      <c r="V1681" s="229">
        <v>0</v>
      </c>
      <c r="W1681" s="229">
        <v>0</v>
      </c>
      <c r="X1681" s="229">
        <v>0</v>
      </c>
      <c r="Y1681" s="229">
        <v>0</v>
      </c>
      <c r="Z1681" s="229">
        <v>0</v>
      </c>
      <c r="AA1681" s="229">
        <v>0</v>
      </c>
      <c r="AB1681" s="229">
        <v>0</v>
      </c>
      <c r="AC1681" s="12">
        <v>2</v>
      </c>
      <c r="AD1681" s="14">
        <v>2</v>
      </c>
      <c r="AE1681" s="14">
        <v>250</v>
      </c>
      <c r="AF1681" s="26">
        <v>457</v>
      </c>
      <c r="AG1681" s="12">
        <v>106</v>
      </c>
      <c r="AH1681" s="14">
        <v>0</v>
      </c>
      <c r="AI1681" s="209"/>
      <c r="AJ1681" s="3"/>
      <c r="AK1681" s="3"/>
      <c r="AL1681" s="3"/>
      <c r="AM1681" s="3"/>
      <c r="AN1681" s="3"/>
      <c r="AO1681" s="40"/>
      <c r="AP1681" s="209"/>
      <c r="AQ1681" s="3"/>
      <c r="AR1681" s="40"/>
      <c r="AS1681" s="238"/>
    </row>
    <row r="1682" spans="1:45" s="229" customFormat="1">
      <c r="A1682" s="83" t="s">
        <v>326</v>
      </c>
      <c r="B1682" s="386">
        <v>46.27</v>
      </c>
      <c r="C1682" s="24" t="s">
        <v>136</v>
      </c>
      <c r="D1682" s="229" t="s">
        <v>641</v>
      </c>
      <c r="E1682" s="229" t="s">
        <v>1</v>
      </c>
      <c r="F1682" s="229">
        <v>907</v>
      </c>
      <c r="G1682" s="40">
        <f>F1682/698</f>
        <v>1.2994269340974212</v>
      </c>
      <c r="H1682" s="14">
        <v>0</v>
      </c>
      <c r="I1682" s="229">
        <v>0</v>
      </c>
      <c r="J1682" s="229">
        <v>0</v>
      </c>
      <c r="K1682" s="26">
        <v>1</v>
      </c>
      <c r="L1682" s="14">
        <v>0</v>
      </c>
      <c r="M1682" s="229">
        <v>0</v>
      </c>
      <c r="N1682" s="229">
        <v>1</v>
      </c>
      <c r="O1682" s="229">
        <v>0</v>
      </c>
      <c r="P1682" s="26">
        <v>1</v>
      </c>
      <c r="Q1682" s="14">
        <v>1</v>
      </c>
      <c r="R1682" s="229">
        <v>6</v>
      </c>
      <c r="S1682" s="229">
        <v>16</v>
      </c>
      <c r="T1682" s="229">
        <v>0</v>
      </c>
      <c r="U1682" s="229">
        <v>0</v>
      </c>
      <c r="V1682" s="229">
        <v>0</v>
      </c>
      <c r="W1682" s="229">
        <v>0</v>
      </c>
      <c r="X1682" s="229">
        <v>0</v>
      </c>
      <c r="Y1682" s="229">
        <v>0</v>
      </c>
      <c r="Z1682" s="229">
        <v>0</v>
      </c>
      <c r="AA1682" s="229">
        <v>0</v>
      </c>
      <c r="AB1682" s="229">
        <v>0</v>
      </c>
      <c r="AC1682" s="12">
        <v>2</v>
      </c>
      <c r="AD1682" s="14">
        <v>9</v>
      </c>
      <c r="AE1682" s="14">
        <v>81</v>
      </c>
      <c r="AF1682" s="26">
        <v>413</v>
      </c>
      <c r="AG1682" s="12">
        <v>106</v>
      </c>
      <c r="AH1682" s="14">
        <v>1</v>
      </c>
      <c r="AI1682" s="209"/>
      <c r="AJ1682" s="3"/>
      <c r="AK1682" s="3"/>
      <c r="AL1682" s="3"/>
      <c r="AM1682" s="3"/>
      <c r="AN1682" s="3"/>
      <c r="AO1682" s="40"/>
      <c r="AP1682" s="209"/>
      <c r="AQ1682" s="3"/>
      <c r="AR1682" s="40"/>
      <c r="AS1682" s="238"/>
    </row>
    <row r="1683" spans="1:45" s="229" customFormat="1">
      <c r="A1683" s="83" t="s">
        <v>326</v>
      </c>
      <c r="B1683" s="386">
        <v>46.27</v>
      </c>
      <c r="C1683" s="24" t="s">
        <v>136</v>
      </c>
      <c r="D1683" s="229" t="s">
        <v>641</v>
      </c>
      <c r="E1683" s="229" t="s">
        <v>2</v>
      </c>
      <c r="F1683" s="229">
        <v>260</v>
      </c>
      <c r="G1683" s="40">
        <f>F1683/239</f>
        <v>1.0878661087866108</v>
      </c>
      <c r="H1683" s="14">
        <v>0</v>
      </c>
      <c r="I1683" s="229">
        <v>0</v>
      </c>
      <c r="J1683" s="229">
        <v>0</v>
      </c>
      <c r="K1683" s="26">
        <v>1</v>
      </c>
      <c r="L1683" s="14">
        <v>0</v>
      </c>
      <c r="M1683" s="229">
        <v>0</v>
      </c>
      <c r="N1683" s="229">
        <v>1</v>
      </c>
      <c r="O1683" s="229">
        <v>0</v>
      </c>
      <c r="P1683" s="26">
        <v>1</v>
      </c>
      <c r="Q1683" s="14">
        <v>0</v>
      </c>
      <c r="R1683" s="229">
        <v>0</v>
      </c>
      <c r="S1683" s="229">
        <v>0</v>
      </c>
      <c r="T1683" s="229">
        <v>0</v>
      </c>
      <c r="U1683" s="229">
        <v>0</v>
      </c>
      <c r="V1683" s="229">
        <v>0</v>
      </c>
      <c r="W1683" s="229">
        <v>0</v>
      </c>
      <c r="X1683" s="229">
        <v>0</v>
      </c>
      <c r="Y1683" s="229">
        <v>0</v>
      </c>
      <c r="Z1683" s="229">
        <v>0</v>
      </c>
      <c r="AA1683" s="229">
        <v>0</v>
      </c>
      <c r="AB1683" s="229">
        <v>0</v>
      </c>
      <c r="AC1683" s="12">
        <v>1</v>
      </c>
      <c r="AD1683" s="14">
        <v>1</v>
      </c>
      <c r="AE1683" s="14">
        <v>0</v>
      </c>
      <c r="AF1683" s="26">
        <v>0</v>
      </c>
      <c r="AG1683" s="12">
        <v>106</v>
      </c>
      <c r="AH1683" s="14">
        <v>1</v>
      </c>
      <c r="AI1683" s="209"/>
      <c r="AJ1683" s="3"/>
      <c r="AK1683" s="3"/>
      <c r="AL1683" s="3"/>
      <c r="AM1683" s="3"/>
      <c r="AN1683" s="3"/>
      <c r="AO1683" s="40"/>
      <c r="AP1683" s="209"/>
      <c r="AQ1683" s="3"/>
      <c r="AR1683" s="40"/>
      <c r="AS1683" s="238"/>
    </row>
    <row r="1684" spans="1:45" s="229" customFormat="1">
      <c r="A1684" s="83" t="s">
        <v>326</v>
      </c>
      <c r="B1684" s="386">
        <v>46.27</v>
      </c>
      <c r="C1684" s="24" t="s">
        <v>136</v>
      </c>
      <c r="D1684" s="229" t="s">
        <v>648</v>
      </c>
      <c r="E1684" s="229" t="s">
        <v>0</v>
      </c>
      <c r="F1684" s="229">
        <v>596</v>
      </c>
      <c r="G1684" s="40">
        <f>F1684/568</f>
        <v>1.0492957746478873</v>
      </c>
      <c r="H1684" s="14">
        <v>0</v>
      </c>
      <c r="I1684" s="229">
        <v>0</v>
      </c>
      <c r="J1684" s="229">
        <v>0</v>
      </c>
      <c r="K1684" s="26">
        <v>1</v>
      </c>
      <c r="L1684" s="14">
        <v>0</v>
      </c>
      <c r="M1684" s="229">
        <v>0</v>
      </c>
      <c r="N1684" s="229">
        <v>1</v>
      </c>
      <c r="O1684" s="229">
        <v>0</v>
      </c>
      <c r="P1684" s="26">
        <v>1</v>
      </c>
      <c r="Q1684" s="14">
        <v>5</v>
      </c>
      <c r="R1684" s="229">
        <v>0</v>
      </c>
      <c r="S1684" s="229">
        <v>0</v>
      </c>
      <c r="T1684" s="229">
        <v>0</v>
      </c>
      <c r="U1684" s="229">
        <v>0</v>
      </c>
      <c r="V1684" s="229">
        <v>0</v>
      </c>
      <c r="W1684" s="229">
        <v>0</v>
      </c>
      <c r="X1684" s="229">
        <v>0</v>
      </c>
      <c r="Y1684" s="229">
        <v>0</v>
      </c>
      <c r="Z1684" s="229">
        <v>0</v>
      </c>
      <c r="AA1684" s="229">
        <v>0</v>
      </c>
      <c r="AB1684" s="229">
        <v>101</v>
      </c>
      <c r="AC1684" s="12">
        <v>2</v>
      </c>
      <c r="AD1684" s="14">
        <v>2</v>
      </c>
      <c r="AE1684" s="14">
        <v>137</v>
      </c>
      <c r="AF1684" s="26">
        <v>596</v>
      </c>
      <c r="AG1684" s="12">
        <v>114</v>
      </c>
      <c r="AH1684" s="14">
        <v>1</v>
      </c>
      <c r="AI1684" s="209"/>
      <c r="AJ1684" s="3"/>
      <c r="AK1684" s="3"/>
      <c r="AL1684" s="3"/>
      <c r="AM1684" s="3"/>
      <c r="AN1684" s="3"/>
      <c r="AO1684" s="40"/>
      <c r="AP1684" s="209"/>
      <c r="AQ1684" s="3"/>
      <c r="AR1684" s="40"/>
      <c r="AS1684" s="238"/>
    </row>
    <row r="1685" spans="1:45" s="229" customFormat="1">
      <c r="A1685" s="83" t="s">
        <v>326</v>
      </c>
      <c r="B1685" s="386">
        <v>46.27</v>
      </c>
      <c r="C1685" s="24" t="s">
        <v>136</v>
      </c>
      <c r="D1685" s="229" t="s">
        <v>648</v>
      </c>
      <c r="E1685" s="229" t="s">
        <v>1</v>
      </c>
      <c r="F1685" s="229">
        <v>625</v>
      </c>
      <c r="G1685" s="40">
        <f>F1685/412</f>
        <v>1.516990291262136</v>
      </c>
      <c r="H1685" s="14">
        <v>0</v>
      </c>
      <c r="I1685" s="229">
        <v>0</v>
      </c>
      <c r="J1685" s="229">
        <v>0</v>
      </c>
      <c r="K1685" s="26">
        <v>1</v>
      </c>
      <c r="L1685" s="14">
        <v>0</v>
      </c>
      <c r="M1685" s="229">
        <v>0</v>
      </c>
      <c r="N1685" s="229">
        <v>1</v>
      </c>
      <c r="O1685" s="229">
        <v>0</v>
      </c>
      <c r="P1685" s="26">
        <v>1</v>
      </c>
      <c r="Q1685" s="14">
        <v>2</v>
      </c>
      <c r="R1685" s="229">
        <v>0</v>
      </c>
      <c r="S1685" s="229">
        <v>12</v>
      </c>
      <c r="T1685" s="229">
        <v>0</v>
      </c>
      <c r="U1685" s="229">
        <v>0</v>
      </c>
      <c r="V1685" s="229">
        <v>13</v>
      </c>
      <c r="W1685" s="229">
        <v>38</v>
      </c>
      <c r="X1685" s="229">
        <v>0</v>
      </c>
      <c r="Y1685" s="229">
        <v>0</v>
      </c>
      <c r="Z1685" s="229">
        <v>0</v>
      </c>
      <c r="AA1685" s="229">
        <v>0</v>
      </c>
      <c r="AB1685" s="229">
        <v>0</v>
      </c>
      <c r="AC1685" s="12">
        <v>2</v>
      </c>
      <c r="AD1685" s="14">
        <v>2</v>
      </c>
      <c r="AE1685" s="14">
        <v>498</v>
      </c>
      <c r="AF1685" s="26">
        <v>499</v>
      </c>
      <c r="AG1685" s="12">
        <v>114</v>
      </c>
      <c r="AH1685" s="14">
        <v>1</v>
      </c>
      <c r="AI1685" s="209"/>
      <c r="AJ1685" s="3"/>
      <c r="AK1685" s="3"/>
      <c r="AL1685" s="3"/>
      <c r="AM1685" s="3"/>
      <c r="AN1685" s="3"/>
      <c r="AO1685" s="40"/>
      <c r="AP1685" s="209"/>
      <c r="AQ1685" s="3"/>
      <c r="AR1685" s="40"/>
      <c r="AS1685" s="238"/>
    </row>
    <row r="1686" spans="1:45" s="229" customFormat="1">
      <c r="A1686" s="83" t="s">
        <v>326</v>
      </c>
      <c r="B1686" s="386">
        <v>46.27</v>
      </c>
      <c r="C1686" s="24" t="s">
        <v>136</v>
      </c>
      <c r="D1686" s="229" t="s">
        <v>648</v>
      </c>
      <c r="E1686" s="229" t="s">
        <v>2</v>
      </c>
      <c r="F1686" s="229">
        <v>235</v>
      </c>
      <c r="G1686" s="40">
        <f>F1686/215</f>
        <v>1.0930232558139534</v>
      </c>
      <c r="H1686" s="14">
        <v>0</v>
      </c>
      <c r="I1686" s="229">
        <v>0</v>
      </c>
      <c r="J1686" s="229">
        <v>0</v>
      </c>
      <c r="K1686" s="26">
        <v>1</v>
      </c>
      <c r="L1686" s="14">
        <v>0</v>
      </c>
      <c r="M1686" s="229">
        <v>0</v>
      </c>
      <c r="N1686" s="229">
        <v>1</v>
      </c>
      <c r="O1686" s="229">
        <v>0</v>
      </c>
      <c r="P1686" s="26">
        <v>1</v>
      </c>
      <c r="Q1686" s="14">
        <v>0</v>
      </c>
      <c r="R1686" s="229">
        <v>0</v>
      </c>
      <c r="S1686" s="229">
        <v>0</v>
      </c>
      <c r="T1686" s="229">
        <v>0</v>
      </c>
      <c r="U1686" s="229">
        <v>0</v>
      </c>
      <c r="V1686" s="229">
        <v>0</v>
      </c>
      <c r="W1686" s="229">
        <v>0</v>
      </c>
      <c r="X1686" s="229">
        <v>0</v>
      </c>
      <c r="Y1686" s="229">
        <v>0</v>
      </c>
      <c r="Z1686" s="229">
        <v>0</v>
      </c>
      <c r="AA1686" s="229">
        <v>0</v>
      </c>
      <c r="AB1686" s="229">
        <v>0</v>
      </c>
      <c r="AC1686" s="12">
        <v>1</v>
      </c>
      <c r="AD1686" s="14">
        <v>1</v>
      </c>
      <c r="AE1686" s="14">
        <v>0</v>
      </c>
      <c r="AF1686" s="26">
        <v>0</v>
      </c>
      <c r="AG1686" s="12">
        <v>114</v>
      </c>
      <c r="AH1686" s="14">
        <v>0</v>
      </c>
      <c r="AI1686" s="209"/>
      <c r="AJ1686" s="3"/>
      <c r="AK1686" s="3"/>
      <c r="AL1686" s="3"/>
      <c r="AM1686" s="3"/>
      <c r="AN1686" s="3"/>
      <c r="AO1686" s="40"/>
      <c r="AP1686" s="209"/>
      <c r="AQ1686" s="3"/>
      <c r="AR1686" s="40"/>
      <c r="AS1686" s="238"/>
    </row>
    <row r="1687" spans="1:45" s="229" customFormat="1">
      <c r="A1687" s="83" t="s">
        <v>326</v>
      </c>
      <c r="B1687" s="386">
        <v>46.27</v>
      </c>
      <c r="C1687" s="24" t="s">
        <v>136</v>
      </c>
      <c r="D1687" s="229" t="s">
        <v>649</v>
      </c>
      <c r="E1687" s="229" t="s">
        <v>0</v>
      </c>
      <c r="F1687" s="229">
        <v>1451</v>
      </c>
      <c r="G1687" s="40">
        <f>F1687/1064</f>
        <v>1.3637218045112782</v>
      </c>
      <c r="H1687" s="14">
        <v>0</v>
      </c>
      <c r="I1687" s="229">
        <v>0</v>
      </c>
      <c r="J1687" s="229">
        <v>1</v>
      </c>
      <c r="K1687" s="26">
        <v>1</v>
      </c>
      <c r="L1687" s="14">
        <v>0</v>
      </c>
      <c r="M1687" s="229">
        <v>0</v>
      </c>
      <c r="N1687" s="229">
        <v>1</v>
      </c>
      <c r="O1687" s="229">
        <v>0</v>
      </c>
      <c r="P1687" s="26">
        <v>1</v>
      </c>
      <c r="Q1687" s="14">
        <v>1</v>
      </c>
      <c r="R1687" s="229">
        <v>0</v>
      </c>
      <c r="S1687" s="229">
        <v>0</v>
      </c>
      <c r="T1687" s="229">
        <v>0</v>
      </c>
      <c r="U1687" s="229">
        <v>0</v>
      </c>
      <c r="V1687" s="229">
        <v>31</v>
      </c>
      <c r="W1687" s="229">
        <v>72</v>
      </c>
      <c r="X1687" s="229">
        <v>0</v>
      </c>
      <c r="Y1687" s="229">
        <v>0</v>
      </c>
      <c r="Z1687" s="229">
        <v>0</v>
      </c>
      <c r="AA1687" s="229">
        <v>0</v>
      </c>
      <c r="AB1687" s="229">
        <v>0</v>
      </c>
      <c r="AC1687" s="12">
        <v>2</v>
      </c>
      <c r="AD1687" s="14">
        <v>9</v>
      </c>
      <c r="AE1687" s="14">
        <v>101</v>
      </c>
      <c r="AF1687" s="26">
        <v>565</v>
      </c>
      <c r="AG1687" s="12">
        <v>149</v>
      </c>
      <c r="AH1687" s="14">
        <v>1</v>
      </c>
      <c r="AI1687" s="209"/>
      <c r="AJ1687" s="3"/>
      <c r="AK1687" s="3"/>
      <c r="AL1687" s="3"/>
      <c r="AM1687" s="3"/>
      <c r="AN1687" s="3"/>
      <c r="AO1687" s="40"/>
      <c r="AP1687" s="209"/>
      <c r="AQ1687" s="3"/>
      <c r="AR1687" s="40"/>
      <c r="AS1687" s="238"/>
    </row>
    <row r="1688" spans="1:45" s="229" customFormat="1">
      <c r="A1688" s="83" t="s">
        <v>326</v>
      </c>
      <c r="B1688" s="386">
        <v>46.27</v>
      </c>
      <c r="C1688" s="24" t="s">
        <v>136</v>
      </c>
      <c r="D1688" s="229" t="s">
        <v>649</v>
      </c>
      <c r="E1688" s="229" t="s">
        <v>1</v>
      </c>
      <c r="F1688" s="229">
        <v>343</v>
      </c>
      <c r="G1688" s="40">
        <f>F1688/175</f>
        <v>1.96</v>
      </c>
      <c r="H1688" s="14">
        <v>0</v>
      </c>
      <c r="I1688" s="229">
        <v>0</v>
      </c>
      <c r="J1688" s="229">
        <v>0</v>
      </c>
      <c r="K1688" s="26">
        <v>1</v>
      </c>
      <c r="L1688" s="14">
        <v>0</v>
      </c>
      <c r="M1688" s="229">
        <v>0</v>
      </c>
      <c r="N1688" s="229">
        <v>1</v>
      </c>
      <c r="O1688" s="229">
        <v>0</v>
      </c>
      <c r="P1688" s="26">
        <v>1</v>
      </c>
      <c r="Q1688" s="14">
        <v>0</v>
      </c>
      <c r="R1688" s="229">
        <v>0</v>
      </c>
      <c r="S1688" s="229">
        <v>0</v>
      </c>
      <c r="T1688" s="229">
        <v>0</v>
      </c>
      <c r="U1688" s="229">
        <v>0</v>
      </c>
      <c r="V1688" s="229">
        <v>0</v>
      </c>
      <c r="W1688" s="229">
        <v>0</v>
      </c>
      <c r="X1688" s="229">
        <v>0</v>
      </c>
      <c r="Y1688" s="229">
        <v>0</v>
      </c>
      <c r="Z1688" s="229">
        <v>0</v>
      </c>
      <c r="AA1688" s="229">
        <v>0</v>
      </c>
      <c r="AB1688" s="229">
        <v>0</v>
      </c>
      <c r="AC1688" s="12">
        <v>1</v>
      </c>
      <c r="AD1688" s="14">
        <v>1</v>
      </c>
      <c r="AE1688" s="14">
        <v>0</v>
      </c>
      <c r="AF1688" s="26">
        <v>0</v>
      </c>
      <c r="AG1688" s="12">
        <v>149</v>
      </c>
      <c r="AH1688" s="14">
        <v>1</v>
      </c>
      <c r="AI1688" s="209"/>
      <c r="AJ1688" s="3"/>
      <c r="AK1688" s="3"/>
      <c r="AL1688" s="3"/>
      <c r="AM1688" s="3"/>
      <c r="AN1688" s="3"/>
      <c r="AO1688" s="40"/>
      <c r="AP1688" s="209"/>
      <c r="AQ1688" s="3"/>
      <c r="AR1688" s="40"/>
      <c r="AS1688" s="238"/>
    </row>
    <row r="1689" spans="1:45" s="229" customFormat="1">
      <c r="A1689" s="83" t="s">
        <v>326</v>
      </c>
      <c r="B1689" s="386">
        <v>46.27</v>
      </c>
      <c r="C1689" s="24" t="s">
        <v>136</v>
      </c>
      <c r="D1689" s="229" t="s">
        <v>670</v>
      </c>
      <c r="E1689" s="229" t="s">
        <v>0</v>
      </c>
      <c r="F1689" s="229">
        <v>382</v>
      </c>
      <c r="G1689" s="40">
        <f>F1689/326</f>
        <v>1.1717791411042944</v>
      </c>
      <c r="H1689" s="14">
        <v>0</v>
      </c>
      <c r="I1689" s="229">
        <v>0</v>
      </c>
      <c r="J1689" s="229">
        <v>1</v>
      </c>
      <c r="K1689" s="26">
        <v>1</v>
      </c>
      <c r="L1689" s="14">
        <v>0</v>
      </c>
      <c r="M1689" s="229">
        <v>0</v>
      </c>
      <c r="N1689" s="229">
        <v>1</v>
      </c>
      <c r="O1689" s="229">
        <v>0</v>
      </c>
      <c r="P1689" s="26">
        <v>1</v>
      </c>
      <c r="Q1689" s="14">
        <v>5</v>
      </c>
      <c r="R1689" s="229">
        <v>0</v>
      </c>
      <c r="S1689" s="229">
        <v>12</v>
      </c>
      <c r="T1689" s="229">
        <v>0</v>
      </c>
      <c r="U1689" s="229">
        <v>0</v>
      </c>
      <c r="V1689" s="229">
        <v>7</v>
      </c>
      <c r="W1689" s="229">
        <v>45</v>
      </c>
      <c r="X1689" s="229">
        <v>0</v>
      </c>
      <c r="Y1689" s="229">
        <v>0</v>
      </c>
      <c r="Z1689" s="229">
        <v>0</v>
      </c>
      <c r="AA1689" s="229">
        <v>0</v>
      </c>
      <c r="AB1689" s="229">
        <v>0</v>
      </c>
      <c r="AC1689" s="12">
        <v>2</v>
      </c>
      <c r="AD1689" s="14">
        <v>2</v>
      </c>
      <c r="AE1689" s="14">
        <v>200</v>
      </c>
      <c r="AF1689" s="26">
        <v>326</v>
      </c>
      <c r="AG1689" s="12">
        <v>101</v>
      </c>
      <c r="AH1689" s="14">
        <v>1</v>
      </c>
      <c r="AI1689" s="209">
        <v>86</v>
      </c>
      <c r="AJ1689" s="3"/>
      <c r="AK1689" s="3"/>
      <c r="AL1689" s="3"/>
      <c r="AM1689" s="3"/>
      <c r="AN1689" s="3"/>
      <c r="AO1689" s="40"/>
      <c r="AP1689" s="209"/>
      <c r="AQ1689" s="3"/>
      <c r="AR1689" s="40"/>
      <c r="AS1689" s="238"/>
    </row>
    <row r="1690" spans="1:45" s="229" customFormat="1">
      <c r="A1690" s="83" t="s">
        <v>326</v>
      </c>
      <c r="B1690" s="386">
        <v>46.27</v>
      </c>
      <c r="C1690" s="24" t="s">
        <v>136</v>
      </c>
      <c r="D1690" s="229" t="s">
        <v>670</v>
      </c>
      <c r="E1690" s="229" t="s">
        <v>1</v>
      </c>
      <c r="F1690" s="229">
        <v>219</v>
      </c>
      <c r="G1690" s="40">
        <f>F1690/155</f>
        <v>1.4129032258064516</v>
      </c>
      <c r="H1690" s="14">
        <v>0</v>
      </c>
      <c r="I1690" s="229">
        <v>0</v>
      </c>
      <c r="J1690" s="229">
        <v>1</v>
      </c>
      <c r="K1690" s="26">
        <v>0</v>
      </c>
      <c r="L1690" s="14">
        <v>0</v>
      </c>
      <c r="M1690" s="229">
        <v>0</v>
      </c>
      <c r="N1690" s="229">
        <v>1</v>
      </c>
      <c r="O1690" s="229">
        <v>0</v>
      </c>
      <c r="P1690" s="26">
        <v>1</v>
      </c>
      <c r="Q1690" s="14">
        <v>25</v>
      </c>
      <c r="R1690" s="229">
        <v>0</v>
      </c>
      <c r="S1690" s="229">
        <v>0</v>
      </c>
      <c r="T1690" s="229">
        <v>0</v>
      </c>
      <c r="U1690" s="229">
        <v>0</v>
      </c>
      <c r="V1690" s="229">
        <v>14</v>
      </c>
      <c r="W1690" s="229">
        <v>87</v>
      </c>
      <c r="X1690" s="229">
        <v>0</v>
      </c>
      <c r="Y1690" s="229">
        <v>0</v>
      </c>
      <c r="Z1690" s="229">
        <v>0</v>
      </c>
      <c r="AA1690" s="229">
        <v>0</v>
      </c>
      <c r="AB1690" s="229">
        <v>0</v>
      </c>
      <c r="AC1690" s="12">
        <v>1</v>
      </c>
      <c r="AD1690" s="14">
        <v>1</v>
      </c>
      <c r="AE1690" s="14">
        <v>0</v>
      </c>
      <c r="AF1690" s="26">
        <v>0</v>
      </c>
      <c r="AG1690" s="12">
        <v>101</v>
      </c>
      <c r="AH1690" s="14">
        <v>0</v>
      </c>
      <c r="AI1690" s="209"/>
      <c r="AJ1690" s="3"/>
      <c r="AK1690" s="3"/>
      <c r="AL1690" s="3"/>
      <c r="AM1690" s="3"/>
      <c r="AN1690" s="3"/>
      <c r="AO1690" s="40"/>
      <c r="AP1690" s="209"/>
      <c r="AQ1690" s="3"/>
      <c r="AR1690" s="40"/>
      <c r="AS1690" s="238"/>
    </row>
    <row r="1691" spans="1:45" s="229" customFormat="1">
      <c r="A1691" s="83" t="s">
        <v>326</v>
      </c>
      <c r="B1691" s="386">
        <v>46.27</v>
      </c>
      <c r="C1691" s="24" t="s">
        <v>136</v>
      </c>
      <c r="D1691" s="229" t="s">
        <v>670</v>
      </c>
      <c r="E1691" s="229" t="s">
        <v>2</v>
      </c>
      <c r="F1691" s="229">
        <v>803</v>
      </c>
      <c r="G1691" s="40">
        <f>F1691/470</f>
        <v>1.7085106382978723</v>
      </c>
      <c r="H1691" s="14">
        <v>0</v>
      </c>
      <c r="I1691" s="229">
        <v>0</v>
      </c>
      <c r="J1691" s="229">
        <v>1</v>
      </c>
      <c r="K1691" s="26">
        <v>1</v>
      </c>
      <c r="L1691" s="14">
        <v>0</v>
      </c>
      <c r="M1691" s="229">
        <v>0</v>
      </c>
      <c r="N1691" s="229">
        <v>1</v>
      </c>
      <c r="O1691" s="229">
        <v>0</v>
      </c>
      <c r="P1691" s="26">
        <v>1</v>
      </c>
      <c r="Q1691" s="14">
        <v>10</v>
      </c>
      <c r="R1691" s="229">
        <v>0</v>
      </c>
      <c r="S1691" s="229">
        <v>5</v>
      </c>
      <c r="T1691" s="229">
        <v>0</v>
      </c>
      <c r="U1691" s="229">
        <v>0</v>
      </c>
      <c r="V1691" s="229">
        <v>7</v>
      </c>
      <c r="W1691" s="229">
        <v>95</v>
      </c>
      <c r="X1691" s="229">
        <v>0</v>
      </c>
      <c r="Y1691" s="229">
        <v>0</v>
      </c>
      <c r="Z1691" s="229">
        <v>0</v>
      </c>
      <c r="AA1691" s="229">
        <v>56</v>
      </c>
      <c r="AB1691" s="229">
        <v>0</v>
      </c>
      <c r="AC1691" s="12">
        <v>2</v>
      </c>
      <c r="AD1691" s="14">
        <v>3</v>
      </c>
      <c r="AE1691" s="14">
        <v>397</v>
      </c>
      <c r="AF1691" s="26">
        <v>485</v>
      </c>
      <c r="AG1691" s="12">
        <v>101</v>
      </c>
      <c r="AH1691" s="14">
        <v>1</v>
      </c>
      <c r="AI1691" s="209">
        <v>86</v>
      </c>
      <c r="AJ1691" s="3"/>
      <c r="AK1691" s="3"/>
      <c r="AL1691" s="3"/>
      <c r="AM1691" s="3"/>
      <c r="AN1691" s="3"/>
      <c r="AO1691" s="40"/>
      <c r="AP1691" s="209">
        <v>85</v>
      </c>
      <c r="AQ1691" s="3"/>
      <c r="AR1691" s="40"/>
      <c r="AS1691" s="238"/>
    </row>
    <row r="1692" spans="1:45" s="229" customFormat="1">
      <c r="A1692" s="83" t="s">
        <v>326</v>
      </c>
      <c r="B1692" s="386">
        <v>46.27</v>
      </c>
      <c r="C1692" s="24" t="s">
        <v>136</v>
      </c>
      <c r="D1692" s="229" t="s">
        <v>672</v>
      </c>
      <c r="F1692" s="229">
        <v>1237</v>
      </c>
      <c r="G1692" s="40">
        <f>F1692/1008</f>
        <v>1.2271825396825398</v>
      </c>
      <c r="H1692" s="14">
        <v>0</v>
      </c>
      <c r="I1692" s="229">
        <v>0</v>
      </c>
      <c r="J1692" s="229">
        <v>0</v>
      </c>
      <c r="K1692" s="26">
        <v>1</v>
      </c>
      <c r="L1692" s="14">
        <v>0</v>
      </c>
      <c r="M1692" s="229">
        <v>0</v>
      </c>
      <c r="N1692" s="229">
        <v>0</v>
      </c>
      <c r="O1692" s="229">
        <v>0</v>
      </c>
      <c r="P1692" s="26">
        <v>0</v>
      </c>
      <c r="Q1692" s="14">
        <v>1</v>
      </c>
      <c r="R1692" s="229">
        <v>0</v>
      </c>
      <c r="S1692" s="229">
        <v>0</v>
      </c>
      <c r="T1692" s="229">
        <v>0</v>
      </c>
      <c r="U1692" s="229">
        <v>0</v>
      </c>
      <c r="V1692" s="229">
        <v>0</v>
      </c>
      <c r="W1692" s="229">
        <v>23</v>
      </c>
      <c r="X1692" s="229">
        <v>0</v>
      </c>
      <c r="Y1692" s="229">
        <v>0</v>
      </c>
      <c r="Z1692" s="229">
        <v>0</v>
      </c>
      <c r="AA1692" s="229">
        <v>0</v>
      </c>
      <c r="AB1692" s="229">
        <v>0</v>
      </c>
      <c r="AC1692" s="12">
        <v>2</v>
      </c>
      <c r="AD1692" s="14">
        <v>9</v>
      </c>
      <c r="AE1692" s="14">
        <v>123</v>
      </c>
      <c r="AF1692" s="26">
        <v>464</v>
      </c>
      <c r="AG1692" s="12">
        <v>139</v>
      </c>
      <c r="AH1692" s="14">
        <v>1</v>
      </c>
      <c r="AI1692" s="209"/>
      <c r="AJ1692" s="3"/>
      <c r="AK1692" s="3"/>
      <c r="AL1692" s="3"/>
      <c r="AM1692" s="3"/>
      <c r="AN1692" s="3"/>
      <c r="AO1692" s="40"/>
      <c r="AP1692" s="209"/>
      <c r="AQ1692" s="3"/>
      <c r="AR1692" s="40"/>
      <c r="AS1692" s="238"/>
    </row>
    <row r="1693" spans="1:45" s="229" customFormat="1">
      <c r="A1693" s="83" t="s">
        <v>326</v>
      </c>
      <c r="B1693" s="386">
        <v>46.27</v>
      </c>
      <c r="C1693" s="24" t="s">
        <v>136</v>
      </c>
      <c r="D1693" s="229" t="s">
        <v>674</v>
      </c>
      <c r="E1693" s="229" t="s">
        <v>0</v>
      </c>
      <c r="F1693" s="229">
        <v>418</v>
      </c>
      <c r="G1693" s="40">
        <f>F1693/394</f>
        <v>1.0609137055837563</v>
      </c>
      <c r="H1693" s="14">
        <v>0</v>
      </c>
      <c r="I1693" s="229">
        <v>0</v>
      </c>
      <c r="J1693" s="229">
        <v>0</v>
      </c>
      <c r="K1693" s="26">
        <v>1</v>
      </c>
      <c r="L1693" s="14">
        <v>0</v>
      </c>
      <c r="M1693" s="229">
        <v>0</v>
      </c>
      <c r="N1693" s="229">
        <v>0</v>
      </c>
      <c r="O1693" s="229">
        <v>0</v>
      </c>
      <c r="P1693" s="26">
        <v>0</v>
      </c>
      <c r="Q1693" s="14">
        <v>2</v>
      </c>
      <c r="R1693" s="229">
        <v>0</v>
      </c>
      <c r="S1693" s="229">
        <v>0</v>
      </c>
      <c r="T1693" s="229">
        <v>0</v>
      </c>
      <c r="U1693" s="229">
        <v>0</v>
      </c>
      <c r="V1693" s="229">
        <v>0</v>
      </c>
      <c r="W1693" s="229">
        <v>35</v>
      </c>
      <c r="X1693" s="229">
        <v>0</v>
      </c>
      <c r="Y1693" s="229">
        <v>0</v>
      </c>
      <c r="Z1693" s="229">
        <v>0</v>
      </c>
      <c r="AA1693" s="229">
        <v>0</v>
      </c>
      <c r="AB1693" s="229">
        <v>0</v>
      </c>
      <c r="AC1693" s="12">
        <v>2</v>
      </c>
      <c r="AD1693" s="14">
        <v>2</v>
      </c>
      <c r="AE1693" s="14">
        <v>220</v>
      </c>
      <c r="AF1693" s="26">
        <v>391</v>
      </c>
      <c r="AG1693" s="12">
        <v>137</v>
      </c>
      <c r="AH1693" s="14">
        <v>1</v>
      </c>
      <c r="AI1693" s="209">
        <v>86</v>
      </c>
      <c r="AJ1693" s="3"/>
      <c r="AK1693" s="3"/>
      <c r="AL1693" s="3"/>
      <c r="AM1693" s="3"/>
      <c r="AN1693" s="3"/>
      <c r="AO1693" s="40"/>
      <c r="AP1693" s="209"/>
      <c r="AQ1693" s="3"/>
      <c r="AR1693" s="40"/>
      <c r="AS1693" s="238"/>
    </row>
    <row r="1694" spans="1:45" s="229" customFormat="1">
      <c r="A1694" s="83" t="s">
        <v>326</v>
      </c>
      <c r="B1694" s="386">
        <v>46.27</v>
      </c>
      <c r="C1694" s="24" t="s">
        <v>136</v>
      </c>
      <c r="D1694" s="229" t="s">
        <v>674</v>
      </c>
      <c r="E1694" s="229" t="s">
        <v>1</v>
      </c>
      <c r="F1694" s="229">
        <v>1711</v>
      </c>
      <c r="G1694" s="40">
        <f>F1694/1220</f>
        <v>1.4024590163934427</v>
      </c>
      <c r="H1694" s="14">
        <v>0</v>
      </c>
      <c r="I1694" s="229">
        <v>0</v>
      </c>
      <c r="J1694" s="229">
        <v>0</v>
      </c>
      <c r="K1694" s="26">
        <v>1</v>
      </c>
      <c r="L1694" s="14">
        <v>0</v>
      </c>
      <c r="M1694" s="229">
        <v>0</v>
      </c>
      <c r="N1694" s="229">
        <v>0</v>
      </c>
      <c r="O1694" s="229">
        <v>0</v>
      </c>
      <c r="P1694" s="26">
        <v>0</v>
      </c>
      <c r="Q1694" s="14">
        <v>2</v>
      </c>
      <c r="R1694" s="229">
        <v>12</v>
      </c>
      <c r="S1694" s="229">
        <v>26</v>
      </c>
      <c r="T1694" s="229">
        <v>0</v>
      </c>
      <c r="U1694" s="229">
        <v>0</v>
      </c>
      <c r="V1694" s="229">
        <v>0</v>
      </c>
      <c r="W1694" s="229">
        <v>0</v>
      </c>
      <c r="X1694" s="229">
        <v>0</v>
      </c>
      <c r="Y1694" s="229">
        <v>0</v>
      </c>
      <c r="Z1694" s="229">
        <v>0</v>
      </c>
      <c r="AA1694" s="229">
        <v>0</v>
      </c>
      <c r="AB1694" s="229">
        <v>0</v>
      </c>
      <c r="AC1694" s="12">
        <v>2</v>
      </c>
      <c r="AD1694" s="14">
        <v>16</v>
      </c>
      <c r="AE1694" s="14">
        <v>135</v>
      </c>
      <c r="AF1694" s="26">
        <v>653</v>
      </c>
      <c r="AG1694" s="12">
        <v>137</v>
      </c>
      <c r="AH1694" s="14">
        <v>1</v>
      </c>
      <c r="AI1694" s="209">
        <v>86</v>
      </c>
      <c r="AJ1694" s="3">
        <v>86</v>
      </c>
      <c r="AK1694" s="3">
        <v>86</v>
      </c>
      <c r="AL1694" s="3">
        <v>86</v>
      </c>
      <c r="AM1694" s="3"/>
      <c r="AN1694" s="3"/>
      <c r="AO1694" s="40"/>
      <c r="AP1694" s="209">
        <v>86</v>
      </c>
      <c r="AQ1694" s="3"/>
      <c r="AR1694" s="40"/>
      <c r="AS1694" s="238"/>
    </row>
    <row r="1695" spans="1:45" s="229" customFormat="1">
      <c r="A1695" s="83" t="s">
        <v>326</v>
      </c>
      <c r="B1695" s="386">
        <v>46.27</v>
      </c>
      <c r="C1695" s="24" t="s">
        <v>136</v>
      </c>
      <c r="D1695" s="229" t="s">
        <v>674</v>
      </c>
      <c r="E1695" s="229" t="s">
        <v>2</v>
      </c>
      <c r="F1695" s="229">
        <v>596</v>
      </c>
      <c r="G1695" s="40">
        <f>F1695/572</f>
        <v>1.0419580419580419</v>
      </c>
      <c r="H1695" s="14">
        <v>0</v>
      </c>
      <c r="I1695" s="229">
        <v>0</v>
      </c>
      <c r="J1695" s="229">
        <v>1</v>
      </c>
      <c r="K1695" s="26">
        <v>1</v>
      </c>
      <c r="L1695" s="14">
        <v>0</v>
      </c>
      <c r="M1695" s="229">
        <v>0</v>
      </c>
      <c r="N1695" s="229">
        <v>0</v>
      </c>
      <c r="O1695" s="229">
        <v>0</v>
      </c>
      <c r="P1695" s="26">
        <v>0</v>
      </c>
      <c r="Q1695" s="14">
        <v>0</v>
      </c>
      <c r="R1695" s="229">
        <v>0</v>
      </c>
      <c r="S1695" s="229">
        <v>0</v>
      </c>
      <c r="T1695" s="229">
        <v>0</v>
      </c>
      <c r="U1695" s="229">
        <v>0</v>
      </c>
      <c r="V1695" s="229">
        <v>0</v>
      </c>
      <c r="W1695" s="229">
        <v>0</v>
      </c>
      <c r="X1695" s="229">
        <v>0</v>
      </c>
      <c r="Y1695" s="229">
        <v>0</v>
      </c>
      <c r="Z1695" s="229">
        <v>0</v>
      </c>
      <c r="AA1695" s="229">
        <v>0</v>
      </c>
      <c r="AB1695" s="229">
        <v>0</v>
      </c>
      <c r="AC1695" s="12">
        <v>2</v>
      </c>
      <c r="AD1695" s="14">
        <v>4</v>
      </c>
      <c r="AE1695" s="14">
        <v>67</v>
      </c>
      <c r="AF1695" s="26">
        <v>572</v>
      </c>
      <c r="AG1695" s="12">
        <v>137</v>
      </c>
      <c r="AH1695" s="14">
        <v>1</v>
      </c>
      <c r="AI1695" s="209"/>
      <c r="AJ1695" s="3"/>
      <c r="AK1695" s="3"/>
      <c r="AL1695" s="3"/>
      <c r="AM1695" s="3"/>
      <c r="AN1695" s="3"/>
      <c r="AO1695" s="40"/>
      <c r="AP1695" s="209"/>
      <c r="AQ1695" s="3"/>
      <c r="AR1695" s="40"/>
      <c r="AS1695" s="238"/>
    </row>
    <row r="1696" spans="1:45" s="229" customFormat="1">
      <c r="A1696" s="83" t="s">
        <v>326</v>
      </c>
      <c r="B1696" s="386">
        <v>46.27</v>
      </c>
      <c r="C1696" s="24" t="s">
        <v>136</v>
      </c>
      <c r="D1696" s="229" t="s">
        <v>675</v>
      </c>
      <c r="F1696" s="229">
        <v>1923</v>
      </c>
      <c r="G1696" s="40">
        <f>F1696/551</f>
        <v>3.4900181488203268</v>
      </c>
      <c r="H1696" s="14">
        <v>1</v>
      </c>
      <c r="I1696" s="229">
        <v>0</v>
      </c>
      <c r="J1696" s="229">
        <v>0</v>
      </c>
      <c r="K1696" s="26">
        <v>1</v>
      </c>
      <c r="L1696" s="14">
        <v>0</v>
      </c>
      <c r="M1696" s="229">
        <v>0</v>
      </c>
      <c r="N1696" s="229">
        <v>1</v>
      </c>
      <c r="O1696" s="229">
        <v>0</v>
      </c>
      <c r="P1696" s="26">
        <v>1</v>
      </c>
      <c r="Q1696" s="14">
        <v>5</v>
      </c>
      <c r="R1696" s="229">
        <v>17</v>
      </c>
      <c r="S1696" s="229">
        <v>31</v>
      </c>
      <c r="T1696" s="229">
        <v>0</v>
      </c>
      <c r="U1696" s="229">
        <v>0</v>
      </c>
      <c r="V1696" s="229">
        <v>38</v>
      </c>
      <c r="W1696" s="229">
        <v>73</v>
      </c>
      <c r="X1696" s="229">
        <v>0</v>
      </c>
      <c r="Y1696" s="229">
        <v>0</v>
      </c>
      <c r="Z1696" s="229">
        <v>0</v>
      </c>
      <c r="AA1696" s="229">
        <v>0</v>
      </c>
      <c r="AB1696" s="229">
        <v>0</v>
      </c>
      <c r="AC1696" s="12">
        <v>2</v>
      </c>
      <c r="AD1696" s="14">
        <v>5</v>
      </c>
      <c r="AE1696" s="14">
        <v>137</v>
      </c>
      <c r="AF1696" s="26">
        <v>1013</v>
      </c>
      <c r="AG1696" s="12">
        <v>124</v>
      </c>
      <c r="AH1696" s="14">
        <v>1</v>
      </c>
      <c r="AI1696" s="209">
        <v>86</v>
      </c>
      <c r="AJ1696" s="3"/>
      <c r="AK1696" s="3"/>
      <c r="AL1696" s="3"/>
      <c r="AM1696" s="3"/>
      <c r="AN1696" s="3"/>
      <c r="AO1696" s="40"/>
      <c r="AP1696" s="209">
        <v>86</v>
      </c>
      <c r="AQ1696" s="3"/>
      <c r="AR1696" s="40"/>
      <c r="AS1696" s="238"/>
    </row>
    <row r="1697" spans="1:45" s="229" customFormat="1">
      <c r="A1697" s="83" t="s">
        <v>326</v>
      </c>
      <c r="B1697" s="386">
        <v>46.27</v>
      </c>
      <c r="C1697" s="24" t="s">
        <v>136</v>
      </c>
      <c r="D1697" s="229" t="s">
        <v>680</v>
      </c>
      <c r="E1697" s="229" t="s">
        <v>0</v>
      </c>
      <c r="F1697" s="229">
        <v>481</v>
      </c>
      <c r="G1697" s="40">
        <f>F1697/207</f>
        <v>2.3236714975845412</v>
      </c>
      <c r="H1697" s="14">
        <v>0</v>
      </c>
      <c r="I1697" s="229">
        <v>0</v>
      </c>
      <c r="J1697" s="229">
        <v>1</v>
      </c>
      <c r="K1697" s="26">
        <v>1</v>
      </c>
      <c r="L1697" s="14">
        <v>0</v>
      </c>
      <c r="M1697" s="229">
        <v>0</v>
      </c>
      <c r="N1697" s="229">
        <v>0</v>
      </c>
      <c r="O1697" s="229">
        <v>0</v>
      </c>
      <c r="P1697" s="26">
        <v>0</v>
      </c>
      <c r="Q1697" s="14">
        <v>1</v>
      </c>
      <c r="R1697" s="229">
        <v>0</v>
      </c>
      <c r="S1697" s="229">
        <v>0</v>
      </c>
      <c r="T1697" s="229">
        <v>0</v>
      </c>
      <c r="U1697" s="229">
        <v>0</v>
      </c>
      <c r="V1697" s="229">
        <v>0</v>
      </c>
      <c r="W1697" s="229">
        <v>30</v>
      </c>
      <c r="X1697" s="229">
        <v>0</v>
      </c>
      <c r="Y1697" s="229">
        <v>0</v>
      </c>
      <c r="Z1697" s="229">
        <v>0</v>
      </c>
      <c r="AA1697" s="229">
        <v>0</v>
      </c>
      <c r="AB1697" s="229">
        <v>0</v>
      </c>
      <c r="AC1697" s="12">
        <v>2</v>
      </c>
      <c r="AD1697" s="14">
        <v>3</v>
      </c>
      <c r="AE1697" s="14">
        <v>175</v>
      </c>
      <c r="AF1697" s="26">
        <v>295</v>
      </c>
      <c r="AG1697" s="12">
        <v>138</v>
      </c>
      <c r="AH1697" s="14">
        <v>0</v>
      </c>
      <c r="AI1697" s="209"/>
      <c r="AJ1697" s="3"/>
      <c r="AK1697" s="3"/>
      <c r="AL1697" s="3"/>
      <c r="AM1697" s="3"/>
      <c r="AN1697" s="3"/>
      <c r="AO1697" s="40"/>
      <c r="AP1697" s="209"/>
      <c r="AQ1697" s="3"/>
      <c r="AR1697" s="40"/>
      <c r="AS1697" s="238"/>
    </row>
    <row r="1698" spans="1:45" s="229" customFormat="1">
      <c r="A1698" s="83" t="s">
        <v>326</v>
      </c>
      <c r="B1698" s="386">
        <v>46.27</v>
      </c>
      <c r="C1698" s="24" t="s">
        <v>136</v>
      </c>
      <c r="D1698" s="229" t="s">
        <v>680</v>
      </c>
      <c r="E1698" s="229" t="s">
        <v>1</v>
      </c>
      <c r="F1698" s="229">
        <v>1048</v>
      </c>
      <c r="G1698" s="40">
        <f>F1698/686</f>
        <v>1.5276967930029155</v>
      </c>
      <c r="H1698" s="14">
        <v>0</v>
      </c>
      <c r="I1698" s="229">
        <v>0</v>
      </c>
      <c r="J1698" s="229">
        <v>0</v>
      </c>
      <c r="K1698" s="26">
        <v>1</v>
      </c>
      <c r="L1698" s="14">
        <v>0</v>
      </c>
      <c r="M1698" s="229">
        <v>0</v>
      </c>
      <c r="N1698" s="229">
        <v>1</v>
      </c>
      <c r="O1698" s="229">
        <v>0</v>
      </c>
      <c r="P1698" s="26">
        <v>1</v>
      </c>
      <c r="Q1698" s="14">
        <v>1</v>
      </c>
      <c r="R1698" s="229">
        <v>0</v>
      </c>
      <c r="S1698" s="229">
        <v>29</v>
      </c>
      <c r="T1698" s="229">
        <v>0</v>
      </c>
      <c r="U1698" s="229">
        <v>0</v>
      </c>
      <c r="V1698" s="229">
        <v>0</v>
      </c>
      <c r="W1698" s="229">
        <v>20</v>
      </c>
      <c r="X1698" s="229">
        <v>0</v>
      </c>
      <c r="Y1698" s="229">
        <v>0</v>
      </c>
      <c r="Z1698" s="229">
        <v>0</v>
      </c>
      <c r="AA1698" s="229">
        <v>0</v>
      </c>
      <c r="AB1698" s="229">
        <v>0</v>
      </c>
      <c r="AC1698" s="12">
        <v>2</v>
      </c>
      <c r="AD1698" s="14">
        <v>9</v>
      </c>
      <c r="AE1698" s="14">
        <v>79</v>
      </c>
      <c r="AF1698" s="26">
        <v>715</v>
      </c>
      <c r="AG1698" s="12">
        <v>138</v>
      </c>
      <c r="AH1698" s="14">
        <v>1</v>
      </c>
      <c r="AI1698" s="209"/>
      <c r="AJ1698" s="3"/>
      <c r="AK1698" s="3"/>
      <c r="AL1698" s="3"/>
      <c r="AM1698" s="3"/>
      <c r="AN1698" s="3"/>
      <c r="AO1698" s="40"/>
      <c r="AP1698" s="209"/>
      <c r="AQ1698" s="3"/>
      <c r="AR1698" s="40"/>
      <c r="AS1698" s="238"/>
    </row>
    <row r="1699" spans="1:45" s="229" customFormat="1">
      <c r="A1699" s="83" t="s">
        <v>326</v>
      </c>
      <c r="B1699" s="386">
        <v>46.27</v>
      </c>
      <c r="C1699" s="24" t="s">
        <v>136</v>
      </c>
      <c r="D1699" s="229" t="s">
        <v>680</v>
      </c>
      <c r="E1699" s="229" t="s">
        <v>2</v>
      </c>
      <c r="F1699" s="229">
        <v>391</v>
      </c>
      <c r="G1699" s="40">
        <f>F1699/324</f>
        <v>1.2067901234567902</v>
      </c>
      <c r="H1699" s="14">
        <v>0</v>
      </c>
      <c r="I1699" s="229">
        <v>0</v>
      </c>
      <c r="J1699" s="229">
        <v>1</v>
      </c>
      <c r="K1699" s="26">
        <v>0</v>
      </c>
      <c r="L1699" s="14">
        <v>0</v>
      </c>
      <c r="M1699" s="229">
        <v>0</v>
      </c>
      <c r="N1699" s="229">
        <v>1</v>
      </c>
      <c r="O1699" s="229">
        <v>0</v>
      </c>
      <c r="P1699" s="26">
        <v>1</v>
      </c>
      <c r="Q1699" s="14">
        <v>0</v>
      </c>
      <c r="R1699" s="229">
        <v>0</v>
      </c>
      <c r="S1699" s="229">
        <v>0</v>
      </c>
      <c r="T1699" s="229">
        <v>0</v>
      </c>
      <c r="U1699" s="229">
        <v>0</v>
      </c>
      <c r="V1699" s="229">
        <v>0</v>
      </c>
      <c r="W1699" s="229">
        <v>0</v>
      </c>
      <c r="X1699" s="229">
        <v>0</v>
      </c>
      <c r="Y1699" s="229">
        <v>0</v>
      </c>
      <c r="Z1699" s="229">
        <v>0</v>
      </c>
      <c r="AA1699" s="229">
        <v>0</v>
      </c>
      <c r="AB1699" s="229">
        <v>0</v>
      </c>
      <c r="AC1699" s="12">
        <v>1</v>
      </c>
      <c r="AD1699" s="14">
        <v>1</v>
      </c>
      <c r="AE1699" s="14">
        <v>0</v>
      </c>
      <c r="AF1699" s="26">
        <v>0</v>
      </c>
      <c r="AG1699" s="12">
        <v>138</v>
      </c>
      <c r="AH1699" s="14">
        <v>0</v>
      </c>
      <c r="AI1699" s="209"/>
      <c r="AJ1699" s="3"/>
      <c r="AK1699" s="3"/>
      <c r="AL1699" s="3"/>
      <c r="AM1699" s="3"/>
      <c r="AN1699" s="3"/>
      <c r="AO1699" s="40"/>
      <c r="AP1699" s="209"/>
      <c r="AQ1699" s="3"/>
      <c r="AR1699" s="40"/>
      <c r="AS1699" s="238"/>
    </row>
    <row r="1700" spans="1:45" s="229" customFormat="1">
      <c r="A1700" s="83" t="s">
        <v>326</v>
      </c>
      <c r="B1700" s="386">
        <v>46.27</v>
      </c>
      <c r="C1700" s="24" t="s">
        <v>136</v>
      </c>
      <c r="D1700" s="229" t="s">
        <v>682</v>
      </c>
      <c r="E1700" s="229" t="s">
        <v>0</v>
      </c>
      <c r="F1700" s="229">
        <v>667</v>
      </c>
      <c r="G1700" s="40">
        <f>F1700/285</f>
        <v>2.3403508771929826</v>
      </c>
      <c r="H1700" s="14">
        <v>0</v>
      </c>
      <c r="I1700" s="229">
        <v>0</v>
      </c>
      <c r="J1700" s="229">
        <v>1</v>
      </c>
      <c r="K1700" s="26">
        <v>0</v>
      </c>
      <c r="L1700" s="14">
        <v>0</v>
      </c>
      <c r="M1700" s="229">
        <v>0</v>
      </c>
      <c r="N1700" s="229">
        <v>1</v>
      </c>
      <c r="O1700" s="229">
        <v>0</v>
      </c>
      <c r="P1700" s="26">
        <v>1</v>
      </c>
      <c r="Q1700" s="14">
        <v>1</v>
      </c>
      <c r="R1700" s="229">
        <v>0</v>
      </c>
      <c r="S1700" s="229">
        <v>0</v>
      </c>
      <c r="T1700" s="229">
        <v>0</v>
      </c>
      <c r="U1700" s="229">
        <v>0</v>
      </c>
      <c r="V1700" s="229">
        <v>11</v>
      </c>
      <c r="W1700" s="229">
        <v>19</v>
      </c>
      <c r="X1700" s="229">
        <v>0</v>
      </c>
      <c r="Y1700" s="229">
        <v>0</v>
      </c>
      <c r="Z1700" s="229">
        <v>0</v>
      </c>
      <c r="AA1700" s="229">
        <v>0</v>
      </c>
      <c r="AB1700" s="229">
        <v>0</v>
      </c>
      <c r="AC1700" s="12">
        <v>1</v>
      </c>
      <c r="AD1700" s="14">
        <v>1</v>
      </c>
      <c r="AE1700" s="14">
        <v>0</v>
      </c>
      <c r="AF1700" s="26">
        <v>0</v>
      </c>
      <c r="AG1700" s="12">
        <v>127</v>
      </c>
      <c r="AH1700" s="14">
        <v>0</v>
      </c>
      <c r="AI1700" s="209"/>
      <c r="AJ1700" s="3"/>
      <c r="AK1700" s="3"/>
      <c r="AL1700" s="3"/>
      <c r="AM1700" s="3"/>
      <c r="AN1700" s="3"/>
      <c r="AO1700" s="40"/>
      <c r="AP1700" s="209"/>
      <c r="AQ1700" s="3"/>
      <c r="AR1700" s="40"/>
      <c r="AS1700" s="238"/>
    </row>
    <row r="1701" spans="1:45" s="229" customFormat="1">
      <c r="A1701" s="83" t="s">
        <v>326</v>
      </c>
      <c r="B1701" s="386">
        <v>46.27</v>
      </c>
      <c r="C1701" s="24" t="s">
        <v>136</v>
      </c>
      <c r="D1701" s="229" t="s">
        <v>682</v>
      </c>
      <c r="E1701" s="229" t="s">
        <v>1</v>
      </c>
      <c r="F1701" s="229">
        <v>1211</v>
      </c>
      <c r="G1701" s="40">
        <f>F1701/406</f>
        <v>2.9827586206896552</v>
      </c>
      <c r="H1701" s="14">
        <v>0</v>
      </c>
      <c r="I1701" s="229">
        <v>0</v>
      </c>
      <c r="J1701" s="229">
        <v>1</v>
      </c>
      <c r="K1701" s="26">
        <v>1</v>
      </c>
      <c r="L1701" s="14">
        <v>0</v>
      </c>
      <c r="M1701" s="229">
        <v>0</v>
      </c>
      <c r="N1701" s="229">
        <v>1</v>
      </c>
      <c r="O1701" s="229">
        <v>0</v>
      </c>
      <c r="P1701" s="26">
        <v>1</v>
      </c>
      <c r="Q1701" s="14">
        <v>2</v>
      </c>
      <c r="R1701" s="229">
        <v>7</v>
      </c>
      <c r="S1701" s="229">
        <v>36</v>
      </c>
      <c r="T1701" s="229">
        <v>0</v>
      </c>
      <c r="U1701" s="229">
        <v>0</v>
      </c>
      <c r="V1701" s="229">
        <v>13</v>
      </c>
      <c r="W1701" s="229">
        <v>76</v>
      </c>
      <c r="X1701" s="229">
        <v>0</v>
      </c>
      <c r="Y1701" s="229">
        <v>0</v>
      </c>
      <c r="Z1701" s="229">
        <v>0</v>
      </c>
      <c r="AA1701" s="229">
        <v>47</v>
      </c>
      <c r="AB1701" s="229">
        <v>0</v>
      </c>
      <c r="AC1701" s="12">
        <v>2</v>
      </c>
      <c r="AD1701" s="14">
        <v>3</v>
      </c>
      <c r="AE1701" s="14">
        <v>302</v>
      </c>
      <c r="AF1701" s="26">
        <v>666</v>
      </c>
      <c r="AG1701" s="12">
        <v>127</v>
      </c>
      <c r="AH1701" s="14">
        <v>1</v>
      </c>
      <c r="AI1701" s="209"/>
      <c r="AJ1701" s="3"/>
      <c r="AK1701" s="3"/>
      <c r="AL1701" s="3"/>
      <c r="AM1701" s="3"/>
      <c r="AN1701" s="3"/>
      <c r="AO1701" s="40"/>
      <c r="AP1701" s="209"/>
      <c r="AQ1701" s="3"/>
      <c r="AR1701" s="40"/>
      <c r="AS1701" s="238"/>
    </row>
    <row r="1702" spans="1:45" s="229" customFormat="1">
      <c r="A1702" s="83" t="s">
        <v>326</v>
      </c>
      <c r="B1702" s="386">
        <v>46.27</v>
      </c>
      <c r="C1702" s="24" t="s">
        <v>136</v>
      </c>
      <c r="D1702" s="229" t="s">
        <v>694</v>
      </c>
      <c r="E1702" s="229" t="s">
        <v>0</v>
      </c>
      <c r="F1702" s="229">
        <v>396</v>
      </c>
      <c r="G1702" s="40">
        <f>F1702/292</f>
        <v>1.3561643835616439</v>
      </c>
      <c r="H1702" s="14">
        <v>0</v>
      </c>
      <c r="I1702" s="229">
        <v>0</v>
      </c>
      <c r="J1702" s="229">
        <v>0</v>
      </c>
      <c r="K1702" s="26">
        <v>1</v>
      </c>
      <c r="L1702" s="14">
        <v>0</v>
      </c>
      <c r="M1702" s="229">
        <v>0</v>
      </c>
      <c r="N1702" s="229">
        <v>1</v>
      </c>
      <c r="O1702" s="229">
        <v>0</v>
      </c>
      <c r="P1702" s="26">
        <v>1</v>
      </c>
      <c r="Q1702" s="14">
        <v>0</v>
      </c>
      <c r="R1702" s="229">
        <v>0</v>
      </c>
      <c r="S1702" s="229">
        <v>0</v>
      </c>
      <c r="T1702" s="229">
        <v>0</v>
      </c>
      <c r="U1702" s="229">
        <v>0</v>
      </c>
      <c r="V1702" s="229">
        <v>0</v>
      </c>
      <c r="W1702" s="229">
        <v>0</v>
      </c>
      <c r="X1702" s="229">
        <v>0</v>
      </c>
      <c r="Z1702" s="229">
        <v>0</v>
      </c>
      <c r="AA1702" s="229">
        <v>0</v>
      </c>
      <c r="AB1702" s="229">
        <v>0</v>
      </c>
      <c r="AC1702" s="12">
        <v>2</v>
      </c>
      <c r="AD1702" s="14">
        <v>2</v>
      </c>
      <c r="AE1702" s="14">
        <v>228</v>
      </c>
      <c r="AF1702" s="26">
        <v>292</v>
      </c>
      <c r="AG1702" s="12">
        <v>146</v>
      </c>
      <c r="AH1702" s="14">
        <v>1</v>
      </c>
      <c r="AI1702" s="209"/>
      <c r="AJ1702" s="3"/>
      <c r="AK1702" s="3"/>
      <c r="AL1702" s="3"/>
      <c r="AM1702" s="3"/>
      <c r="AN1702" s="3"/>
      <c r="AO1702" s="40"/>
      <c r="AP1702" s="209"/>
      <c r="AQ1702" s="3"/>
      <c r="AR1702" s="40"/>
      <c r="AS1702" s="238"/>
    </row>
    <row r="1703" spans="1:45" s="229" customFormat="1">
      <c r="A1703" s="83" t="s">
        <v>326</v>
      </c>
      <c r="B1703" s="386">
        <v>46.27</v>
      </c>
      <c r="C1703" s="24" t="s">
        <v>136</v>
      </c>
      <c r="D1703" s="229" t="s">
        <v>694</v>
      </c>
      <c r="E1703" s="229" t="s">
        <v>1</v>
      </c>
      <c r="F1703" s="229">
        <v>1661</v>
      </c>
      <c r="G1703" s="40">
        <f>F1703/1034</f>
        <v>1.6063829787234043</v>
      </c>
      <c r="H1703" s="14">
        <v>0</v>
      </c>
      <c r="I1703" s="229">
        <v>0</v>
      </c>
      <c r="J1703" s="229">
        <v>1</v>
      </c>
      <c r="K1703" s="26">
        <v>1</v>
      </c>
      <c r="L1703" s="14">
        <v>0</v>
      </c>
      <c r="M1703" s="229">
        <v>0</v>
      </c>
      <c r="N1703" s="229">
        <v>0</v>
      </c>
      <c r="O1703" s="229">
        <v>0</v>
      </c>
      <c r="P1703" s="26">
        <v>0</v>
      </c>
      <c r="Q1703" s="14">
        <v>2</v>
      </c>
      <c r="R1703" s="229">
        <v>0</v>
      </c>
      <c r="S1703" s="229">
        <v>12</v>
      </c>
      <c r="T1703" s="229">
        <v>0</v>
      </c>
      <c r="U1703" s="229">
        <v>0</v>
      </c>
      <c r="V1703" s="229">
        <v>27</v>
      </c>
      <c r="W1703" s="229">
        <v>103</v>
      </c>
      <c r="X1703" s="229">
        <v>0</v>
      </c>
      <c r="Y1703" s="229">
        <v>0</v>
      </c>
      <c r="Z1703" s="229">
        <v>0</v>
      </c>
      <c r="AA1703" s="229">
        <v>0</v>
      </c>
      <c r="AB1703" s="229">
        <v>0</v>
      </c>
      <c r="AC1703" s="12">
        <v>2</v>
      </c>
      <c r="AD1703" s="14">
        <v>20</v>
      </c>
      <c r="AE1703" s="14">
        <v>60</v>
      </c>
      <c r="AF1703" s="26">
        <v>551</v>
      </c>
      <c r="AG1703" s="12">
        <v>146</v>
      </c>
      <c r="AH1703" s="14">
        <v>1</v>
      </c>
      <c r="AI1703" s="209"/>
      <c r="AJ1703" s="3"/>
      <c r="AK1703" s="3"/>
      <c r="AL1703" s="3"/>
      <c r="AM1703" s="3"/>
      <c r="AN1703" s="3"/>
      <c r="AO1703" s="40"/>
      <c r="AP1703" s="209"/>
      <c r="AQ1703" s="3"/>
      <c r="AR1703" s="40"/>
      <c r="AS1703" s="238"/>
    </row>
    <row r="1704" spans="1:45" s="229" customFormat="1">
      <c r="A1704" s="83" t="s">
        <v>326</v>
      </c>
      <c r="B1704" s="386">
        <v>46.27</v>
      </c>
      <c r="C1704" s="24" t="s">
        <v>136</v>
      </c>
      <c r="D1704" s="229" t="s">
        <v>694</v>
      </c>
      <c r="E1704" s="229" t="s">
        <v>2</v>
      </c>
      <c r="F1704" s="229">
        <v>1416</v>
      </c>
      <c r="G1704" s="40">
        <f>F1704/1114</f>
        <v>1.2710951526032317</v>
      </c>
      <c r="H1704" s="14">
        <v>0</v>
      </c>
      <c r="I1704" s="229">
        <v>0</v>
      </c>
      <c r="J1704" s="229">
        <v>0</v>
      </c>
      <c r="K1704" s="26">
        <v>1</v>
      </c>
      <c r="L1704" s="14">
        <v>0</v>
      </c>
      <c r="M1704" s="229">
        <v>0</v>
      </c>
      <c r="N1704" s="229">
        <v>1</v>
      </c>
      <c r="O1704" s="229">
        <v>0</v>
      </c>
      <c r="P1704" s="26">
        <v>1</v>
      </c>
      <c r="Q1704" s="14">
        <v>2</v>
      </c>
      <c r="R1704" s="229">
        <v>11</v>
      </c>
      <c r="S1704" s="229">
        <v>76</v>
      </c>
      <c r="T1704" s="229">
        <v>0</v>
      </c>
      <c r="U1704" s="229">
        <v>0</v>
      </c>
      <c r="V1704" s="229">
        <v>0</v>
      </c>
      <c r="W1704" s="229">
        <v>14</v>
      </c>
      <c r="X1704" s="229">
        <v>0</v>
      </c>
      <c r="Y1704" s="229">
        <v>0</v>
      </c>
      <c r="Z1704" s="229">
        <v>0</v>
      </c>
      <c r="AA1704" s="229">
        <v>0</v>
      </c>
      <c r="AB1704" s="229">
        <v>0</v>
      </c>
      <c r="AC1704" s="12">
        <v>2</v>
      </c>
      <c r="AD1704" s="14">
        <v>15</v>
      </c>
      <c r="AE1704" s="14">
        <v>112</v>
      </c>
      <c r="AF1704" s="26">
        <v>672</v>
      </c>
      <c r="AG1704" s="12">
        <v>146</v>
      </c>
      <c r="AH1704" s="14">
        <v>1</v>
      </c>
      <c r="AI1704" s="209"/>
      <c r="AJ1704" s="3"/>
      <c r="AK1704" s="3"/>
      <c r="AL1704" s="3"/>
      <c r="AM1704" s="3"/>
      <c r="AN1704" s="3"/>
      <c r="AO1704" s="40"/>
      <c r="AP1704" s="209"/>
      <c r="AQ1704" s="3"/>
      <c r="AR1704" s="40"/>
      <c r="AS1704" s="238"/>
    </row>
    <row r="1705" spans="1:45" s="229" customFormat="1">
      <c r="A1705" s="83" t="s">
        <v>326</v>
      </c>
      <c r="B1705" s="386">
        <v>46.27</v>
      </c>
      <c r="C1705" s="24" t="s">
        <v>136</v>
      </c>
      <c r="D1705" s="229" t="s">
        <v>683</v>
      </c>
      <c r="F1705" s="229">
        <v>770</v>
      </c>
      <c r="G1705" s="40">
        <f>F1705/576</f>
        <v>1.3368055555555556</v>
      </c>
      <c r="H1705" s="14">
        <v>0</v>
      </c>
      <c r="I1705" s="229">
        <v>0</v>
      </c>
      <c r="J1705" s="229">
        <v>1</v>
      </c>
      <c r="K1705" s="26">
        <v>1</v>
      </c>
      <c r="L1705" s="14">
        <v>0</v>
      </c>
      <c r="M1705" s="229">
        <v>0</v>
      </c>
      <c r="N1705" s="229">
        <v>1</v>
      </c>
      <c r="O1705" s="229">
        <v>0</v>
      </c>
      <c r="P1705" s="26">
        <v>1</v>
      </c>
      <c r="Q1705" s="14">
        <v>1</v>
      </c>
      <c r="R1705" s="229">
        <v>0</v>
      </c>
      <c r="S1705" s="229">
        <v>0</v>
      </c>
      <c r="T1705" s="229">
        <v>0</v>
      </c>
      <c r="U1705" s="229">
        <v>0</v>
      </c>
      <c r="V1705" s="229">
        <v>11</v>
      </c>
      <c r="W1705" s="229">
        <v>17</v>
      </c>
      <c r="X1705" s="229">
        <v>0</v>
      </c>
      <c r="Y1705" s="229">
        <v>0</v>
      </c>
      <c r="Z1705" s="229">
        <v>0</v>
      </c>
      <c r="AA1705" s="229">
        <v>0</v>
      </c>
      <c r="AB1705" s="229">
        <v>1</v>
      </c>
      <c r="AC1705" s="12">
        <v>2</v>
      </c>
      <c r="AD1705" s="14">
        <v>4</v>
      </c>
      <c r="AE1705" s="14">
        <v>126</v>
      </c>
      <c r="AF1705" s="26">
        <v>770</v>
      </c>
      <c r="AG1705" s="12">
        <v>119</v>
      </c>
      <c r="AH1705" s="14">
        <v>1</v>
      </c>
      <c r="AI1705" s="209">
        <v>86</v>
      </c>
      <c r="AJ1705" s="3"/>
      <c r="AK1705" s="3"/>
      <c r="AL1705" s="3"/>
      <c r="AM1705" s="3"/>
      <c r="AN1705" s="3"/>
      <c r="AO1705" s="40"/>
      <c r="AP1705" s="209">
        <v>85</v>
      </c>
      <c r="AQ1705" s="3"/>
      <c r="AR1705" s="40"/>
      <c r="AS1705" s="238"/>
    </row>
    <row r="1706" spans="1:45" s="229" customFormat="1">
      <c r="A1706" s="83" t="s">
        <v>326</v>
      </c>
      <c r="B1706" s="386">
        <v>46.27</v>
      </c>
      <c r="C1706" s="24" t="s">
        <v>136</v>
      </c>
      <c r="D1706" s="229" t="s">
        <v>685</v>
      </c>
      <c r="E1706" s="229" t="s">
        <v>0</v>
      </c>
      <c r="F1706" s="229">
        <v>544</v>
      </c>
      <c r="G1706" s="40">
        <f>F1706/161</f>
        <v>3.3788819875776399</v>
      </c>
      <c r="H1706" s="14">
        <v>0</v>
      </c>
      <c r="I1706" s="229">
        <v>0</v>
      </c>
      <c r="J1706" s="229">
        <v>0</v>
      </c>
      <c r="K1706" s="26">
        <v>1</v>
      </c>
      <c r="L1706" s="14">
        <v>0</v>
      </c>
      <c r="M1706" s="229">
        <v>0</v>
      </c>
      <c r="N1706" s="229">
        <v>0</v>
      </c>
      <c r="O1706" s="229">
        <v>0</v>
      </c>
      <c r="P1706" s="26">
        <v>0</v>
      </c>
      <c r="Q1706" s="14">
        <v>2</v>
      </c>
      <c r="R1706" s="229">
        <v>0</v>
      </c>
      <c r="S1706" s="229">
        <v>34</v>
      </c>
      <c r="T1706" s="229">
        <v>0</v>
      </c>
      <c r="U1706" s="229">
        <v>0</v>
      </c>
      <c r="V1706" s="229">
        <v>0</v>
      </c>
      <c r="W1706" s="229">
        <v>14</v>
      </c>
      <c r="X1706" s="229">
        <v>0</v>
      </c>
      <c r="Y1706" s="229">
        <v>0</v>
      </c>
      <c r="Z1706" s="229">
        <v>0</v>
      </c>
      <c r="AA1706" s="229">
        <v>0</v>
      </c>
      <c r="AB1706" s="229">
        <v>0</v>
      </c>
      <c r="AC1706" s="12">
        <v>2</v>
      </c>
      <c r="AD1706" s="14">
        <v>3</v>
      </c>
      <c r="AE1706" s="14">
        <v>153</v>
      </c>
      <c r="AF1706" s="26">
        <v>322</v>
      </c>
      <c r="AG1706" s="12">
        <v>135</v>
      </c>
      <c r="AH1706" s="14">
        <v>0</v>
      </c>
      <c r="AI1706" s="209"/>
      <c r="AJ1706" s="3"/>
      <c r="AK1706" s="3"/>
      <c r="AL1706" s="3"/>
      <c r="AM1706" s="3"/>
      <c r="AN1706" s="3"/>
      <c r="AO1706" s="40"/>
      <c r="AP1706" s="209"/>
      <c r="AQ1706" s="3"/>
      <c r="AR1706" s="40"/>
      <c r="AS1706" s="238"/>
    </row>
    <row r="1707" spans="1:45" s="229" customFormat="1">
      <c r="A1707" s="83" t="s">
        <v>326</v>
      </c>
      <c r="B1707" s="386">
        <v>46.27</v>
      </c>
      <c r="C1707" s="24" t="s">
        <v>136</v>
      </c>
      <c r="D1707" s="229" t="s">
        <v>685</v>
      </c>
      <c r="E1707" s="229" t="s">
        <v>1</v>
      </c>
      <c r="F1707" s="229">
        <v>299</v>
      </c>
      <c r="G1707" s="40">
        <f>F1707/273</f>
        <v>1.0952380952380953</v>
      </c>
      <c r="H1707" s="14">
        <v>1</v>
      </c>
      <c r="I1707" s="229">
        <v>0</v>
      </c>
      <c r="J1707" s="229">
        <v>0</v>
      </c>
      <c r="K1707" s="26">
        <v>0</v>
      </c>
      <c r="L1707" s="14">
        <v>0</v>
      </c>
      <c r="M1707" s="229">
        <v>0</v>
      </c>
      <c r="N1707" s="229">
        <v>0</v>
      </c>
      <c r="O1707" s="229">
        <v>0</v>
      </c>
      <c r="P1707" s="26">
        <v>0</v>
      </c>
      <c r="Q1707" s="14">
        <v>0</v>
      </c>
      <c r="R1707" s="229">
        <v>0</v>
      </c>
      <c r="S1707" s="229">
        <v>0</v>
      </c>
      <c r="T1707" s="229">
        <v>0</v>
      </c>
      <c r="U1707" s="229">
        <v>0</v>
      </c>
      <c r="V1707" s="229">
        <v>0</v>
      </c>
      <c r="W1707" s="229">
        <v>0</v>
      </c>
      <c r="X1707" s="229">
        <v>0</v>
      </c>
      <c r="Y1707" s="229">
        <v>0</v>
      </c>
      <c r="Z1707" s="229">
        <v>0</v>
      </c>
      <c r="AA1707" s="229">
        <v>0</v>
      </c>
      <c r="AB1707" s="229">
        <v>0</v>
      </c>
      <c r="AC1707" s="12">
        <v>1</v>
      </c>
      <c r="AD1707" s="14">
        <v>1</v>
      </c>
      <c r="AE1707" s="14">
        <v>0</v>
      </c>
      <c r="AF1707" s="26">
        <v>0</v>
      </c>
      <c r="AG1707" s="12">
        <v>135</v>
      </c>
      <c r="AH1707" s="14">
        <v>1</v>
      </c>
      <c r="AI1707" s="209"/>
      <c r="AJ1707" s="3"/>
      <c r="AK1707" s="3"/>
      <c r="AL1707" s="3"/>
      <c r="AM1707" s="3"/>
      <c r="AN1707" s="3"/>
      <c r="AO1707" s="40"/>
      <c r="AP1707" s="209"/>
      <c r="AQ1707" s="3"/>
      <c r="AR1707" s="40"/>
      <c r="AS1707" s="238"/>
    </row>
    <row r="1708" spans="1:45" s="229" customFormat="1">
      <c r="A1708" s="83" t="s">
        <v>326</v>
      </c>
      <c r="B1708" s="386">
        <v>46.27</v>
      </c>
      <c r="C1708" s="24" t="s">
        <v>136</v>
      </c>
      <c r="D1708" s="229" t="s">
        <v>685</v>
      </c>
      <c r="E1708" s="229" t="s">
        <v>2</v>
      </c>
      <c r="F1708" s="229">
        <v>1119</v>
      </c>
      <c r="G1708" s="40">
        <f>F1708/401</f>
        <v>2.7905236907730675</v>
      </c>
      <c r="H1708" s="14">
        <v>0</v>
      </c>
      <c r="I1708" s="229">
        <v>0</v>
      </c>
      <c r="J1708" s="229">
        <v>0</v>
      </c>
      <c r="K1708" s="26">
        <v>1</v>
      </c>
      <c r="L1708" s="14">
        <v>0</v>
      </c>
      <c r="M1708" s="229">
        <v>0</v>
      </c>
      <c r="N1708" s="229">
        <v>0</v>
      </c>
      <c r="O1708" s="229">
        <v>0</v>
      </c>
      <c r="P1708" s="26">
        <v>0</v>
      </c>
      <c r="Q1708" s="14">
        <v>1</v>
      </c>
      <c r="R1708" s="229">
        <v>0</v>
      </c>
      <c r="S1708" s="229">
        <v>0</v>
      </c>
      <c r="T1708" s="229">
        <v>0</v>
      </c>
      <c r="U1708" s="229">
        <v>0</v>
      </c>
      <c r="V1708" s="229">
        <v>26</v>
      </c>
      <c r="W1708" s="229">
        <v>50</v>
      </c>
      <c r="X1708" s="229">
        <v>0</v>
      </c>
      <c r="Y1708" s="229">
        <v>0</v>
      </c>
      <c r="Z1708" s="229">
        <v>0</v>
      </c>
      <c r="AA1708" s="229">
        <v>0</v>
      </c>
      <c r="AB1708" s="229">
        <v>0</v>
      </c>
      <c r="AC1708" s="12">
        <v>2</v>
      </c>
      <c r="AD1708" s="14">
        <v>9</v>
      </c>
      <c r="AE1708" s="14">
        <v>80</v>
      </c>
      <c r="AF1708" s="26">
        <v>499</v>
      </c>
      <c r="AG1708" s="12">
        <v>135</v>
      </c>
      <c r="AH1708" s="14">
        <v>1</v>
      </c>
      <c r="AI1708" s="209"/>
      <c r="AJ1708" s="3"/>
      <c r="AK1708" s="3"/>
      <c r="AL1708" s="3"/>
      <c r="AM1708" s="3"/>
      <c r="AN1708" s="3"/>
      <c r="AO1708" s="40"/>
      <c r="AP1708" s="209"/>
      <c r="AQ1708" s="3"/>
      <c r="AR1708" s="40"/>
      <c r="AS1708" s="238"/>
    </row>
    <row r="1709" spans="1:45" s="229" customFormat="1">
      <c r="A1709" s="83" t="s">
        <v>326</v>
      </c>
      <c r="B1709" s="386">
        <v>46.27</v>
      </c>
      <c r="C1709" s="24" t="s">
        <v>136</v>
      </c>
      <c r="D1709" s="229" t="s">
        <v>685</v>
      </c>
      <c r="E1709" s="229" t="s">
        <v>3</v>
      </c>
      <c r="F1709" s="229">
        <v>188</v>
      </c>
      <c r="G1709" s="40">
        <f>F1709/178</f>
        <v>1.0561797752808988</v>
      </c>
      <c r="H1709" s="14">
        <v>1</v>
      </c>
      <c r="I1709" s="229">
        <v>0</v>
      </c>
      <c r="J1709" s="229">
        <v>0</v>
      </c>
      <c r="K1709" s="26">
        <v>0</v>
      </c>
      <c r="L1709" s="14">
        <v>0</v>
      </c>
      <c r="M1709" s="229">
        <v>0</v>
      </c>
      <c r="N1709" s="229">
        <v>0</v>
      </c>
      <c r="O1709" s="229">
        <v>0</v>
      </c>
      <c r="P1709" s="26">
        <v>0</v>
      </c>
      <c r="Q1709" s="14">
        <v>0</v>
      </c>
      <c r="R1709" s="229">
        <v>0</v>
      </c>
      <c r="S1709" s="229">
        <v>0</v>
      </c>
      <c r="T1709" s="229">
        <v>0</v>
      </c>
      <c r="U1709" s="229">
        <v>0</v>
      </c>
      <c r="V1709" s="229">
        <v>0</v>
      </c>
      <c r="W1709" s="229">
        <v>0</v>
      </c>
      <c r="X1709" s="229">
        <v>0</v>
      </c>
      <c r="Y1709" s="229">
        <v>0</v>
      </c>
      <c r="Z1709" s="229">
        <v>0</v>
      </c>
      <c r="AA1709" s="229">
        <v>0</v>
      </c>
      <c r="AB1709" s="229">
        <v>0</v>
      </c>
      <c r="AC1709" s="12">
        <v>1</v>
      </c>
      <c r="AD1709" s="14">
        <v>1</v>
      </c>
      <c r="AE1709" s="14">
        <v>0</v>
      </c>
      <c r="AF1709" s="26">
        <v>0</v>
      </c>
      <c r="AG1709" s="12">
        <v>135</v>
      </c>
      <c r="AH1709" s="14">
        <v>0</v>
      </c>
      <c r="AI1709" s="209"/>
      <c r="AJ1709" s="3"/>
      <c r="AK1709" s="3"/>
      <c r="AL1709" s="3"/>
      <c r="AM1709" s="3"/>
      <c r="AN1709" s="3"/>
      <c r="AO1709" s="40"/>
      <c r="AP1709" s="209"/>
      <c r="AQ1709" s="3"/>
      <c r="AR1709" s="40"/>
      <c r="AS1709" s="238"/>
    </row>
    <row r="1710" spans="1:45" s="229" customFormat="1">
      <c r="A1710" s="83" t="s">
        <v>326</v>
      </c>
      <c r="B1710" s="386">
        <v>46.27</v>
      </c>
      <c r="C1710" s="24" t="s">
        <v>136</v>
      </c>
      <c r="D1710" s="229" t="s">
        <v>685</v>
      </c>
      <c r="E1710" s="229" t="s">
        <v>4</v>
      </c>
      <c r="F1710" s="229">
        <v>329</v>
      </c>
      <c r="G1710" s="40">
        <f>F1710/253</f>
        <v>1.3003952569169961</v>
      </c>
      <c r="H1710" s="14">
        <v>0</v>
      </c>
      <c r="I1710" s="229">
        <v>0</v>
      </c>
      <c r="J1710" s="229">
        <v>0</v>
      </c>
      <c r="K1710" s="26">
        <v>1</v>
      </c>
      <c r="L1710" s="14">
        <v>0</v>
      </c>
      <c r="M1710" s="229">
        <v>0</v>
      </c>
      <c r="N1710" s="229">
        <v>1</v>
      </c>
      <c r="O1710" s="229">
        <v>0</v>
      </c>
      <c r="P1710" s="26">
        <v>1</v>
      </c>
      <c r="Q1710" s="14">
        <v>1</v>
      </c>
      <c r="R1710" s="229">
        <v>0</v>
      </c>
      <c r="S1710" s="229">
        <v>10</v>
      </c>
      <c r="T1710" s="229">
        <v>0</v>
      </c>
      <c r="U1710" s="229">
        <v>0</v>
      </c>
      <c r="V1710" s="229">
        <v>0</v>
      </c>
      <c r="W1710" s="229">
        <v>13</v>
      </c>
      <c r="X1710" s="229">
        <v>0</v>
      </c>
      <c r="Y1710" s="229">
        <v>0</v>
      </c>
      <c r="Z1710" s="229">
        <v>0</v>
      </c>
      <c r="AA1710" s="229">
        <v>0</v>
      </c>
      <c r="AB1710" s="229">
        <v>0</v>
      </c>
      <c r="AC1710" s="12">
        <v>2</v>
      </c>
      <c r="AD1710" s="14">
        <v>2</v>
      </c>
      <c r="AE1710" s="14">
        <v>216</v>
      </c>
      <c r="AF1710" s="26">
        <v>254</v>
      </c>
      <c r="AG1710" s="12">
        <v>135</v>
      </c>
      <c r="AH1710" s="14">
        <v>1</v>
      </c>
      <c r="AI1710" s="209"/>
      <c r="AJ1710" s="3"/>
      <c r="AK1710" s="3"/>
      <c r="AL1710" s="3"/>
      <c r="AM1710" s="3"/>
      <c r="AN1710" s="3"/>
      <c r="AO1710" s="40"/>
      <c r="AP1710" s="209"/>
      <c r="AQ1710" s="3"/>
      <c r="AR1710" s="40"/>
      <c r="AS1710" s="238"/>
    </row>
    <row r="1711" spans="1:45" s="229" customFormat="1">
      <c r="A1711" s="83" t="s">
        <v>326</v>
      </c>
      <c r="B1711" s="386">
        <v>46.27</v>
      </c>
      <c r="C1711" s="24" t="s">
        <v>136</v>
      </c>
      <c r="D1711" s="229" t="s">
        <v>690</v>
      </c>
      <c r="E1711" s="229" t="s">
        <v>0</v>
      </c>
      <c r="F1711" s="229">
        <v>725</v>
      </c>
      <c r="G1711" s="40">
        <f>F1711/525</f>
        <v>1.3809523809523809</v>
      </c>
      <c r="H1711" s="14">
        <v>0</v>
      </c>
      <c r="I1711" s="229">
        <v>0</v>
      </c>
      <c r="J1711" s="229">
        <v>0</v>
      </c>
      <c r="K1711" s="26">
        <v>1</v>
      </c>
      <c r="L1711" s="14">
        <v>0</v>
      </c>
      <c r="M1711" s="229">
        <v>0</v>
      </c>
      <c r="N1711" s="229">
        <v>1</v>
      </c>
      <c r="O1711" s="229">
        <v>0</v>
      </c>
      <c r="P1711" s="26">
        <v>1</v>
      </c>
      <c r="Q1711" s="14">
        <v>1</v>
      </c>
      <c r="R1711" s="229">
        <v>0</v>
      </c>
      <c r="S1711" s="229">
        <v>0</v>
      </c>
      <c r="T1711" s="229">
        <v>0</v>
      </c>
      <c r="U1711" s="229">
        <v>0</v>
      </c>
      <c r="V1711" s="229">
        <v>0</v>
      </c>
      <c r="W1711" s="229">
        <v>0</v>
      </c>
      <c r="X1711" s="229">
        <v>0</v>
      </c>
      <c r="Y1711" s="229">
        <v>0</v>
      </c>
      <c r="Z1711" s="229">
        <v>0</v>
      </c>
      <c r="AA1711" s="229">
        <v>36</v>
      </c>
      <c r="AB1711" s="229">
        <v>0</v>
      </c>
      <c r="AC1711" s="12">
        <v>2</v>
      </c>
      <c r="AD1711" s="14">
        <v>5</v>
      </c>
      <c r="AE1711" s="14">
        <v>136</v>
      </c>
      <c r="AF1711" s="26">
        <v>498</v>
      </c>
      <c r="AG1711" s="12">
        <v>128</v>
      </c>
      <c r="AH1711" s="14">
        <v>1</v>
      </c>
      <c r="AI1711" s="209"/>
      <c r="AJ1711" s="3"/>
      <c r="AK1711" s="3"/>
      <c r="AL1711" s="3"/>
      <c r="AM1711" s="3"/>
      <c r="AN1711" s="3"/>
      <c r="AO1711" s="40"/>
      <c r="AP1711" s="209"/>
      <c r="AQ1711" s="3"/>
      <c r="AR1711" s="40"/>
      <c r="AS1711" s="238"/>
    </row>
    <row r="1712" spans="1:45" s="229" customFormat="1">
      <c r="A1712" s="83" t="s">
        <v>326</v>
      </c>
      <c r="B1712" s="386">
        <v>46.27</v>
      </c>
      <c r="C1712" s="24" t="s">
        <v>136</v>
      </c>
      <c r="D1712" s="229" t="s">
        <v>690</v>
      </c>
      <c r="E1712" s="229" t="s">
        <v>1</v>
      </c>
      <c r="F1712" s="229">
        <v>1135</v>
      </c>
      <c r="G1712" s="40">
        <f>F1712/795</f>
        <v>1.4276729559748427</v>
      </c>
      <c r="H1712" s="14">
        <v>0</v>
      </c>
      <c r="I1712" s="229">
        <v>0</v>
      </c>
      <c r="J1712" s="229">
        <v>0</v>
      </c>
      <c r="K1712" s="26">
        <v>1</v>
      </c>
      <c r="L1712" s="14">
        <v>0</v>
      </c>
      <c r="M1712" s="229">
        <v>0</v>
      </c>
      <c r="N1712" s="229">
        <v>0</v>
      </c>
      <c r="O1712" s="229">
        <v>0</v>
      </c>
      <c r="P1712" s="26">
        <v>0</v>
      </c>
      <c r="Q1712" s="14">
        <v>0</v>
      </c>
      <c r="R1712" s="229">
        <v>0</v>
      </c>
      <c r="S1712" s="229">
        <v>0</v>
      </c>
      <c r="T1712" s="229">
        <v>0</v>
      </c>
      <c r="U1712" s="229">
        <v>0</v>
      </c>
      <c r="V1712" s="229">
        <v>0</v>
      </c>
      <c r="W1712" s="229">
        <v>0</v>
      </c>
      <c r="X1712" s="229">
        <v>0</v>
      </c>
      <c r="Y1712" s="229">
        <v>0</v>
      </c>
      <c r="Z1712" s="229">
        <v>0</v>
      </c>
      <c r="AA1712" s="229">
        <v>0</v>
      </c>
      <c r="AB1712" s="229">
        <v>0</v>
      </c>
      <c r="AC1712" s="12">
        <v>2</v>
      </c>
      <c r="AD1712" s="14">
        <v>4</v>
      </c>
      <c r="AE1712" s="14">
        <v>65</v>
      </c>
      <c r="AF1712" s="26">
        <v>961</v>
      </c>
      <c r="AG1712" s="12">
        <v>128</v>
      </c>
      <c r="AH1712" s="14">
        <v>1</v>
      </c>
      <c r="AI1712" s="209"/>
      <c r="AJ1712" s="3"/>
      <c r="AK1712" s="3"/>
      <c r="AL1712" s="3"/>
      <c r="AM1712" s="3"/>
      <c r="AN1712" s="3"/>
      <c r="AO1712" s="40"/>
      <c r="AP1712" s="209"/>
      <c r="AQ1712" s="3"/>
      <c r="AR1712" s="40"/>
      <c r="AS1712" s="238"/>
    </row>
    <row r="1713" spans="1:45" s="229" customFormat="1" ht="17" thickBot="1">
      <c r="A1713" s="83" t="s">
        <v>326</v>
      </c>
      <c r="B1713" s="385">
        <v>46.27</v>
      </c>
      <c r="C1713" s="103" t="s">
        <v>136</v>
      </c>
      <c r="D1713" s="36" t="s">
        <v>690</v>
      </c>
      <c r="E1713" s="36" t="s">
        <v>2</v>
      </c>
      <c r="F1713" s="36">
        <v>347</v>
      </c>
      <c r="G1713" s="48">
        <f>F1713/236</f>
        <v>1.4703389830508475</v>
      </c>
      <c r="H1713" s="34">
        <v>0</v>
      </c>
      <c r="I1713" s="36">
        <v>0</v>
      </c>
      <c r="J1713" s="36">
        <v>0</v>
      </c>
      <c r="K1713" s="35">
        <v>1</v>
      </c>
      <c r="L1713" s="34">
        <v>0</v>
      </c>
      <c r="M1713" s="36">
        <v>0</v>
      </c>
      <c r="N1713" s="36">
        <v>0</v>
      </c>
      <c r="O1713" s="36">
        <v>0</v>
      </c>
      <c r="P1713" s="35">
        <v>0</v>
      </c>
      <c r="Q1713" s="34">
        <v>0</v>
      </c>
      <c r="R1713" s="36">
        <v>0</v>
      </c>
      <c r="S1713" s="36">
        <v>0</v>
      </c>
      <c r="T1713" s="36">
        <v>0</v>
      </c>
      <c r="U1713" s="36">
        <v>0</v>
      </c>
      <c r="V1713" s="36">
        <v>0</v>
      </c>
      <c r="W1713" s="36">
        <v>0</v>
      </c>
      <c r="X1713" s="36">
        <v>0</v>
      </c>
      <c r="Y1713" s="36">
        <v>0</v>
      </c>
      <c r="Z1713" s="36">
        <v>0</v>
      </c>
      <c r="AA1713" s="36">
        <v>0</v>
      </c>
      <c r="AB1713" s="36">
        <v>0</v>
      </c>
      <c r="AC1713" s="33">
        <v>2</v>
      </c>
      <c r="AD1713" s="34">
        <v>4</v>
      </c>
      <c r="AE1713" s="34">
        <v>145</v>
      </c>
      <c r="AF1713" s="35">
        <v>233</v>
      </c>
      <c r="AG1713" s="33">
        <v>128</v>
      </c>
      <c r="AH1713" s="34">
        <v>1</v>
      </c>
      <c r="AI1713" s="210"/>
      <c r="AJ1713" s="51"/>
      <c r="AK1713" s="51"/>
      <c r="AL1713" s="51"/>
      <c r="AM1713" s="51"/>
      <c r="AN1713" s="51"/>
      <c r="AO1713" s="48"/>
      <c r="AP1713" s="210"/>
      <c r="AQ1713" s="51"/>
      <c r="AR1713" s="48"/>
      <c r="AS1713" s="239"/>
    </row>
    <row r="1714" spans="1:45" s="229" customFormat="1">
      <c r="A1714" s="147" t="s">
        <v>326</v>
      </c>
      <c r="B1714" s="384">
        <v>46.27</v>
      </c>
      <c r="C1714" s="24" t="s">
        <v>138</v>
      </c>
      <c r="D1714" s="229" t="s">
        <v>423</v>
      </c>
      <c r="F1714" s="229">
        <v>324</v>
      </c>
      <c r="G1714" s="40">
        <f>F1714/281</f>
        <v>1.1530249110320285</v>
      </c>
      <c r="H1714" s="14">
        <v>0</v>
      </c>
      <c r="I1714" s="229">
        <v>0</v>
      </c>
      <c r="J1714" s="229">
        <v>0</v>
      </c>
      <c r="K1714" s="26">
        <v>1</v>
      </c>
      <c r="L1714" s="14">
        <v>0</v>
      </c>
      <c r="M1714" s="229">
        <v>0</v>
      </c>
      <c r="N1714" s="229">
        <v>0</v>
      </c>
      <c r="O1714" s="229">
        <v>0</v>
      </c>
      <c r="P1714" s="26">
        <v>0</v>
      </c>
      <c r="Q1714" s="14">
        <v>0</v>
      </c>
      <c r="R1714" s="229">
        <v>0</v>
      </c>
      <c r="S1714" s="229">
        <v>0</v>
      </c>
      <c r="T1714" s="229">
        <v>0</v>
      </c>
      <c r="U1714" s="229">
        <v>0</v>
      </c>
      <c r="V1714" s="229">
        <v>0</v>
      </c>
      <c r="W1714" s="229">
        <v>0</v>
      </c>
      <c r="X1714" s="229">
        <v>0</v>
      </c>
      <c r="Y1714" s="229">
        <v>0</v>
      </c>
      <c r="Z1714" s="229">
        <v>0</v>
      </c>
      <c r="AA1714" s="229">
        <v>0</v>
      </c>
      <c r="AB1714" s="229">
        <v>0</v>
      </c>
      <c r="AC1714" s="12">
        <v>1</v>
      </c>
      <c r="AD1714" s="14">
        <v>1</v>
      </c>
      <c r="AE1714" s="14">
        <v>0</v>
      </c>
      <c r="AF1714" s="26">
        <v>0</v>
      </c>
      <c r="AG1714" s="12">
        <v>96</v>
      </c>
      <c r="AH1714" s="14">
        <v>0</v>
      </c>
      <c r="AI1714" s="209"/>
      <c r="AJ1714" s="3"/>
      <c r="AK1714" s="3"/>
      <c r="AL1714" s="3"/>
      <c r="AM1714" s="3"/>
      <c r="AN1714" s="3"/>
      <c r="AO1714" s="40"/>
      <c r="AP1714" s="209"/>
      <c r="AQ1714" s="3"/>
      <c r="AR1714" s="40"/>
      <c r="AS1714" s="238"/>
    </row>
    <row r="1715" spans="1:45" s="229" customFormat="1">
      <c r="A1715" s="83" t="s">
        <v>326</v>
      </c>
      <c r="B1715" s="386">
        <v>46.27</v>
      </c>
      <c r="C1715" s="24" t="s">
        <v>138</v>
      </c>
      <c r="D1715" s="229" t="s">
        <v>622</v>
      </c>
      <c r="F1715" s="229">
        <v>490</v>
      </c>
      <c r="G1715" s="40">
        <f>F1715/373</f>
        <v>1.3136729222520107</v>
      </c>
      <c r="H1715" s="14">
        <v>0</v>
      </c>
      <c r="I1715" s="229">
        <v>0</v>
      </c>
      <c r="J1715" s="229">
        <v>1</v>
      </c>
      <c r="K1715" s="26">
        <v>0</v>
      </c>
      <c r="L1715" s="14">
        <v>0</v>
      </c>
      <c r="M1715" s="229">
        <v>0</v>
      </c>
      <c r="N1715" s="229">
        <v>0</v>
      </c>
      <c r="O1715" s="229">
        <v>0</v>
      </c>
      <c r="P1715" s="26">
        <v>0</v>
      </c>
      <c r="Q1715" s="14">
        <v>0</v>
      </c>
      <c r="R1715" s="229">
        <v>0</v>
      </c>
      <c r="S1715" s="229">
        <v>0</v>
      </c>
      <c r="T1715" s="229">
        <v>0</v>
      </c>
      <c r="U1715" s="229">
        <v>0</v>
      </c>
      <c r="V1715" s="229">
        <v>0</v>
      </c>
      <c r="W1715" s="229">
        <v>0</v>
      </c>
      <c r="X1715" s="229">
        <v>0</v>
      </c>
      <c r="Y1715" s="229">
        <v>0</v>
      </c>
      <c r="Z1715" s="229">
        <v>0</v>
      </c>
      <c r="AA1715" s="229">
        <v>0</v>
      </c>
      <c r="AB1715" s="229">
        <v>0</v>
      </c>
      <c r="AC1715" s="12">
        <v>1</v>
      </c>
      <c r="AD1715" s="14">
        <v>1</v>
      </c>
      <c r="AE1715" s="14">
        <v>0</v>
      </c>
      <c r="AF1715" s="26">
        <v>0</v>
      </c>
      <c r="AG1715" s="12">
        <v>109</v>
      </c>
      <c r="AH1715" s="14">
        <v>0</v>
      </c>
      <c r="AI1715" s="209"/>
      <c r="AJ1715" s="3"/>
      <c r="AK1715" s="3"/>
      <c r="AL1715" s="3"/>
      <c r="AM1715" s="3"/>
      <c r="AN1715" s="3"/>
      <c r="AO1715" s="40"/>
      <c r="AP1715" s="209"/>
      <c r="AQ1715" s="3"/>
      <c r="AR1715" s="40"/>
      <c r="AS1715" s="238"/>
    </row>
    <row r="1716" spans="1:45" s="229" customFormat="1">
      <c r="A1716" s="83" t="s">
        <v>326</v>
      </c>
      <c r="B1716" s="386">
        <v>46.27</v>
      </c>
      <c r="C1716" s="24" t="s">
        <v>138</v>
      </c>
      <c r="D1716" s="229" t="s">
        <v>620</v>
      </c>
      <c r="F1716" s="229">
        <v>420</v>
      </c>
      <c r="G1716" s="40">
        <f>F1716/255</f>
        <v>1.6470588235294117</v>
      </c>
      <c r="H1716" s="14">
        <v>0</v>
      </c>
      <c r="I1716" s="229">
        <v>0</v>
      </c>
      <c r="J1716" s="229">
        <v>0</v>
      </c>
      <c r="K1716" s="26">
        <v>1</v>
      </c>
      <c r="L1716" s="14">
        <v>0</v>
      </c>
      <c r="M1716" s="229">
        <v>0</v>
      </c>
      <c r="N1716" s="229">
        <v>0</v>
      </c>
      <c r="O1716" s="229">
        <v>0</v>
      </c>
      <c r="P1716" s="26">
        <v>0</v>
      </c>
      <c r="Q1716" s="14">
        <v>0</v>
      </c>
      <c r="R1716" s="229">
        <v>0</v>
      </c>
      <c r="S1716" s="229">
        <v>0</v>
      </c>
      <c r="T1716" s="229">
        <v>0</v>
      </c>
      <c r="U1716" s="229">
        <v>0</v>
      </c>
      <c r="V1716" s="229">
        <v>0</v>
      </c>
      <c r="W1716" s="229">
        <v>0</v>
      </c>
      <c r="X1716" s="229">
        <v>0</v>
      </c>
      <c r="Y1716" s="229">
        <v>0</v>
      </c>
      <c r="Z1716" s="229">
        <v>0</v>
      </c>
      <c r="AA1716" s="229">
        <v>0</v>
      </c>
      <c r="AB1716" s="229">
        <v>0</v>
      </c>
      <c r="AC1716" s="12">
        <v>2</v>
      </c>
      <c r="AD1716" s="14">
        <v>3</v>
      </c>
      <c r="AE1716" s="14">
        <v>118</v>
      </c>
      <c r="AF1716" s="26">
        <v>255</v>
      </c>
      <c r="AG1716" s="12">
        <v>53</v>
      </c>
      <c r="AH1716" s="14">
        <v>1</v>
      </c>
      <c r="AI1716" s="209">
        <v>84</v>
      </c>
      <c r="AJ1716" s="3"/>
      <c r="AK1716" s="3"/>
      <c r="AL1716" s="3"/>
      <c r="AM1716" s="3"/>
      <c r="AN1716" s="3"/>
      <c r="AO1716" s="40"/>
      <c r="AP1716" s="209"/>
      <c r="AQ1716" s="3"/>
      <c r="AR1716" s="40"/>
      <c r="AS1716" s="238"/>
    </row>
    <row r="1717" spans="1:45" s="229" customFormat="1">
      <c r="A1717" s="83" t="s">
        <v>326</v>
      </c>
      <c r="B1717" s="386">
        <v>46.27</v>
      </c>
      <c r="C1717" s="24" t="s">
        <v>138</v>
      </c>
      <c r="D1717" s="229" t="s">
        <v>629</v>
      </c>
      <c r="E1717" s="229" t="s">
        <v>0</v>
      </c>
      <c r="F1717" s="229">
        <v>251</v>
      </c>
      <c r="G1717" s="40">
        <f>F1717/162</f>
        <v>1.5493827160493827</v>
      </c>
      <c r="H1717" s="14">
        <v>0</v>
      </c>
      <c r="I1717" s="229">
        <v>0</v>
      </c>
      <c r="J1717" s="229">
        <v>0</v>
      </c>
      <c r="K1717" s="26">
        <v>1</v>
      </c>
      <c r="L1717" s="14">
        <v>0</v>
      </c>
      <c r="M1717" s="229">
        <v>0</v>
      </c>
      <c r="N1717" s="229">
        <v>0</v>
      </c>
      <c r="O1717" s="229">
        <v>0</v>
      </c>
      <c r="P1717" s="26">
        <v>0</v>
      </c>
      <c r="Q1717" s="14">
        <v>0</v>
      </c>
      <c r="R1717" s="229">
        <v>0</v>
      </c>
      <c r="S1717" s="229">
        <v>0</v>
      </c>
      <c r="T1717" s="229">
        <v>0</v>
      </c>
      <c r="U1717" s="229">
        <v>0</v>
      </c>
      <c r="V1717" s="229">
        <v>0</v>
      </c>
      <c r="W1717" s="229">
        <v>0</v>
      </c>
      <c r="X1717" s="229">
        <v>0</v>
      </c>
      <c r="Y1717" s="229">
        <v>0</v>
      </c>
      <c r="Z1717" s="229">
        <v>0</v>
      </c>
      <c r="AA1717" s="229">
        <v>0</v>
      </c>
      <c r="AB1717" s="229">
        <v>0</v>
      </c>
      <c r="AC1717" s="12">
        <v>1</v>
      </c>
      <c r="AD1717" s="14">
        <v>1</v>
      </c>
      <c r="AE1717" s="14">
        <v>0</v>
      </c>
      <c r="AF1717" s="26">
        <v>0</v>
      </c>
      <c r="AG1717" s="12">
        <v>124</v>
      </c>
      <c r="AH1717" s="14">
        <v>0</v>
      </c>
      <c r="AI1717" s="209"/>
      <c r="AJ1717" s="3"/>
      <c r="AK1717" s="3"/>
      <c r="AL1717" s="3"/>
      <c r="AM1717" s="3"/>
      <c r="AN1717" s="3"/>
      <c r="AO1717" s="40"/>
      <c r="AP1717" s="209"/>
      <c r="AQ1717" s="3"/>
      <c r="AR1717" s="40"/>
      <c r="AS1717" s="238"/>
    </row>
    <row r="1718" spans="1:45" s="229" customFormat="1">
      <c r="A1718" s="83" t="s">
        <v>326</v>
      </c>
      <c r="B1718" s="386">
        <v>46.27</v>
      </c>
      <c r="C1718" s="24" t="s">
        <v>138</v>
      </c>
      <c r="D1718" s="229" t="s">
        <v>629</v>
      </c>
      <c r="E1718" s="229" t="s">
        <v>1</v>
      </c>
      <c r="F1718" s="229">
        <v>112</v>
      </c>
      <c r="G1718" s="40">
        <f>F1718/54</f>
        <v>2.074074074074074</v>
      </c>
      <c r="H1718" s="14">
        <v>0</v>
      </c>
      <c r="I1718" s="229">
        <v>0</v>
      </c>
      <c r="J1718" s="229">
        <v>1</v>
      </c>
      <c r="K1718" s="26">
        <v>0</v>
      </c>
      <c r="L1718" s="14">
        <v>0</v>
      </c>
      <c r="M1718" s="229">
        <v>0</v>
      </c>
      <c r="N1718" s="229">
        <v>0</v>
      </c>
      <c r="O1718" s="229">
        <v>0</v>
      </c>
      <c r="P1718" s="26">
        <v>0</v>
      </c>
      <c r="Q1718" s="14">
        <v>0</v>
      </c>
      <c r="R1718" s="229">
        <v>0</v>
      </c>
      <c r="S1718" s="229">
        <v>0</v>
      </c>
      <c r="T1718" s="229">
        <v>0</v>
      </c>
      <c r="U1718" s="229">
        <v>0</v>
      </c>
      <c r="V1718" s="229">
        <v>0</v>
      </c>
      <c r="W1718" s="229">
        <v>0</v>
      </c>
      <c r="X1718" s="229">
        <v>0</v>
      </c>
      <c r="Y1718" s="229">
        <v>0</v>
      </c>
      <c r="Z1718" s="229">
        <v>0</v>
      </c>
      <c r="AA1718" s="229">
        <v>0</v>
      </c>
      <c r="AB1718" s="229">
        <v>0</v>
      </c>
      <c r="AC1718" s="12">
        <v>1</v>
      </c>
      <c r="AD1718" s="14">
        <v>1</v>
      </c>
      <c r="AE1718" s="14">
        <v>0</v>
      </c>
      <c r="AF1718" s="26">
        <v>0</v>
      </c>
      <c r="AG1718" s="12">
        <v>124</v>
      </c>
      <c r="AH1718" s="14">
        <v>0</v>
      </c>
      <c r="AI1718" s="209"/>
      <c r="AJ1718" s="3"/>
      <c r="AK1718" s="3"/>
      <c r="AL1718" s="3"/>
      <c r="AM1718" s="3"/>
      <c r="AN1718" s="3"/>
      <c r="AO1718" s="40"/>
      <c r="AP1718" s="209"/>
      <c r="AQ1718" s="3"/>
      <c r="AR1718" s="40"/>
      <c r="AS1718" s="238"/>
    </row>
    <row r="1719" spans="1:45" s="229" customFormat="1">
      <c r="A1719" s="83" t="s">
        <v>326</v>
      </c>
      <c r="B1719" s="386">
        <v>46.27</v>
      </c>
      <c r="C1719" s="24" t="s">
        <v>138</v>
      </c>
      <c r="D1719" s="229" t="s">
        <v>629</v>
      </c>
      <c r="E1719" s="229" t="s">
        <v>2</v>
      </c>
      <c r="F1719" s="229">
        <v>180</v>
      </c>
      <c r="G1719" s="40">
        <f>F1719/132</f>
        <v>1.3636363636363635</v>
      </c>
      <c r="H1719" s="14">
        <v>0</v>
      </c>
      <c r="I1719" s="229">
        <v>0</v>
      </c>
      <c r="J1719" s="229">
        <v>0</v>
      </c>
      <c r="K1719" s="26">
        <v>1</v>
      </c>
      <c r="L1719" s="14">
        <v>0</v>
      </c>
      <c r="M1719" s="229">
        <v>0</v>
      </c>
      <c r="N1719" s="229">
        <v>0</v>
      </c>
      <c r="O1719" s="229">
        <v>0</v>
      </c>
      <c r="P1719" s="26">
        <v>0</v>
      </c>
      <c r="Q1719" s="14">
        <v>0</v>
      </c>
      <c r="R1719" s="229">
        <v>0</v>
      </c>
      <c r="S1719" s="229">
        <v>0</v>
      </c>
      <c r="T1719" s="229">
        <v>0</v>
      </c>
      <c r="U1719" s="229">
        <v>0</v>
      </c>
      <c r="V1719" s="229">
        <v>0</v>
      </c>
      <c r="W1719" s="229">
        <v>0</v>
      </c>
      <c r="X1719" s="229">
        <v>0</v>
      </c>
      <c r="Y1719" s="229">
        <v>0</v>
      </c>
      <c r="Z1719" s="229">
        <v>0</v>
      </c>
      <c r="AA1719" s="229">
        <v>0</v>
      </c>
      <c r="AB1719" s="229">
        <v>0</v>
      </c>
      <c r="AC1719" s="12">
        <v>1</v>
      </c>
      <c r="AD1719" s="14">
        <v>1</v>
      </c>
      <c r="AE1719" s="14">
        <v>0</v>
      </c>
      <c r="AF1719" s="26">
        <v>0</v>
      </c>
      <c r="AG1719" s="12">
        <v>124</v>
      </c>
      <c r="AH1719" s="14">
        <v>0</v>
      </c>
      <c r="AI1719" s="209"/>
      <c r="AJ1719" s="3"/>
      <c r="AK1719" s="3"/>
      <c r="AL1719" s="3"/>
      <c r="AM1719" s="3"/>
      <c r="AN1719" s="3"/>
      <c r="AO1719" s="40"/>
      <c r="AP1719" s="209"/>
      <c r="AQ1719" s="3"/>
      <c r="AR1719" s="40"/>
      <c r="AS1719" s="238"/>
    </row>
    <row r="1720" spans="1:45" s="229" customFormat="1">
      <c r="A1720" s="83" t="s">
        <v>326</v>
      </c>
      <c r="B1720" s="386">
        <v>46.27</v>
      </c>
      <c r="C1720" s="24" t="s">
        <v>138</v>
      </c>
      <c r="D1720" s="229" t="s">
        <v>629</v>
      </c>
      <c r="E1720" s="229" t="s">
        <v>3</v>
      </c>
      <c r="F1720" s="229">
        <v>671</v>
      </c>
      <c r="G1720" s="40">
        <f>F1720/421</f>
        <v>1.5938242280285035</v>
      </c>
      <c r="H1720" s="14">
        <v>0</v>
      </c>
      <c r="I1720" s="229">
        <v>0</v>
      </c>
      <c r="J1720" s="229">
        <v>0</v>
      </c>
      <c r="K1720" s="26">
        <v>1</v>
      </c>
      <c r="L1720" s="14">
        <v>0</v>
      </c>
      <c r="M1720" s="229">
        <v>0</v>
      </c>
      <c r="N1720" s="229">
        <v>0</v>
      </c>
      <c r="O1720" s="229">
        <v>0</v>
      </c>
      <c r="P1720" s="26">
        <v>0</v>
      </c>
      <c r="Q1720" s="14">
        <v>8</v>
      </c>
      <c r="R1720" s="229">
        <v>4</v>
      </c>
      <c r="S1720" s="229">
        <v>33</v>
      </c>
      <c r="T1720" s="229">
        <v>0</v>
      </c>
      <c r="U1720" s="229">
        <v>0</v>
      </c>
      <c r="V1720" s="229">
        <v>17</v>
      </c>
      <c r="W1720" s="229">
        <v>79</v>
      </c>
      <c r="X1720" s="229">
        <v>0</v>
      </c>
      <c r="Y1720" s="229">
        <v>0</v>
      </c>
      <c r="Z1720" s="229">
        <v>0</v>
      </c>
      <c r="AA1720" s="229">
        <v>0</v>
      </c>
      <c r="AB1720" s="229">
        <v>0</v>
      </c>
      <c r="AC1720" s="12">
        <v>1</v>
      </c>
      <c r="AD1720" s="14">
        <v>1</v>
      </c>
      <c r="AE1720" s="14">
        <v>0</v>
      </c>
      <c r="AF1720" s="26">
        <v>0</v>
      </c>
      <c r="AG1720" s="12">
        <v>124</v>
      </c>
      <c r="AH1720" s="14">
        <v>0</v>
      </c>
      <c r="AI1720" s="209">
        <v>84</v>
      </c>
      <c r="AJ1720" s="3"/>
      <c r="AK1720" s="3"/>
      <c r="AL1720" s="3"/>
      <c r="AM1720" s="3"/>
      <c r="AN1720" s="3"/>
      <c r="AO1720" s="40"/>
      <c r="AP1720" s="209"/>
      <c r="AQ1720" s="3"/>
      <c r="AR1720" s="40"/>
      <c r="AS1720" s="238"/>
    </row>
    <row r="1721" spans="1:45" s="229" customFormat="1">
      <c r="A1721" s="83" t="s">
        <v>326</v>
      </c>
      <c r="B1721" s="386">
        <v>46.27</v>
      </c>
      <c r="C1721" s="24" t="s">
        <v>138</v>
      </c>
      <c r="D1721" s="229" t="s">
        <v>634</v>
      </c>
      <c r="F1721" s="229">
        <v>725</v>
      </c>
      <c r="G1721" s="40">
        <f>F1721/527</f>
        <v>1.3757115749525617</v>
      </c>
      <c r="H1721" s="14">
        <v>0</v>
      </c>
      <c r="I1721" s="229">
        <v>0</v>
      </c>
      <c r="J1721" s="229">
        <v>1</v>
      </c>
      <c r="K1721" s="26">
        <v>0</v>
      </c>
      <c r="L1721" s="14">
        <v>0</v>
      </c>
      <c r="M1721" s="229">
        <v>0</v>
      </c>
      <c r="N1721" s="229">
        <v>1</v>
      </c>
      <c r="O1721" s="229">
        <v>0</v>
      </c>
      <c r="P1721" s="26">
        <v>1</v>
      </c>
      <c r="Q1721" s="14">
        <v>0</v>
      </c>
      <c r="R1721" s="229">
        <v>0</v>
      </c>
      <c r="S1721" s="229">
        <v>0</v>
      </c>
      <c r="T1721" s="229">
        <v>0</v>
      </c>
      <c r="U1721" s="229">
        <v>0</v>
      </c>
      <c r="V1721" s="229">
        <v>0</v>
      </c>
      <c r="W1721" s="229">
        <v>0</v>
      </c>
      <c r="X1721" s="229">
        <v>0</v>
      </c>
      <c r="Y1721" s="229">
        <v>0</v>
      </c>
      <c r="Z1721" s="229">
        <v>0</v>
      </c>
      <c r="AA1721" s="229">
        <v>0</v>
      </c>
      <c r="AB1721" s="229">
        <v>0</v>
      </c>
      <c r="AC1721" s="12">
        <v>1</v>
      </c>
      <c r="AD1721" s="14">
        <v>1</v>
      </c>
      <c r="AE1721" s="14">
        <v>0</v>
      </c>
      <c r="AF1721" s="26">
        <v>0</v>
      </c>
      <c r="AG1721" s="12">
        <v>114</v>
      </c>
      <c r="AH1721" s="14">
        <v>1</v>
      </c>
      <c r="AI1721" s="209">
        <v>84</v>
      </c>
      <c r="AJ1721" s="3"/>
      <c r="AK1721" s="3"/>
      <c r="AL1721" s="3"/>
      <c r="AM1721" s="3"/>
      <c r="AN1721" s="3"/>
      <c r="AO1721" s="40"/>
      <c r="AP1721" s="209"/>
      <c r="AQ1721" s="3"/>
      <c r="AR1721" s="40"/>
      <c r="AS1721" s="238"/>
    </row>
    <row r="1722" spans="1:45" s="229" customFormat="1">
      <c r="A1722" s="83" t="s">
        <v>326</v>
      </c>
      <c r="B1722" s="386">
        <v>46.27</v>
      </c>
      <c r="C1722" s="24" t="s">
        <v>138</v>
      </c>
      <c r="D1722" s="229" t="s">
        <v>625</v>
      </c>
      <c r="E1722" s="229" t="s">
        <v>0</v>
      </c>
      <c r="F1722" s="229">
        <v>407</v>
      </c>
      <c r="G1722" s="40">
        <f>F1722/264</f>
        <v>1.5416666666666667</v>
      </c>
      <c r="H1722" s="14">
        <v>0</v>
      </c>
      <c r="I1722" s="229">
        <v>0</v>
      </c>
      <c r="J1722" s="229">
        <v>0</v>
      </c>
      <c r="K1722" s="26">
        <v>1</v>
      </c>
      <c r="L1722" s="14">
        <v>0</v>
      </c>
      <c r="M1722" s="229">
        <v>0</v>
      </c>
      <c r="N1722" s="229">
        <v>0</v>
      </c>
      <c r="O1722" s="229">
        <v>0</v>
      </c>
      <c r="P1722" s="26">
        <v>0</v>
      </c>
      <c r="Q1722" s="14">
        <v>0</v>
      </c>
      <c r="R1722" s="229">
        <v>0</v>
      </c>
      <c r="S1722" s="229">
        <v>0</v>
      </c>
      <c r="T1722" s="229">
        <v>0</v>
      </c>
      <c r="U1722" s="229">
        <v>0</v>
      </c>
      <c r="V1722" s="229">
        <v>0</v>
      </c>
      <c r="W1722" s="229">
        <v>0</v>
      </c>
      <c r="X1722" s="229">
        <v>0</v>
      </c>
      <c r="Y1722" s="229">
        <v>0</v>
      </c>
      <c r="Z1722" s="229">
        <v>0</v>
      </c>
      <c r="AA1722" s="229">
        <v>0</v>
      </c>
      <c r="AB1722" s="229">
        <v>0</v>
      </c>
      <c r="AC1722" s="12">
        <v>1</v>
      </c>
      <c r="AD1722" s="14">
        <v>1</v>
      </c>
      <c r="AE1722" s="14">
        <v>0</v>
      </c>
      <c r="AF1722" s="26">
        <v>0</v>
      </c>
      <c r="AG1722" s="12">
        <v>108</v>
      </c>
      <c r="AH1722" s="14">
        <v>0</v>
      </c>
      <c r="AI1722" s="209"/>
      <c r="AJ1722" s="3"/>
      <c r="AK1722" s="3"/>
      <c r="AL1722" s="3"/>
      <c r="AM1722" s="3"/>
      <c r="AN1722" s="3"/>
      <c r="AO1722" s="40"/>
      <c r="AP1722" s="209"/>
      <c r="AQ1722" s="3"/>
      <c r="AR1722" s="40"/>
      <c r="AS1722" s="238"/>
    </row>
    <row r="1723" spans="1:45" s="229" customFormat="1">
      <c r="A1723" s="83" t="s">
        <v>326</v>
      </c>
      <c r="B1723" s="386">
        <v>46.27</v>
      </c>
      <c r="C1723" s="24" t="s">
        <v>138</v>
      </c>
      <c r="D1723" s="229" t="s">
        <v>625</v>
      </c>
      <c r="E1723" s="229" t="s">
        <v>1</v>
      </c>
      <c r="F1723" s="229">
        <v>404</v>
      </c>
      <c r="G1723" s="40">
        <f>F1723/317</f>
        <v>1.274447949526814</v>
      </c>
      <c r="H1723" s="14">
        <v>0</v>
      </c>
      <c r="I1723" s="229">
        <v>0</v>
      </c>
      <c r="J1723" s="229">
        <v>0</v>
      </c>
      <c r="K1723" s="26">
        <v>1</v>
      </c>
      <c r="L1723" s="14">
        <v>0</v>
      </c>
      <c r="M1723" s="229">
        <v>0</v>
      </c>
      <c r="N1723" s="229">
        <v>0</v>
      </c>
      <c r="O1723" s="229">
        <v>0</v>
      </c>
      <c r="P1723" s="26">
        <v>0</v>
      </c>
      <c r="Q1723" s="14">
        <v>1</v>
      </c>
      <c r="R1723" s="229">
        <v>0</v>
      </c>
      <c r="S1723" s="229">
        <v>0</v>
      </c>
      <c r="T1723" s="229">
        <v>0</v>
      </c>
      <c r="U1723" s="229">
        <v>0</v>
      </c>
      <c r="V1723" s="229">
        <v>0</v>
      </c>
      <c r="W1723" s="229">
        <v>55</v>
      </c>
      <c r="X1723" s="229">
        <v>0</v>
      </c>
      <c r="Y1723" s="229">
        <v>0</v>
      </c>
      <c r="Z1723" s="229">
        <v>0</v>
      </c>
      <c r="AA1723" s="229">
        <v>0</v>
      </c>
      <c r="AB1723" s="229">
        <v>0</v>
      </c>
      <c r="AC1723" s="12">
        <v>1</v>
      </c>
      <c r="AD1723" s="14">
        <v>1</v>
      </c>
      <c r="AE1723" s="14">
        <v>0</v>
      </c>
      <c r="AF1723" s="26">
        <v>0</v>
      </c>
      <c r="AG1723" s="12">
        <v>108</v>
      </c>
      <c r="AH1723" s="14">
        <v>0</v>
      </c>
      <c r="AI1723" s="209"/>
      <c r="AJ1723" s="3"/>
      <c r="AK1723" s="3"/>
      <c r="AL1723" s="3"/>
      <c r="AM1723" s="3"/>
      <c r="AN1723" s="3"/>
      <c r="AO1723" s="40"/>
      <c r="AP1723" s="209"/>
      <c r="AQ1723" s="3"/>
      <c r="AR1723" s="40"/>
      <c r="AS1723" s="238"/>
    </row>
    <row r="1724" spans="1:45" s="229" customFormat="1">
      <c r="A1724" s="83" t="s">
        <v>326</v>
      </c>
      <c r="B1724" s="386">
        <v>46.27</v>
      </c>
      <c r="C1724" s="24" t="s">
        <v>138</v>
      </c>
      <c r="D1724" s="229" t="s">
        <v>625</v>
      </c>
      <c r="E1724" s="229" t="s">
        <v>2</v>
      </c>
      <c r="F1724" s="229">
        <v>297</v>
      </c>
      <c r="G1724" s="40">
        <f>F1724/202</f>
        <v>1.4702970297029703</v>
      </c>
      <c r="H1724" s="14">
        <v>0</v>
      </c>
      <c r="I1724" s="229">
        <v>0</v>
      </c>
      <c r="J1724" s="229">
        <v>0</v>
      </c>
      <c r="K1724" s="26">
        <v>1</v>
      </c>
      <c r="L1724" s="14">
        <v>0</v>
      </c>
      <c r="M1724" s="229">
        <v>0</v>
      </c>
      <c r="N1724" s="229">
        <v>0</v>
      </c>
      <c r="O1724" s="229">
        <v>0</v>
      </c>
      <c r="P1724" s="26">
        <v>0</v>
      </c>
      <c r="Q1724" s="14">
        <v>0</v>
      </c>
      <c r="R1724" s="229">
        <v>0</v>
      </c>
      <c r="S1724" s="229">
        <v>0</v>
      </c>
      <c r="T1724" s="229">
        <v>0</v>
      </c>
      <c r="U1724" s="229">
        <v>0</v>
      </c>
      <c r="V1724" s="229">
        <v>0</v>
      </c>
      <c r="W1724" s="229">
        <v>0</v>
      </c>
      <c r="X1724" s="229">
        <v>0</v>
      </c>
      <c r="Y1724" s="229">
        <v>0</v>
      </c>
      <c r="Z1724" s="229">
        <v>0</v>
      </c>
      <c r="AA1724" s="229">
        <v>0</v>
      </c>
      <c r="AB1724" s="229">
        <v>0</v>
      </c>
      <c r="AC1724" s="12">
        <v>1</v>
      </c>
      <c r="AD1724" s="14">
        <v>1</v>
      </c>
      <c r="AE1724" s="14">
        <v>0</v>
      </c>
      <c r="AF1724" s="26">
        <v>0</v>
      </c>
      <c r="AG1724" s="12">
        <v>108</v>
      </c>
      <c r="AH1724" s="14">
        <v>0</v>
      </c>
      <c r="AI1724" s="209"/>
      <c r="AJ1724" s="3"/>
      <c r="AK1724" s="3"/>
      <c r="AL1724" s="3"/>
      <c r="AM1724" s="3"/>
      <c r="AN1724" s="3"/>
      <c r="AO1724" s="40"/>
      <c r="AP1724" s="209"/>
      <c r="AQ1724" s="3"/>
      <c r="AR1724" s="40"/>
      <c r="AS1724" s="238"/>
    </row>
    <row r="1725" spans="1:45" s="229" customFormat="1" ht="17" thickBot="1">
      <c r="A1725" s="84" t="s">
        <v>326</v>
      </c>
      <c r="B1725" s="385">
        <v>46.27</v>
      </c>
      <c r="C1725" s="24" t="s">
        <v>138</v>
      </c>
      <c r="D1725" s="229" t="s">
        <v>630</v>
      </c>
      <c r="F1725" s="229">
        <v>429</v>
      </c>
      <c r="G1725" s="40">
        <f>F1725/208</f>
        <v>2.0625</v>
      </c>
      <c r="H1725" s="14">
        <v>0</v>
      </c>
      <c r="I1725" s="229">
        <v>0</v>
      </c>
      <c r="J1725" s="229">
        <v>0</v>
      </c>
      <c r="K1725" s="26">
        <v>1</v>
      </c>
      <c r="L1725" s="14">
        <v>0</v>
      </c>
      <c r="M1725" s="229">
        <v>0</v>
      </c>
      <c r="N1725" s="229">
        <v>0</v>
      </c>
      <c r="O1725" s="229">
        <v>1</v>
      </c>
      <c r="P1725" s="26">
        <v>1</v>
      </c>
      <c r="Q1725" s="14">
        <v>0</v>
      </c>
      <c r="R1725" s="229">
        <v>0</v>
      </c>
      <c r="S1725" s="229">
        <v>0</v>
      </c>
      <c r="T1725" s="229">
        <v>0</v>
      </c>
      <c r="U1725" s="229">
        <v>0</v>
      </c>
      <c r="V1725" s="229">
        <v>0</v>
      </c>
      <c r="W1725" s="229">
        <v>0</v>
      </c>
      <c r="X1725" s="229">
        <v>0</v>
      </c>
      <c r="Y1725" s="229">
        <v>0</v>
      </c>
      <c r="Z1725" s="229">
        <v>0</v>
      </c>
      <c r="AA1725" s="229">
        <v>0</v>
      </c>
      <c r="AB1725" s="229">
        <v>0</v>
      </c>
      <c r="AC1725" s="12">
        <v>1</v>
      </c>
      <c r="AD1725" s="14">
        <v>1</v>
      </c>
      <c r="AE1725" s="14">
        <v>0</v>
      </c>
      <c r="AF1725" s="26">
        <v>0</v>
      </c>
      <c r="AG1725" s="12">
        <v>105</v>
      </c>
      <c r="AH1725" s="14">
        <v>1</v>
      </c>
      <c r="AI1725" s="209"/>
      <c r="AJ1725" s="3"/>
      <c r="AK1725" s="3"/>
      <c r="AL1725" s="3"/>
      <c r="AM1725" s="3"/>
      <c r="AN1725" s="3"/>
      <c r="AO1725" s="40"/>
      <c r="AP1725" s="209"/>
      <c r="AQ1725" s="3"/>
      <c r="AR1725" s="40"/>
      <c r="AS1725" s="238"/>
    </row>
    <row r="1726" spans="1:45" s="229" customFormat="1">
      <c r="A1726" s="83" t="s">
        <v>326</v>
      </c>
      <c r="B1726" s="384">
        <v>51.251333333333335</v>
      </c>
      <c r="C1726" s="100" t="s">
        <v>762</v>
      </c>
      <c r="D1726" s="8" t="s">
        <v>622</v>
      </c>
      <c r="E1726" s="8"/>
      <c r="F1726" s="8">
        <v>446</v>
      </c>
      <c r="G1726" s="10">
        <f>F1726/398</f>
        <v>1.120603015075377</v>
      </c>
      <c r="H1726" s="11">
        <v>0</v>
      </c>
      <c r="I1726" s="8">
        <v>0</v>
      </c>
      <c r="J1726" s="8">
        <v>1</v>
      </c>
      <c r="K1726" s="41">
        <v>0</v>
      </c>
      <c r="L1726" s="11">
        <v>0</v>
      </c>
      <c r="M1726" s="8">
        <v>0</v>
      </c>
      <c r="N1726" s="8">
        <v>1</v>
      </c>
      <c r="O1726" s="8">
        <v>0</v>
      </c>
      <c r="P1726" s="41">
        <v>1</v>
      </c>
      <c r="Q1726" s="11">
        <v>2</v>
      </c>
      <c r="R1726" s="8">
        <v>0</v>
      </c>
      <c r="S1726" s="8">
        <v>0</v>
      </c>
      <c r="T1726" s="8">
        <v>0</v>
      </c>
      <c r="U1726" s="8">
        <v>0</v>
      </c>
      <c r="V1726" s="8">
        <v>19</v>
      </c>
      <c r="W1726" s="8">
        <v>56</v>
      </c>
      <c r="X1726" s="8">
        <v>0</v>
      </c>
      <c r="Y1726" s="8">
        <v>0</v>
      </c>
      <c r="Z1726" s="8">
        <v>0</v>
      </c>
      <c r="AA1726" s="8">
        <v>0</v>
      </c>
      <c r="AB1726" s="8">
        <v>0</v>
      </c>
      <c r="AC1726" s="9">
        <v>2</v>
      </c>
      <c r="AD1726" s="11">
        <v>4</v>
      </c>
      <c r="AE1726" s="11">
        <v>85</v>
      </c>
      <c r="AF1726" s="41">
        <v>371</v>
      </c>
      <c r="AG1726" s="9">
        <v>85</v>
      </c>
      <c r="AH1726" s="11">
        <v>1</v>
      </c>
      <c r="AI1726" s="208">
        <v>88.338500244690692</v>
      </c>
      <c r="AJ1726" s="54"/>
      <c r="AK1726" s="54"/>
      <c r="AL1726" s="54"/>
      <c r="AM1726" s="54"/>
      <c r="AN1726" s="54"/>
      <c r="AO1726" s="10"/>
      <c r="AP1726" s="208">
        <v>87.509601992705058</v>
      </c>
      <c r="AQ1726" s="54"/>
      <c r="AR1726" s="10"/>
      <c r="AS1726" s="237"/>
    </row>
    <row r="1727" spans="1:45" s="229" customFormat="1">
      <c r="A1727" s="83" t="s">
        <v>326</v>
      </c>
      <c r="B1727" s="386">
        <v>51.251333333333335</v>
      </c>
      <c r="C1727" s="24" t="s">
        <v>762</v>
      </c>
      <c r="D1727" s="229" t="s">
        <v>620</v>
      </c>
      <c r="E1727" s="229" t="s">
        <v>0</v>
      </c>
      <c r="F1727" s="229">
        <v>210</v>
      </c>
      <c r="G1727" s="40">
        <f>F1727/177</f>
        <v>1.1864406779661016</v>
      </c>
      <c r="H1727" s="14">
        <v>0</v>
      </c>
      <c r="I1727" s="229">
        <v>0</v>
      </c>
      <c r="J1727" s="229">
        <v>1</v>
      </c>
      <c r="K1727" s="26">
        <v>1</v>
      </c>
      <c r="L1727" s="14">
        <v>0</v>
      </c>
      <c r="M1727" s="229">
        <v>0</v>
      </c>
      <c r="N1727" s="229">
        <v>1</v>
      </c>
      <c r="O1727" s="229">
        <v>0</v>
      </c>
      <c r="P1727" s="26">
        <v>1</v>
      </c>
      <c r="Q1727" s="14">
        <v>5</v>
      </c>
      <c r="R1727" s="229">
        <v>0</v>
      </c>
      <c r="S1727" s="229">
        <v>5</v>
      </c>
      <c r="T1727" s="229">
        <v>0</v>
      </c>
      <c r="U1727" s="229">
        <v>0</v>
      </c>
      <c r="V1727" s="229">
        <v>0</v>
      </c>
      <c r="W1727" s="229">
        <v>6</v>
      </c>
      <c r="X1727" s="229">
        <v>0</v>
      </c>
      <c r="Y1727" s="229">
        <v>0</v>
      </c>
      <c r="Z1727" s="229">
        <v>0</v>
      </c>
      <c r="AA1727" s="229">
        <v>71</v>
      </c>
      <c r="AB1727" s="229">
        <v>0</v>
      </c>
      <c r="AC1727" s="12">
        <v>2</v>
      </c>
      <c r="AD1727" s="14">
        <v>4</v>
      </c>
      <c r="AE1727" s="14">
        <v>31</v>
      </c>
      <c r="AF1727" s="26">
        <v>151</v>
      </c>
      <c r="AG1727" s="12">
        <v>97</v>
      </c>
      <c r="AH1727" s="14">
        <v>0</v>
      </c>
      <c r="AI1727" s="209"/>
      <c r="AJ1727" s="3"/>
      <c r="AK1727" s="3"/>
      <c r="AL1727" s="3"/>
      <c r="AM1727" s="3"/>
      <c r="AN1727" s="3"/>
      <c r="AO1727" s="40"/>
      <c r="AP1727" s="209"/>
      <c r="AQ1727" s="3"/>
      <c r="AR1727" s="40"/>
      <c r="AS1727" s="238"/>
    </row>
    <row r="1728" spans="1:45" s="229" customFormat="1">
      <c r="A1728" s="83" t="s">
        <v>326</v>
      </c>
      <c r="B1728" s="386">
        <v>51.251333333333335</v>
      </c>
      <c r="C1728" s="24" t="s">
        <v>762</v>
      </c>
      <c r="D1728" s="229" t="s">
        <v>620</v>
      </c>
      <c r="E1728" s="229" t="s">
        <v>1</v>
      </c>
      <c r="F1728" s="229">
        <v>236</v>
      </c>
      <c r="G1728" s="40">
        <f>F1728/133</f>
        <v>1.7744360902255638</v>
      </c>
      <c r="H1728" s="14">
        <v>0</v>
      </c>
      <c r="I1728" s="229">
        <v>0</v>
      </c>
      <c r="J1728" s="229">
        <v>1</v>
      </c>
      <c r="K1728" s="26">
        <v>1</v>
      </c>
      <c r="L1728" s="14">
        <v>0</v>
      </c>
      <c r="M1728" s="229">
        <v>0</v>
      </c>
      <c r="N1728" s="229">
        <v>0</v>
      </c>
      <c r="O1728" s="229">
        <v>0</v>
      </c>
      <c r="P1728" s="26">
        <v>0</v>
      </c>
      <c r="Q1728" s="14">
        <v>5</v>
      </c>
      <c r="R1728" s="229">
        <v>3</v>
      </c>
      <c r="S1728" s="229">
        <v>5</v>
      </c>
      <c r="T1728" s="229">
        <v>0</v>
      </c>
      <c r="U1728" s="229">
        <v>0</v>
      </c>
      <c r="V1728" s="229">
        <v>8</v>
      </c>
      <c r="W1728" s="229">
        <v>59</v>
      </c>
      <c r="X1728" s="229">
        <v>0</v>
      </c>
      <c r="Y1728" s="229">
        <v>0</v>
      </c>
      <c r="Z1728" s="229">
        <v>0</v>
      </c>
      <c r="AA1728" s="229">
        <v>0</v>
      </c>
      <c r="AB1728" s="229">
        <v>0</v>
      </c>
      <c r="AC1728" s="12">
        <v>2</v>
      </c>
      <c r="AD1728" s="14">
        <v>6</v>
      </c>
      <c r="AE1728" s="14">
        <v>21</v>
      </c>
      <c r="AF1728" s="26">
        <v>128</v>
      </c>
      <c r="AG1728" s="12">
        <v>97</v>
      </c>
      <c r="AH1728" s="14">
        <v>0</v>
      </c>
      <c r="AI1728" s="209"/>
      <c r="AJ1728" s="3"/>
      <c r="AK1728" s="3"/>
      <c r="AL1728" s="3"/>
      <c r="AM1728" s="3"/>
      <c r="AN1728" s="3"/>
      <c r="AO1728" s="40"/>
      <c r="AP1728" s="209"/>
      <c r="AQ1728" s="3"/>
      <c r="AR1728" s="40"/>
      <c r="AS1728" s="238"/>
    </row>
    <row r="1729" spans="1:45" s="229" customFormat="1">
      <c r="A1729" s="83" t="s">
        <v>326</v>
      </c>
      <c r="B1729" s="386">
        <v>51.251333333333335</v>
      </c>
      <c r="C1729" s="24" t="s">
        <v>762</v>
      </c>
      <c r="D1729" s="229" t="s">
        <v>620</v>
      </c>
      <c r="E1729" s="229" t="s">
        <v>2</v>
      </c>
      <c r="F1729" s="229">
        <v>59</v>
      </c>
      <c r="G1729" s="40">
        <f>F1729/43</f>
        <v>1.3720930232558139</v>
      </c>
      <c r="H1729" s="14">
        <v>0</v>
      </c>
      <c r="I1729" s="229">
        <v>0</v>
      </c>
      <c r="J1729" s="229">
        <v>0</v>
      </c>
      <c r="K1729" s="26">
        <v>1</v>
      </c>
      <c r="L1729" s="14">
        <v>0</v>
      </c>
      <c r="M1729" s="229">
        <v>0</v>
      </c>
      <c r="N1729" s="229">
        <v>0</v>
      </c>
      <c r="O1729" s="229">
        <v>0</v>
      </c>
      <c r="P1729" s="26">
        <v>0</v>
      </c>
      <c r="Q1729" s="14">
        <v>0</v>
      </c>
      <c r="R1729" s="229">
        <v>0</v>
      </c>
      <c r="S1729" s="229">
        <v>0</v>
      </c>
      <c r="T1729" s="229">
        <v>0</v>
      </c>
      <c r="U1729" s="229">
        <v>0</v>
      </c>
      <c r="V1729" s="229">
        <v>0</v>
      </c>
      <c r="W1729" s="229">
        <v>0</v>
      </c>
      <c r="X1729" s="229">
        <v>0</v>
      </c>
      <c r="Y1729" s="229">
        <v>0</v>
      </c>
      <c r="Z1729" s="229">
        <v>0</v>
      </c>
      <c r="AA1729" s="229">
        <v>0</v>
      </c>
      <c r="AB1729" s="229">
        <v>0</v>
      </c>
      <c r="AC1729" s="12">
        <v>2</v>
      </c>
      <c r="AD1729" s="14">
        <v>2</v>
      </c>
      <c r="AE1729" s="14">
        <v>12</v>
      </c>
      <c r="AF1729" s="26">
        <v>59</v>
      </c>
      <c r="AG1729" s="12">
        <v>97</v>
      </c>
      <c r="AH1729" s="14">
        <v>9</v>
      </c>
      <c r="AI1729" s="209"/>
      <c r="AJ1729" s="3"/>
      <c r="AK1729" s="3"/>
      <c r="AL1729" s="3"/>
      <c r="AM1729" s="3"/>
      <c r="AN1729" s="3"/>
      <c r="AO1729" s="40"/>
      <c r="AP1729" s="209"/>
      <c r="AQ1729" s="3"/>
      <c r="AR1729" s="40"/>
      <c r="AS1729" s="238"/>
    </row>
    <row r="1730" spans="1:45" s="229" customFormat="1">
      <c r="A1730" s="83" t="s">
        <v>326</v>
      </c>
      <c r="B1730" s="386">
        <v>51.251333333333335</v>
      </c>
      <c r="C1730" s="24" t="s">
        <v>762</v>
      </c>
      <c r="D1730" s="229" t="s">
        <v>634</v>
      </c>
      <c r="E1730" s="229" t="s">
        <v>0</v>
      </c>
      <c r="F1730" s="229">
        <v>490</v>
      </c>
      <c r="G1730" s="40">
        <f>F1730/104</f>
        <v>4.7115384615384617</v>
      </c>
      <c r="H1730" s="14">
        <v>0</v>
      </c>
      <c r="I1730" s="229">
        <v>0</v>
      </c>
      <c r="J1730" s="229">
        <v>1</v>
      </c>
      <c r="K1730" s="26">
        <v>0</v>
      </c>
      <c r="L1730" s="14">
        <v>0</v>
      </c>
      <c r="M1730" s="229">
        <v>0</v>
      </c>
      <c r="N1730" s="229">
        <v>1</v>
      </c>
      <c r="O1730" s="229">
        <v>0</v>
      </c>
      <c r="P1730" s="26">
        <v>1</v>
      </c>
      <c r="Q1730" s="14">
        <v>0</v>
      </c>
      <c r="R1730" s="229">
        <v>0</v>
      </c>
      <c r="S1730" s="229">
        <v>0</v>
      </c>
      <c r="T1730" s="229">
        <v>0</v>
      </c>
      <c r="U1730" s="229">
        <v>0</v>
      </c>
      <c r="V1730" s="229">
        <v>0</v>
      </c>
      <c r="W1730" s="229">
        <v>0</v>
      </c>
      <c r="X1730" s="229">
        <v>0</v>
      </c>
      <c r="Y1730" s="229">
        <v>0</v>
      </c>
      <c r="Z1730" s="229">
        <v>0</v>
      </c>
      <c r="AA1730" s="229">
        <v>0</v>
      </c>
      <c r="AB1730" s="229">
        <v>0</v>
      </c>
      <c r="AC1730" s="12">
        <v>1</v>
      </c>
      <c r="AD1730" s="14">
        <v>1</v>
      </c>
      <c r="AE1730" s="14">
        <v>0</v>
      </c>
      <c r="AF1730" s="26">
        <v>0</v>
      </c>
      <c r="AG1730" s="12">
        <v>113</v>
      </c>
      <c r="AH1730" s="14">
        <v>0</v>
      </c>
      <c r="AI1730" s="209"/>
      <c r="AJ1730" s="3"/>
      <c r="AK1730" s="3"/>
      <c r="AL1730" s="3"/>
      <c r="AM1730" s="3"/>
      <c r="AN1730" s="3"/>
      <c r="AO1730" s="40"/>
      <c r="AP1730" s="209"/>
      <c r="AQ1730" s="3"/>
      <c r="AR1730" s="40"/>
      <c r="AS1730" s="238"/>
    </row>
    <row r="1731" spans="1:45" s="229" customFormat="1">
      <c r="A1731" s="83" t="s">
        <v>326</v>
      </c>
      <c r="B1731" s="386">
        <v>51.251333333333335</v>
      </c>
      <c r="C1731" s="24" t="s">
        <v>762</v>
      </c>
      <c r="D1731" s="229" t="s">
        <v>634</v>
      </c>
      <c r="E1731" s="229" t="s">
        <v>1</v>
      </c>
      <c r="F1731" s="229">
        <v>323</v>
      </c>
      <c r="G1731" s="40">
        <f>F1731/128</f>
        <v>2.5234375</v>
      </c>
      <c r="H1731" s="14">
        <v>0</v>
      </c>
      <c r="I1731" s="229">
        <v>0</v>
      </c>
      <c r="J1731" s="229">
        <v>1</v>
      </c>
      <c r="K1731" s="26">
        <v>1</v>
      </c>
      <c r="L1731" s="14">
        <v>0</v>
      </c>
      <c r="M1731" s="229">
        <v>0</v>
      </c>
      <c r="N1731" s="229">
        <v>1</v>
      </c>
      <c r="O1731" s="229">
        <v>0</v>
      </c>
      <c r="P1731" s="26">
        <v>1</v>
      </c>
      <c r="Q1731" s="14">
        <v>1</v>
      </c>
      <c r="R1731" s="229">
        <v>0</v>
      </c>
      <c r="S1731" s="229">
        <v>0</v>
      </c>
      <c r="T1731" s="229">
        <v>0</v>
      </c>
      <c r="U1731" s="229">
        <v>0</v>
      </c>
      <c r="V1731" s="229">
        <v>16</v>
      </c>
      <c r="W1731" s="229">
        <v>28</v>
      </c>
      <c r="X1731" s="229">
        <v>0</v>
      </c>
      <c r="Y1731" s="229">
        <v>0</v>
      </c>
      <c r="Z1731" s="229">
        <v>0</v>
      </c>
      <c r="AA1731" s="229">
        <v>0</v>
      </c>
      <c r="AB1731" s="229">
        <v>0</v>
      </c>
      <c r="AC1731" s="12">
        <v>2</v>
      </c>
      <c r="AD1731" s="14">
        <v>5</v>
      </c>
      <c r="AE1731" s="14">
        <v>21</v>
      </c>
      <c r="AF1731" s="26">
        <v>173</v>
      </c>
      <c r="AG1731" s="12">
        <v>113</v>
      </c>
      <c r="AH1731" s="14">
        <v>1</v>
      </c>
      <c r="AI1731" s="209"/>
      <c r="AJ1731" s="3"/>
      <c r="AK1731" s="3"/>
      <c r="AL1731" s="3"/>
      <c r="AM1731" s="3"/>
      <c r="AN1731" s="3"/>
      <c r="AO1731" s="40"/>
      <c r="AP1731" s="209"/>
      <c r="AQ1731" s="3"/>
      <c r="AR1731" s="40"/>
      <c r="AS1731" s="238"/>
    </row>
    <row r="1732" spans="1:45" s="229" customFormat="1">
      <c r="A1732" s="83" t="s">
        <v>326</v>
      </c>
      <c r="B1732" s="386">
        <v>51.251333333333335</v>
      </c>
      <c r="C1732" s="24" t="s">
        <v>762</v>
      </c>
      <c r="D1732" s="229" t="s">
        <v>637</v>
      </c>
      <c r="E1732" s="229" t="s">
        <v>0</v>
      </c>
      <c r="F1732" s="229">
        <v>428</v>
      </c>
      <c r="G1732" s="40">
        <f>F1732/193</f>
        <v>2.2176165803108807</v>
      </c>
      <c r="H1732" s="14">
        <v>0</v>
      </c>
      <c r="I1732" s="229">
        <v>0</v>
      </c>
      <c r="J1732" s="229">
        <v>1</v>
      </c>
      <c r="K1732" s="26">
        <v>1</v>
      </c>
      <c r="L1732" s="14">
        <v>0</v>
      </c>
      <c r="M1732" s="229">
        <v>0</v>
      </c>
      <c r="N1732" s="229">
        <v>0</v>
      </c>
      <c r="O1732" s="229">
        <v>0</v>
      </c>
      <c r="P1732" s="26">
        <v>0</v>
      </c>
      <c r="Q1732" s="14">
        <v>2</v>
      </c>
      <c r="R1732" s="229">
        <v>3</v>
      </c>
      <c r="S1732" s="229">
        <v>4</v>
      </c>
      <c r="T1732" s="229">
        <v>0</v>
      </c>
      <c r="U1732" s="229">
        <v>0</v>
      </c>
      <c r="V1732" s="229">
        <v>9</v>
      </c>
      <c r="W1732" s="229">
        <v>39</v>
      </c>
      <c r="X1732" s="229">
        <v>0</v>
      </c>
      <c r="Y1732" s="229">
        <v>0</v>
      </c>
      <c r="Z1732" s="229">
        <v>0</v>
      </c>
      <c r="AA1732" s="229">
        <v>0</v>
      </c>
      <c r="AB1732" s="229">
        <v>0</v>
      </c>
      <c r="AC1732" s="12">
        <v>2</v>
      </c>
      <c r="AD1732" s="14">
        <v>7</v>
      </c>
      <c r="AE1732" s="14">
        <v>75</v>
      </c>
      <c r="AF1732" s="26">
        <v>269</v>
      </c>
      <c r="AG1732" s="12">
        <v>114</v>
      </c>
      <c r="AH1732" s="14">
        <v>0</v>
      </c>
      <c r="AI1732" s="209"/>
      <c r="AJ1732" s="3"/>
      <c r="AK1732" s="3"/>
      <c r="AL1732" s="3"/>
      <c r="AM1732" s="3"/>
      <c r="AN1732" s="3"/>
      <c r="AO1732" s="40"/>
      <c r="AP1732" s="209"/>
      <c r="AQ1732" s="3"/>
      <c r="AR1732" s="40"/>
      <c r="AS1732" s="238"/>
    </row>
    <row r="1733" spans="1:45" s="229" customFormat="1">
      <c r="A1733" s="83" t="s">
        <v>326</v>
      </c>
      <c r="B1733" s="386">
        <v>51.251333333333335</v>
      </c>
      <c r="C1733" s="24" t="s">
        <v>762</v>
      </c>
      <c r="D1733" s="229" t="s">
        <v>637</v>
      </c>
      <c r="E1733" s="229" t="s">
        <v>1</v>
      </c>
      <c r="F1733" s="229">
        <v>295</v>
      </c>
      <c r="G1733" s="40">
        <f>F1733/131</f>
        <v>2.2519083969465647</v>
      </c>
      <c r="H1733" s="14">
        <v>0</v>
      </c>
      <c r="I1733" s="229">
        <v>0</v>
      </c>
      <c r="J1733" s="229">
        <v>1</v>
      </c>
      <c r="K1733" s="26">
        <v>0</v>
      </c>
      <c r="L1733" s="14">
        <v>0</v>
      </c>
      <c r="M1733" s="229">
        <v>0</v>
      </c>
      <c r="N1733" s="229">
        <v>0</v>
      </c>
      <c r="O1733" s="229">
        <v>0</v>
      </c>
      <c r="P1733" s="26">
        <v>0</v>
      </c>
      <c r="Q1733" s="14">
        <v>10</v>
      </c>
      <c r="R1733" s="229">
        <v>0</v>
      </c>
      <c r="S1733" s="229">
        <v>0</v>
      </c>
      <c r="T1733" s="229">
        <v>0</v>
      </c>
      <c r="U1733" s="229">
        <v>0</v>
      </c>
      <c r="V1733" s="229">
        <v>0</v>
      </c>
      <c r="W1733" s="229">
        <v>9</v>
      </c>
      <c r="X1733" s="229">
        <v>0</v>
      </c>
      <c r="Y1733" s="229">
        <v>0</v>
      </c>
      <c r="Z1733" s="229">
        <v>0</v>
      </c>
      <c r="AA1733" s="229">
        <v>108</v>
      </c>
      <c r="AB1733" s="229">
        <v>0</v>
      </c>
      <c r="AC1733" s="12">
        <v>1</v>
      </c>
      <c r="AD1733" s="14">
        <v>1</v>
      </c>
      <c r="AE1733" s="14">
        <v>0</v>
      </c>
      <c r="AF1733" s="26">
        <v>0</v>
      </c>
      <c r="AG1733" s="12">
        <v>114</v>
      </c>
      <c r="AH1733" s="14">
        <v>0</v>
      </c>
      <c r="AI1733" s="209"/>
      <c r="AJ1733" s="3"/>
      <c r="AK1733" s="3"/>
      <c r="AL1733" s="3"/>
      <c r="AM1733" s="3"/>
      <c r="AN1733" s="3"/>
      <c r="AO1733" s="40"/>
      <c r="AP1733" s="209"/>
      <c r="AQ1733" s="3"/>
      <c r="AR1733" s="40"/>
      <c r="AS1733" s="238"/>
    </row>
    <row r="1734" spans="1:45" s="229" customFormat="1">
      <c r="A1734" s="83" t="s">
        <v>326</v>
      </c>
      <c r="B1734" s="386">
        <v>51.251333333333335</v>
      </c>
      <c r="C1734" s="24" t="s">
        <v>762</v>
      </c>
      <c r="D1734" s="229" t="s">
        <v>639</v>
      </c>
      <c r="E1734" s="229" t="s">
        <v>0</v>
      </c>
      <c r="F1734" s="229">
        <v>254</v>
      </c>
      <c r="G1734" s="40">
        <f>F1734/143</f>
        <v>1.7762237762237763</v>
      </c>
      <c r="H1734" s="14">
        <v>0</v>
      </c>
      <c r="I1734" s="229">
        <v>0</v>
      </c>
      <c r="J1734" s="229">
        <v>1</v>
      </c>
      <c r="K1734" s="26">
        <v>0</v>
      </c>
      <c r="L1734" s="14">
        <v>0</v>
      </c>
      <c r="M1734" s="229">
        <v>0</v>
      </c>
      <c r="N1734" s="229">
        <v>0</v>
      </c>
      <c r="O1734" s="229">
        <v>0</v>
      </c>
      <c r="P1734" s="26">
        <v>0</v>
      </c>
      <c r="Q1734" s="14">
        <v>10</v>
      </c>
      <c r="R1734" s="229">
        <v>0</v>
      </c>
      <c r="S1734" s="229">
        <v>34</v>
      </c>
      <c r="T1734" s="229">
        <v>0</v>
      </c>
      <c r="U1734" s="229">
        <v>0</v>
      </c>
      <c r="V1734" s="229">
        <v>0</v>
      </c>
      <c r="W1734" s="229">
        <v>0</v>
      </c>
      <c r="X1734" s="229">
        <v>0</v>
      </c>
      <c r="Y1734" s="229">
        <v>0</v>
      </c>
      <c r="Z1734" s="229">
        <v>0</v>
      </c>
      <c r="AA1734" s="229">
        <v>43</v>
      </c>
      <c r="AB1734" s="229">
        <v>0</v>
      </c>
      <c r="AC1734" s="12">
        <v>1</v>
      </c>
      <c r="AD1734" s="14">
        <v>1</v>
      </c>
      <c r="AE1734" s="14">
        <v>0</v>
      </c>
      <c r="AF1734" s="26">
        <v>0</v>
      </c>
      <c r="AG1734" s="12">
        <v>138</v>
      </c>
      <c r="AH1734" s="14">
        <v>0</v>
      </c>
      <c r="AI1734" s="209"/>
      <c r="AJ1734" s="3"/>
      <c r="AK1734" s="3"/>
      <c r="AL1734" s="3"/>
      <c r="AM1734" s="3"/>
      <c r="AN1734" s="3"/>
      <c r="AO1734" s="40"/>
      <c r="AP1734" s="209"/>
      <c r="AQ1734" s="3"/>
      <c r="AR1734" s="40"/>
      <c r="AS1734" s="238"/>
    </row>
    <row r="1735" spans="1:45" s="229" customFormat="1">
      <c r="A1735" s="83" t="s">
        <v>326</v>
      </c>
      <c r="B1735" s="386">
        <v>51.251333333333335</v>
      </c>
      <c r="C1735" s="24" t="s">
        <v>762</v>
      </c>
      <c r="D1735" s="229" t="s">
        <v>639</v>
      </c>
      <c r="E1735" s="229" t="s">
        <v>1</v>
      </c>
      <c r="F1735" s="229">
        <v>328</v>
      </c>
      <c r="G1735" s="40">
        <f>F1735/196</f>
        <v>1.6734693877551021</v>
      </c>
      <c r="H1735" s="14">
        <v>0</v>
      </c>
      <c r="I1735" s="229">
        <v>0</v>
      </c>
      <c r="J1735" s="229">
        <v>1</v>
      </c>
      <c r="K1735" s="26">
        <v>1</v>
      </c>
      <c r="L1735" s="14">
        <v>0</v>
      </c>
      <c r="M1735" s="229">
        <v>0</v>
      </c>
      <c r="N1735" s="229">
        <v>0</v>
      </c>
      <c r="O1735" s="229">
        <v>0</v>
      </c>
      <c r="P1735" s="26">
        <v>0</v>
      </c>
      <c r="Q1735" s="14">
        <v>3</v>
      </c>
      <c r="R1735" s="229">
        <v>0</v>
      </c>
      <c r="S1735" s="229">
        <v>1</v>
      </c>
      <c r="T1735" s="229">
        <v>0</v>
      </c>
      <c r="U1735" s="229">
        <v>0</v>
      </c>
      <c r="V1735" s="229">
        <v>10</v>
      </c>
      <c r="W1735" s="229">
        <v>18</v>
      </c>
      <c r="X1735" s="229">
        <v>0</v>
      </c>
      <c r="Y1735" s="229">
        <v>0</v>
      </c>
      <c r="Z1735" s="229">
        <v>0</v>
      </c>
      <c r="AA1735" s="229">
        <v>0</v>
      </c>
      <c r="AB1735" s="229">
        <v>0</v>
      </c>
      <c r="AC1735" s="12">
        <v>2</v>
      </c>
      <c r="AD1735" s="14">
        <v>5</v>
      </c>
      <c r="AE1735" s="14">
        <v>63</v>
      </c>
      <c r="AF1735" s="26">
        <v>196</v>
      </c>
      <c r="AG1735" s="12">
        <v>138</v>
      </c>
      <c r="AH1735" s="14">
        <v>1</v>
      </c>
      <c r="AI1735" s="209"/>
      <c r="AJ1735" s="3"/>
      <c r="AK1735" s="3"/>
      <c r="AL1735" s="3"/>
      <c r="AM1735" s="3"/>
      <c r="AN1735" s="3"/>
      <c r="AO1735" s="40"/>
      <c r="AP1735" s="209"/>
      <c r="AQ1735" s="3"/>
      <c r="AR1735" s="40"/>
      <c r="AS1735" s="238"/>
    </row>
    <row r="1736" spans="1:45" s="229" customFormat="1">
      <c r="A1736" s="83" t="s">
        <v>326</v>
      </c>
      <c r="B1736" s="386">
        <v>51.251333333333335</v>
      </c>
      <c r="C1736" s="24" t="s">
        <v>762</v>
      </c>
      <c r="D1736" s="229" t="s">
        <v>647</v>
      </c>
      <c r="E1736" s="229" t="s">
        <v>0</v>
      </c>
      <c r="F1736" s="229">
        <v>470</v>
      </c>
      <c r="G1736" s="40">
        <f>F1736/212</f>
        <v>2.2169811320754715</v>
      </c>
      <c r="H1736" s="14">
        <v>1</v>
      </c>
      <c r="I1736" s="229">
        <v>0</v>
      </c>
      <c r="J1736" s="229">
        <v>1</v>
      </c>
      <c r="K1736" s="26">
        <v>1</v>
      </c>
      <c r="L1736" s="14">
        <v>0</v>
      </c>
      <c r="M1736" s="229">
        <v>0</v>
      </c>
      <c r="N1736" s="229">
        <v>0</v>
      </c>
      <c r="O1736" s="229">
        <v>0</v>
      </c>
      <c r="P1736" s="26">
        <v>0</v>
      </c>
      <c r="Q1736" s="14">
        <v>1</v>
      </c>
      <c r="R1736" s="229">
        <v>0</v>
      </c>
      <c r="S1736" s="229">
        <v>0</v>
      </c>
      <c r="T1736" s="229">
        <v>0</v>
      </c>
      <c r="U1736" s="229">
        <v>0</v>
      </c>
      <c r="V1736" s="229">
        <v>0</v>
      </c>
      <c r="W1736" s="229">
        <v>18</v>
      </c>
      <c r="X1736" s="229">
        <v>8</v>
      </c>
      <c r="Y1736" s="229">
        <v>8</v>
      </c>
      <c r="Z1736" s="229">
        <v>8</v>
      </c>
      <c r="AA1736" s="229">
        <v>8</v>
      </c>
      <c r="AB1736" s="229">
        <v>8</v>
      </c>
      <c r="AC1736" s="12">
        <v>2</v>
      </c>
      <c r="AD1736" s="14">
        <v>6</v>
      </c>
      <c r="AE1736" s="14">
        <v>48</v>
      </c>
      <c r="AF1736" s="26">
        <v>250</v>
      </c>
      <c r="AG1736" s="12">
        <v>125</v>
      </c>
      <c r="AH1736" s="14">
        <v>1</v>
      </c>
      <c r="AI1736" s="209">
        <v>88.56586073190941</v>
      </c>
      <c r="AJ1736" s="3">
        <v>88.613470786004598</v>
      </c>
      <c r="AK1736" s="3">
        <v>88.593613929715872</v>
      </c>
      <c r="AL1736" s="3"/>
      <c r="AM1736" s="3"/>
      <c r="AN1736" s="3"/>
      <c r="AO1736" s="40"/>
      <c r="AP1736" s="209">
        <v>88.014593866833593</v>
      </c>
      <c r="AQ1736" s="3"/>
      <c r="AR1736" s="40"/>
      <c r="AS1736" s="238"/>
    </row>
    <row r="1737" spans="1:45" s="229" customFormat="1">
      <c r="A1737" s="83" t="s">
        <v>326</v>
      </c>
      <c r="B1737" s="386">
        <v>51.251333333333335</v>
      </c>
      <c r="C1737" s="24" t="s">
        <v>762</v>
      </c>
      <c r="D1737" s="229" t="s">
        <v>647</v>
      </c>
      <c r="E1737" s="229" t="s">
        <v>1</v>
      </c>
      <c r="F1737" s="229">
        <v>747</v>
      </c>
      <c r="G1737" s="40">
        <f>F1737/298</f>
        <v>2.5067114093959733</v>
      </c>
      <c r="H1737" s="14">
        <v>0</v>
      </c>
      <c r="I1737" s="229">
        <v>0</v>
      </c>
      <c r="J1737" s="229">
        <v>1</v>
      </c>
      <c r="K1737" s="26">
        <v>0</v>
      </c>
      <c r="L1737" s="14">
        <v>0</v>
      </c>
      <c r="M1737" s="229">
        <v>0</v>
      </c>
      <c r="N1737" s="229">
        <v>0</v>
      </c>
      <c r="O1737" s="229">
        <v>0</v>
      </c>
      <c r="P1737" s="26">
        <v>0</v>
      </c>
      <c r="Q1737" s="14">
        <v>10</v>
      </c>
      <c r="R1737" s="229">
        <v>0</v>
      </c>
      <c r="S1737" s="229">
        <v>0</v>
      </c>
      <c r="T1737" s="229">
        <v>0</v>
      </c>
      <c r="U1737" s="229">
        <v>0</v>
      </c>
      <c r="V1737" s="229">
        <v>0</v>
      </c>
      <c r="W1737" s="229">
        <v>65</v>
      </c>
      <c r="X1737" s="229">
        <v>0</v>
      </c>
      <c r="Y1737" s="229">
        <v>168</v>
      </c>
      <c r="Z1737" s="229">
        <v>0</v>
      </c>
      <c r="AA1737" s="229">
        <v>0</v>
      </c>
      <c r="AB1737" s="229">
        <v>0</v>
      </c>
      <c r="AC1737" s="12">
        <v>1</v>
      </c>
      <c r="AD1737" s="14">
        <v>1</v>
      </c>
      <c r="AE1737" s="14">
        <v>0</v>
      </c>
      <c r="AF1737" s="26">
        <v>0</v>
      </c>
      <c r="AG1737" s="12">
        <v>125</v>
      </c>
      <c r="AH1737" s="14">
        <v>0</v>
      </c>
      <c r="AI1737" s="209">
        <v>88.549499220088933</v>
      </c>
      <c r="AJ1737" s="3"/>
      <c r="AK1737" s="3"/>
      <c r="AL1737" s="3"/>
      <c r="AM1737" s="3"/>
      <c r="AN1737" s="3"/>
      <c r="AO1737" s="40"/>
      <c r="AP1737" s="209">
        <v>88.34878625104777</v>
      </c>
      <c r="AQ1737" s="3"/>
      <c r="AR1737" s="40"/>
      <c r="AS1737" s="238"/>
    </row>
    <row r="1738" spans="1:45" s="229" customFormat="1">
      <c r="A1738" s="83" t="s">
        <v>326</v>
      </c>
      <c r="B1738" s="386">
        <v>51.251333333333335</v>
      </c>
      <c r="C1738" s="24" t="s">
        <v>762</v>
      </c>
      <c r="D1738" s="229" t="s">
        <v>647</v>
      </c>
      <c r="E1738" s="229" t="s">
        <v>2</v>
      </c>
      <c r="F1738" s="229">
        <v>218</v>
      </c>
      <c r="G1738" s="40">
        <f>F1738/138</f>
        <v>1.5797101449275361</v>
      </c>
      <c r="H1738" s="14">
        <v>0</v>
      </c>
      <c r="I1738" s="229">
        <v>0</v>
      </c>
      <c r="J1738" s="229">
        <v>1</v>
      </c>
      <c r="K1738" s="26">
        <v>1</v>
      </c>
      <c r="L1738" s="14">
        <v>0</v>
      </c>
      <c r="M1738" s="229">
        <v>0</v>
      </c>
      <c r="N1738" s="229">
        <v>1</v>
      </c>
      <c r="O1738" s="229">
        <v>0</v>
      </c>
      <c r="P1738" s="26">
        <v>1</v>
      </c>
      <c r="Q1738" s="14">
        <v>5</v>
      </c>
      <c r="R1738" s="229">
        <v>0</v>
      </c>
      <c r="S1738" s="229">
        <v>0</v>
      </c>
      <c r="T1738" s="229">
        <v>0</v>
      </c>
      <c r="U1738" s="229">
        <v>0</v>
      </c>
      <c r="V1738" s="229">
        <v>0</v>
      </c>
      <c r="W1738" s="229">
        <v>0</v>
      </c>
      <c r="X1738" s="229">
        <v>0</v>
      </c>
      <c r="Y1738" s="229">
        <v>33</v>
      </c>
      <c r="Z1738" s="229">
        <v>0</v>
      </c>
      <c r="AA1738" s="229">
        <v>0</v>
      </c>
      <c r="AB1738" s="229">
        <v>0</v>
      </c>
      <c r="AC1738" s="12">
        <v>2</v>
      </c>
      <c r="AD1738" s="14">
        <v>2</v>
      </c>
      <c r="AE1738" s="14">
        <v>71</v>
      </c>
      <c r="AF1738" s="26">
        <v>218</v>
      </c>
      <c r="AG1738" s="12">
        <v>125</v>
      </c>
      <c r="AH1738" s="14">
        <v>0</v>
      </c>
      <c r="AI1738" s="209"/>
      <c r="AJ1738" s="3"/>
      <c r="AK1738" s="3"/>
      <c r="AL1738" s="3"/>
      <c r="AM1738" s="3"/>
      <c r="AN1738" s="3"/>
      <c r="AO1738" s="40"/>
      <c r="AP1738" s="209"/>
      <c r="AQ1738" s="3"/>
      <c r="AR1738" s="40"/>
      <c r="AS1738" s="238"/>
    </row>
    <row r="1739" spans="1:45" s="229" customFormat="1">
      <c r="A1739" s="83" t="s">
        <v>326</v>
      </c>
      <c r="B1739" s="386">
        <v>51.251333333333335</v>
      </c>
      <c r="C1739" s="24" t="s">
        <v>762</v>
      </c>
      <c r="D1739" s="229" t="s">
        <v>648</v>
      </c>
      <c r="E1739" s="229" t="s">
        <v>0</v>
      </c>
      <c r="F1739" s="229">
        <v>285</v>
      </c>
      <c r="G1739" s="40">
        <f>F1739/214</f>
        <v>1.3317757009345794</v>
      </c>
      <c r="H1739" s="14">
        <v>0</v>
      </c>
      <c r="I1739" s="229">
        <v>0</v>
      </c>
      <c r="J1739" s="229">
        <v>1</v>
      </c>
      <c r="K1739" s="26">
        <v>0</v>
      </c>
      <c r="L1739" s="14">
        <v>0</v>
      </c>
      <c r="M1739" s="229">
        <v>0</v>
      </c>
      <c r="N1739" s="229">
        <v>1</v>
      </c>
      <c r="O1739" s="229">
        <v>0</v>
      </c>
      <c r="P1739" s="26">
        <v>1</v>
      </c>
      <c r="Q1739" s="14">
        <v>3</v>
      </c>
      <c r="R1739" s="229">
        <v>0</v>
      </c>
      <c r="S1739" s="229">
        <v>0</v>
      </c>
      <c r="T1739" s="229">
        <v>0</v>
      </c>
      <c r="U1739" s="229">
        <v>0</v>
      </c>
      <c r="V1739" s="229">
        <v>18</v>
      </c>
      <c r="W1739" s="229">
        <v>25</v>
      </c>
      <c r="X1739" s="229">
        <v>0</v>
      </c>
      <c r="Y1739" s="229">
        <v>0</v>
      </c>
      <c r="Z1739" s="229">
        <v>0</v>
      </c>
      <c r="AA1739" s="229">
        <v>0</v>
      </c>
      <c r="AB1739" s="229">
        <v>0</v>
      </c>
      <c r="AC1739" s="12">
        <v>2</v>
      </c>
      <c r="AD1739" s="14">
        <v>2</v>
      </c>
      <c r="AE1739" s="14">
        <v>98</v>
      </c>
      <c r="AF1739" s="26">
        <v>215</v>
      </c>
      <c r="AG1739" s="12">
        <v>124</v>
      </c>
      <c r="AH1739" s="14">
        <v>0</v>
      </c>
      <c r="AI1739" s="209">
        <v>88.363428938857709</v>
      </c>
      <c r="AJ1739" s="3"/>
      <c r="AK1739" s="3"/>
      <c r="AL1739" s="3"/>
      <c r="AM1739" s="3"/>
      <c r="AN1739" s="3"/>
      <c r="AO1739" s="40"/>
      <c r="AP1739" s="209">
        <v>87.454362452637554</v>
      </c>
      <c r="AQ1739" s="3"/>
      <c r="AR1739" s="40"/>
      <c r="AS1739" s="238"/>
    </row>
    <row r="1740" spans="1:45" s="229" customFormat="1">
      <c r="A1740" s="83" t="s">
        <v>326</v>
      </c>
      <c r="B1740" s="386">
        <v>51.251333333333335</v>
      </c>
      <c r="C1740" s="24" t="s">
        <v>762</v>
      </c>
      <c r="D1740" s="229" t="s">
        <v>648</v>
      </c>
      <c r="E1740" s="229" t="s">
        <v>1</v>
      </c>
      <c r="F1740" s="229">
        <v>832</v>
      </c>
      <c r="G1740" s="40">
        <f>F1740/419</f>
        <v>1.9856801909307875</v>
      </c>
      <c r="H1740" s="14">
        <v>0</v>
      </c>
      <c r="I1740" s="229">
        <v>0</v>
      </c>
      <c r="J1740" s="229">
        <v>0</v>
      </c>
      <c r="K1740" s="26">
        <v>1</v>
      </c>
      <c r="L1740" s="14">
        <v>0</v>
      </c>
      <c r="M1740" s="229">
        <v>0</v>
      </c>
      <c r="N1740" s="229">
        <v>1</v>
      </c>
      <c r="O1740" s="229">
        <v>0</v>
      </c>
      <c r="P1740" s="26">
        <v>1</v>
      </c>
      <c r="Q1740" s="14">
        <v>1</v>
      </c>
      <c r="R1740" s="229">
        <v>0</v>
      </c>
      <c r="S1740" s="229">
        <v>0</v>
      </c>
      <c r="T1740" s="229">
        <v>0</v>
      </c>
      <c r="U1740" s="229">
        <v>0</v>
      </c>
      <c r="V1740" s="229">
        <v>9</v>
      </c>
      <c r="W1740" s="229">
        <v>23</v>
      </c>
      <c r="X1740" s="229">
        <v>0</v>
      </c>
      <c r="Y1740" s="229">
        <v>0</v>
      </c>
      <c r="Z1740" s="229">
        <v>0</v>
      </c>
      <c r="AA1740" s="229">
        <v>0</v>
      </c>
      <c r="AB1740" s="229">
        <v>0</v>
      </c>
      <c r="AC1740" s="12">
        <v>2</v>
      </c>
      <c r="AD1740" s="14">
        <v>22</v>
      </c>
      <c r="AE1740" s="14">
        <v>35</v>
      </c>
      <c r="AF1740" s="26">
        <v>187</v>
      </c>
      <c r="AG1740" s="12">
        <v>124</v>
      </c>
      <c r="AH1740" s="14">
        <v>1</v>
      </c>
      <c r="AI1740" s="209"/>
      <c r="AJ1740" s="3"/>
      <c r="AK1740" s="3"/>
      <c r="AL1740" s="3"/>
      <c r="AM1740" s="3"/>
      <c r="AN1740" s="3"/>
      <c r="AO1740" s="40"/>
      <c r="AP1740" s="209"/>
      <c r="AQ1740" s="3"/>
      <c r="AR1740" s="40"/>
      <c r="AS1740" s="238"/>
    </row>
    <row r="1741" spans="1:45" s="229" customFormat="1">
      <c r="A1741" s="83" t="s">
        <v>326</v>
      </c>
      <c r="B1741" s="386">
        <v>51.251333333333335</v>
      </c>
      <c r="C1741" s="24" t="s">
        <v>762</v>
      </c>
      <c r="D1741" s="229" t="s">
        <v>648</v>
      </c>
      <c r="E1741" s="229" t="s">
        <v>2</v>
      </c>
      <c r="F1741" s="229">
        <v>864</v>
      </c>
      <c r="G1741" s="40">
        <f>F1741/815</f>
        <v>1.0601226993865032</v>
      </c>
      <c r="H1741" s="14">
        <v>1</v>
      </c>
      <c r="I1741" s="229">
        <v>0</v>
      </c>
      <c r="J1741" s="229">
        <v>1</v>
      </c>
      <c r="K1741" s="26">
        <v>1</v>
      </c>
      <c r="L1741" s="14">
        <v>0</v>
      </c>
      <c r="M1741" s="229">
        <v>0</v>
      </c>
      <c r="N1741" s="229">
        <v>1</v>
      </c>
      <c r="O1741" s="229">
        <v>0</v>
      </c>
      <c r="P1741" s="26">
        <v>1</v>
      </c>
      <c r="Q1741" s="14">
        <v>1</v>
      </c>
      <c r="R1741" s="229">
        <v>0</v>
      </c>
      <c r="S1741" s="229">
        <v>0</v>
      </c>
      <c r="T1741" s="229">
        <v>0</v>
      </c>
      <c r="U1741" s="229">
        <v>0</v>
      </c>
      <c r="V1741" s="229">
        <v>15</v>
      </c>
      <c r="W1741" s="229">
        <v>29</v>
      </c>
      <c r="X1741" s="229">
        <v>9</v>
      </c>
      <c r="Y1741" s="229">
        <v>9</v>
      </c>
      <c r="Z1741" s="229">
        <v>9</v>
      </c>
      <c r="AA1741" s="229">
        <v>9</v>
      </c>
      <c r="AB1741" s="229">
        <v>9</v>
      </c>
      <c r="AC1741" s="12">
        <v>2</v>
      </c>
      <c r="AD1741" s="14">
        <v>18</v>
      </c>
      <c r="AE1741" s="14">
        <v>51</v>
      </c>
      <c r="AF1741" s="26">
        <v>411</v>
      </c>
      <c r="AG1741" s="12">
        <v>124</v>
      </c>
      <c r="AH1741" s="14">
        <v>1</v>
      </c>
      <c r="AI1741" s="209">
        <v>88.453513561428451</v>
      </c>
      <c r="AJ1741" s="3"/>
      <c r="AK1741" s="3"/>
      <c r="AL1741" s="3"/>
      <c r="AM1741" s="3"/>
      <c r="AN1741" s="3"/>
      <c r="AO1741" s="40"/>
      <c r="AP1741" s="209">
        <v>87.732522882291207</v>
      </c>
      <c r="AQ1741" s="3"/>
      <c r="AR1741" s="40"/>
      <c r="AS1741" s="238"/>
    </row>
    <row r="1742" spans="1:45" s="229" customFormat="1">
      <c r="A1742" s="83" t="s">
        <v>326</v>
      </c>
      <c r="B1742" s="386">
        <v>51.251333333333335</v>
      </c>
      <c r="C1742" s="24" t="s">
        <v>762</v>
      </c>
      <c r="D1742" s="229" t="s">
        <v>669</v>
      </c>
      <c r="F1742" s="229">
        <v>298</v>
      </c>
      <c r="G1742" s="40">
        <f>F1742/197</f>
        <v>1.5126903553299493</v>
      </c>
      <c r="H1742" s="14">
        <v>1</v>
      </c>
      <c r="I1742" s="229">
        <v>0</v>
      </c>
      <c r="J1742" s="229">
        <v>0</v>
      </c>
      <c r="K1742" s="26">
        <v>0</v>
      </c>
      <c r="L1742" s="14">
        <v>0</v>
      </c>
      <c r="M1742" s="229">
        <v>0</v>
      </c>
      <c r="N1742" s="229">
        <v>0</v>
      </c>
      <c r="O1742" s="229">
        <v>0</v>
      </c>
      <c r="P1742" s="26">
        <v>0</v>
      </c>
      <c r="Q1742" s="14">
        <v>5</v>
      </c>
      <c r="R1742" s="229">
        <v>0</v>
      </c>
      <c r="S1742" s="229">
        <v>0</v>
      </c>
      <c r="T1742" s="229">
        <v>0</v>
      </c>
      <c r="U1742" s="229">
        <v>0</v>
      </c>
      <c r="V1742" s="229">
        <v>0</v>
      </c>
      <c r="W1742" s="229">
        <v>48</v>
      </c>
      <c r="X1742" s="229">
        <v>0</v>
      </c>
      <c r="Y1742" s="229">
        <v>0</v>
      </c>
      <c r="Z1742" s="229">
        <v>0</v>
      </c>
      <c r="AA1742" s="229">
        <v>0</v>
      </c>
      <c r="AB1742" s="229">
        <v>0</v>
      </c>
      <c r="AC1742" s="12">
        <v>1</v>
      </c>
      <c r="AD1742" s="14">
        <v>1</v>
      </c>
      <c r="AE1742" s="14">
        <v>0</v>
      </c>
      <c r="AF1742" s="26">
        <v>0</v>
      </c>
      <c r="AG1742" s="12">
        <v>91</v>
      </c>
      <c r="AH1742" s="14">
        <v>0</v>
      </c>
      <c r="AI1742" s="209"/>
      <c r="AJ1742" s="3"/>
      <c r="AK1742" s="3"/>
      <c r="AL1742" s="3"/>
      <c r="AM1742" s="3"/>
      <c r="AN1742" s="3"/>
      <c r="AO1742" s="40"/>
      <c r="AP1742" s="209"/>
      <c r="AQ1742" s="3"/>
      <c r="AR1742" s="40"/>
      <c r="AS1742" s="238"/>
    </row>
    <row r="1743" spans="1:45" s="229" customFormat="1">
      <c r="A1743" s="83" t="s">
        <v>326</v>
      </c>
      <c r="B1743" s="386">
        <v>51.251333333333335</v>
      </c>
      <c r="C1743" s="24" t="s">
        <v>762</v>
      </c>
      <c r="D1743" s="229" t="s">
        <v>670</v>
      </c>
      <c r="E1743" s="229" t="s">
        <v>0</v>
      </c>
      <c r="F1743" s="229">
        <v>84</v>
      </c>
      <c r="G1743" s="40">
        <f>F1743/70</f>
        <v>1.2</v>
      </c>
      <c r="H1743" s="14">
        <v>0</v>
      </c>
      <c r="I1743" s="229">
        <v>0</v>
      </c>
      <c r="J1743" s="229">
        <v>1</v>
      </c>
      <c r="K1743" s="26">
        <v>0</v>
      </c>
      <c r="L1743" s="14">
        <v>0</v>
      </c>
      <c r="M1743" s="229">
        <v>0</v>
      </c>
      <c r="N1743" s="229">
        <v>1</v>
      </c>
      <c r="O1743" s="229">
        <v>0</v>
      </c>
      <c r="P1743" s="26">
        <v>1</v>
      </c>
      <c r="Q1743" s="14">
        <v>0</v>
      </c>
      <c r="R1743" s="229">
        <v>0</v>
      </c>
      <c r="S1743" s="229">
        <v>0</v>
      </c>
      <c r="T1743" s="229">
        <v>0</v>
      </c>
      <c r="U1743" s="229">
        <v>0</v>
      </c>
      <c r="V1743" s="229">
        <v>0</v>
      </c>
      <c r="W1743" s="229">
        <v>0</v>
      </c>
      <c r="X1743" s="229">
        <v>0</v>
      </c>
      <c r="Y1743" s="229">
        <v>0</v>
      </c>
      <c r="Z1743" s="229">
        <v>0</v>
      </c>
      <c r="AA1743" s="229">
        <v>0</v>
      </c>
      <c r="AB1743" s="229">
        <v>0</v>
      </c>
      <c r="AC1743" s="12">
        <v>1</v>
      </c>
      <c r="AD1743" s="14">
        <v>1</v>
      </c>
      <c r="AE1743" s="14">
        <v>0</v>
      </c>
      <c r="AF1743" s="26">
        <v>0</v>
      </c>
      <c r="AG1743" s="12">
        <v>112</v>
      </c>
      <c r="AH1743" s="14">
        <v>0</v>
      </c>
      <c r="AI1743" s="209"/>
      <c r="AJ1743" s="3"/>
      <c r="AK1743" s="3"/>
      <c r="AL1743" s="3"/>
      <c r="AM1743" s="3"/>
      <c r="AN1743" s="3"/>
      <c r="AO1743" s="40"/>
      <c r="AP1743" s="209"/>
      <c r="AQ1743" s="3"/>
      <c r="AR1743" s="40"/>
      <c r="AS1743" s="238"/>
    </row>
    <row r="1744" spans="1:45" s="229" customFormat="1">
      <c r="A1744" s="83" t="s">
        <v>326</v>
      </c>
      <c r="B1744" s="386">
        <v>51.251333333333335</v>
      </c>
      <c r="C1744" s="24" t="s">
        <v>762</v>
      </c>
      <c r="D1744" s="229" t="s">
        <v>670</v>
      </c>
      <c r="E1744" s="229" t="s">
        <v>1</v>
      </c>
      <c r="F1744" s="229">
        <v>301</v>
      </c>
      <c r="G1744" s="40">
        <f>F1744/136</f>
        <v>2.2132352941176472</v>
      </c>
      <c r="H1744" s="14">
        <v>0</v>
      </c>
      <c r="I1744" s="229">
        <v>0</v>
      </c>
      <c r="J1744" s="229">
        <v>1</v>
      </c>
      <c r="K1744" s="26">
        <v>1</v>
      </c>
      <c r="L1744" s="14">
        <v>0</v>
      </c>
      <c r="M1744" s="229">
        <v>0</v>
      </c>
      <c r="N1744" s="229">
        <v>1</v>
      </c>
      <c r="O1744" s="229">
        <v>0</v>
      </c>
      <c r="P1744" s="26">
        <v>1</v>
      </c>
      <c r="Q1744" s="14">
        <v>5</v>
      </c>
      <c r="R1744" s="229">
        <v>0</v>
      </c>
      <c r="S1744" s="229">
        <v>0</v>
      </c>
      <c r="T1744" s="229">
        <v>0</v>
      </c>
      <c r="U1744" s="229">
        <v>0</v>
      </c>
      <c r="V1744" s="229">
        <v>2</v>
      </c>
      <c r="W1744" s="229">
        <v>26</v>
      </c>
      <c r="X1744" s="229">
        <v>0</v>
      </c>
      <c r="Y1744" s="229">
        <v>0</v>
      </c>
      <c r="Z1744" s="229">
        <v>0</v>
      </c>
      <c r="AA1744" s="229">
        <v>26</v>
      </c>
      <c r="AB1744" s="229">
        <v>0</v>
      </c>
      <c r="AC1744" s="12">
        <v>2</v>
      </c>
      <c r="AD1744" s="14">
        <v>6</v>
      </c>
      <c r="AE1744" s="14">
        <v>84</v>
      </c>
      <c r="AF1744" s="26">
        <v>121</v>
      </c>
      <c r="AG1744" s="12">
        <v>112</v>
      </c>
      <c r="AH1744" s="14">
        <v>1</v>
      </c>
      <c r="AI1744" s="209"/>
      <c r="AJ1744" s="3"/>
      <c r="AK1744" s="3"/>
      <c r="AL1744" s="3"/>
      <c r="AM1744" s="3"/>
      <c r="AN1744" s="3"/>
      <c r="AO1744" s="40"/>
      <c r="AP1744" s="209"/>
      <c r="AQ1744" s="3"/>
      <c r="AR1744" s="40"/>
      <c r="AS1744" s="238"/>
    </row>
    <row r="1745" spans="1:45" s="229" customFormat="1">
      <c r="A1745" s="83" t="s">
        <v>326</v>
      </c>
      <c r="B1745" s="386">
        <v>51.251333333333335</v>
      </c>
      <c r="C1745" s="24" t="s">
        <v>762</v>
      </c>
      <c r="D1745" s="229" t="s">
        <v>671</v>
      </c>
      <c r="E1745" s="229" t="s">
        <v>0</v>
      </c>
      <c r="F1745" s="229">
        <v>257</v>
      </c>
      <c r="G1745" s="40">
        <f>F1745/114</f>
        <v>2.2543859649122808</v>
      </c>
      <c r="H1745" s="14">
        <v>0</v>
      </c>
      <c r="I1745" s="229">
        <v>0</v>
      </c>
      <c r="J1745" s="229">
        <v>0</v>
      </c>
      <c r="K1745" s="26">
        <v>1</v>
      </c>
      <c r="L1745" s="14">
        <v>0</v>
      </c>
      <c r="M1745" s="229">
        <v>0</v>
      </c>
      <c r="N1745" s="229">
        <v>1</v>
      </c>
      <c r="O1745" s="229">
        <v>0</v>
      </c>
      <c r="P1745" s="26">
        <v>1</v>
      </c>
      <c r="Q1745" s="14">
        <v>0</v>
      </c>
      <c r="R1745" s="229">
        <v>0</v>
      </c>
      <c r="S1745" s="229">
        <v>0</v>
      </c>
      <c r="T1745" s="229">
        <v>0</v>
      </c>
      <c r="U1745" s="229">
        <v>0</v>
      </c>
      <c r="V1745" s="229">
        <v>0</v>
      </c>
      <c r="W1745" s="229">
        <v>0</v>
      </c>
      <c r="X1745" s="229">
        <v>0</v>
      </c>
      <c r="Y1745" s="229">
        <v>0</v>
      </c>
      <c r="Z1745" s="229">
        <v>0</v>
      </c>
      <c r="AA1745" s="229">
        <v>0</v>
      </c>
      <c r="AB1745" s="229">
        <v>0</v>
      </c>
      <c r="AC1745" s="12">
        <v>2</v>
      </c>
      <c r="AD1745" s="14">
        <v>4</v>
      </c>
      <c r="AE1745" s="14">
        <v>41</v>
      </c>
      <c r="AF1745" s="26">
        <v>112</v>
      </c>
      <c r="AG1745" s="12">
        <v>106</v>
      </c>
      <c r="AH1745" s="14">
        <v>1</v>
      </c>
      <c r="AI1745" s="209"/>
      <c r="AJ1745" s="3"/>
      <c r="AK1745" s="3"/>
      <c r="AL1745" s="3"/>
      <c r="AM1745" s="3"/>
      <c r="AN1745" s="3"/>
      <c r="AO1745" s="40"/>
      <c r="AP1745" s="209"/>
      <c r="AQ1745" s="3"/>
      <c r="AR1745" s="40"/>
      <c r="AS1745" s="238"/>
    </row>
    <row r="1746" spans="1:45" s="229" customFormat="1">
      <c r="A1746" s="83" t="s">
        <v>326</v>
      </c>
      <c r="B1746" s="386">
        <v>51.251333333333335</v>
      </c>
      <c r="C1746" s="24" t="s">
        <v>762</v>
      </c>
      <c r="D1746" s="229" t="s">
        <v>671</v>
      </c>
      <c r="E1746" s="229" t="s">
        <v>1</v>
      </c>
      <c r="F1746" s="229">
        <v>489</v>
      </c>
      <c r="G1746" s="40">
        <f>F1746/292</f>
        <v>1.6746575342465753</v>
      </c>
      <c r="H1746" s="14">
        <v>0</v>
      </c>
      <c r="I1746" s="229">
        <v>0</v>
      </c>
      <c r="J1746" s="229">
        <v>1</v>
      </c>
      <c r="K1746" s="26">
        <v>0</v>
      </c>
      <c r="L1746" s="14">
        <v>0</v>
      </c>
      <c r="M1746" s="229">
        <v>0</v>
      </c>
      <c r="N1746" s="229">
        <v>1</v>
      </c>
      <c r="O1746" s="229">
        <v>0</v>
      </c>
      <c r="P1746" s="26">
        <v>1</v>
      </c>
      <c r="Q1746" s="14">
        <v>2</v>
      </c>
      <c r="R1746" s="229">
        <v>0</v>
      </c>
      <c r="S1746" s="229">
        <v>0</v>
      </c>
      <c r="T1746" s="229">
        <v>0</v>
      </c>
      <c r="U1746" s="229">
        <v>0</v>
      </c>
      <c r="V1746" s="229">
        <v>9</v>
      </c>
      <c r="W1746" s="229">
        <v>198</v>
      </c>
      <c r="X1746" s="229">
        <v>0</v>
      </c>
      <c r="Y1746" s="229">
        <v>0</v>
      </c>
      <c r="Z1746" s="229">
        <v>0</v>
      </c>
      <c r="AA1746" s="229">
        <v>0</v>
      </c>
      <c r="AB1746" s="229">
        <v>0</v>
      </c>
      <c r="AC1746" s="12">
        <v>1</v>
      </c>
      <c r="AD1746" s="14">
        <v>1</v>
      </c>
      <c r="AE1746" s="14">
        <v>0</v>
      </c>
      <c r="AF1746" s="26">
        <v>0</v>
      </c>
      <c r="AG1746" s="12">
        <v>106</v>
      </c>
      <c r="AH1746" s="14">
        <v>1</v>
      </c>
      <c r="AI1746" s="209"/>
      <c r="AJ1746" s="3"/>
      <c r="AK1746" s="3"/>
      <c r="AL1746" s="3"/>
      <c r="AM1746" s="3"/>
      <c r="AN1746" s="3"/>
      <c r="AO1746" s="40"/>
      <c r="AP1746" s="209"/>
      <c r="AQ1746" s="3"/>
      <c r="AR1746" s="40"/>
      <c r="AS1746" s="238"/>
    </row>
    <row r="1747" spans="1:45" s="229" customFormat="1">
      <c r="A1747" s="83" t="s">
        <v>326</v>
      </c>
      <c r="B1747" s="386">
        <v>51.251333333333335</v>
      </c>
      <c r="C1747" s="24" t="s">
        <v>762</v>
      </c>
      <c r="D1747" s="229" t="s">
        <v>671</v>
      </c>
      <c r="E1747" s="229" t="s">
        <v>2</v>
      </c>
      <c r="F1747" s="229">
        <v>195</v>
      </c>
      <c r="G1747" s="40">
        <f>F1747/181</f>
        <v>1.0773480662983426</v>
      </c>
      <c r="H1747" s="14">
        <v>0</v>
      </c>
      <c r="I1747" s="229">
        <v>0</v>
      </c>
      <c r="J1747" s="229">
        <v>1</v>
      </c>
      <c r="K1747" s="26">
        <v>0</v>
      </c>
      <c r="L1747" s="14">
        <v>0</v>
      </c>
      <c r="M1747" s="229">
        <v>0</v>
      </c>
      <c r="N1747" s="229">
        <v>0</v>
      </c>
      <c r="O1747" s="229">
        <v>0</v>
      </c>
      <c r="P1747" s="26">
        <v>0</v>
      </c>
      <c r="Q1747" s="14">
        <v>0</v>
      </c>
      <c r="R1747" s="229">
        <v>0</v>
      </c>
      <c r="S1747" s="229">
        <v>0</v>
      </c>
      <c r="T1747" s="229">
        <v>0</v>
      </c>
      <c r="U1747" s="229">
        <v>0</v>
      </c>
      <c r="V1747" s="229">
        <v>0</v>
      </c>
      <c r="W1747" s="229">
        <v>0</v>
      </c>
      <c r="X1747" s="229">
        <v>0</v>
      </c>
      <c r="Y1747" s="229">
        <v>0</v>
      </c>
      <c r="Z1747" s="229">
        <v>0</v>
      </c>
      <c r="AA1747" s="229">
        <v>0</v>
      </c>
      <c r="AB1747" s="229">
        <v>0</v>
      </c>
      <c r="AC1747" s="12">
        <v>1</v>
      </c>
      <c r="AD1747" s="14">
        <v>1</v>
      </c>
      <c r="AE1747" s="14">
        <v>0</v>
      </c>
      <c r="AF1747" s="26">
        <v>0</v>
      </c>
      <c r="AG1747" s="12">
        <v>106</v>
      </c>
      <c r="AH1747" s="14">
        <v>0</v>
      </c>
      <c r="AI1747" s="209"/>
      <c r="AJ1747" s="3"/>
      <c r="AK1747" s="3"/>
      <c r="AL1747" s="3"/>
      <c r="AM1747" s="3"/>
      <c r="AN1747" s="3"/>
      <c r="AO1747" s="40"/>
      <c r="AP1747" s="209"/>
      <c r="AQ1747" s="3"/>
      <c r="AR1747" s="40"/>
      <c r="AS1747" s="238"/>
    </row>
    <row r="1748" spans="1:45" s="229" customFormat="1">
      <c r="A1748" s="83" t="s">
        <v>326</v>
      </c>
      <c r="B1748" s="386">
        <v>51.251333333333335</v>
      </c>
      <c r="C1748" s="24" t="s">
        <v>762</v>
      </c>
      <c r="D1748" s="229" t="s">
        <v>672</v>
      </c>
      <c r="E1748" s="229" t="s">
        <v>0</v>
      </c>
      <c r="F1748" s="229">
        <v>319</v>
      </c>
      <c r="G1748" s="40">
        <f>F1748/288</f>
        <v>1.1076388888888888</v>
      </c>
      <c r="H1748" s="14">
        <v>0</v>
      </c>
      <c r="I1748" s="229">
        <v>0</v>
      </c>
      <c r="J1748" s="229">
        <v>1</v>
      </c>
      <c r="K1748" s="26">
        <v>0</v>
      </c>
      <c r="L1748" s="14">
        <v>0</v>
      </c>
      <c r="M1748" s="229">
        <v>0</v>
      </c>
      <c r="N1748" s="229">
        <v>0</v>
      </c>
      <c r="O1748" s="229">
        <v>0</v>
      </c>
      <c r="P1748" s="26">
        <v>0</v>
      </c>
      <c r="Q1748" s="14">
        <v>25</v>
      </c>
      <c r="R1748" s="229">
        <v>0</v>
      </c>
      <c r="S1748" s="229">
        <v>146</v>
      </c>
      <c r="T1748" s="229">
        <v>0</v>
      </c>
      <c r="U1748" s="229">
        <v>0</v>
      </c>
      <c r="V1748" s="229">
        <v>0</v>
      </c>
      <c r="W1748" s="229">
        <v>0</v>
      </c>
      <c r="X1748" s="229">
        <v>0</v>
      </c>
      <c r="Y1748" s="229">
        <v>0</v>
      </c>
      <c r="Z1748" s="229">
        <v>0</v>
      </c>
      <c r="AA1748" s="229">
        <v>0</v>
      </c>
      <c r="AB1748" s="229">
        <v>0</v>
      </c>
      <c r="AC1748" s="12">
        <v>1</v>
      </c>
      <c r="AD1748" s="14">
        <v>1</v>
      </c>
      <c r="AE1748" s="14">
        <v>0</v>
      </c>
      <c r="AF1748" s="26">
        <v>0</v>
      </c>
      <c r="AG1748" s="12">
        <v>119</v>
      </c>
      <c r="AH1748" s="14">
        <v>1</v>
      </c>
      <c r="AI1748" s="209"/>
      <c r="AJ1748" s="3"/>
      <c r="AK1748" s="3"/>
      <c r="AL1748" s="3"/>
      <c r="AM1748" s="3"/>
      <c r="AN1748" s="3"/>
      <c r="AO1748" s="40"/>
      <c r="AP1748" s="209"/>
      <c r="AQ1748" s="3"/>
      <c r="AR1748" s="40"/>
      <c r="AS1748" s="238"/>
    </row>
    <row r="1749" spans="1:45" s="229" customFormat="1">
      <c r="A1749" s="83" t="s">
        <v>326</v>
      </c>
      <c r="B1749" s="386">
        <v>51.251333333333335</v>
      </c>
      <c r="C1749" s="24" t="s">
        <v>762</v>
      </c>
      <c r="D1749" s="229" t="s">
        <v>672</v>
      </c>
      <c r="E1749" s="229" t="s">
        <v>1</v>
      </c>
      <c r="F1749" s="229">
        <v>438</v>
      </c>
      <c r="G1749" s="40">
        <f>F1749/234</f>
        <v>1.8717948717948718</v>
      </c>
      <c r="H1749" s="14">
        <v>0</v>
      </c>
      <c r="I1749" s="229">
        <v>0</v>
      </c>
      <c r="J1749" s="229">
        <v>0</v>
      </c>
      <c r="K1749" s="26">
        <v>1</v>
      </c>
      <c r="L1749" s="14">
        <v>0</v>
      </c>
      <c r="M1749" s="229">
        <v>0</v>
      </c>
      <c r="N1749" s="229">
        <v>0</v>
      </c>
      <c r="O1749" s="229">
        <v>0</v>
      </c>
      <c r="P1749" s="26">
        <v>0</v>
      </c>
      <c r="Q1749" s="14">
        <v>10</v>
      </c>
      <c r="R1749" s="229">
        <v>0</v>
      </c>
      <c r="S1749" s="229">
        <v>5</v>
      </c>
      <c r="T1749" s="229">
        <v>0</v>
      </c>
      <c r="U1749" s="229">
        <v>0</v>
      </c>
      <c r="V1749" s="229">
        <v>11</v>
      </c>
      <c r="W1749" s="229">
        <v>99</v>
      </c>
      <c r="X1749" s="229">
        <v>0</v>
      </c>
      <c r="Y1749" s="229">
        <v>0</v>
      </c>
      <c r="Z1749" s="229">
        <v>0</v>
      </c>
      <c r="AA1749" s="229">
        <v>0</v>
      </c>
      <c r="AB1749" s="229">
        <v>0</v>
      </c>
      <c r="AC1749" s="12">
        <v>2</v>
      </c>
      <c r="AD1749" s="14">
        <v>5</v>
      </c>
      <c r="AE1749" s="14">
        <v>79</v>
      </c>
      <c r="AF1749" s="26">
        <v>237</v>
      </c>
      <c r="AG1749" s="12">
        <v>119</v>
      </c>
      <c r="AH1749" s="14">
        <v>1</v>
      </c>
      <c r="AI1749" s="209"/>
      <c r="AJ1749" s="3"/>
      <c r="AK1749" s="3"/>
      <c r="AL1749" s="3"/>
      <c r="AM1749" s="3"/>
      <c r="AN1749" s="3"/>
      <c r="AO1749" s="40"/>
      <c r="AP1749" s="209"/>
      <c r="AQ1749" s="3"/>
      <c r="AR1749" s="40"/>
      <c r="AS1749" s="238"/>
    </row>
    <row r="1750" spans="1:45" s="229" customFormat="1">
      <c r="A1750" s="83" t="s">
        <v>326</v>
      </c>
      <c r="B1750" s="386">
        <v>51.251333333333335</v>
      </c>
      <c r="C1750" s="24" t="s">
        <v>762</v>
      </c>
      <c r="D1750" s="229" t="s">
        <v>677</v>
      </c>
      <c r="E1750" s="229" t="s">
        <v>0</v>
      </c>
      <c r="F1750" s="229">
        <v>92</v>
      </c>
      <c r="G1750" s="40">
        <f>F1750/42</f>
        <v>2.1904761904761907</v>
      </c>
      <c r="H1750" s="14">
        <v>0</v>
      </c>
      <c r="I1750" s="229">
        <v>0</v>
      </c>
      <c r="J1750" s="229">
        <v>0</v>
      </c>
      <c r="K1750" s="26">
        <v>1</v>
      </c>
      <c r="L1750" s="14">
        <v>0</v>
      </c>
      <c r="M1750" s="229">
        <v>0</v>
      </c>
      <c r="N1750" s="229">
        <v>1</v>
      </c>
      <c r="O1750" s="229">
        <v>0</v>
      </c>
      <c r="P1750" s="26">
        <v>1</v>
      </c>
      <c r="Q1750" s="14">
        <v>0</v>
      </c>
      <c r="R1750" s="229">
        <v>0</v>
      </c>
      <c r="S1750" s="229">
        <v>0</v>
      </c>
      <c r="T1750" s="229">
        <v>0</v>
      </c>
      <c r="U1750" s="229">
        <v>0</v>
      </c>
      <c r="V1750" s="229">
        <v>0</v>
      </c>
      <c r="W1750" s="229">
        <v>0</v>
      </c>
      <c r="X1750" s="229">
        <v>0</v>
      </c>
      <c r="Y1750" s="229">
        <v>0</v>
      </c>
      <c r="Z1750" s="229">
        <v>0</v>
      </c>
      <c r="AA1750" s="229">
        <v>0</v>
      </c>
      <c r="AB1750" s="229">
        <v>0</v>
      </c>
      <c r="AC1750" s="12">
        <v>1</v>
      </c>
      <c r="AD1750" s="14">
        <v>1</v>
      </c>
      <c r="AE1750" s="14">
        <v>0</v>
      </c>
      <c r="AF1750" s="26">
        <v>0</v>
      </c>
      <c r="AG1750" s="12">
        <v>94</v>
      </c>
      <c r="AH1750" s="14">
        <v>0</v>
      </c>
      <c r="AI1750" s="209"/>
      <c r="AJ1750" s="3"/>
      <c r="AK1750" s="3"/>
      <c r="AL1750" s="3"/>
      <c r="AM1750" s="3"/>
      <c r="AN1750" s="3"/>
      <c r="AO1750" s="40"/>
      <c r="AP1750" s="209"/>
      <c r="AQ1750" s="3"/>
      <c r="AR1750" s="40"/>
      <c r="AS1750" s="238"/>
    </row>
    <row r="1751" spans="1:45" s="229" customFormat="1">
      <c r="A1751" s="83" t="s">
        <v>326</v>
      </c>
      <c r="B1751" s="386">
        <v>51.251333333333335</v>
      </c>
      <c r="C1751" s="24" t="s">
        <v>762</v>
      </c>
      <c r="D1751" s="229" t="s">
        <v>677</v>
      </c>
      <c r="E1751" s="229" t="s">
        <v>1</v>
      </c>
      <c r="F1751" s="229">
        <v>277</v>
      </c>
      <c r="G1751" s="40">
        <f>F1751/202</f>
        <v>1.3712871287128714</v>
      </c>
      <c r="H1751" s="14">
        <v>0</v>
      </c>
      <c r="I1751" s="229">
        <v>0</v>
      </c>
      <c r="J1751" s="229">
        <v>1</v>
      </c>
      <c r="K1751" s="26">
        <v>0</v>
      </c>
      <c r="L1751" s="14">
        <v>0</v>
      </c>
      <c r="M1751" s="229">
        <v>0</v>
      </c>
      <c r="N1751" s="229">
        <v>1</v>
      </c>
      <c r="O1751" s="229">
        <v>0</v>
      </c>
      <c r="P1751" s="26">
        <v>1</v>
      </c>
      <c r="Q1751" s="14">
        <v>3</v>
      </c>
      <c r="R1751" s="229">
        <v>0</v>
      </c>
      <c r="S1751" s="229">
        <v>23</v>
      </c>
      <c r="T1751" s="229">
        <v>0</v>
      </c>
      <c r="U1751" s="229">
        <v>0</v>
      </c>
      <c r="V1751" s="229">
        <v>0</v>
      </c>
      <c r="W1751" s="229">
        <v>28</v>
      </c>
      <c r="X1751" s="229">
        <v>0</v>
      </c>
      <c r="Y1751" s="229">
        <v>0</v>
      </c>
      <c r="Z1751" s="229">
        <v>0</v>
      </c>
      <c r="AA1751" s="229">
        <v>0</v>
      </c>
      <c r="AB1751" s="229">
        <v>0</v>
      </c>
      <c r="AC1751" s="12">
        <v>1</v>
      </c>
      <c r="AD1751" s="14">
        <v>1</v>
      </c>
      <c r="AE1751" s="14">
        <v>0</v>
      </c>
      <c r="AF1751" s="26">
        <v>0</v>
      </c>
      <c r="AG1751" s="12">
        <v>94</v>
      </c>
      <c r="AH1751" s="14">
        <v>0</v>
      </c>
      <c r="AI1751" s="209"/>
      <c r="AJ1751" s="3"/>
      <c r="AK1751" s="3"/>
      <c r="AL1751" s="3"/>
      <c r="AM1751" s="3"/>
      <c r="AN1751" s="3"/>
      <c r="AO1751" s="40"/>
      <c r="AP1751" s="209"/>
      <c r="AQ1751" s="3"/>
      <c r="AR1751" s="40"/>
      <c r="AS1751" s="238"/>
    </row>
    <row r="1752" spans="1:45" s="229" customFormat="1">
      <c r="A1752" s="83" t="s">
        <v>326</v>
      </c>
      <c r="B1752" s="386">
        <v>51.251333333333335</v>
      </c>
      <c r="C1752" s="24" t="s">
        <v>762</v>
      </c>
      <c r="D1752" s="229" t="s">
        <v>677</v>
      </c>
      <c r="E1752" s="229" t="s">
        <v>2</v>
      </c>
      <c r="F1752" s="229">
        <v>366</v>
      </c>
      <c r="G1752" s="40">
        <f>F1752/170</f>
        <v>2.1529411764705881</v>
      </c>
      <c r="H1752" s="14">
        <v>0</v>
      </c>
      <c r="I1752" s="229">
        <v>0</v>
      </c>
      <c r="J1752" s="229">
        <v>1</v>
      </c>
      <c r="K1752" s="26">
        <v>1</v>
      </c>
      <c r="L1752" s="14">
        <v>0</v>
      </c>
      <c r="M1752" s="229">
        <v>0</v>
      </c>
      <c r="N1752" s="229">
        <v>1</v>
      </c>
      <c r="O1752" s="229">
        <v>0</v>
      </c>
      <c r="P1752" s="26">
        <v>1</v>
      </c>
      <c r="Q1752" s="14">
        <v>3</v>
      </c>
      <c r="R1752" s="229">
        <v>0</v>
      </c>
      <c r="S1752" s="229">
        <v>10</v>
      </c>
      <c r="T1752" s="229">
        <v>0</v>
      </c>
      <c r="U1752" s="229">
        <v>0</v>
      </c>
      <c r="V1752" s="229">
        <v>11</v>
      </c>
      <c r="W1752" s="229">
        <v>50</v>
      </c>
      <c r="X1752" s="229">
        <v>0</v>
      </c>
      <c r="Y1752" s="229">
        <v>0</v>
      </c>
      <c r="Z1752" s="229">
        <v>0</v>
      </c>
      <c r="AA1752" s="229">
        <v>0</v>
      </c>
      <c r="AB1752" s="229">
        <v>0</v>
      </c>
      <c r="AC1752" s="12">
        <v>2</v>
      </c>
      <c r="AD1752" s="14">
        <v>7</v>
      </c>
      <c r="AE1752" s="14">
        <v>40</v>
      </c>
      <c r="AF1752" s="26">
        <v>172</v>
      </c>
      <c r="AG1752" s="12">
        <v>94</v>
      </c>
      <c r="AH1752" s="14">
        <v>0</v>
      </c>
      <c r="AI1752" s="209"/>
      <c r="AJ1752" s="3"/>
      <c r="AK1752" s="3"/>
      <c r="AL1752" s="3"/>
      <c r="AM1752" s="3"/>
      <c r="AN1752" s="3"/>
      <c r="AO1752" s="40"/>
      <c r="AP1752" s="209"/>
      <c r="AQ1752" s="3"/>
      <c r="AR1752" s="40"/>
      <c r="AS1752" s="238"/>
    </row>
    <row r="1753" spans="1:45" s="229" customFormat="1">
      <c r="A1753" s="83" t="s">
        <v>326</v>
      </c>
      <c r="B1753" s="386">
        <v>51.251333333333335</v>
      </c>
      <c r="C1753" s="24" t="s">
        <v>762</v>
      </c>
      <c r="D1753" s="229" t="s">
        <v>678</v>
      </c>
      <c r="E1753" s="229" t="s">
        <v>0</v>
      </c>
      <c r="F1753" s="229">
        <v>266</v>
      </c>
      <c r="G1753" s="40">
        <f>F1753/167</f>
        <v>1.5928143712574849</v>
      </c>
      <c r="H1753" s="14">
        <v>0</v>
      </c>
      <c r="I1753" s="229">
        <v>0</v>
      </c>
      <c r="J1753" s="229">
        <v>1</v>
      </c>
      <c r="K1753" s="26">
        <v>0</v>
      </c>
      <c r="L1753" s="14">
        <v>0</v>
      </c>
      <c r="M1753" s="229">
        <v>0</v>
      </c>
      <c r="N1753" s="229">
        <v>1</v>
      </c>
      <c r="O1753" s="229">
        <v>0</v>
      </c>
      <c r="P1753" s="26">
        <v>1</v>
      </c>
      <c r="Q1753" s="14">
        <v>2</v>
      </c>
      <c r="R1753" s="229">
        <v>0</v>
      </c>
      <c r="S1753" s="229">
        <v>5</v>
      </c>
      <c r="T1753" s="229">
        <v>0</v>
      </c>
      <c r="U1753" s="229">
        <v>0</v>
      </c>
      <c r="V1753" s="229">
        <v>5</v>
      </c>
      <c r="W1753" s="229">
        <v>16</v>
      </c>
      <c r="X1753" s="229">
        <v>0</v>
      </c>
      <c r="Y1753" s="229">
        <v>0</v>
      </c>
      <c r="Z1753" s="229">
        <v>0</v>
      </c>
      <c r="AA1753" s="229">
        <v>0</v>
      </c>
      <c r="AB1753" s="229">
        <v>0</v>
      </c>
      <c r="AC1753" s="12">
        <v>2</v>
      </c>
      <c r="AD1753" s="14">
        <v>2</v>
      </c>
      <c r="AE1753" s="14">
        <v>151</v>
      </c>
      <c r="AF1753" s="26">
        <v>189</v>
      </c>
      <c r="AG1753" s="12">
        <v>93</v>
      </c>
      <c r="AH1753" s="14">
        <v>0</v>
      </c>
      <c r="AI1753" s="209"/>
      <c r="AJ1753" s="3"/>
      <c r="AK1753" s="3"/>
      <c r="AL1753" s="3"/>
      <c r="AM1753" s="3"/>
      <c r="AN1753" s="3"/>
      <c r="AO1753" s="40"/>
      <c r="AP1753" s="209"/>
      <c r="AQ1753" s="3"/>
      <c r="AR1753" s="40"/>
      <c r="AS1753" s="238"/>
    </row>
    <row r="1754" spans="1:45" s="229" customFormat="1">
      <c r="A1754" s="83" t="s">
        <v>326</v>
      </c>
      <c r="B1754" s="386">
        <v>51.251333333333335</v>
      </c>
      <c r="C1754" s="24" t="s">
        <v>762</v>
      </c>
      <c r="D1754" s="229" t="s">
        <v>678</v>
      </c>
      <c r="E1754" s="229" t="s">
        <v>1</v>
      </c>
      <c r="F1754" s="229">
        <v>282</v>
      </c>
      <c r="G1754" s="40">
        <f>F1754/21</f>
        <v>13.428571428571429</v>
      </c>
      <c r="H1754" s="14">
        <v>0</v>
      </c>
      <c r="I1754" s="229">
        <v>0</v>
      </c>
      <c r="J1754" s="229">
        <v>1</v>
      </c>
      <c r="K1754" s="26">
        <v>0</v>
      </c>
      <c r="L1754" s="14">
        <v>0</v>
      </c>
      <c r="M1754" s="229">
        <v>0</v>
      </c>
      <c r="N1754" s="229">
        <v>1</v>
      </c>
      <c r="O1754" s="229">
        <v>0</v>
      </c>
      <c r="P1754" s="26">
        <v>1</v>
      </c>
      <c r="Q1754" s="14">
        <v>0</v>
      </c>
      <c r="R1754" s="229">
        <v>0</v>
      </c>
      <c r="S1754" s="229">
        <v>0</v>
      </c>
      <c r="T1754" s="229">
        <v>0</v>
      </c>
      <c r="U1754" s="229">
        <v>0</v>
      </c>
      <c r="V1754" s="229">
        <v>0</v>
      </c>
      <c r="W1754" s="229">
        <v>0</v>
      </c>
      <c r="X1754" s="229">
        <v>0</v>
      </c>
      <c r="Y1754" s="229">
        <v>0</v>
      </c>
      <c r="Z1754" s="229">
        <v>0</v>
      </c>
      <c r="AA1754" s="229">
        <v>0</v>
      </c>
      <c r="AB1754" s="229">
        <v>0</v>
      </c>
      <c r="AC1754" s="12">
        <v>1</v>
      </c>
      <c r="AD1754" s="14">
        <v>1</v>
      </c>
      <c r="AE1754" s="14">
        <v>0</v>
      </c>
      <c r="AF1754" s="26">
        <v>0</v>
      </c>
      <c r="AG1754" s="12">
        <v>93</v>
      </c>
      <c r="AH1754" s="14">
        <v>0</v>
      </c>
      <c r="AI1754" s="209"/>
      <c r="AJ1754" s="3"/>
      <c r="AK1754" s="3"/>
      <c r="AL1754" s="3"/>
      <c r="AM1754" s="3"/>
      <c r="AN1754" s="3"/>
      <c r="AO1754" s="40"/>
      <c r="AP1754" s="209"/>
      <c r="AQ1754" s="3"/>
      <c r="AR1754" s="40"/>
      <c r="AS1754" s="238"/>
    </row>
    <row r="1755" spans="1:45" s="229" customFormat="1">
      <c r="A1755" s="83" t="s">
        <v>326</v>
      </c>
      <c r="B1755" s="386">
        <v>51.251333333333335</v>
      </c>
      <c r="C1755" s="24" t="s">
        <v>762</v>
      </c>
      <c r="D1755" s="229" t="s">
        <v>682</v>
      </c>
      <c r="F1755" s="229">
        <v>1152</v>
      </c>
      <c r="G1755" s="40">
        <f>F1755/414</f>
        <v>2.7826086956521738</v>
      </c>
      <c r="H1755" s="14">
        <v>0</v>
      </c>
      <c r="I1755" s="229">
        <v>0</v>
      </c>
      <c r="J1755" s="229">
        <v>1</v>
      </c>
      <c r="K1755" s="26">
        <v>1</v>
      </c>
      <c r="L1755" s="14">
        <v>0</v>
      </c>
      <c r="M1755" s="229">
        <v>0</v>
      </c>
      <c r="N1755" s="229">
        <v>0</v>
      </c>
      <c r="O1755" s="229">
        <v>1</v>
      </c>
      <c r="P1755" s="26">
        <v>1</v>
      </c>
      <c r="Q1755" s="14">
        <v>2</v>
      </c>
      <c r="R1755" s="229">
        <v>0</v>
      </c>
      <c r="S1755" s="229">
        <v>0</v>
      </c>
      <c r="T1755" s="229">
        <v>0</v>
      </c>
      <c r="U1755" s="229">
        <v>0</v>
      </c>
      <c r="V1755" s="229">
        <v>20</v>
      </c>
      <c r="W1755" s="229">
        <v>68</v>
      </c>
      <c r="X1755" s="229">
        <v>0</v>
      </c>
      <c r="Y1755" s="229">
        <v>0</v>
      </c>
      <c r="Z1755" s="229">
        <v>0</v>
      </c>
      <c r="AA1755" s="229">
        <v>0</v>
      </c>
      <c r="AB1755" s="229">
        <v>0</v>
      </c>
      <c r="AC1755" s="12">
        <v>2</v>
      </c>
      <c r="AD1755" s="14">
        <v>8</v>
      </c>
      <c r="AE1755" s="14">
        <v>27</v>
      </c>
      <c r="AF1755" s="26">
        <v>398</v>
      </c>
      <c r="AG1755" s="12">
        <v>105</v>
      </c>
      <c r="AH1755" s="14">
        <v>1</v>
      </c>
      <c r="AI1755" s="209">
        <v>88.340675925304609</v>
      </c>
      <c r="AJ1755" s="3"/>
      <c r="AK1755" s="3"/>
      <c r="AL1755" s="3"/>
      <c r="AM1755" s="3"/>
      <c r="AN1755" s="3"/>
      <c r="AO1755" s="40"/>
      <c r="AP1755" s="209">
        <v>87.55356102103481</v>
      </c>
      <c r="AQ1755" s="3"/>
      <c r="AR1755" s="40"/>
      <c r="AS1755" s="238"/>
    </row>
    <row r="1756" spans="1:45" s="229" customFormat="1">
      <c r="A1756" s="83" t="s">
        <v>326</v>
      </c>
      <c r="B1756" s="386">
        <v>51.251333333333335</v>
      </c>
      <c r="C1756" s="24" t="s">
        <v>762</v>
      </c>
      <c r="D1756" s="229" t="s">
        <v>694</v>
      </c>
      <c r="E1756" s="229" t="s">
        <v>0</v>
      </c>
      <c r="F1756" s="229">
        <v>356</v>
      </c>
      <c r="G1756" s="40">
        <f>F1756/164</f>
        <v>2.1707317073170733</v>
      </c>
      <c r="H1756" s="14">
        <v>0</v>
      </c>
      <c r="I1756" s="229">
        <v>0</v>
      </c>
      <c r="J1756" s="229">
        <v>1</v>
      </c>
      <c r="K1756" s="26">
        <v>1</v>
      </c>
      <c r="L1756" s="14">
        <v>0</v>
      </c>
      <c r="M1756" s="229">
        <v>0</v>
      </c>
      <c r="N1756" s="229">
        <v>1</v>
      </c>
      <c r="O1756" s="229">
        <v>0</v>
      </c>
      <c r="P1756" s="26">
        <v>1</v>
      </c>
      <c r="Q1756" s="14">
        <v>2</v>
      </c>
      <c r="R1756" s="229">
        <v>0</v>
      </c>
      <c r="S1756" s="229">
        <v>0</v>
      </c>
      <c r="T1756" s="229">
        <v>0</v>
      </c>
      <c r="U1756" s="229">
        <v>0</v>
      </c>
      <c r="V1756" s="229">
        <v>25</v>
      </c>
      <c r="W1756" s="229">
        <v>49</v>
      </c>
      <c r="X1756" s="229">
        <v>0</v>
      </c>
      <c r="Y1756" s="229">
        <v>0</v>
      </c>
      <c r="Z1756" s="229">
        <v>0</v>
      </c>
      <c r="AA1756" s="229">
        <v>0</v>
      </c>
      <c r="AB1756" s="229">
        <v>0</v>
      </c>
      <c r="AC1756" s="12">
        <v>2</v>
      </c>
      <c r="AD1756" s="14">
        <v>7</v>
      </c>
      <c r="AE1756" s="14">
        <v>27</v>
      </c>
      <c r="AF1756" s="26">
        <v>215</v>
      </c>
      <c r="AG1756" s="12">
        <v>115</v>
      </c>
      <c r="AH1756" s="14">
        <v>0</v>
      </c>
      <c r="AI1756" s="209"/>
      <c r="AJ1756" s="3"/>
      <c r="AK1756" s="3"/>
      <c r="AL1756" s="3"/>
      <c r="AM1756" s="3"/>
      <c r="AN1756" s="3"/>
      <c r="AO1756" s="40"/>
      <c r="AP1756" s="209"/>
      <c r="AQ1756" s="3"/>
      <c r="AR1756" s="40"/>
      <c r="AS1756" s="238"/>
    </row>
    <row r="1757" spans="1:45" s="229" customFormat="1">
      <c r="A1757" s="83" t="s">
        <v>326</v>
      </c>
      <c r="B1757" s="386">
        <v>51.251333333333335</v>
      </c>
      <c r="C1757" s="24" t="s">
        <v>762</v>
      </c>
      <c r="D1757" s="229" t="s">
        <v>694</v>
      </c>
      <c r="E1757" s="229" t="s">
        <v>1</v>
      </c>
      <c r="F1757" s="229">
        <v>274</v>
      </c>
      <c r="G1757" s="40">
        <f>F1757/159</f>
        <v>1.7232704402515724</v>
      </c>
      <c r="H1757" s="14">
        <v>0</v>
      </c>
      <c r="I1757" s="229">
        <v>0</v>
      </c>
      <c r="J1757" s="229">
        <v>1</v>
      </c>
      <c r="K1757" s="26">
        <v>0</v>
      </c>
      <c r="L1757" s="14">
        <v>0</v>
      </c>
      <c r="M1757" s="229">
        <v>0</v>
      </c>
      <c r="N1757" s="229">
        <v>1</v>
      </c>
      <c r="O1757" s="229">
        <v>0</v>
      </c>
      <c r="P1757" s="26">
        <v>1</v>
      </c>
      <c r="Q1757" s="14">
        <v>20</v>
      </c>
      <c r="R1757" s="229">
        <v>0</v>
      </c>
      <c r="S1757" s="229">
        <v>13</v>
      </c>
      <c r="T1757" s="229">
        <v>0</v>
      </c>
      <c r="U1757" s="229">
        <v>0</v>
      </c>
      <c r="V1757" s="229">
        <v>15</v>
      </c>
      <c r="W1757" s="229">
        <v>109</v>
      </c>
      <c r="X1757" s="229">
        <v>0</v>
      </c>
      <c r="Y1757" s="229">
        <v>0</v>
      </c>
      <c r="Z1757" s="229">
        <v>0</v>
      </c>
      <c r="AA1757" s="229">
        <v>96</v>
      </c>
      <c r="AB1757" s="229">
        <v>0</v>
      </c>
      <c r="AC1757" s="12">
        <v>1</v>
      </c>
      <c r="AD1757" s="14">
        <v>1</v>
      </c>
      <c r="AE1757" s="14">
        <v>0</v>
      </c>
      <c r="AF1757" s="26">
        <v>0</v>
      </c>
      <c r="AG1757" s="12">
        <v>115</v>
      </c>
      <c r="AH1757" s="14">
        <v>0</v>
      </c>
      <c r="AI1757" s="209"/>
      <c r="AJ1757" s="3"/>
      <c r="AK1757" s="3"/>
      <c r="AL1757" s="3"/>
      <c r="AM1757" s="3"/>
      <c r="AN1757" s="3"/>
      <c r="AO1757" s="40"/>
      <c r="AP1757" s="209"/>
      <c r="AQ1757" s="3"/>
      <c r="AR1757" s="40"/>
      <c r="AS1757" s="238"/>
    </row>
    <row r="1758" spans="1:45" s="229" customFormat="1">
      <c r="A1758" s="83" t="s">
        <v>326</v>
      </c>
      <c r="B1758" s="386">
        <v>51.251333333333335</v>
      </c>
      <c r="C1758" s="24" t="s">
        <v>762</v>
      </c>
      <c r="D1758" s="229" t="s">
        <v>683</v>
      </c>
      <c r="E1758" s="229" t="s">
        <v>0</v>
      </c>
      <c r="F1758" s="229">
        <v>218</v>
      </c>
      <c r="G1758" s="40">
        <f>F1758/129</f>
        <v>1.6899224806201549</v>
      </c>
      <c r="H1758" s="14">
        <v>1</v>
      </c>
      <c r="I1758" s="229">
        <v>0</v>
      </c>
      <c r="J1758" s="229">
        <v>0</v>
      </c>
      <c r="K1758" s="26">
        <v>0</v>
      </c>
      <c r="L1758" s="14">
        <v>0</v>
      </c>
      <c r="M1758" s="229">
        <v>0</v>
      </c>
      <c r="N1758" s="229">
        <v>1</v>
      </c>
      <c r="O1758" s="229">
        <v>0</v>
      </c>
      <c r="P1758" s="26">
        <v>1</v>
      </c>
      <c r="Q1758" s="14">
        <v>0</v>
      </c>
      <c r="R1758" s="229">
        <v>0</v>
      </c>
      <c r="S1758" s="229">
        <v>0</v>
      </c>
      <c r="T1758" s="229">
        <v>0</v>
      </c>
      <c r="U1758" s="229">
        <v>0</v>
      </c>
      <c r="V1758" s="229">
        <v>0</v>
      </c>
      <c r="W1758" s="229">
        <v>0</v>
      </c>
      <c r="X1758" s="229">
        <v>0</v>
      </c>
      <c r="Y1758" s="229">
        <v>0</v>
      </c>
      <c r="Z1758" s="229">
        <v>0</v>
      </c>
      <c r="AA1758" s="229">
        <v>0</v>
      </c>
      <c r="AB1758" s="229">
        <v>0</v>
      </c>
      <c r="AC1758" s="12">
        <v>1</v>
      </c>
      <c r="AD1758" s="14">
        <v>1</v>
      </c>
      <c r="AE1758" s="14">
        <v>0</v>
      </c>
      <c r="AF1758" s="26">
        <v>0</v>
      </c>
      <c r="AG1758" s="12">
        <v>65</v>
      </c>
      <c r="AH1758" s="14">
        <v>0</v>
      </c>
      <c r="AI1758" s="209"/>
      <c r="AJ1758" s="3"/>
      <c r="AK1758" s="3"/>
      <c r="AL1758" s="3"/>
      <c r="AM1758" s="3"/>
      <c r="AN1758" s="3"/>
      <c r="AO1758" s="40"/>
      <c r="AP1758" s="209"/>
      <c r="AQ1758" s="3"/>
      <c r="AR1758" s="40"/>
      <c r="AS1758" s="238"/>
    </row>
    <row r="1759" spans="1:45" s="229" customFormat="1">
      <c r="A1759" s="83" t="s">
        <v>326</v>
      </c>
      <c r="B1759" s="386">
        <v>51.251333333333335</v>
      </c>
      <c r="C1759" s="24" t="s">
        <v>762</v>
      </c>
      <c r="D1759" s="229" t="s">
        <v>683</v>
      </c>
      <c r="E1759" s="229" t="s">
        <v>1</v>
      </c>
      <c r="F1759" s="229">
        <v>220</v>
      </c>
      <c r="G1759" s="40">
        <f>F1759/164</f>
        <v>1.3414634146341464</v>
      </c>
      <c r="H1759" s="14">
        <v>1</v>
      </c>
      <c r="I1759" s="229">
        <v>0</v>
      </c>
      <c r="J1759" s="229">
        <v>1</v>
      </c>
      <c r="K1759" s="26">
        <v>1</v>
      </c>
      <c r="L1759" s="14">
        <v>0</v>
      </c>
      <c r="M1759" s="229">
        <v>0</v>
      </c>
      <c r="N1759" s="229">
        <v>1</v>
      </c>
      <c r="O1759" s="229">
        <v>0</v>
      </c>
      <c r="P1759" s="26">
        <v>1</v>
      </c>
      <c r="Q1759" s="14">
        <v>0</v>
      </c>
      <c r="R1759" s="229">
        <v>0</v>
      </c>
      <c r="S1759" s="229">
        <v>0</v>
      </c>
      <c r="T1759" s="229">
        <v>0</v>
      </c>
      <c r="U1759" s="229">
        <v>0</v>
      </c>
      <c r="V1759" s="229">
        <v>0</v>
      </c>
      <c r="W1759" s="229">
        <v>0</v>
      </c>
      <c r="X1759" s="229">
        <v>0</v>
      </c>
      <c r="Y1759" s="229">
        <v>0</v>
      </c>
      <c r="Z1759" s="229">
        <v>0</v>
      </c>
      <c r="AA1759" s="229">
        <v>0</v>
      </c>
      <c r="AB1759" s="229">
        <v>0</v>
      </c>
      <c r="AC1759" s="12">
        <v>2</v>
      </c>
      <c r="AD1759" s="14">
        <v>5</v>
      </c>
      <c r="AE1759" s="14">
        <v>53</v>
      </c>
      <c r="AF1759" s="26">
        <v>104</v>
      </c>
      <c r="AG1759" s="12">
        <v>65</v>
      </c>
      <c r="AH1759" s="14">
        <v>0</v>
      </c>
      <c r="AI1759" s="209"/>
      <c r="AJ1759" s="3"/>
      <c r="AK1759" s="3"/>
      <c r="AL1759" s="3"/>
      <c r="AM1759" s="3"/>
      <c r="AN1759" s="3"/>
      <c r="AO1759" s="40"/>
      <c r="AP1759" s="209"/>
      <c r="AQ1759" s="3"/>
      <c r="AR1759" s="40"/>
      <c r="AS1759" s="238"/>
    </row>
    <row r="1760" spans="1:45" s="229" customFormat="1">
      <c r="A1760" s="83" t="s">
        <v>326</v>
      </c>
      <c r="B1760" s="386">
        <v>51.251333333333335</v>
      </c>
      <c r="C1760" s="24" t="s">
        <v>762</v>
      </c>
      <c r="D1760" s="229" t="s">
        <v>683</v>
      </c>
      <c r="E1760" s="229" t="s">
        <v>2</v>
      </c>
      <c r="F1760" s="229">
        <v>130</v>
      </c>
      <c r="G1760" s="40">
        <f>F1760/95</f>
        <v>1.368421052631579</v>
      </c>
      <c r="H1760" s="14">
        <v>0</v>
      </c>
      <c r="I1760" s="229">
        <v>0</v>
      </c>
      <c r="J1760" s="229">
        <v>1</v>
      </c>
      <c r="K1760" s="26">
        <v>0</v>
      </c>
      <c r="L1760" s="14">
        <v>0</v>
      </c>
      <c r="M1760" s="229">
        <v>0</v>
      </c>
      <c r="N1760" s="229">
        <v>1</v>
      </c>
      <c r="O1760" s="229">
        <v>0</v>
      </c>
      <c r="P1760" s="26">
        <v>1</v>
      </c>
      <c r="Q1760" s="14">
        <v>5</v>
      </c>
      <c r="R1760" s="229">
        <v>0</v>
      </c>
      <c r="S1760" s="229">
        <v>0</v>
      </c>
      <c r="T1760" s="229">
        <v>0</v>
      </c>
      <c r="U1760" s="229">
        <v>0</v>
      </c>
      <c r="V1760" s="229">
        <v>17</v>
      </c>
      <c r="W1760" s="229">
        <v>22</v>
      </c>
      <c r="X1760" s="229">
        <v>0</v>
      </c>
      <c r="Y1760" s="229">
        <v>0</v>
      </c>
      <c r="Z1760" s="229">
        <v>0</v>
      </c>
      <c r="AA1760" s="229">
        <v>0</v>
      </c>
      <c r="AB1760" s="229">
        <v>0</v>
      </c>
      <c r="AC1760" s="12">
        <v>1</v>
      </c>
      <c r="AD1760" s="14">
        <v>1</v>
      </c>
      <c r="AE1760" s="14">
        <v>0</v>
      </c>
      <c r="AF1760" s="26">
        <v>0</v>
      </c>
      <c r="AG1760" s="12">
        <v>65</v>
      </c>
      <c r="AH1760" s="14">
        <v>0</v>
      </c>
      <c r="AI1760" s="209"/>
      <c r="AJ1760" s="3"/>
      <c r="AK1760" s="3"/>
      <c r="AL1760" s="3"/>
      <c r="AM1760" s="3"/>
      <c r="AN1760" s="3"/>
      <c r="AO1760" s="40"/>
      <c r="AP1760" s="209"/>
      <c r="AQ1760" s="3"/>
      <c r="AR1760" s="40"/>
      <c r="AS1760" s="238"/>
    </row>
    <row r="1761" spans="1:45" s="229" customFormat="1">
      <c r="A1761" s="83" t="s">
        <v>326</v>
      </c>
      <c r="B1761" s="386">
        <v>51.251333333333335</v>
      </c>
      <c r="C1761" s="24" t="s">
        <v>762</v>
      </c>
      <c r="D1761" s="229" t="s">
        <v>683</v>
      </c>
      <c r="E1761" s="229" t="s">
        <v>3</v>
      </c>
      <c r="F1761" s="229">
        <v>278</v>
      </c>
      <c r="G1761" s="40">
        <f>F1761/139</f>
        <v>2</v>
      </c>
      <c r="H1761" s="14">
        <v>0</v>
      </c>
      <c r="I1761" s="229">
        <v>0</v>
      </c>
      <c r="J1761" s="229">
        <v>0</v>
      </c>
      <c r="K1761" s="26">
        <v>1</v>
      </c>
      <c r="L1761" s="14">
        <v>0</v>
      </c>
      <c r="M1761" s="229">
        <v>0</v>
      </c>
      <c r="N1761" s="229">
        <v>0</v>
      </c>
      <c r="O1761" s="229">
        <v>0</v>
      </c>
      <c r="P1761" s="26">
        <v>0</v>
      </c>
      <c r="Q1761" s="14">
        <v>3</v>
      </c>
      <c r="R1761" s="229">
        <v>0</v>
      </c>
      <c r="S1761" s="229">
        <v>0</v>
      </c>
      <c r="T1761" s="229">
        <v>0</v>
      </c>
      <c r="U1761" s="229">
        <v>0</v>
      </c>
      <c r="V1761" s="229">
        <v>5</v>
      </c>
      <c r="W1761" s="229">
        <v>20</v>
      </c>
      <c r="X1761" s="229">
        <v>0</v>
      </c>
      <c r="Y1761" s="229">
        <v>0</v>
      </c>
      <c r="Z1761" s="229">
        <v>0</v>
      </c>
      <c r="AA1761" s="229">
        <v>0</v>
      </c>
      <c r="AB1761" s="229">
        <v>0</v>
      </c>
      <c r="AC1761" s="12">
        <v>2</v>
      </c>
      <c r="AD1761" s="14">
        <v>4</v>
      </c>
      <c r="AE1761" s="14">
        <v>59</v>
      </c>
      <c r="AF1761" s="26">
        <v>183</v>
      </c>
      <c r="AG1761" s="12">
        <v>65</v>
      </c>
      <c r="AH1761" s="14">
        <v>1</v>
      </c>
      <c r="AI1761" s="209"/>
      <c r="AJ1761" s="3"/>
      <c r="AK1761" s="3"/>
      <c r="AL1761" s="3"/>
      <c r="AM1761" s="3"/>
      <c r="AN1761" s="3"/>
      <c r="AO1761" s="40"/>
      <c r="AP1761" s="209"/>
      <c r="AQ1761" s="3"/>
      <c r="AR1761" s="40"/>
      <c r="AS1761" s="238"/>
    </row>
    <row r="1762" spans="1:45" s="229" customFormat="1">
      <c r="A1762" s="83" t="s">
        <v>326</v>
      </c>
      <c r="B1762" s="386">
        <v>51.251333333333335</v>
      </c>
      <c r="C1762" s="24" t="s">
        <v>762</v>
      </c>
      <c r="D1762" s="229" t="s">
        <v>685</v>
      </c>
      <c r="E1762" s="229" t="s">
        <v>0</v>
      </c>
      <c r="F1762" s="229">
        <v>219</v>
      </c>
      <c r="G1762" s="40">
        <f>F1762/95</f>
        <v>2.3052631578947369</v>
      </c>
      <c r="H1762" s="14">
        <v>0</v>
      </c>
      <c r="I1762" s="229">
        <v>0</v>
      </c>
      <c r="J1762" s="229">
        <v>1</v>
      </c>
      <c r="K1762" s="26">
        <v>1</v>
      </c>
      <c r="L1762" s="14">
        <v>0</v>
      </c>
      <c r="M1762" s="229">
        <v>0</v>
      </c>
      <c r="N1762" s="229">
        <v>1</v>
      </c>
      <c r="O1762" s="229">
        <v>0</v>
      </c>
      <c r="P1762" s="26">
        <v>1</v>
      </c>
      <c r="Q1762" s="14">
        <v>0</v>
      </c>
      <c r="R1762" s="229">
        <v>0</v>
      </c>
      <c r="S1762" s="229">
        <v>0</v>
      </c>
      <c r="T1762" s="229">
        <v>0</v>
      </c>
      <c r="U1762" s="229">
        <v>0</v>
      </c>
      <c r="V1762" s="229">
        <v>0</v>
      </c>
      <c r="W1762" s="229">
        <v>0</v>
      </c>
      <c r="X1762" s="229">
        <v>0</v>
      </c>
      <c r="Y1762" s="229">
        <v>0</v>
      </c>
      <c r="Z1762" s="229">
        <v>0</v>
      </c>
      <c r="AA1762" s="229">
        <v>0</v>
      </c>
      <c r="AB1762" s="229">
        <v>0</v>
      </c>
      <c r="AC1762" s="12">
        <v>2</v>
      </c>
      <c r="AD1762" s="14">
        <v>3</v>
      </c>
      <c r="AE1762" s="14">
        <v>28</v>
      </c>
      <c r="AF1762" s="26">
        <v>158</v>
      </c>
      <c r="AG1762" s="12">
        <v>103</v>
      </c>
      <c r="AH1762" s="14">
        <v>0</v>
      </c>
      <c r="AI1762" s="209"/>
      <c r="AJ1762" s="3"/>
      <c r="AK1762" s="3"/>
      <c r="AL1762" s="3"/>
      <c r="AM1762" s="3"/>
      <c r="AN1762" s="3"/>
      <c r="AO1762" s="40"/>
      <c r="AP1762" s="209"/>
      <c r="AQ1762" s="3"/>
      <c r="AR1762" s="40"/>
      <c r="AS1762" s="238"/>
    </row>
    <row r="1763" spans="1:45" s="229" customFormat="1">
      <c r="A1763" s="83" t="s">
        <v>326</v>
      </c>
      <c r="B1763" s="386">
        <v>51.251333333333335</v>
      </c>
      <c r="C1763" s="24" t="s">
        <v>762</v>
      </c>
      <c r="D1763" s="229" t="s">
        <v>685</v>
      </c>
      <c r="E1763" s="229" t="s">
        <v>1</v>
      </c>
      <c r="F1763" s="229">
        <v>322</v>
      </c>
      <c r="G1763" s="40">
        <f>F1763/137</f>
        <v>2.3503649635036497</v>
      </c>
      <c r="H1763" s="14">
        <v>0</v>
      </c>
      <c r="I1763" s="229">
        <v>0</v>
      </c>
      <c r="J1763" s="229">
        <v>0</v>
      </c>
      <c r="K1763" s="26">
        <v>1</v>
      </c>
      <c r="L1763" s="14">
        <v>0</v>
      </c>
      <c r="M1763" s="229">
        <v>0</v>
      </c>
      <c r="N1763" s="229">
        <v>0</v>
      </c>
      <c r="O1763" s="229">
        <v>0</v>
      </c>
      <c r="P1763" s="26">
        <v>0</v>
      </c>
      <c r="Q1763" s="14">
        <v>0</v>
      </c>
      <c r="R1763" s="229">
        <v>0</v>
      </c>
      <c r="S1763" s="229">
        <v>0</v>
      </c>
      <c r="T1763" s="229">
        <v>0</v>
      </c>
      <c r="U1763" s="229">
        <v>0</v>
      </c>
      <c r="V1763" s="229">
        <v>0</v>
      </c>
      <c r="W1763" s="229">
        <v>0</v>
      </c>
      <c r="X1763" s="229">
        <v>0</v>
      </c>
      <c r="Y1763" s="229">
        <v>0</v>
      </c>
      <c r="Z1763" s="229">
        <v>0</v>
      </c>
      <c r="AA1763" s="229">
        <v>0</v>
      </c>
      <c r="AB1763" s="229">
        <v>0</v>
      </c>
      <c r="AC1763" s="12">
        <v>2</v>
      </c>
      <c r="AD1763" s="14">
        <v>15</v>
      </c>
      <c r="AE1763" s="14">
        <v>28</v>
      </c>
      <c r="AF1763" s="26">
        <v>100</v>
      </c>
      <c r="AG1763" s="12">
        <v>103</v>
      </c>
      <c r="AH1763" s="14">
        <v>0</v>
      </c>
      <c r="AI1763" s="209"/>
      <c r="AJ1763" s="3"/>
      <c r="AK1763" s="3"/>
      <c r="AL1763" s="3"/>
      <c r="AM1763" s="3"/>
      <c r="AN1763" s="3"/>
      <c r="AO1763" s="40"/>
      <c r="AP1763" s="209"/>
      <c r="AQ1763" s="3"/>
      <c r="AR1763" s="40"/>
      <c r="AS1763" s="238"/>
    </row>
    <row r="1764" spans="1:45" s="229" customFormat="1">
      <c r="A1764" s="83" t="s">
        <v>326</v>
      </c>
      <c r="B1764" s="386">
        <v>51.251333333333335</v>
      </c>
      <c r="C1764" s="24" t="s">
        <v>762</v>
      </c>
      <c r="D1764" s="229" t="s">
        <v>685</v>
      </c>
      <c r="E1764" s="229" t="s">
        <v>2</v>
      </c>
      <c r="F1764" s="229">
        <v>157</v>
      </c>
      <c r="G1764" s="40">
        <f>F1764/199</f>
        <v>0.78894472361809043</v>
      </c>
      <c r="H1764" s="14">
        <v>0</v>
      </c>
      <c r="I1764" s="229">
        <v>0</v>
      </c>
      <c r="J1764" s="229">
        <v>1</v>
      </c>
      <c r="K1764" s="26">
        <v>0</v>
      </c>
      <c r="L1764" s="14">
        <v>0</v>
      </c>
      <c r="M1764" s="229">
        <v>0</v>
      </c>
      <c r="N1764" s="229">
        <v>1</v>
      </c>
      <c r="O1764" s="229">
        <v>0</v>
      </c>
      <c r="P1764" s="26">
        <v>1</v>
      </c>
      <c r="Q1764" s="14">
        <v>25</v>
      </c>
      <c r="R1764" s="229">
        <v>0</v>
      </c>
      <c r="S1764" s="229">
        <v>0</v>
      </c>
      <c r="T1764" s="229">
        <v>0</v>
      </c>
      <c r="U1764" s="229">
        <v>0</v>
      </c>
      <c r="V1764" s="229">
        <v>0</v>
      </c>
      <c r="W1764" s="229">
        <v>55</v>
      </c>
      <c r="X1764" s="229">
        <v>0</v>
      </c>
      <c r="Y1764" s="229">
        <v>0</v>
      </c>
      <c r="Z1764" s="229">
        <v>0</v>
      </c>
      <c r="AA1764" s="229">
        <v>0</v>
      </c>
      <c r="AB1764" s="229">
        <v>0</v>
      </c>
      <c r="AC1764" s="12">
        <v>2</v>
      </c>
      <c r="AD1764" s="14">
        <v>2</v>
      </c>
      <c r="AE1764" s="14">
        <v>40</v>
      </c>
      <c r="AF1764" s="26">
        <v>137</v>
      </c>
      <c r="AG1764" s="12">
        <v>103</v>
      </c>
      <c r="AH1764" s="14">
        <v>1</v>
      </c>
      <c r="AI1764" s="209"/>
      <c r="AJ1764" s="3"/>
      <c r="AK1764" s="3"/>
      <c r="AL1764" s="3"/>
      <c r="AM1764" s="3"/>
      <c r="AN1764" s="3"/>
      <c r="AO1764" s="40"/>
      <c r="AP1764" s="209"/>
      <c r="AQ1764" s="3"/>
      <c r="AR1764" s="40"/>
      <c r="AS1764" s="238"/>
    </row>
    <row r="1765" spans="1:45" s="229" customFormat="1">
      <c r="A1765" s="83" t="s">
        <v>326</v>
      </c>
      <c r="B1765" s="386">
        <v>51.251333333333335</v>
      </c>
      <c r="C1765" s="24" t="s">
        <v>762</v>
      </c>
      <c r="D1765" s="229" t="s">
        <v>690</v>
      </c>
      <c r="E1765" s="229" t="s">
        <v>0</v>
      </c>
      <c r="F1765" s="229">
        <v>131</v>
      </c>
      <c r="G1765" s="40">
        <f>F1765/116</f>
        <v>1.1293103448275863</v>
      </c>
      <c r="H1765" s="14">
        <v>0</v>
      </c>
      <c r="I1765" s="229">
        <v>0</v>
      </c>
      <c r="J1765" s="229">
        <v>1</v>
      </c>
      <c r="K1765" s="26">
        <v>0</v>
      </c>
      <c r="L1765" s="14">
        <v>0</v>
      </c>
      <c r="M1765" s="229">
        <v>0</v>
      </c>
      <c r="N1765" s="229">
        <v>1</v>
      </c>
      <c r="O1765" s="229">
        <v>0</v>
      </c>
      <c r="P1765" s="26">
        <v>1</v>
      </c>
      <c r="Q1765" s="14">
        <v>3</v>
      </c>
      <c r="R1765" s="229">
        <v>0</v>
      </c>
      <c r="S1765" s="229">
        <v>0</v>
      </c>
      <c r="T1765" s="229">
        <v>0</v>
      </c>
      <c r="U1765" s="229">
        <v>0</v>
      </c>
      <c r="V1765" s="229">
        <v>0</v>
      </c>
      <c r="W1765" s="229">
        <v>14</v>
      </c>
      <c r="X1765" s="229">
        <v>0</v>
      </c>
      <c r="Y1765" s="229">
        <v>0</v>
      </c>
      <c r="Z1765" s="229">
        <v>0</v>
      </c>
      <c r="AA1765" s="229">
        <v>0</v>
      </c>
      <c r="AB1765" s="229">
        <v>0</v>
      </c>
      <c r="AC1765" s="12">
        <v>1</v>
      </c>
      <c r="AD1765" s="14">
        <v>1</v>
      </c>
      <c r="AE1765" s="14">
        <v>0</v>
      </c>
      <c r="AF1765" s="26">
        <v>0</v>
      </c>
      <c r="AG1765" s="12">
        <v>97</v>
      </c>
      <c r="AH1765" s="14">
        <v>0</v>
      </c>
      <c r="AI1765" s="209">
        <v>88.316862219005415</v>
      </c>
      <c r="AJ1765" s="3"/>
      <c r="AK1765" s="3"/>
      <c r="AL1765" s="3"/>
      <c r="AM1765" s="3"/>
      <c r="AN1765" s="3"/>
      <c r="AO1765" s="40"/>
      <c r="AP1765" s="209"/>
      <c r="AQ1765" s="3"/>
      <c r="AR1765" s="40"/>
      <c r="AS1765" s="238"/>
    </row>
    <row r="1766" spans="1:45" s="229" customFormat="1">
      <c r="A1766" s="83" t="s">
        <v>326</v>
      </c>
      <c r="B1766" s="386">
        <v>51.251333333333335</v>
      </c>
      <c r="C1766" s="24" t="s">
        <v>762</v>
      </c>
      <c r="D1766" s="229" t="s">
        <v>690</v>
      </c>
      <c r="E1766" s="229" t="s">
        <v>1</v>
      </c>
      <c r="F1766" s="229">
        <v>297</v>
      </c>
      <c r="G1766" s="40">
        <f>F1766/231</f>
        <v>1.2857142857142858</v>
      </c>
      <c r="H1766" s="14">
        <v>0</v>
      </c>
      <c r="I1766" s="229">
        <v>0</v>
      </c>
      <c r="J1766" s="229">
        <v>1</v>
      </c>
      <c r="K1766" s="26">
        <v>0</v>
      </c>
      <c r="L1766" s="14">
        <v>0</v>
      </c>
      <c r="M1766" s="229">
        <v>0</v>
      </c>
      <c r="N1766" s="229">
        <v>1</v>
      </c>
      <c r="O1766" s="229">
        <v>0</v>
      </c>
      <c r="P1766" s="26">
        <v>1</v>
      </c>
      <c r="Q1766" s="14">
        <v>5</v>
      </c>
      <c r="R1766" s="229">
        <v>0</v>
      </c>
      <c r="S1766" s="229">
        <v>0</v>
      </c>
      <c r="T1766" s="229">
        <v>0</v>
      </c>
      <c r="U1766" s="229">
        <v>0</v>
      </c>
      <c r="V1766" s="229">
        <v>24</v>
      </c>
      <c r="W1766" s="229">
        <v>116</v>
      </c>
      <c r="X1766" s="229">
        <v>0</v>
      </c>
      <c r="Y1766" s="229">
        <v>0</v>
      </c>
      <c r="Z1766" s="229">
        <v>0</v>
      </c>
      <c r="AA1766" s="229">
        <v>0</v>
      </c>
      <c r="AB1766" s="229">
        <v>0</v>
      </c>
      <c r="AC1766" s="12">
        <v>1</v>
      </c>
      <c r="AD1766" s="14">
        <v>1</v>
      </c>
      <c r="AE1766" s="14">
        <v>0</v>
      </c>
      <c r="AF1766" s="26">
        <v>0</v>
      </c>
      <c r="AG1766" s="12">
        <v>97</v>
      </c>
      <c r="AH1766" s="14">
        <v>1</v>
      </c>
      <c r="AI1766" s="209"/>
      <c r="AJ1766" s="3"/>
      <c r="AK1766" s="3"/>
      <c r="AL1766" s="3"/>
      <c r="AM1766" s="3"/>
      <c r="AN1766" s="3"/>
      <c r="AO1766" s="40"/>
      <c r="AP1766" s="209"/>
      <c r="AQ1766" s="3"/>
      <c r="AR1766" s="40"/>
      <c r="AS1766" s="238"/>
    </row>
    <row r="1767" spans="1:45" s="229" customFormat="1">
      <c r="A1767" s="83" t="s">
        <v>326</v>
      </c>
      <c r="B1767" s="386">
        <v>51.251333333333335</v>
      </c>
      <c r="C1767" s="24" t="s">
        <v>762</v>
      </c>
      <c r="D1767" s="229" t="s">
        <v>690</v>
      </c>
      <c r="E1767" s="229" t="s">
        <v>2</v>
      </c>
      <c r="F1767" s="229">
        <v>629</v>
      </c>
      <c r="G1767" s="40">
        <f>F1767/435</f>
        <v>1.445977011494253</v>
      </c>
      <c r="H1767" s="14">
        <v>1</v>
      </c>
      <c r="I1767" s="229">
        <v>0</v>
      </c>
      <c r="J1767" s="229">
        <v>0</v>
      </c>
      <c r="K1767" s="26">
        <v>0</v>
      </c>
      <c r="L1767" s="14">
        <v>0</v>
      </c>
      <c r="M1767" s="229">
        <v>0</v>
      </c>
      <c r="N1767" s="229">
        <v>0</v>
      </c>
      <c r="O1767" s="229">
        <v>1</v>
      </c>
      <c r="P1767" s="26">
        <v>1</v>
      </c>
      <c r="Q1767" s="14">
        <v>5</v>
      </c>
      <c r="R1767" s="229">
        <v>0</v>
      </c>
      <c r="S1767" s="229">
        <v>0</v>
      </c>
      <c r="T1767" s="229">
        <v>0</v>
      </c>
      <c r="U1767" s="229">
        <v>0</v>
      </c>
      <c r="V1767" s="229">
        <v>29</v>
      </c>
      <c r="W1767" s="229">
        <v>70</v>
      </c>
      <c r="X1767" s="229">
        <v>0</v>
      </c>
      <c r="Y1767" s="229">
        <v>0</v>
      </c>
      <c r="Z1767" s="229">
        <v>0</v>
      </c>
      <c r="AA1767" s="229">
        <v>0</v>
      </c>
      <c r="AB1767" s="229">
        <v>0</v>
      </c>
      <c r="AC1767" s="12">
        <v>1</v>
      </c>
      <c r="AD1767" s="14">
        <v>1</v>
      </c>
      <c r="AE1767" s="14">
        <v>0</v>
      </c>
      <c r="AF1767" s="26">
        <v>0</v>
      </c>
      <c r="AG1767" s="12">
        <v>97</v>
      </c>
      <c r="AH1767" s="14">
        <v>1</v>
      </c>
      <c r="AI1767" s="209">
        <v>88.247712769299383</v>
      </c>
      <c r="AJ1767" s="3"/>
      <c r="AK1767" s="3"/>
      <c r="AL1767" s="3"/>
      <c r="AM1767" s="3"/>
      <c r="AN1767" s="3"/>
      <c r="AO1767" s="40"/>
      <c r="AP1767" s="209">
        <v>86.922244198643412</v>
      </c>
      <c r="AQ1767" s="3"/>
      <c r="AR1767" s="40"/>
      <c r="AS1767" s="238"/>
    </row>
    <row r="1768" spans="1:45" s="229" customFormat="1">
      <c r="A1768" s="83" t="s">
        <v>326</v>
      </c>
      <c r="B1768" s="386">
        <v>51.251333333333335</v>
      </c>
      <c r="C1768" s="24" t="s">
        <v>762</v>
      </c>
      <c r="D1768" s="229" t="s">
        <v>696</v>
      </c>
      <c r="E1768" s="229" t="s">
        <v>0</v>
      </c>
      <c r="F1768" s="229">
        <v>502</v>
      </c>
      <c r="G1768" s="40">
        <f>F1768/206</f>
        <v>2.436893203883495</v>
      </c>
      <c r="H1768" s="14">
        <v>0</v>
      </c>
      <c r="I1768" s="229">
        <v>0</v>
      </c>
      <c r="J1768" s="229">
        <v>1</v>
      </c>
      <c r="K1768" s="26">
        <v>1</v>
      </c>
      <c r="L1768" s="14">
        <v>0</v>
      </c>
      <c r="M1768" s="229">
        <v>0</v>
      </c>
      <c r="N1768" s="229">
        <v>1</v>
      </c>
      <c r="O1768" s="229">
        <v>0</v>
      </c>
      <c r="P1768" s="26">
        <v>1</v>
      </c>
      <c r="Q1768" s="14">
        <v>2</v>
      </c>
      <c r="R1768" s="229">
        <v>0</v>
      </c>
      <c r="S1768" s="229">
        <v>0</v>
      </c>
      <c r="T1768" s="229">
        <v>0</v>
      </c>
      <c r="U1768" s="229">
        <v>0</v>
      </c>
      <c r="V1768" s="229">
        <v>0</v>
      </c>
      <c r="W1768" s="229">
        <v>30</v>
      </c>
      <c r="X1768" s="229">
        <v>0</v>
      </c>
      <c r="Y1768" s="229">
        <v>0</v>
      </c>
      <c r="Z1768" s="229">
        <v>0</v>
      </c>
      <c r="AA1768" s="229">
        <v>0</v>
      </c>
      <c r="AB1768" s="229">
        <v>0</v>
      </c>
      <c r="AC1768" s="12">
        <v>2</v>
      </c>
      <c r="AD1768" s="14">
        <v>2</v>
      </c>
      <c r="AE1768" s="14">
        <v>237</v>
      </c>
      <c r="AF1768" s="26">
        <v>377</v>
      </c>
      <c r="AG1768" s="12">
        <v>110</v>
      </c>
      <c r="AH1768" s="14">
        <v>1</v>
      </c>
      <c r="AI1768" s="209"/>
      <c r="AJ1768" s="3"/>
      <c r="AK1768" s="3"/>
      <c r="AL1768" s="3"/>
      <c r="AM1768" s="3"/>
      <c r="AN1768" s="3"/>
      <c r="AO1768" s="40"/>
      <c r="AP1768" s="209"/>
      <c r="AQ1768" s="3"/>
      <c r="AR1768" s="40"/>
      <c r="AS1768" s="238"/>
    </row>
    <row r="1769" spans="1:45" s="229" customFormat="1">
      <c r="A1769" s="83" t="s">
        <v>326</v>
      </c>
      <c r="B1769" s="386">
        <v>51.251333333333335</v>
      </c>
      <c r="C1769" s="24" t="s">
        <v>762</v>
      </c>
      <c r="D1769" s="229" t="s">
        <v>696</v>
      </c>
      <c r="E1769" s="229" t="s">
        <v>1</v>
      </c>
      <c r="F1769" s="229">
        <v>202</v>
      </c>
      <c r="G1769" s="40">
        <f>F1769/147</f>
        <v>1.3741496598639455</v>
      </c>
      <c r="H1769" s="14">
        <v>0</v>
      </c>
      <c r="I1769" s="229">
        <v>0</v>
      </c>
      <c r="J1769" s="229">
        <v>1</v>
      </c>
      <c r="K1769" s="26">
        <v>1</v>
      </c>
      <c r="L1769" s="14">
        <v>0</v>
      </c>
      <c r="M1769" s="229">
        <v>0</v>
      </c>
      <c r="N1769" s="229">
        <v>1</v>
      </c>
      <c r="O1769" s="229">
        <v>0</v>
      </c>
      <c r="P1769" s="26">
        <v>1</v>
      </c>
      <c r="Q1769" s="14">
        <v>0</v>
      </c>
      <c r="R1769" s="229">
        <v>0</v>
      </c>
      <c r="S1769" s="229">
        <v>0</v>
      </c>
      <c r="T1769" s="229">
        <v>0</v>
      </c>
      <c r="U1769" s="229">
        <v>0</v>
      </c>
      <c r="V1769" s="229">
        <v>0</v>
      </c>
      <c r="W1769" s="229">
        <v>0</v>
      </c>
      <c r="X1769" s="229">
        <v>0</v>
      </c>
      <c r="Y1769" s="229">
        <v>0</v>
      </c>
      <c r="Z1769" s="229">
        <v>0</v>
      </c>
      <c r="AA1769" s="229">
        <v>0</v>
      </c>
      <c r="AB1769" s="229">
        <v>0</v>
      </c>
      <c r="AC1769" s="12">
        <v>2</v>
      </c>
      <c r="AD1769" s="14">
        <v>2</v>
      </c>
      <c r="AE1769" s="14">
        <v>92</v>
      </c>
      <c r="AF1769" s="26">
        <v>148</v>
      </c>
      <c r="AG1769" s="12">
        <v>110</v>
      </c>
      <c r="AH1769" s="14">
        <v>1</v>
      </c>
      <c r="AI1769" s="209"/>
      <c r="AJ1769" s="3"/>
      <c r="AK1769" s="3"/>
      <c r="AL1769" s="3"/>
      <c r="AM1769" s="3"/>
      <c r="AN1769" s="3"/>
      <c r="AO1769" s="40"/>
      <c r="AP1769" s="209"/>
      <c r="AQ1769" s="3"/>
      <c r="AR1769" s="40"/>
      <c r="AS1769" s="238"/>
    </row>
    <row r="1770" spans="1:45" s="229" customFormat="1">
      <c r="A1770" s="83" t="s">
        <v>326</v>
      </c>
      <c r="B1770" s="386">
        <v>51.251333333333335</v>
      </c>
      <c r="C1770" s="24" t="s">
        <v>762</v>
      </c>
      <c r="D1770" s="229" t="s">
        <v>696</v>
      </c>
      <c r="E1770" s="229" t="s">
        <v>2</v>
      </c>
      <c r="F1770" s="229">
        <v>292</v>
      </c>
      <c r="G1770" s="40">
        <f>F1770/277</f>
        <v>1.0541516245487366</v>
      </c>
      <c r="H1770" s="14">
        <v>0</v>
      </c>
      <c r="I1770" s="229">
        <v>0</v>
      </c>
      <c r="J1770" s="229">
        <v>1</v>
      </c>
      <c r="K1770" s="26">
        <v>1</v>
      </c>
      <c r="L1770" s="14">
        <v>0</v>
      </c>
      <c r="M1770" s="229">
        <v>0</v>
      </c>
      <c r="N1770" s="229">
        <v>1</v>
      </c>
      <c r="O1770" s="229">
        <v>0</v>
      </c>
      <c r="P1770" s="26">
        <v>1</v>
      </c>
      <c r="Q1770" s="14">
        <v>1</v>
      </c>
      <c r="R1770" s="229">
        <v>0</v>
      </c>
      <c r="S1770" s="229">
        <v>12</v>
      </c>
      <c r="T1770" s="229">
        <v>0</v>
      </c>
      <c r="U1770" s="229">
        <v>0</v>
      </c>
      <c r="V1770" s="229">
        <v>0</v>
      </c>
      <c r="W1770" s="229">
        <v>0</v>
      </c>
      <c r="X1770" s="229">
        <v>0</v>
      </c>
      <c r="Y1770" s="229">
        <v>0</v>
      </c>
      <c r="Z1770" s="229">
        <v>0</v>
      </c>
      <c r="AA1770" s="229">
        <v>0</v>
      </c>
      <c r="AB1770" s="229">
        <v>0</v>
      </c>
      <c r="AC1770" s="12">
        <v>2</v>
      </c>
      <c r="AD1770" s="14">
        <v>4</v>
      </c>
      <c r="AE1770" s="14">
        <v>49</v>
      </c>
      <c r="AF1770" s="26">
        <v>292</v>
      </c>
      <c r="AG1770" s="12">
        <v>110</v>
      </c>
      <c r="AH1770" s="14">
        <v>1</v>
      </c>
      <c r="AI1770" s="209"/>
      <c r="AJ1770" s="3"/>
      <c r="AK1770" s="3"/>
      <c r="AL1770" s="3"/>
      <c r="AM1770" s="3"/>
      <c r="AN1770" s="3"/>
      <c r="AO1770" s="40"/>
      <c r="AP1770" s="209"/>
      <c r="AQ1770" s="3"/>
      <c r="AR1770" s="40"/>
      <c r="AS1770" s="238"/>
    </row>
    <row r="1771" spans="1:45" s="229" customFormat="1" ht="17" thickBot="1">
      <c r="A1771" s="83" t="s">
        <v>326</v>
      </c>
      <c r="B1771" s="385">
        <v>51.251333333333335</v>
      </c>
      <c r="C1771" s="103" t="s">
        <v>762</v>
      </c>
      <c r="D1771" s="36" t="s">
        <v>697</v>
      </c>
      <c r="E1771" s="36"/>
      <c r="F1771" s="36">
        <v>219</v>
      </c>
      <c r="G1771" s="48">
        <f>F1771/216</f>
        <v>1.0138888888888888</v>
      </c>
      <c r="H1771" s="34">
        <v>0</v>
      </c>
      <c r="I1771" s="36">
        <v>0</v>
      </c>
      <c r="J1771" s="36">
        <v>1</v>
      </c>
      <c r="K1771" s="35">
        <v>0</v>
      </c>
      <c r="L1771" s="34">
        <v>0</v>
      </c>
      <c r="M1771" s="36">
        <v>0</v>
      </c>
      <c r="N1771" s="36">
        <v>0</v>
      </c>
      <c r="O1771" s="36">
        <v>0</v>
      </c>
      <c r="P1771" s="35">
        <v>0</v>
      </c>
      <c r="Q1771" s="34">
        <v>2</v>
      </c>
      <c r="R1771" s="36">
        <v>0</v>
      </c>
      <c r="S1771" s="36">
        <v>0</v>
      </c>
      <c r="T1771" s="36">
        <v>0</v>
      </c>
      <c r="U1771" s="36">
        <v>0</v>
      </c>
      <c r="V1771" s="36">
        <v>33</v>
      </c>
      <c r="W1771" s="36">
        <v>58</v>
      </c>
      <c r="X1771" s="36">
        <v>0</v>
      </c>
      <c r="Y1771" s="36">
        <v>0</v>
      </c>
      <c r="Z1771" s="36">
        <v>0</v>
      </c>
      <c r="AA1771" s="36">
        <v>0</v>
      </c>
      <c r="AB1771" s="36">
        <v>0</v>
      </c>
      <c r="AC1771" s="33">
        <v>1</v>
      </c>
      <c r="AD1771" s="34">
        <v>1</v>
      </c>
      <c r="AE1771" s="34">
        <v>0</v>
      </c>
      <c r="AF1771" s="35">
        <v>0</v>
      </c>
      <c r="AG1771" s="33">
        <v>97</v>
      </c>
      <c r="AH1771" s="34">
        <v>1</v>
      </c>
      <c r="AI1771" s="210"/>
      <c r="AJ1771" s="51"/>
      <c r="AK1771" s="51"/>
      <c r="AL1771" s="51"/>
      <c r="AM1771" s="51"/>
      <c r="AN1771" s="51"/>
      <c r="AO1771" s="48"/>
      <c r="AP1771" s="210"/>
      <c r="AQ1771" s="51"/>
      <c r="AR1771" s="48"/>
      <c r="AS1771" s="239"/>
    </row>
    <row r="1772" spans="1:45" s="229" customFormat="1">
      <c r="A1772" s="147" t="s">
        <v>320</v>
      </c>
      <c r="B1772" s="386">
        <v>-0.86499999999999999</v>
      </c>
      <c r="C1772" s="24" t="s">
        <v>763</v>
      </c>
      <c r="D1772" s="229" t="s">
        <v>423</v>
      </c>
      <c r="E1772" s="229" t="s">
        <v>0</v>
      </c>
      <c r="F1772" s="229">
        <v>273</v>
      </c>
      <c r="G1772" s="40">
        <f>F1772/228</f>
        <v>1.1973684210526316</v>
      </c>
      <c r="H1772" s="14">
        <v>0</v>
      </c>
      <c r="I1772" s="229">
        <v>0</v>
      </c>
      <c r="J1772" s="229">
        <v>1</v>
      </c>
      <c r="K1772" s="26">
        <v>0</v>
      </c>
      <c r="L1772" s="14">
        <v>0</v>
      </c>
      <c r="M1772" s="229">
        <v>0</v>
      </c>
      <c r="N1772" s="229">
        <v>0</v>
      </c>
      <c r="O1772" s="229">
        <v>1</v>
      </c>
      <c r="P1772" s="26">
        <v>1</v>
      </c>
      <c r="Q1772" s="14">
        <v>1</v>
      </c>
      <c r="R1772" s="229">
        <v>0</v>
      </c>
      <c r="S1772" s="229">
        <v>0</v>
      </c>
      <c r="T1772" s="229">
        <v>0</v>
      </c>
      <c r="U1772" s="229">
        <v>0</v>
      </c>
      <c r="V1772" s="229">
        <v>0</v>
      </c>
      <c r="W1772" s="229">
        <v>33</v>
      </c>
      <c r="X1772" s="229">
        <v>0</v>
      </c>
      <c r="Y1772" s="229">
        <v>0</v>
      </c>
      <c r="Z1772" s="229">
        <v>0</v>
      </c>
      <c r="AA1772" s="229">
        <v>0</v>
      </c>
      <c r="AB1772" s="229">
        <v>0</v>
      </c>
      <c r="AC1772" s="12">
        <v>1</v>
      </c>
      <c r="AD1772" s="14">
        <v>1</v>
      </c>
      <c r="AE1772" s="14">
        <v>0</v>
      </c>
      <c r="AF1772" s="26">
        <v>0</v>
      </c>
      <c r="AG1772" s="12">
        <v>120</v>
      </c>
      <c r="AH1772" s="14">
        <v>0</v>
      </c>
      <c r="AI1772" s="209"/>
      <c r="AJ1772" s="3"/>
      <c r="AK1772" s="3"/>
      <c r="AL1772" s="3"/>
      <c r="AM1772" s="3"/>
      <c r="AN1772" s="3"/>
      <c r="AO1772" s="40"/>
      <c r="AP1772" s="209"/>
      <c r="AQ1772" s="3"/>
      <c r="AR1772" s="40"/>
      <c r="AS1772" s="238"/>
    </row>
    <row r="1773" spans="1:45" s="229" customFormat="1">
      <c r="A1773" s="83" t="s">
        <v>320</v>
      </c>
      <c r="B1773" s="386">
        <v>-0.86499999999999999</v>
      </c>
      <c r="C1773" s="24" t="s">
        <v>763</v>
      </c>
      <c r="D1773" s="229" t="s">
        <v>423</v>
      </c>
      <c r="E1773" s="229" t="s">
        <v>1</v>
      </c>
      <c r="F1773" s="229">
        <v>541</v>
      </c>
      <c r="G1773" s="40">
        <f>F1773/382</f>
        <v>1.4162303664921465</v>
      </c>
      <c r="H1773" s="14">
        <v>0</v>
      </c>
      <c r="I1773" s="229">
        <v>0</v>
      </c>
      <c r="J1773" s="229">
        <v>1</v>
      </c>
      <c r="K1773" s="26">
        <v>0</v>
      </c>
      <c r="L1773" s="14">
        <v>0</v>
      </c>
      <c r="M1773" s="229">
        <v>0</v>
      </c>
      <c r="N1773" s="229">
        <v>0</v>
      </c>
      <c r="O1773" s="229">
        <v>1</v>
      </c>
      <c r="P1773" s="26">
        <v>1</v>
      </c>
      <c r="Q1773" s="14">
        <v>1</v>
      </c>
      <c r="R1773" s="229">
        <v>0</v>
      </c>
      <c r="S1773" s="229">
        <v>3</v>
      </c>
      <c r="T1773" s="229">
        <v>0</v>
      </c>
      <c r="U1773" s="229">
        <v>0</v>
      </c>
      <c r="V1773" s="229">
        <v>20</v>
      </c>
      <c r="W1773" s="229">
        <v>37</v>
      </c>
      <c r="X1773" s="229">
        <v>0</v>
      </c>
      <c r="Y1773" s="229">
        <v>0</v>
      </c>
      <c r="Z1773" s="229">
        <v>0</v>
      </c>
      <c r="AA1773" s="229">
        <v>0</v>
      </c>
      <c r="AB1773" s="229">
        <v>0</v>
      </c>
      <c r="AC1773" s="12">
        <v>2</v>
      </c>
      <c r="AD1773" s="14">
        <v>2</v>
      </c>
      <c r="AE1773" s="14">
        <v>246</v>
      </c>
      <c r="AF1773" s="26">
        <v>541</v>
      </c>
      <c r="AG1773" s="12">
        <v>120</v>
      </c>
      <c r="AH1773" s="14">
        <v>0</v>
      </c>
      <c r="AI1773" s="209"/>
      <c r="AJ1773" s="3"/>
      <c r="AK1773" s="3"/>
      <c r="AL1773" s="3"/>
      <c r="AM1773" s="3"/>
      <c r="AN1773" s="3"/>
      <c r="AO1773" s="40"/>
      <c r="AP1773" s="209"/>
      <c r="AQ1773" s="3"/>
      <c r="AR1773" s="40"/>
      <c r="AS1773" s="238"/>
    </row>
    <row r="1774" spans="1:45" s="229" customFormat="1">
      <c r="A1774" s="83" t="s">
        <v>320</v>
      </c>
      <c r="B1774" s="386">
        <v>-0.86499999999999999</v>
      </c>
      <c r="C1774" s="24" t="s">
        <v>763</v>
      </c>
      <c r="D1774" s="229" t="s">
        <v>622</v>
      </c>
      <c r="E1774" s="229" t="s">
        <v>0</v>
      </c>
      <c r="F1774" s="229">
        <v>1180</v>
      </c>
      <c r="G1774" s="40">
        <f>F1774/549</f>
        <v>2.1493624772313296</v>
      </c>
      <c r="H1774" s="14">
        <v>0</v>
      </c>
      <c r="I1774" s="229">
        <v>0</v>
      </c>
      <c r="J1774" s="229">
        <v>0</v>
      </c>
      <c r="K1774" s="26">
        <v>1</v>
      </c>
      <c r="L1774" s="14">
        <v>0</v>
      </c>
      <c r="M1774" s="229">
        <v>0</v>
      </c>
      <c r="N1774" s="229">
        <v>0</v>
      </c>
      <c r="O1774" s="229">
        <v>1</v>
      </c>
      <c r="P1774" s="26">
        <v>1</v>
      </c>
      <c r="Q1774" s="14">
        <v>2</v>
      </c>
      <c r="R1774" s="229">
        <v>0</v>
      </c>
      <c r="S1774" s="229">
        <v>48</v>
      </c>
      <c r="T1774" s="229">
        <v>0</v>
      </c>
      <c r="U1774" s="229">
        <v>0</v>
      </c>
      <c r="V1774" s="229">
        <v>36</v>
      </c>
      <c r="W1774" s="229">
        <v>44</v>
      </c>
      <c r="X1774" s="229">
        <v>0</v>
      </c>
      <c r="Y1774" s="229">
        <v>0</v>
      </c>
      <c r="Z1774" s="229">
        <v>0</v>
      </c>
      <c r="AA1774" s="229">
        <v>0</v>
      </c>
      <c r="AB1774" s="229">
        <v>0</v>
      </c>
      <c r="AC1774" s="12">
        <v>1</v>
      </c>
      <c r="AD1774" s="14">
        <v>1</v>
      </c>
      <c r="AE1774" s="14">
        <v>0</v>
      </c>
      <c r="AF1774" s="26">
        <v>0</v>
      </c>
      <c r="AG1774" s="12">
        <v>131</v>
      </c>
      <c r="AH1774" s="14">
        <v>0</v>
      </c>
      <c r="AI1774" s="209"/>
      <c r="AJ1774" s="3"/>
      <c r="AK1774" s="3"/>
      <c r="AL1774" s="3"/>
      <c r="AM1774" s="3"/>
      <c r="AN1774" s="3"/>
      <c r="AO1774" s="40"/>
      <c r="AP1774" s="209"/>
      <c r="AQ1774" s="3"/>
      <c r="AR1774" s="40"/>
      <c r="AS1774" s="238"/>
    </row>
    <row r="1775" spans="1:45" s="229" customFormat="1">
      <c r="A1775" s="83" t="s">
        <v>320</v>
      </c>
      <c r="B1775" s="386">
        <v>-0.86499999999999999</v>
      </c>
      <c r="C1775" s="24" t="s">
        <v>763</v>
      </c>
      <c r="D1775" s="229" t="s">
        <v>622</v>
      </c>
      <c r="E1775" s="229" t="s">
        <v>1</v>
      </c>
      <c r="F1775" s="229">
        <v>571</v>
      </c>
      <c r="G1775" s="40">
        <f>F1775/231</f>
        <v>2.4718614718614718</v>
      </c>
      <c r="H1775" s="14">
        <v>0</v>
      </c>
      <c r="I1775" s="229">
        <v>0</v>
      </c>
      <c r="J1775" s="229">
        <v>0</v>
      </c>
      <c r="K1775" s="26">
        <v>1</v>
      </c>
      <c r="L1775" s="14">
        <v>0</v>
      </c>
      <c r="M1775" s="229">
        <v>0</v>
      </c>
      <c r="N1775" s="229">
        <v>0</v>
      </c>
      <c r="O1775" s="229">
        <v>0</v>
      </c>
      <c r="P1775" s="26">
        <v>0</v>
      </c>
      <c r="Q1775" s="14">
        <v>0</v>
      </c>
      <c r="R1775" s="229">
        <v>0</v>
      </c>
      <c r="S1775" s="229">
        <v>0</v>
      </c>
      <c r="T1775" s="229">
        <v>0</v>
      </c>
      <c r="U1775" s="229">
        <v>0</v>
      </c>
      <c r="V1775" s="229">
        <v>0</v>
      </c>
      <c r="W1775" s="229">
        <v>0</v>
      </c>
      <c r="X1775" s="229">
        <v>0</v>
      </c>
      <c r="Y1775" s="229">
        <v>0</v>
      </c>
      <c r="Z1775" s="229">
        <v>0</v>
      </c>
      <c r="AA1775" s="229">
        <v>0</v>
      </c>
      <c r="AB1775" s="229">
        <v>0</v>
      </c>
      <c r="AC1775" s="12">
        <v>1</v>
      </c>
      <c r="AD1775" s="14">
        <v>1</v>
      </c>
      <c r="AE1775" s="14">
        <v>0</v>
      </c>
      <c r="AF1775" s="26">
        <v>0</v>
      </c>
      <c r="AG1775" s="12">
        <v>131</v>
      </c>
      <c r="AH1775" s="14">
        <v>0</v>
      </c>
      <c r="AI1775" s="209"/>
      <c r="AJ1775" s="3"/>
      <c r="AK1775" s="3"/>
      <c r="AL1775" s="3"/>
      <c r="AM1775" s="3"/>
      <c r="AN1775" s="3"/>
      <c r="AO1775" s="40"/>
      <c r="AP1775" s="209"/>
      <c r="AQ1775" s="3"/>
      <c r="AR1775" s="40"/>
      <c r="AS1775" s="238"/>
    </row>
    <row r="1776" spans="1:45" s="229" customFormat="1">
      <c r="A1776" s="83" t="s">
        <v>320</v>
      </c>
      <c r="B1776" s="386">
        <v>-0.86499999999999999</v>
      </c>
      <c r="C1776" s="24" t="s">
        <v>763</v>
      </c>
      <c r="D1776" s="229" t="s">
        <v>622</v>
      </c>
      <c r="E1776" s="229" t="s">
        <v>2</v>
      </c>
      <c r="F1776" s="229">
        <v>1682</v>
      </c>
      <c r="G1776" s="40">
        <f>F1776/775</f>
        <v>2.1703225806451614</v>
      </c>
      <c r="H1776" s="14">
        <v>0</v>
      </c>
      <c r="I1776" s="229">
        <v>0</v>
      </c>
      <c r="J1776" s="229">
        <v>0</v>
      </c>
      <c r="K1776" s="26">
        <v>1</v>
      </c>
      <c r="L1776" s="14">
        <v>0</v>
      </c>
      <c r="M1776" s="229">
        <v>0</v>
      </c>
      <c r="N1776" s="229">
        <v>0</v>
      </c>
      <c r="O1776" s="229">
        <v>1</v>
      </c>
      <c r="P1776" s="26">
        <v>1</v>
      </c>
      <c r="Q1776" s="14">
        <v>0</v>
      </c>
      <c r="R1776" s="229">
        <v>0</v>
      </c>
      <c r="S1776" s="229">
        <v>0</v>
      </c>
      <c r="T1776" s="229">
        <v>0</v>
      </c>
      <c r="U1776" s="229">
        <v>0</v>
      </c>
      <c r="V1776" s="229">
        <v>0</v>
      </c>
      <c r="W1776" s="229">
        <v>0</v>
      </c>
      <c r="X1776" s="229">
        <v>0</v>
      </c>
      <c r="Y1776" s="229">
        <v>0</v>
      </c>
      <c r="Z1776" s="229">
        <v>0</v>
      </c>
      <c r="AA1776" s="229">
        <v>0</v>
      </c>
      <c r="AB1776" s="229">
        <v>0</v>
      </c>
      <c r="AC1776" s="12">
        <v>1</v>
      </c>
      <c r="AD1776" s="14">
        <v>1</v>
      </c>
      <c r="AE1776" s="14">
        <v>0</v>
      </c>
      <c r="AF1776" s="26">
        <v>0</v>
      </c>
      <c r="AG1776" s="12">
        <v>131</v>
      </c>
      <c r="AH1776" s="14">
        <v>0</v>
      </c>
      <c r="AI1776" s="209"/>
      <c r="AJ1776" s="3"/>
      <c r="AK1776" s="3"/>
      <c r="AL1776" s="3"/>
      <c r="AM1776" s="3"/>
      <c r="AN1776" s="3"/>
      <c r="AO1776" s="40"/>
      <c r="AP1776" s="209"/>
      <c r="AQ1776" s="3"/>
      <c r="AR1776" s="40"/>
      <c r="AS1776" s="238"/>
    </row>
    <row r="1777" spans="1:45" s="229" customFormat="1" ht="17" thickBot="1">
      <c r="A1777" s="84" t="s">
        <v>320</v>
      </c>
      <c r="B1777" s="385">
        <v>-0.86499999999999999</v>
      </c>
      <c r="C1777" s="24" t="s">
        <v>763</v>
      </c>
      <c r="D1777" s="229" t="s">
        <v>620</v>
      </c>
      <c r="F1777" s="229">
        <v>228</v>
      </c>
      <c r="G1777" s="40">
        <f>F1777/154</f>
        <v>1.4805194805194806</v>
      </c>
      <c r="H1777" s="14">
        <v>0</v>
      </c>
      <c r="I1777" s="229">
        <v>0</v>
      </c>
      <c r="J1777" s="229">
        <v>0</v>
      </c>
      <c r="K1777" s="26">
        <v>1</v>
      </c>
      <c r="L1777" s="14">
        <v>0</v>
      </c>
      <c r="M1777" s="229">
        <v>0</v>
      </c>
      <c r="N1777" s="229">
        <v>1</v>
      </c>
      <c r="O1777" s="229">
        <v>0</v>
      </c>
      <c r="P1777" s="26">
        <v>1</v>
      </c>
      <c r="Q1777" s="14">
        <v>1</v>
      </c>
      <c r="R1777" s="229">
        <v>0</v>
      </c>
      <c r="S1777" s="229">
        <v>0</v>
      </c>
      <c r="T1777" s="229">
        <v>0</v>
      </c>
      <c r="U1777" s="229">
        <v>0</v>
      </c>
      <c r="V1777" s="229">
        <v>0</v>
      </c>
      <c r="W1777" s="229">
        <v>18</v>
      </c>
      <c r="X1777" s="229">
        <v>0</v>
      </c>
      <c r="Y1777" s="229">
        <v>0</v>
      </c>
      <c r="Z1777" s="229">
        <v>0</v>
      </c>
      <c r="AA1777" s="229">
        <v>0</v>
      </c>
      <c r="AB1777" s="229">
        <v>0</v>
      </c>
      <c r="AC1777" s="12">
        <v>1</v>
      </c>
      <c r="AD1777" s="14">
        <v>1</v>
      </c>
      <c r="AE1777" s="14">
        <v>0</v>
      </c>
      <c r="AF1777" s="26">
        <v>0</v>
      </c>
      <c r="AG1777" s="12">
        <v>122</v>
      </c>
      <c r="AH1777" s="14">
        <v>0</v>
      </c>
      <c r="AI1777" s="209"/>
      <c r="AJ1777" s="3"/>
      <c r="AK1777" s="3"/>
      <c r="AL1777" s="3"/>
      <c r="AM1777" s="3"/>
      <c r="AN1777" s="3"/>
      <c r="AO1777" s="40"/>
      <c r="AP1777" s="209"/>
      <c r="AQ1777" s="3"/>
      <c r="AR1777" s="40"/>
      <c r="AS1777" s="238"/>
    </row>
    <row r="1778" spans="1:45" s="229" customFormat="1">
      <c r="A1778" s="147" t="s">
        <v>320</v>
      </c>
      <c r="B1778" s="384">
        <v>-2.9071666666666669</v>
      </c>
      <c r="C1778" s="224" t="s">
        <v>764</v>
      </c>
      <c r="D1778" s="8" t="s">
        <v>423</v>
      </c>
      <c r="E1778" s="8"/>
      <c r="F1778" s="8">
        <v>447</v>
      </c>
      <c r="G1778" s="10">
        <f>F1778/197</f>
        <v>2.2690355329949239</v>
      </c>
      <c r="H1778" s="11">
        <v>0</v>
      </c>
      <c r="I1778" s="8">
        <v>0</v>
      </c>
      <c r="J1778" s="8">
        <v>1</v>
      </c>
      <c r="K1778" s="41">
        <v>0</v>
      </c>
      <c r="L1778" s="11">
        <v>0</v>
      </c>
      <c r="M1778" s="8">
        <v>0</v>
      </c>
      <c r="N1778" s="8">
        <v>1</v>
      </c>
      <c r="O1778" s="8">
        <v>0</v>
      </c>
      <c r="P1778" s="41">
        <v>1</v>
      </c>
      <c r="Q1778" s="11">
        <v>0</v>
      </c>
      <c r="R1778" s="8">
        <v>0</v>
      </c>
      <c r="S1778" s="8">
        <v>0</v>
      </c>
      <c r="T1778" s="8">
        <v>0</v>
      </c>
      <c r="U1778" s="8">
        <v>0</v>
      </c>
      <c r="V1778" s="8">
        <v>0</v>
      </c>
      <c r="W1778" s="8">
        <v>0</v>
      </c>
      <c r="X1778" s="8">
        <v>0</v>
      </c>
      <c r="Y1778" s="8">
        <v>0</v>
      </c>
      <c r="Z1778" s="8">
        <v>0</v>
      </c>
      <c r="AA1778" s="8">
        <v>0</v>
      </c>
      <c r="AB1778" s="8">
        <v>0</v>
      </c>
      <c r="AC1778" s="9">
        <v>1</v>
      </c>
      <c r="AD1778" s="11">
        <v>1</v>
      </c>
      <c r="AE1778" s="11">
        <v>0</v>
      </c>
      <c r="AF1778" s="41">
        <v>0</v>
      </c>
      <c r="AG1778" s="9">
        <v>86</v>
      </c>
      <c r="AH1778" s="11">
        <v>0</v>
      </c>
      <c r="AI1778" s="208"/>
      <c r="AJ1778" s="54"/>
      <c r="AK1778" s="54"/>
      <c r="AL1778" s="54"/>
      <c r="AM1778" s="54"/>
      <c r="AN1778" s="54"/>
      <c r="AO1778" s="10"/>
      <c r="AP1778" s="208"/>
      <c r="AQ1778" s="54"/>
      <c r="AR1778" s="10"/>
      <c r="AS1778" s="237"/>
    </row>
    <row r="1779" spans="1:45" s="229" customFormat="1">
      <c r="A1779" s="83" t="s">
        <v>320</v>
      </c>
      <c r="B1779" s="386">
        <v>-2.9071666666666669</v>
      </c>
      <c r="C1779" s="228" t="s">
        <v>764</v>
      </c>
      <c r="D1779" s="229" t="s">
        <v>622</v>
      </c>
      <c r="F1779" s="229">
        <v>1457</v>
      </c>
      <c r="G1779" s="40">
        <f>F1779/1255</f>
        <v>1.1609561752988047</v>
      </c>
      <c r="H1779" s="14">
        <v>0</v>
      </c>
      <c r="I1779" s="229">
        <v>0</v>
      </c>
      <c r="J1779" s="229">
        <v>1</v>
      </c>
      <c r="K1779" s="26">
        <v>0</v>
      </c>
      <c r="L1779" s="14">
        <v>0</v>
      </c>
      <c r="M1779" s="229">
        <v>0</v>
      </c>
      <c r="N1779" s="229">
        <v>1</v>
      </c>
      <c r="O1779" s="229">
        <v>0</v>
      </c>
      <c r="P1779" s="26">
        <v>1</v>
      </c>
      <c r="Q1779" s="14">
        <v>3</v>
      </c>
      <c r="R1779" s="229">
        <v>0</v>
      </c>
      <c r="S1779" s="229">
        <v>13</v>
      </c>
      <c r="T1779" s="229">
        <v>0</v>
      </c>
      <c r="U1779" s="229">
        <v>0</v>
      </c>
      <c r="V1779" s="229">
        <v>21</v>
      </c>
      <c r="W1779" s="229">
        <v>72</v>
      </c>
      <c r="X1779" s="229">
        <v>0</v>
      </c>
      <c r="Y1779" s="229">
        <v>0</v>
      </c>
      <c r="Z1779" s="229">
        <v>0</v>
      </c>
      <c r="AA1779" s="229">
        <v>0</v>
      </c>
      <c r="AB1779" s="229">
        <v>0</v>
      </c>
      <c r="AC1779" s="12">
        <v>1</v>
      </c>
      <c r="AD1779" s="14">
        <v>1</v>
      </c>
      <c r="AE1779" s="14">
        <v>0</v>
      </c>
      <c r="AF1779" s="26">
        <v>0</v>
      </c>
      <c r="AG1779" s="12">
        <v>141</v>
      </c>
      <c r="AH1779" s="14">
        <v>0</v>
      </c>
      <c r="AI1779" s="209">
        <v>85.785775460897227</v>
      </c>
      <c r="AJ1779" s="3"/>
      <c r="AK1779" s="3"/>
      <c r="AL1779" s="3"/>
      <c r="AM1779" s="3"/>
      <c r="AN1779" s="3"/>
      <c r="AO1779" s="40"/>
      <c r="AP1779" s="209">
        <v>84.447813379982591</v>
      </c>
      <c r="AQ1779" s="3">
        <v>84.234615887380755</v>
      </c>
      <c r="AR1779" s="40"/>
      <c r="AS1779" s="238"/>
    </row>
    <row r="1780" spans="1:45" s="229" customFormat="1">
      <c r="A1780" s="83" t="s">
        <v>320</v>
      </c>
      <c r="B1780" s="386">
        <v>-2.9071666666666669</v>
      </c>
      <c r="C1780" s="228" t="s">
        <v>764</v>
      </c>
      <c r="D1780" s="229" t="s">
        <v>620</v>
      </c>
      <c r="F1780" s="229">
        <v>219</v>
      </c>
      <c r="G1780" s="40">
        <f>F1780/89</f>
        <v>2.4606741573033708</v>
      </c>
      <c r="H1780" s="14">
        <v>1</v>
      </c>
      <c r="I1780" s="229">
        <v>0</v>
      </c>
      <c r="J1780" s="229">
        <v>0</v>
      </c>
      <c r="K1780" s="26">
        <v>0</v>
      </c>
      <c r="L1780" s="14">
        <v>0</v>
      </c>
      <c r="M1780" s="229">
        <v>0</v>
      </c>
      <c r="N1780" s="229">
        <v>0</v>
      </c>
      <c r="O1780" s="229">
        <v>0</v>
      </c>
      <c r="P1780" s="26">
        <v>0</v>
      </c>
      <c r="Q1780" s="14">
        <v>0</v>
      </c>
      <c r="R1780" s="229">
        <v>0</v>
      </c>
      <c r="S1780" s="229">
        <v>0</v>
      </c>
      <c r="T1780" s="229">
        <v>0</v>
      </c>
      <c r="U1780" s="229">
        <v>0</v>
      </c>
      <c r="V1780" s="229">
        <v>0</v>
      </c>
      <c r="W1780" s="229">
        <v>0</v>
      </c>
      <c r="X1780" s="229">
        <v>0</v>
      </c>
      <c r="Y1780" s="229">
        <v>0</v>
      </c>
      <c r="Z1780" s="229">
        <v>0</v>
      </c>
      <c r="AA1780" s="229">
        <v>0</v>
      </c>
      <c r="AB1780" s="229">
        <v>0</v>
      </c>
      <c r="AC1780" s="12">
        <v>1</v>
      </c>
      <c r="AD1780" s="14">
        <v>1</v>
      </c>
      <c r="AE1780" s="14">
        <v>0</v>
      </c>
      <c r="AF1780" s="26">
        <v>0</v>
      </c>
      <c r="AG1780" s="12">
        <v>117</v>
      </c>
      <c r="AH1780" s="14">
        <v>0</v>
      </c>
      <c r="AI1780" s="209">
        <v>84.473924860333824</v>
      </c>
      <c r="AJ1780" s="3"/>
      <c r="AK1780" s="3"/>
      <c r="AL1780" s="3"/>
      <c r="AM1780" s="3"/>
      <c r="AN1780" s="3"/>
      <c r="AO1780" s="40"/>
      <c r="AP1780" s="209">
        <v>84.181447240780457</v>
      </c>
      <c r="AQ1780" s="3"/>
      <c r="AR1780" s="40"/>
      <c r="AS1780" s="238"/>
    </row>
    <row r="1781" spans="1:45" s="229" customFormat="1">
      <c r="A1781" s="83" t="s">
        <v>320</v>
      </c>
      <c r="B1781" s="386">
        <v>-2.9071666666666669</v>
      </c>
      <c r="C1781" s="228" t="s">
        <v>764</v>
      </c>
      <c r="D1781" s="229" t="s">
        <v>629</v>
      </c>
      <c r="E1781" s="229" t="s">
        <v>0</v>
      </c>
      <c r="F1781" s="229">
        <v>299</v>
      </c>
      <c r="G1781" s="40">
        <f>F1781/202</f>
        <v>1.4801980198019802</v>
      </c>
      <c r="H1781" s="14">
        <v>0</v>
      </c>
      <c r="I1781" s="229">
        <v>0</v>
      </c>
      <c r="J1781" s="229">
        <v>1</v>
      </c>
      <c r="K1781" s="26">
        <v>0</v>
      </c>
      <c r="L1781" s="14">
        <v>0</v>
      </c>
      <c r="M1781" s="229">
        <v>0</v>
      </c>
      <c r="N1781" s="229">
        <v>1</v>
      </c>
      <c r="O1781" s="229">
        <v>0</v>
      </c>
      <c r="P1781" s="26">
        <v>1</v>
      </c>
      <c r="Q1781" s="14">
        <v>10</v>
      </c>
      <c r="R1781" s="229">
        <v>0</v>
      </c>
      <c r="S1781" s="229">
        <v>0</v>
      </c>
      <c r="T1781" s="229">
        <v>0</v>
      </c>
      <c r="U1781" s="229">
        <v>0</v>
      </c>
      <c r="V1781" s="229">
        <v>0</v>
      </c>
      <c r="W1781" s="229">
        <v>158</v>
      </c>
      <c r="X1781" s="229">
        <v>0</v>
      </c>
      <c r="Y1781" s="229">
        <v>0</v>
      </c>
      <c r="Z1781" s="229">
        <v>0</v>
      </c>
      <c r="AA1781" s="229">
        <v>0</v>
      </c>
      <c r="AB1781" s="229">
        <v>0</v>
      </c>
      <c r="AC1781" s="12">
        <v>1</v>
      </c>
      <c r="AD1781" s="14">
        <v>1</v>
      </c>
      <c r="AE1781" s="14">
        <v>0</v>
      </c>
      <c r="AF1781" s="26">
        <v>0</v>
      </c>
      <c r="AG1781" s="12">
        <v>105</v>
      </c>
      <c r="AH1781" s="14">
        <v>0</v>
      </c>
      <c r="AI1781" s="209"/>
      <c r="AJ1781" s="3"/>
      <c r="AK1781" s="3"/>
      <c r="AL1781" s="3"/>
      <c r="AM1781" s="3"/>
      <c r="AN1781" s="3"/>
      <c r="AO1781" s="40"/>
      <c r="AP1781" s="209"/>
      <c r="AQ1781" s="3"/>
      <c r="AR1781" s="40"/>
      <c r="AS1781" s="238"/>
    </row>
    <row r="1782" spans="1:45" s="229" customFormat="1">
      <c r="A1782" s="83" t="s">
        <v>320</v>
      </c>
      <c r="B1782" s="386">
        <v>-2.9071666666666669</v>
      </c>
      <c r="C1782" s="228" t="s">
        <v>764</v>
      </c>
      <c r="D1782" s="229" t="s">
        <v>629</v>
      </c>
      <c r="E1782" s="229" t="s">
        <v>1</v>
      </c>
      <c r="F1782" s="229">
        <v>819</v>
      </c>
      <c r="G1782" s="40">
        <f>F1782/496</f>
        <v>1.6512096774193548</v>
      </c>
      <c r="H1782" s="14">
        <v>0</v>
      </c>
      <c r="I1782" s="229">
        <v>0</v>
      </c>
      <c r="J1782" s="229">
        <v>1</v>
      </c>
      <c r="K1782" s="26">
        <v>0</v>
      </c>
      <c r="L1782" s="14">
        <v>0</v>
      </c>
      <c r="M1782" s="229">
        <v>0</v>
      </c>
      <c r="N1782" s="229">
        <v>1</v>
      </c>
      <c r="O1782" s="229">
        <v>0</v>
      </c>
      <c r="P1782" s="26">
        <v>1</v>
      </c>
      <c r="Q1782" s="14">
        <v>3</v>
      </c>
      <c r="R1782" s="229">
        <v>0</v>
      </c>
      <c r="S1782" s="229">
        <v>0</v>
      </c>
      <c r="T1782" s="229">
        <v>0</v>
      </c>
      <c r="U1782" s="229">
        <v>0</v>
      </c>
      <c r="V1782" s="229">
        <v>6</v>
      </c>
      <c r="W1782" s="229">
        <v>57</v>
      </c>
      <c r="X1782" s="229">
        <v>0</v>
      </c>
      <c r="Y1782" s="229">
        <v>0</v>
      </c>
      <c r="Z1782" s="229">
        <v>0</v>
      </c>
      <c r="AA1782" s="229">
        <v>0</v>
      </c>
      <c r="AB1782" s="229">
        <v>1</v>
      </c>
      <c r="AC1782" s="12">
        <v>1</v>
      </c>
      <c r="AD1782" s="14">
        <v>1</v>
      </c>
      <c r="AE1782" s="14">
        <v>0</v>
      </c>
      <c r="AF1782" s="26">
        <v>0</v>
      </c>
      <c r="AG1782" s="12">
        <v>105</v>
      </c>
      <c r="AH1782" s="14">
        <v>0</v>
      </c>
      <c r="AI1782" s="209"/>
      <c r="AJ1782" s="3"/>
      <c r="AK1782" s="3"/>
      <c r="AL1782" s="3"/>
      <c r="AM1782" s="3"/>
      <c r="AN1782" s="3"/>
      <c r="AO1782" s="40"/>
      <c r="AP1782" s="209"/>
      <c r="AQ1782" s="3"/>
      <c r="AR1782" s="40"/>
      <c r="AS1782" s="238"/>
    </row>
    <row r="1783" spans="1:45" s="229" customFormat="1">
      <c r="A1783" s="83" t="s">
        <v>320</v>
      </c>
      <c r="B1783" s="386">
        <v>-2.9071666666666669</v>
      </c>
      <c r="C1783" s="228" t="s">
        <v>764</v>
      </c>
      <c r="D1783" s="229" t="s">
        <v>634</v>
      </c>
      <c r="E1783" s="229" t="s">
        <v>0</v>
      </c>
      <c r="F1783" s="229">
        <v>519</v>
      </c>
      <c r="G1783" s="40">
        <f>F1783/328</f>
        <v>1.5823170731707317</v>
      </c>
      <c r="H1783" s="14">
        <v>0</v>
      </c>
      <c r="I1783" s="229">
        <v>0</v>
      </c>
      <c r="J1783" s="229">
        <v>1</v>
      </c>
      <c r="K1783" s="26">
        <v>0</v>
      </c>
      <c r="L1783" s="14">
        <v>0</v>
      </c>
      <c r="M1783" s="229">
        <v>0</v>
      </c>
      <c r="N1783" s="229">
        <v>0</v>
      </c>
      <c r="O1783" s="229">
        <v>0</v>
      </c>
      <c r="P1783" s="26">
        <v>0</v>
      </c>
      <c r="Q1783" s="14">
        <v>2</v>
      </c>
      <c r="R1783" s="229">
        <v>0</v>
      </c>
      <c r="S1783" s="229">
        <v>0</v>
      </c>
      <c r="T1783" s="229">
        <v>0</v>
      </c>
      <c r="U1783" s="229">
        <v>0</v>
      </c>
      <c r="V1783" s="229">
        <v>20</v>
      </c>
      <c r="W1783" s="229">
        <v>67</v>
      </c>
      <c r="X1783" s="229">
        <v>0</v>
      </c>
      <c r="Y1783" s="229">
        <v>0</v>
      </c>
      <c r="Z1783" s="229">
        <v>0</v>
      </c>
      <c r="AA1783" s="229">
        <v>0</v>
      </c>
      <c r="AB1783" s="229">
        <v>1</v>
      </c>
      <c r="AC1783" s="12">
        <v>1</v>
      </c>
      <c r="AD1783" s="14">
        <v>1</v>
      </c>
      <c r="AE1783" s="14">
        <v>0</v>
      </c>
      <c r="AF1783" s="26">
        <v>0</v>
      </c>
      <c r="AG1783" s="12">
        <v>110</v>
      </c>
      <c r="AH1783" s="14">
        <v>0</v>
      </c>
      <c r="AI1783" s="209"/>
      <c r="AJ1783" s="3"/>
      <c r="AK1783" s="3"/>
      <c r="AL1783" s="3"/>
      <c r="AM1783" s="3"/>
      <c r="AN1783" s="3"/>
      <c r="AO1783" s="40"/>
      <c r="AP1783" s="209"/>
      <c r="AQ1783" s="3"/>
      <c r="AR1783" s="40"/>
      <c r="AS1783" s="238"/>
    </row>
    <row r="1784" spans="1:45" s="229" customFormat="1">
      <c r="A1784" s="83" t="s">
        <v>320</v>
      </c>
      <c r="B1784" s="386">
        <v>-2.9071666666666669</v>
      </c>
      <c r="C1784" s="228" t="s">
        <v>764</v>
      </c>
      <c r="D1784" s="229" t="s">
        <v>634</v>
      </c>
      <c r="E1784" s="229" t="s">
        <v>1</v>
      </c>
      <c r="F1784" s="229">
        <v>154</v>
      </c>
      <c r="G1784" s="40">
        <f>F1784/108</f>
        <v>1.4259259259259258</v>
      </c>
      <c r="H1784" s="14">
        <v>1</v>
      </c>
      <c r="I1784" s="229">
        <v>0</v>
      </c>
      <c r="J1784" s="229">
        <v>0</v>
      </c>
      <c r="K1784" s="26">
        <v>0</v>
      </c>
      <c r="L1784" s="14">
        <v>1</v>
      </c>
      <c r="M1784" s="229">
        <v>0</v>
      </c>
      <c r="N1784" s="229">
        <v>0</v>
      </c>
      <c r="O1784" s="229">
        <v>0</v>
      </c>
      <c r="P1784" s="26">
        <v>1</v>
      </c>
      <c r="Q1784" s="14">
        <v>0</v>
      </c>
      <c r="R1784" s="229">
        <v>0</v>
      </c>
      <c r="S1784" s="229">
        <v>0</v>
      </c>
      <c r="T1784" s="229">
        <v>0</v>
      </c>
      <c r="U1784" s="229">
        <v>0</v>
      </c>
      <c r="V1784" s="229">
        <v>0</v>
      </c>
      <c r="W1784" s="229">
        <v>0</v>
      </c>
      <c r="X1784" s="229">
        <v>0</v>
      </c>
      <c r="Y1784" s="229">
        <v>0</v>
      </c>
      <c r="Z1784" s="229">
        <v>0</v>
      </c>
      <c r="AA1784" s="229">
        <v>0</v>
      </c>
      <c r="AB1784" s="229">
        <v>0</v>
      </c>
      <c r="AC1784" s="12">
        <v>1</v>
      </c>
      <c r="AD1784" s="14">
        <v>1</v>
      </c>
      <c r="AE1784" s="14">
        <v>0</v>
      </c>
      <c r="AF1784" s="26">
        <v>0</v>
      </c>
      <c r="AG1784" s="12">
        <v>110</v>
      </c>
      <c r="AH1784" s="14">
        <v>0</v>
      </c>
      <c r="AI1784" s="209"/>
      <c r="AJ1784" s="3"/>
      <c r="AK1784" s="3"/>
      <c r="AL1784" s="3"/>
      <c r="AM1784" s="3"/>
      <c r="AN1784" s="3"/>
      <c r="AO1784" s="40"/>
      <c r="AP1784" s="209"/>
      <c r="AQ1784" s="3"/>
      <c r="AR1784" s="40"/>
      <c r="AS1784" s="238"/>
    </row>
    <row r="1785" spans="1:45" s="229" customFormat="1">
      <c r="A1785" s="83" t="s">
        <v>320</v>
      </c>
      <c r="B1785" s="386">
        <v>-2.9071666666666669</v>
      </c>
      <c r="C1785" s="228" t="s">
        <v>764</v>
      </c>
      <c r="D1785" s="229" t="s">
        <v>625</v>
      </c>
      <c r="F1785" s="229">
        <v>426</v>
      </c>
      <c r="G1785" s="40">
        <f>F1785/267</f>
        <v>1.595505617977528</v>
      </c>
      <c r="H1785" s="14">
        <v>0</v>
      </c>
      <c r="I1785" s="229">
        <v>0</v>
      </c>
      <c r="J1785" s="229">
        <v>1</v>
      </c>
      <c r="K1785" s="26">
        <v>0</v>
      </c>
      <c r="L1785" s="14">
        <v>0</v>
      </c>
      <c r="M1785" s="229">
        <v>0</v>
      </c>
      <c r="N1785" s="229">
        <v>0</v>
      </c>
      <c r="O1785" s="229">
        <v>1</v>
      </c>
      <c r="P1785" s="26">
        <v>1</v>
      </c>
      <c r="Q1785" s="14">
        <v>3</v>
      </c>
      <c r="R1785" s="229">
        <v>0</v>
      </c>
      <c r="S1785" s="229">
        <v>7</v>
      </c>
      <c r="T1785" s="229">
        <v>0</v>
      </c>
      <c r="U1785" s="229">
        <v>0</v>
      </c>
      <c r="V1785" s="229">
        <v>11</v>
      </c>
      <c r="W1785" s="229">
        <v>31</v>
      </c>
      <c r="X1785" s="229">
        <v>0</v>
      </c>
      <c r="Y1785" s="229">
        <v>0</v>
      </c>
      <c r="Z1785" s="229">
        <v>0</v>
      </c>
      <c r="AA1785" s="229">
        <v>0</v>
      </c>
      <c r="AB1785" s="229">
        <v>1</v>
      </c>
      <c r="AC1785" s="12">
        <v>1</v>
      </c>
      <c r="AD1785" s="14">
        <v>1</v>
      </c>
      <c r="AE1785" s="14">
        <v>0</v>
      </c>
      <c r="AF1785" s="26">
        <v>0</v>
      </c>
      <c r="AG1785" s="12">
        <v>75</v>
      </c>
      <c r="AH1785" s="14">
        <v>0</v>
      </c>
      <c r="AI1785" s="209">
        <v>80.108353189906225</v>
      </c>
      <c r="AJ1785" s="3"/>
      <c r="AK1785" s="3"/>
      <c r="AL1785" s="3"/>
      <c r="AM1785" s="3"/>
      <c r="AN1785" s="3"/>
      <c r="AO1785" s="40"/>
      <c r="AP1785" s="209">
        <v>84.124531280366952</v>
      </c>
      <c r="AQ1785" s="3"/>
      <c r="AR1785" s="40"/>
      <c r="AS1785" s="238"/>
    </row>
    <row r="1786" spans="1:45" s="229" customFormat="1">
      <c r="A1786" s="83" t="s">
        <v>320</v>
      </c>
      <c r="B1786" s="386">
        <v>-2.9071666666666669</v>
      </c>
      <c r="C1786" s="228" t="s">
        <v>764</v>
      </c>
      <c r="D1786" s="229" t="s">
        <v>630</v>
      </c>
      <c r="F1786" s="229">
        <v>708</v>
      </c>
      <c r="G1786" s="40">
        <f>F1786/471</f>
        <v>1.5031847133757963</v>
      </c>
      <c r="H1786" s="14">
        <v>0</v>
      </c>
      <c r="I1786" s="229">
        <v>0</v>
      </c>
      <c r="J1786" s="229">
        <v>1</v>
      </c>
      <c r="K1786" s="26">
        <v>0</v>
      </c>
      <c r="L1786" s="14">
        <v>1</v>
      </c>
      <c r="M1786" s="229">
        <v>0</v>
      </c>
      <c r="N1786" s="229">
        <v>0</v>
      </c>
      <c r="O1786" s="229">
        <v>0</v>
      </c>
      <c r="P1786" s="26">
        <v>1</v>
      </c>
      <c r="Q1786" s="14">
        <v>3</v>
      </c>
      <c r="R1786" s="229">
        <v>0</v>
      </c>
      <c r="S1786" s="229">
        <v>0</v>
      </c>
      <c r="T1786" s="229">
        <v>0</v>
      </c>
      <c r="U1786" s="229">
        <v>0</v>
      </c>
      <c r="V1786" s="229">
        <v>7</v>
      </c>
      <c r="W1786" s="229">
        <v>60</v>
      </c>
      <c r="X1786" s="229">
        <v>0</v>
      </c>
      <c r="Y1786" s="229">
        <v>0</v>
      </c>
      <c r="Z1786" s="229">
        <v>0</v>
      </c>
      <c r="AA1786" s="229">
        <v>116</v>
      </c>
      <c r="AB1786" s="229">
        <v>0</v>
      </c>
      <c r="AC1786" s="12">
        <v>1</v>
      </c>
      <c r="AD1786" s="14">
        <v>1</v>
      </c>
      <c r="AE1786" s="14">
        <v>0</v>
      </c>
      <c r="AF1786" s="26">
        <v>0</v>
      </c>
      <c r="AG1786" s="12"/>
      <c r="AH1786" s="14">
        <v>0</v>
      </c>
      <c r="AI1786" s="209"/>
      <c r="AJ1786" s="3"/>
      <c r="AK1786" s="3"/>
      <c r="AL1786" s="3"/>
      <c r="AM1786" s="3"/>
      <c r="AN1786" s="3"/>
      <c r="AO1786" s="40"/>
      <c r="AP1786" s="209"/>
      <c r="AQ1786" s="3"/>
      <c r="AR1786" s="40"/>
      <c r="AS1786" s="238"/>
    </row>
    <row r="1787" spans="1:45" s="229" customFormat="1">
      <c r="A1787" s="83" t="s">
        <v>320</v>
      </c>
      <c r="B1787" s="386">
        <v>-2.9071666666666669</v>
      </c>
      <c r="C1787" s="228" t="s">
        <v>764</v>
      </c>
      <c r="D1787" s="229" t="s">
        <v>637</v>
      </c>
      <c r="E1787" s="229" t="s">
        <v>0</v>
      </c>
      <c r="F1787" s="229">
        <v>489</v>
      </c>
      <c r="G1787" s="40">
        <f>F1787/422</f>
        <v>1.1587677725118484</v>
      </c>
      <c r="H1787" s="14">
        <v>0</v>
      </c>
      <c r="I1787" s="229">
        <v>1</v>
      </c>
      <c r="J1787" s="229">
        <v>0</v>
      </c>
      <c r="K1787" s="26">
        <v>0</v>
      </c>
      <c r="L1787" s="14">
        <v>1</v>
      </c>
      <c r="M1787" s="229">
        <v>0</v>
      </c>
      <c r="N1787" s="229">
        <v>0</v>
      </c>
      <c r="O1787" s="229">
        <v>0</v>
      </c>
      <c r="P1787" s="26">
        <v>1</v>
      </c>
      <c r="Q1787" s="14">
        <v>4</v>
      </c>
      <c r="R1787" s="229">
        <v>9</v>
      </c>
      <c r="S1787" s="229">
        <v>11</v>
      </c>
      <c r="T1787" s="229">
        <v>0</v>
      </c>
      <c r="U1787" s="229">
        <v>0</v>
      </c>
      <c r="V1787" s="229">
        <v>0</v>
      </c>
      <c r="W1787" s="229">
        <v>24</v>
      </c>
      <c r="X1787" s="229">
        <v>0</v>
      </c>
      <c r="Y1787" s="229">
        <v>0</v>
      </c>
      <c r="Z1787" s="229">
        <v>0</v>
      </c>
      <c r="AA1787" s="229">
        <v>91</v>
      </c>
      <c r="AB1787" s="229">
        <v>0</v>
      </c>
      <c r="AC1787" s="12">
        <v>1</v>
      </c>
      <c r="AD1787" s="14">
        <v>1</v>
      </c>
      <c r="AE1787" s="14">
        <v>0</v>
      </c>
      <c r="AF1787" s="26">
        <v>0</v>
      </c>
      <c r="AG1787" s="12"/>
      <c r="AH1787" s="14">
        <v>0</v>
      </c>
      <c r="AI1787" s="209">
        <v>83.832930855724442</v>
      </c>
      <c r="AJ1787" s="3"/>
      <c r="AK1787" s="3"/>
      <c r="AL1787" s="3"/>
      <c r="AM1787" s="3"/>
      <c r="AN1787" s="3"/>
      <c r="AO1787" s="40"/>
      <c r="AP1787" s="209">
        <v>83.07688129995671</v>
      </c>
      <c r="AQ1787" s="3">
        <v>84.093351092942541</v>
      </c>
      <c r="AR1787" s="40"/>
      <c r="AS1787" s="238"/>
    </row>
    <row r="1788" spans="1:45" s="229" customFormat="1">
      <c r="A1788" s="83" t="s">
        <v>320</v>
      </c>
      <c r="B1788" s="386">
        <v>-2.9071666666666669</v>
      </c>
      <c r="C1788" s="228" t="s">
        <v>764</v>
      </c>
      <c r="D1788" s="229" t="s">
        <v>637</v>
      </c>
      <c r="E1788" s="229" t="s">
        <v>1</v>
      </c>
      <c r="F1788" s="229">
        <v>581</v>
      </c>
      <c r="G1788" s="40">
        <f>F1788/353</f>
        <v>1.6458923512747876</v>
      </c>
      <c r="H1788" s="14">
        <v>0</v>
      </c>
      <c r="I1788" s="229">
        <v>1</v>
      </c>
      <c r="J1788" s="229">
        <v>0</v>
      </c>
      <c r="K1788" s="26">
        <v>0</v>
      </c>
      <c r="L1788" s="14">
        <v>1</v>
      </c>
      <c r="M1788" s="229">
        <v>0</v>
      </c>
      <c r="N1788" s="229">
        <v>0</v>
      </c>
      <c r="O1788" s="229">
        <v>0</v>
      </c>
      <c r="P1788" s="26">
        <v>1</v>
      </c>
      <c r="Q1788" s="14">
        <v>2</v>
      </c>
      <c r="R1788" s="229">
        <v>0</v>
      </c>
      <c r="S1788" s="229">
        <v>13</v>
      </c>
      <c r="T1788" s="229">
        <v>0</v>
      </c>
      <c r="U1788" s="229">
        <v>0</v>
      </c>
      <c r="V1788" s="229">
        <v>31</v>
      </c>
      <c r="W1788" s="229">
        <v>46</v>
      </c>
      <c r="X1788" s="229">
        <v>0</v>
      </c>
      <c r="Y1788" s="229">
        <v>0</v>
      </c>
      <c r="Z1788" s="229">
        <v>0</v>
      </c>
      <c r="AA1788" s="229">
        <v>0</v>
      </c>
      <c r="AB1788" s="229">
        <v>0</v>
      </c>
      <c r="AC1788" s="12">
        <v>2</v>
      </c>
      <c r="AD1788" s="14">
        <v>3</v>
      </c>
      <c r="AE1788" s="14">
        <v>242</v>
      </c>
      <c r="AF1788" s="26">
        <v>319</v>
      </c>
      <c r="AG1788" s="12"/>
      <c r="AH1788" s="14">
        <v>9</v>
      </c>
      <c r="AI1788" s="209"/>
      <c r="AJ1788" s="3"/>
      <c r="AK1788" s="3"/>
      <c r="AL1788" s="3"/>
      <c r="AM1788" s="3"/>
      <c r="AN1788" s="3"/>
      <c r="AO1788" s="40"/>
      <c r="AP1788" s="209"/>
      <c r="AQ1788" s="3"/>
      <c r="AR1788" s="40"/>
      <c r="AS1788" s="238"/>
    </row>
    <row r="1789" spans="1:45" s="229" customFormat="1">
      <c r="A1789" s="83" t="s">
        <v>320</v>
      </c>
      <c r="B1789" s="386">
        <v>-2.9071666666666669</v>
      </c>
      <c r="C1789" s="228" t="s">
        <v>764</v>
      </c>
      <c r="D1789" s="229" t="s">
        <v>638</v>
      </c>
      <c r="F1789" s="229">
        <v>371</v>
      </c>
      <c r="G1789" s="40">
        <f>F1789/291</f>
        <v>1.2749140893470789</v>
      </c>
      <c r="H1789" s="14">
        <v>0</v>
      </c>
      <c r="I1789" s="229">
        <v>0</v>
      </c>
      <c r="J1789" s="229">
        <v>0</v>
      </c>
      <c r="K1789" s="26">
        <v>1</v>
      </c>
      <c r="L1789" s="14">
        <v>1</v>
      </c>
      <c r="M1789" s="229">
        <v>0</v>
      </c>
      <c r="N1789" s="229">
        <v>0</v>
      </c>
      <c r="O1789" s="229">
        <v>0</v>
      </c>
      <c r="P1789" s="26">
        <v>1</v>
      </c>
      <c r="Q1789" s="14">
        <v>0</v>
      </c>
      <c r="R1789" s="229">
        <v>0</v>
      </c>
      <c r="S1789" s="229">
        <v>0</v>
      </c>
      <c r="T1789" s="229">
        <v>0</v>
      </c>
      <c r="U1789" s="229">
        <v>0</v>
      </c>
      <c r="V1789" s="229">
        <v>0</v>
      </c>
      <c r="W1789" s="229">
        <v>0</v>
      </c>
      <c r="X1789" s="229">
        <v>0</v>
      </c>
      <c r="Y1789" s="229">
        <v>0</v>
      </c>
      <c r="Z1789" s="229">
        <v>0</v>
      </c>
      <c r="AA1789" s="229">
        <v>0</v>
      </c>
      <c r="AB1789" s="229">
        <v>0</v>
      </c>
      <c r="AC1789" s="12">
        <v>2</v>
      </c>
      <c r="AD1789" s="14">
        <v>3</v>
      </c>
      <c r="AE1789" s="14">
        <v>128</v>
      </c>
      <c r="AF1789" s="26">
        <v>371</v>
      </c>
      <c r="AG1789" s="12">
        <v>90</v>
      </c>
      <c r="AH1789" s="14">
        <v>1</v>
      </c>
      <c r="AI1789" s="209"/>
      <c r="AJ1789" s="3"/>
      <c r="AK1789" s="3"/>
      <c r="AL1789" s="3"/>
      <c r="AM1789" s="3"/>
      <c r="AN1789" s="3"/>
      <c r="AO1789" s="40"/>
      <c r="AP1789" s="209"/>
      <c r="AQ1789" s="3"/>
      <c r="AR1789" s="40"/>
      <c r="AS1789" s="238"/>
    </row>
    <row r="1790" spans="1:45" s="229" customFormat="1">
      <c r="A1790" s="83" t="s">
        <v>320</v>
      </c>
      <c r="B1790" s="386">
        <v>-2.9071666666666669</v>
      </c>
      <c r="C1790" s="228" t="s">
        <v>764</v>
      </c>
      <c r="D1790" s="229" t="s">
        <v>639</v>
      </c>
      <c r="F1790" s="229">
        <v>649</v>
      </c>
      <c r="G1790" s="40">
        <f>F1790/316</f>
        <v>2.0537974683544302</v>
      </c>
      <c r="H1790" s="14">
        <v>0</v>
      </c>
      <c r="I1790" s="229">
        <v>0</v>
      </c>
      <c r="J1790" s="229">
        <v>1</v>
      </c>
      <c r="K1790" s="26">
        <v>0</v>
      </c>
      <c r="L1790" s="14">
        <v>0</v>
      </c>
      <c r="M1790" s="229">
        <v>0</v>
      </c>
      <c r="N1790" s="229">
        <v>0</v>
      </c>
      <c r="O1790" s="229">
        <v>1</v>
      </c>
      <c r="P1790" s="26">
        <v>1</v>
      </c>
      <c r="Q1790" s="14">
        <v>5</v>
      </c>
      <c r="R1790" s="229">
        <v>0</v>
      </c>
      <c r="S1790" s="229">
        <v>0</v>
      </c>
      <c r="T1790" s="229">
        <v>0</v>
      </c>
      <c r="U1790" s="229">
        <v>0</v>
      </c>
      <c r="V1790" s="229">
        <v>0</v>
      </c>
      <c r="W1790" s="229">
        <v>0</v>
      </c>
      <c r="X1790" s="229">
        <v>0</v>
      </c>
      <c r="Y1790" s="229">
        <v>0</v>
      </c>
      <c r="Z1790" s="229">
        <v>0</v>
      </c>
      <c r="AA1790" s="229">
        <v>104</v>
      </c>
      <c r="AB1790" s="229">
        <v>0</v>
      </c>
      <c r="AC1790" s="12">
        <v>1</v>
      </c>
      <c r="AD1790" s="14">
        <v>1</v>
      </c>
      <c r="AE1790" s="14">
        <v>0</v>
      </c>
      <c r="AF1790" s="26">
        <v>0</v>
      </c>
      <c r="AG1790" s="12">
        <v>122</v>
      </c>
      <c r="AH1790" s="14">
        <v>0</v>
      </c>
      <c r="AI1790" s="209"/>
      <c r="AJ1790" s="3"/>
      <c r="AK1790" s="3"/>
      <c r="AL1790" s="3"/>
      <c r="AM1790" s="3"/>
      <c r="AN1790" s="3"/>
      <c r="AO1790" s="40"/>
      <c r="AP1790" s="209"/>
      <c r="AQ1790" s="3"/>
      <c r="AR1790" s="40"/>
      <c r="AS1790" s="238"/>
    </row>
    <row r="1791" spans="1:45" s="229" customFormat="1">
      <c r="A1791" s="83" t="s">
        <v>320</v>
      </c>
      <c r="B1791" s="386">
        <v>-2.9071666666666669</v>
      </c>
      <c r="C1791" s="228" t="s">
        <v>764</v>
      </c>
      <c r="D1791" s="229" t="s">
        <v>640</v>
      </c>
      <c r="E1791" s="229" t="s">
        <v>0</v>
      </c>
      <c r="F1791" s="229">
        <v>280</v>
      </c>
      <c r="G1791" s="40">
        <f>F1791/148</f>
        <v>1.8918918918918919</v>
      </c>
      <c r="H1791" s="14">
        <v>0</v>
      </c>
      <c r="I1791" s="229">
        <v>0</v>
      </c>
      <c r="J1791" s="229">
        <v>1</v>
      </c>
      <c r="K1791" s="26">
        <v>0</v>
      </c>
      <c r="L1791" s="14">
        <v>0</v>
      </c>
      <c r="M1791" s="229">
        <v>0</v>
      </c>
      <c r="N1791" s="229">
        <v>1</v>
      </c>
      <c r="O1791" s="229">
        <v>0</v>
      </c>
      <c r="P1791" s="26">
        <v>1</v>
      </c>
      <c r="Q1791" s="14">
        <v>0</v>
      </c>
      <c r="R1791" s="229">
        <v>0</v>
      </c>
      <c r="S1791" s="229">
        <v>0</v>
      </c>
      <c r="T1791" s="229">
        <v>0</v>
      </c>
      <c r="U1791" s="229">
        <v>0</v>
      </c>
      <c r="V1791" s="229">
        <v>0</v>
      </c>
      <c r="W1791" s="229">
        <v>0</v>
      </c>
      <c r="X1791" s="229">
        <v>0</v>
      </c>
      <c r="Y1791" s="229">
        <v>0</v>
      </c>
      <c r="Z1791" s="229">
        <v>0</v>
      </c>
      <c r="AA1791" s="229">
        <v>0</v>
      </c>
      <c r="AB1791" s="229">
        <v>0</v>
      </c>
      <c r="AC1791" s="12">
        <v>1</v>
      </c>
      <c r="AD1791" s="14">
        <v>1</v>
      </c>
      <c r="AE1791" s="14">
        <v>0</v>
      </c>
      <c r="AF1791" s="26">
        <v>0</v>
      </c>
      <c r="AG1791" s="12">
        <v>117</v>
      </c>
      <c r="AH1791" s="14">
        <v>0</v>
      </c>
      <c r="AI1791" s="209"/>
      <c r="AJ1791" s="3"/>
      <c r="AK1791" s="3"/>
      <c r="AL1791" s="3"/>
      <c r="AM1791" s="3"/>
      <c r="AN1791" s="3"/>
      <c r="AO1791" s="40"/>
      <c r="AP1791" s="209"/>
      <c r="AQ1791" s="3"/>
      <c r="AR1791" s="40"/>
      <c r="AS1791" s="238"/>
    </row>
    <row r="1792" spans="1:45" s="229" customFormat="1">
      <c r="A1792" s="83" t="s">
        <v>320</v>
      </c>
      <c r="B1792" s="386">
        <v>-2.9071666666666669</v>
      </c>
      <c r="C1792" s="228" t="s">
        <v>764</v>
      </c>
      <c r="D1792" s="229" t="s">
        <v>640</v>
      </c>
      <c r="E1792" s="229" t="s">
        <v>1</v>
      </c>
      <c r="F1792" s="229">
        <v>763</v>
      </c>
      <c r="G1792" s="40">
        <f>F1792/368</f>
        <v>2.0733695652173911</v>
      </c>
      <c r="H1792" s="14">
        <v>0</v>
      </c>
      <c r="I1792" s="229">
        <v>0</v>
      </c>
      <c r="J1792" s="229">
        <v>1</v>
      </c>
      <c r="K1792" s="26">
        <v>1</v>
      </c>
      <c r="L1792" s="14">
        <v>0</v>
      </c>
      <c r="M1792" s="229">
        <v>0</v>
      </c>
      <c r="N1792" s="229">
        <v>1</v>
      </c>
      <c r="O1792" s="229">
        <v>0</v>
      </c>
      <c r="P1792" s="26">
        <v>1</v>
      </c>
      <c r="Q1792" s="14">
        <v>3</v>
      </c>
      <c r="R1792" s="229">
        <v>0</v>
      </c>
      <c r="S1792" s="229">
        <v>0</v>
      </c>
      <c r="T1792" s="229">
        <v>0</v>
      </c>
      <c r="U1792" s="229">
        <v>0</v>
      </c>
      <c r="V1792" s="229">
        <v>9</v>
      </c>
      <c r="W1792" s="229">
        <v>57</v>
      </c>
      <c r="X1792" s="229">
        <v>0</v>
      </c>
      <c r="Y1792" s="229">
        <v>0</v>
      </c>
      <c r="Z1792" s="229">
        <v>0</v>
      </c>
      <c r="AA1792" s="229">
        <v>0</v>
      </c>
      <c r="AB1792" s="229">
        <v>0</v>
      </c>
      <c r="AC1792" s="12">
        <v>2</v>
      </c>
      <c r="AD1792" s="14">
        <v>3</v>
      </c>
      <c r="AE1792" s="14">
        <v>108</v>
      </c>
      <c r="AF1792" s="26">
        <v>763</v>
      </c>
      <c r="AG1792" s="12">
        <v>117</v>
      </c>
      <c r="AH1792" s="14">
        <v>0</v>
      </c>
      <c r="AI1792" s="209">
        <v>85.341453038340688</v>
      </c>
      <c r="AJ1792" s="3"/>
      <c r="AK1792" s="3"/>
      <c r="AL1792" s="3"/>
      <c r="AM1792" s="3"/>
      <c r="AN1792" s="3"/>
      <c r="AO1792" s="40"/>
      <c r="AP1792" s="209">
        <v>84.402585526195381</v>
      </c>
      <c r="AQ1792" s="3"/>
      <c r="AR1792" s="40"/>
      <c r="AS1792" s="238"/>
    </row>
    <row r="1793" spans="1:45" s="229" customFormat="1">
      <c r="A1793" s="83" t="s">
        <v>320</v>
      </c>
      <c r="B1793" s="386">
        <v>-2.9071666666666669</v>
      </c>
      <c r="C1793" s="228" t="s">
        <v>299</v>
      </c>
      <c r="D1793" s="229" t="s">
        <v>423</v>
      </c>
      <c r="E1793" s="229" t="s">
        <v>0</v>
      </c>
      <c r="F1793" s="229">
        <v>318</v>
      </c>
      <c r="G1793" s="40">
        <f>F1793/236</f>
        <v>1.347457627118644</v>
      </c>
      <c r="H1793" s="14">
        <v>0</v>
      </c>
      <c r="I1793" s="229">
        <v>0</v>
      </c>
      <c r="J1793" s="229">
        <v>1</v>
      </c>
      <c r="K1793" s="26">
        <v>0</v>
      </c>
      <c r="L1793" s="14">
        <v>1</v>
      </c>
      <c r="M1793" s="229">
        <v>0</v>
      </c>
      <c r="N1793" s="229">
        <v>0</v>
      </c>
      <c r="O1793" s="229">
        <v>0</v>
      </c>
      <c r="P1793" s="26">
        <v>1</v>
      </c>
      <c r="Q1793" s="14">
        <v>10</v>
      </c>
      <c r="R1793" s="229">
        <v>0</v>
      </c>
      <c r="S1793" s="229">
        <v>0</v>
      </c>
      <c r="T1793" s="229">
        <v>0</v>
      </c>
      <c r="U1793" s="229">
        <v>0</v>
      </c>
      <c r="V1793" s="229">
        <v>6</v>
      </c>
      <c r="W1793" s="229">
        <v>21</v>
      </c>
      <c r="X1793" s="229">
        <v>0</v>
      </c>
      <c r="Y1793" s="229">
        <v>0</v>
      </c>
      <c r="Z1793" s="229">
        <v>19</v>
      </c>
      <c r="AA1793" s="229">
        <v>70</v>
      </c>
      <c r="AB1793" s="229">
        <v>0</v>
      </c>
      <c r="AC1793" s="12">
        <v>1</v>
      </c>
      <c r="AD1793" s="14">
        <v>1</v>
      </c>
      <c r="AE1793" s="14">
        <v>0</v>
      </c>
      <c r="AF1793" s="26">
        <v>0</v>
      </c>
      <c r="AG1793" s="12">
        <v>139</v>
      </c>
      <c r="AH1793" s="14">
        <v>0</v>
      </c>
      <c r="AI1793" s="209"/>
      <c r="AJ1793" s="3"/>
      <c r="AK1793" s="3"/>
      <c r="AL1793" s="3"/>
      <c r="AM1793" s="3"/>
      <c r="AN1793" s="3"/>
      <c r="AO1793" s="40"/>
      <c r="AP1793" s="209"/>
      <c r="AQ1793" s="3"/>
      <c r="AR1793" s="40"/>
      <c r="AS1793" s="238"/>
    </row>
    <row r="1794" spans="1:45" s="229" customFormat="1">
      <c r="A1794" s="83" t="s">
        <v>320</v>
      </c>
      <c r="B1794" s="386">
        <v>-2.9071666666666669</v>
      </c>
      <c r="C1794" s="228" t="s">
        <v>299</v>
      </c>
      <c r="D1794" s="229" t="s">
        <v>423</v>
      </c>
      <c r="E1794" s="229" t="s">
        <v>1</v>
      </c>
      <c r="F1794" s="229">
        <v>439</v>
      </c>
      <c r="G1794" s="40">
        <f>F1794/370</f>
        <v>1.1864864864864866</v>
      </c>
      <c r="H1794" s="14">
        <v>0</v>
      </c>
      <c r="I1794" s="229">
        <v>0</v>
      </c>
      <c r="J1794" s="229">
        <v>1</v>
      </c>
      <c r="K1794" s="26">
        <v>0</v>
      </c>
      <c r="L1794" s="14">
        <v>0</v>
      </c>
      <c r="M1794" s="229">
        <v>0</v>
      </c>
      <c r="N1794" s="229">
        <v>1</v>
      </c>
      <c r="O1794" s="229">
        <v>0</v>
      </c>
      <c r="P1794" s="26">
        <v>1</v>
      </c>
      <c r="Q1794" s="14">
        <v>5</v>
      </c>
      <c r="R1794" s="229">
        <v>0</v>
      </c>
      <c r="S1794" s="229">
        <v>9</v>
      </c>
      <c r="T1794" s="229">
        <v>0</v>
      </c>
      <c r="U1794" s="229">
        <v>0</v>
      </c>
      <c r="V1794" s="229">
        <v>14</v>
      </c>
      <c r="W1794" s="229">
        <v>134</v>
      </c>
      <c r="X1794" s="229">
        <v>0</v>
      </c>
      <c r="Y1794" s="229">
        <v>0</v>
      </c>
      <c r="Z1794" s="229">
        <v>0</v>
      </c>
      <c r="AA1794" s="229">
        <v>0</v>
      </c>
      <c r="AB1794" s="229">
        <v>0</v>
      </c>
      <c r="AC1794" s="12">
        <v>1</v>
      </c>
      <c r="AD1794" s="14">
        <v>1</v>
      </c>
      <c r="AE1794" s="14">
        <v>0</v>
      </c>
      <c r="AF1794" s="26">
        <v>0</v>
      </c>
      <c r="AG1794" s="12">
        <v>139</v>
      </c>
      <c r="AH1794" s="14">
        <v>0</v>
      </c>
      <c r="AI1794" s="209"/>
      <c r="AJ1794" s="3"/>
      <c r="AK1794" s="3"/>
      <c r="AL1794" s="3"/>
      <c r="AM1794" s="3"/>
      <c r="AN1794" s="3"/>
      <c r="AO1794" s="40"/>
      <c r="AP1794" s="209"/>
      <c r="AQ1794" s="3"/>
      <c r="AR1794" s="40"/>
      <c r="AS1794" s="238"/>
    </row>
    <row r="1795" spans="1:45" s="229" customFormat="1">
      <c r="A1795" s="83" t="s">
        <v>320</v>
      </c>
      <c r="B1795" s="386">
        <v>-2.9071666666666669</v>
      </c>
      <c r="C1795" s="228" t="s">
        <v>299</v>
      </c>
      <c r="D1795" s="229" t="s">
        <v>423</v>
      </c>
      <c r="E1795" s="229" t="s">
        <v>2</v>
      </c>
      <c r="F1795" s="229">
        <v>360</v>
      </c>
      <c r="G1795" s="40">
        <f>F1795/240</f>
        <v>1.5</v>
      </c>
      <c r="H1795" s="14">
        <v>0</v>
      </c>
      <c r="I1795" s="229">
        <v>0</v>
      </c>
      <c r="J1795" s="229">
        <v>1</v>
      </c>
      <c r="K1795" s="26">
        <v>0</v>
      </c>
      <c r="L1795" s="14">
        <v>0</v>
      </c>
      <c r="M1795" s="229">
        <v>0</v>
      </c>
      <c r="N1795" s="229">
        <v>1</v>
      </c>
      <c r="O1795" s="229">
        <v>0</v>
      </c>
      <c r="P1795" s="26">
        <v>1</v>
      </c>
      <c r="Q1795" s="14">
        <v>1</v>
      </c>
      <c r="R1795" s="229">
        <v>0</v>
      </c>
      <c r="S1795" s="229">
        <v>6</v>
      </c>
      <c r="T1795" s="229">
        <v>0</v>
      </c>
      <c r="U1795" s="229">
        <v>0</v>
      </c>
      <c r="V1795" s="229">
        <v>0</v>
      </c>
      <c r="W1795" s="229">
        <v>0</v>
      </c>
      <c r="X1795" s="229">
        <v>0</v>
      </c>
      <c r="Y1795" s="229">
        <v>0</v>
      </c>
      <c r="Z1795" s="229">
        <v>0</v>
      </c>
      <c r="AA1795" s="229">
        <v>0</v>
      </c>
      <c r="AB1795" s="229">
        <v>0</v>
      </c>
      <c r="AC1795" s="12">
        <v>1</v>
      </c>
      <c r="AD1795" s="14">
        <v>1</v>
      </c>
      <c r="AE1795" s="14">
        <v>0</v>
      </c>
      <c r="AF1795" s="26">
        <v>0</v>
      </c>
      <c r="AG1795" s="12">
        <v>139</v>
      </c>
      <c r="AH1795" s="14">
        <v>0</v>
      </c>
      <c r="AI1795" s="209"/>
      <c r="AJ1795" s="3"/>
      <c r="AK1795" s="3"/>
      <c r="AL1795" s="3"/>
      <c r="AM1795" s="3"/>
      <c r="AN1795" s="3"/>
      <c r="AO1795" s="40"/>
      <c r="AP1795" s="209"/>
      <c r="AQ1795" s="3"/>
      <c r="AR1795" s="40"/>
      <c r="AS1795" s="238"/>
    </row>
    <row r="1796" spans="1:45" s="229" customFormat="1">
      <c r="A1796" s="83" t="s">
        <v>320</v>
      </c>
      <c r="B1796" s="386">
        <v>-2.9071666666666669</v>
      </c>
      <c r="C1796" s="228" t="s">
        <v>299</v>
      </c>
      <c r="D1796" s="229" t="s">
        <v>622</v>
      </c>
      <c r="F1796" s="257">
        <v>0.02</v>
      </c>
      <c r="G1796" s="40">
        <f>F1796/365</f>
        <v>5.4794520547945207E-5</v>
      </c>
      <c r="H1796" s="14">
        <v>0</v>
      </c>
      <c r="I1796" s="229">
        <v>0</v>
      </c>
      <c r="J1796" s="229">
        <v>1</v>
      </c>
      <c r="K1796" s="26">
        <v>0</v>
      </c>
      <c r="L1796" s="14">
        <v>0</v>
      </c>
      <c r="M1796" s="229">
        <v>1</v>
      </c>
      <c r="N1796" s="229">
        <v>0</v>
      </c>
      <c r="O1796" s="229">
        <v>0</v>
      </c>
      <c r="P1796" s="26">
        <v>1</v>
      </c>
      <c r="Q1796" s="14">
        <v>2</v>
      </c>
      <c r="R1796" s="229">
        <v>0</v>
      </c>
      <c r="S1796" s="229">
        <v>0</v>
      </c>
      <c r="T1796" s="229">
        <v>0</v>
      </c>
      <c r="U1796" s="229">
        <v>0</v>
      </c>
      <c r="V1796" s="229">
        <v>0</v>
      </c>
      <c r="W1796" s="229">
        <v>38</v>
      </c>
      <c r="X1796" s="229">
        <v>0</v>
      </c>
      <c r="Y1796" s="229">
        <v>0</v>
      </c>
      <c r="Z1796" s="229">
        <v>0</v>
      </c>
      <c r="AA1796" s="229">
        <v>0</v>
      </c>
      <c r="AB1796" s="229">
        <v>0</v>
      </c>
      <c r="AC1796" s="12">
        <v>1</v>
      </c>
      <c r="AD1796" s="14">
        <v>1</v>
      </c>
      <c r="AE1796" s="14">
        <v>0</v>
      </c>
      <c r="AF1796" s="26">
        <v>0</v>
      </c>
      <c r="AG1796" s="12">
        <v>128</v>
      </c>
      <c r="AH1796" s="14">
        <v>0</v>
      </c>
      <c r="AI1796" s="209"/>
      <c r="AJ1796" s="3"/>
      <c r="AK1796" s="3"/>
      <c r="AL1796" s="3"/>
      <c r="AM1796" s="3"/>
      <c r="AN1796" s="3"/>
      <c r="AO1796" s="40"/>
      <c r="AP1796" s="209"/>
      <c r="AQ1796" s="3"/>
      <c r="AR1796" s="40"/>
      <c r="AS1796" s="238"/>
    </row>
    <row r="1797" spans="1:45" s="229" customFormat="1">
      <c r="A1797" s="83" t="s">
        <v>320</v>
      </c>
      <c r="B1797" s="386">
        <v>-2.9071666666666669</v>
      </c>
      <c r="C1797" s="228" t="s">
        <v>299</v>
      </c>
      <c r="D1797" s="229" t="s">
        <v>620</v>
      </c>
      <c r="E1797" s="229" t="s">
        <v>0</v>
      </c>
      <c r="F1797" s="229">
        <v>496</v>
      </c>
      <c r="G1797" s="40">
        <f>F1797/431</f>
        <v>1.1508120649651972</v>
      </c>
      <c r="H1797" s="14">
        <v>0</v>
      </c>
      <c r="I1797" s="229">
        <v>0</v>
      </c>
      <c r="J1797" s="229">
        <v>1</v>
      </c>
      <c r="K1797" s="26">
        <v>1</v>
      </c>
      <c r="L1797" s="14">
        <v>0</v>
      </c>
      <c r="M1797" s="229">
        <v>0</v>
      </c>
      <c r="N1797" s="229">
        <v>1</v>
      </c>
      <c r="O1797" s="229">
        <v>0</v>
      </c>
      <c r="P1797" s="26">
        <v>1</v>
      </c>
      <c r="Q1797" s="14">
        <v>2</v>
      </c>
      <c r="R1797" s="229">
        <v>0</v>
      </c>
      <c r="S1797" s="229">
        <v>0</v>
      </c>
      <c r="T1797" s="229">
        <v>0</v>
      </c>
      <c r="U1797" s="229">
        <v>0</v>
      </c>
      <c r="V1797" s="229">
        <v>19</v>
      </c>
      <c r="W1797" s="229">
        <v>105</v>
      </c>
      <c r="X1797" s="229">
        <v>0</v>
      </c>
      <c r="Y1797" s="229">
        <v>0</v>
      </c>
      <c r="Z1797" s="229">
        <v>0</v>
      </c>
      <c r="AA1797" s="229">
        <v>43</v>
      </c>
      <c r="AB1797" s="229">
        <v>0</v>
      </c>
      <c r="AC1797" s="12">
        <v>2</v>
      </c>
      <c r="AD1797" s="14">
        <v>2</v>
      </c>
      <c r="AE1797" s="14">
        <v>382</v>
      </c>
      <c r="AF1797" s="26">
        <v>431</v>
      </c>
      <c r="AG1797" s="12">
        <v>128</v>
      </c>
      <c r="AH1797" s="14">
        <v>1</v>
      </c>
      <c r="AI1797" s="209"/>
      <c r="AJ1797" s="3"/>
      <c r="AK1797" s="3"/>
      <c r="AL1797" s="3"/>
      <c r="AM1797" s="3"/>
      <c r="AN1797" s="3"/>
      <c r="AO1797" s="40"/>
      <c r="AP1797" s="209"/>
      <c r="AQ1797" s="3"/>
      <c r="AR1797" s="40"/>
      <c r="AS1797" s="238"/>
    </row>
    <row r="1798" spans="1:45" s="229" customFormat="1">
      <c r="A1798" s="83" t="s">
        <v>320</v>
      </c>
      <c r="B1798" s="386">
        <v>-2.9071666666666669</v>
      </c>
      <c r="C1798" s="228" t="s">
        <v>299</v>
      </c>
      <c r="D1798" s="229" t="s">
        <v>620</v>
      </c>
      <c r="E1798" s="229" t="s">
        <v>1</v>
      </c>
      <c r="F1798" s="229">
        <v>313</v>
      </c>
      <c r="G1798" s="40">
        <f>F1798/142</f>
        <v>2.204225352112676</v>
      </c>
      <c r="H1798" s="14">
        <v>0</v>
      </c>
      <c r="I1798" s="229">
        <v>0</v>
      </c>
      <c r="J1798" s="229">
        <v>0</v>
      </c>
      <c r="K1798" s="26">
        <v>1</v>
      </c>
      <c r="L1798" s="14">
        <v>0</v>
      </c>
      <c r="M1798" s="229">
        <v>0</v>
      </c>
      <c r="N1798" s="229">
        <v>0</v>
      </c>
      <c r="O1798" s="229">
        <v>0</v>
      </c>
      <c r="P1798" s="26">
        <v>0</v>
      </c>
      <c r="Q1798" s="14">
        <v>3</v>
      </c>
      <c r="R1798" s="229">
        <v>0</v>
      </c>
      <c r="S1798" s="229">
        <v>0</v>
      </c>
      <c r="T1798" s="229">
        <v>0</v>
      </c>
      <c r="U1798" s="229">
        <v>0</v>
      </c>
      <c r="V1798" s="229">
        <v>19</v>
      </c>
      <c r="W1798" s="229">
        <v>42</v>
      </c>
      <c r="X1798" s="229">
        <v>0</v>
      </c>
      <c r="Y1798" s="229">
        <v>0</v>
      </c>
      <c r="Z1798" s="229">
        <v>0</v>
      </c>
      <c r="AA1798" s="229">
        <v>45</v>
      </c>
      <c r="AB1798" s="229">
        <v>0</v>
      </c>
      <c r="AC1798" s="12">
        <v>1</v>
      </c>
      <c r="AD1798" s="14">
        <v>1</v>
      </c>
      <c r="AE1798" s="14">
        <v>0</v>
      </c>
      <c r="AF1798" s="26">
        <v>0</v>
      </c>
      <c r="AG1798" s="12">
        <v>128</v>
      </c>
      <c r="AH1798" s="14">
        <v>0</v>
      </c>
      <c r="AI1798" s="209"/>
      <c r="AJ1798" s="3"/>
      <c r="AK1798" s="3"/>
      <c r="AL1798" s="3"/>
      <c r="AM1798" s="3"/>
      <c r="AN1798" s="3"/>
      <c r="AO1798" s="40"/>
      <c r="AP1798" s="209"/>
      <c r="AQ1798" s="3"/>
      <c r="AR1798" s="40"/>
      <c r="AS1798" s="238"/>
    </row>
    <row r="1799" spans="1:45" s="229" customFormat="1">
      <c r="A1799" s="83" t="s">
        <v>320</v>
      </c>
      <c r="B1799" s="386">
        <v>-2.9071666666666669</v>
      </c>
      <c r="C1799" s="228" t="s">
        <v>299</v>
      </c>
      <c r="D1799" s="229" t="s">
        <v>629</v>
      </c>
      <c r="E1799" s="229" t="s">
        <v>0</v>
      </c>
      <c r="F1799" s="229">
        <v>415</v>
      </c>
      <c r="G1799" s="40">
        <f>F1799/177</f>
        <v>2.3446327683615817</v>
      </c>
      <c r="H1799" s="14">
        <v>0</v>
      </c>
      <c r="I1799" s="229">
        <v>0</v>
      </c>
      <c r="J1799" s="229">
        <v>1</v>
      </c>
      <c r="K1799" s="26">
        <v>1</v>
      </c>
      <c r="L1799" s="14">
        <v>0</v>
      </c>
      <c r="M1799" s="229">
        <v>0</v>
      </c>
      <c r="N1799" s="229">
        <v>1</v>
      </c>
      <c r="O1799" s="229">
        <v>0</v>
      </c>
      <c r="P1799" s="26">
        <v>1</v>
      </c>
      <c r="Q1799" s="14">
        <v>0</v>
      </c>
      <c r="R1799" s="229">
        <v>0</v>
      </c>
      <c r="S1799" s="229">
        <v>0</v>
      </c>
      <c r="T1799" s="229">
        <v>0</v>
      </c>
      <c r="U1799" s="229">
        <v>0</v>
      </c>
      <c r="V1799" s="229">
        <v>0</v>
      </c>
      <c r="W1799" s="229">
        <v>0</v>
      </c>
      <c r="X1799" s="229">
        <v>0</v>
      </c>
      <c r="Y1799" s="229">
        <v>0</v>
      </c>
      <c r="Z1799" s="229">
        <v>0</v>
      </c>
      <c r="AA1799" s="229">
        <v>0</v>
      </c>
      <c r="AB1799" s="229">
        <v>0</v>
      </c>
      <c r="AC1799" s="12">
        <v>2</v>
      </c>
      <c r="AD1799" s="14">
        <v>3</v>
      </c>
      <c r="AE1799" s="14">
        <v>166</v>
      </c>
      <c r="AF1799" s="26">
        <v>220</v>
      </c>
      <c r="AG1799" s="12">
        <v>121</v>
      </c>
      <c r="AH1799" s="14">
        <v>0</v>
      </c>
      <c r="AI1799" s="209"/>
      <c r="AJ1799" s="3"/>
      <c r="AK1799" s="3"/>
      <c r="AL1799" s="3"/>
      <c r="AM1799" s="3"/>
      <c r="AN1799" s="3"/>
      <c r="AO1799" s="40"/>
      <c r="AP1799" s="209"/>
      <c r="AQ1799" s="3"/>
      <c r="AR1799" s="40"/>
      <c r="AS1799" s="238"/>
    </row>
    <row r="1800" spans="1:45" s="229" customFormat="1">
      <c r="A1800" s="83" t="s">
        <v>320</v>
      </c>
      <c r="B1800" s="386">
        <v>-2.9071666666666669</v>
      </c>
      <c r="C1800" s="228" t="s">
        <v>299</v>
      </c>
      <c r="D1800" s="229" t="s">
        <v>629</v>
      </c>
      <c r="E1800" s="229" t="s">
        <v>1</v>
      </c>
      <c r="F1800" s="229">
        <v>928</v>
      </c>
      <c r="G1800" s="40">
        <f>F1800/637</f>
        <v>1.456828885400314</v>
      </c>
      <c r="H1800" s="14">
        <v>0</v>
      </c>
      <c r="I1800" s="229">
        <v>0</v>
      </c>
      <c r="J1800" s="229">
        <v>1</v>
      </c>
      <c r="K1800" s="26">
        <v>0</v>
      </c>
      <c r="L1800" s="14">
        <v>0</v>
      </c>
      <c r="M1800" s="229">
        <v>0</v>
      </c>
      <c r="N1800" s="229">
        <v>1</v>
      </c>
      <c r="O1800" s="229">
        <v>0</v>
      </c>
      <c r="P1800" s="26">
        <v>1</v>
      </c>
      <c r="Q1800" s="14">
        <v>20</v>
      </c>
      <c r="R1800" s="229">
        <v>0</v>
      </c>
      <c r="S1800" s="229">
        <v>0</v>
      </c>
      <c r="T1800" s="229">
        <v>0</v>
      </c>
      <c r="U1800" s="229">
        <v>0</v>
      </c>
      <c r="V1800" s="229">
        <v>11</v>
      </c>
      <c r="W1800" s="229">
        <v>226</v>
      </c>
      <c r="X1800" s="229">
        <v>0</v>
      </c>
      <c r="Y1800" s="229">
        <v>0</v>
      </c>
      <c r="Z1800" s="229">
        <v>213</v>
      </c>
      <c r="AA1800" s="229">
        <v>320</v>
      </c>
      <c r="AB1800" s="229">
        <v>0</v>
      </c>
      <c r="AC1800" s="12">
        <v>1</v>
      </c>
      <c r="AD1800" s="14">
        <v>1</v>
      </c>
      <c r="AE1800" s="14">
        <v>0</v>
      </c>
      <c r="AF1800" s="26">
        <v>0</v>
      </c>
      <c r="AG1800" s="12">
        <v>121</v>
      </c>
      <c r="AH1800" s="14">
        <v>0</v>
      </c>
      <c r="AI1800" s="209"/>
      <c r="AJ1800" s="3"/>
      <c r="AK1800" s="3"/>
      <c r="AL1800" s="3"/>
      <c r="AM1800" s="3"/>
      <c r="AN1800" s="3"/>
      <c r="AO1800" s="40"/>
      <c r="AP1800" s="209"/>
      <c r="AQ1800" s="3"/>
      <c r="AR1800" s="40"/>
      <c r="AS1800" s="238"/>
    </row>
    <row r="1801" spans="1:45" s="229" customFormat="1">
      <c r="A1801" s="83" t="s">
        <v>320</v>
      </c>
      <c r="B1801" s="386">
        <v>-2.9071666666666669</v>
      </c>
      <c r="C1801" s="228" t="s">
        <v>299</v>
      </c>
      <c r="D1801" s="229" t="s">
        <v>634</v>
      </c>
      <c r="F1801" s="229">
        <v>514</v>
      </c>
      <c r="G1801" s="40">
        <f>F1801/455</f>
        <v>1.1296703296703297</v>
      </c>
      <c r="H1801" s="14">
        <v>0</v>
      </c>
      <c r="I1801" s="229">
        <v>0</v>
      </c>
      <c r="J1801" s="229">
        <v>1</v>
      </c>
      <c r="K1801" s="26">
        <v>0</v>
      </c>
      <c r="L1801" s="14">
        <v>1</v>
      </c>
      <c r="M1801" s="229">
        <v>0</v>
      </c>
      <c r="N1801" s="229">
        <v>0</v>
      </c>
      <c r="O1801" s="229">
        <v>0</v>
      </c>
      <c r="P1801" s="26">
        <v>1</v>
      </c>
      <c r="Q1801" s="14">
        <v>5</v>
      </c>
      <c r="R1801" s="229">
        <v>0</v>
      </c>
      <c r="S1801" s="229">
        <v>0</v>
      </c>
      <c r="T1801" s="229">
        <v>0</v>
      </c>
      <c r="U1801" s="229">
        <v>0</v>
      </c>
      <c r="V1801" s="229">
        <v>19</v>
      </c>
      <c r="W1801" s="229">
        <v>142</v>
      </c>
      <c r="X1801" s="229">
        <v>0</v>
      </c>
      <c r="Y1801" s="229">
        <v>0</v>
      </c>
      <c r="Z1801" s="229">
        <v>0</v>
      </c>
      <c r="AA1801" s="229">
        <v>0</v>
      </c>
      <c r="AB1801" s="229">
        <v>0</v>
      </c>
      <c r="AC1801" s="12">
        <v>1</v>
      </c>
      <c r="AD1801" s="14">
        <v>1</v>
      </c>
      <c r="AE1801" s="14">
        <v>0</v>
      </c>
      <c r="AF1801" s="26">
        <v>0</v>
      </c>
      <c r="AG1801" s="12">
        <v>126</v>
      </c>
      <c r="AH1801" s="14">
        <v>0</v>
      </c>
      <c r="AI1801" s="209">
        <v>83.036137491444833</v>
      </c>
      <c r="AJ1801" s="3"/>
      <c r="AK1801" s="3"/>
      <c r="AL1801" s="3"/>
      <c r="AM1801" s="3"/>
      <c r="AN1801" s="3"/>
      <c r="AO1801" s="40"/>
      <c r="AP1801" s="209">
        <v>84.489115288391645</v>
      </c>
      <c r="AQ1801" s="3"/>
      <c r="AR1801" s="40"/>
      <c r="AS1801" s="238"/>
    </row>
    <row r="1802" spans="1:45" s="229" customFormat="1">
      <c r="A1802" s="83" t="s">
        <v>320</v>
      </c>
      <c r="B1802" s="386">
        <v>-2.9071666666666669</v>
      </c>
      <c r="C1802" s="228" t="s">
        <v>299</v>
      </c>
      <c r="D1802" s="229" t="s">
        <v>625</v>
      </c>
      <c r="F1802" s="229">
        <v>578</v>
      </c>
      <c r="G1802" s="40">
        <f>F1802/375</f>
        <v>1.5413333333333334</v>
      </c>
      <c r="H1802" s="14">
        <v>0</v>
      </c>
      <c r="I1802" s="229">
        <v>0</v>
      </c>
      <c r="J1802" s="229">
        <v>1</v>
      </c>
      <c r="K1802" s="26">
        <v>0</v>
      </c>
      <c r="L1802" s="14">
        <v>1</v>
      </c>
      <c r="M1802" s="229">
        <v>0</v>
      </c>
      <c r="N1802" s="229">
        <v>0</v>
      </c>
      <c r="O1802" s="229">
        <v>0</v>
      </c>
      <c r="P1802" s="26">
        <v>1</v>
      </c>
      <c r="Q1802" s="14">
        <v>3</v>
      </c>
      <c r="R1802" s="229">
        <v>8</v>
      </c>
      <c r="S1802" s="229">
        <v>25</v>
      </c>
      <c r="T1802" s="229">
        <v>0</v>
      </c>
      <c r="U1802" s="229">
        <v>0</v>
      </c>
      <c r="V1802" s="229">
        <v>21</v>
      </c>
      <c r="W1802" s="229">
        <v>27</v>
      </c>
      <c r="X1802" s="229">
        <v>0</v>
      </c>
      <c r="Y1802" s="229">
        <v>0</v>
      </c>
      <c r="Z1802" s="229">
        <v>0</v>
      </c>
      <c r="AA1802" s="229">
        <v>83</v>
      </c>
      <c r="AB1802" s="229">
        <v>0</v>
      </c>
      <c r="AC1802" s="12">
        <v>1</v>
      </c>
      <c r="AD1802" s="14">
        <v>1</v>
      </c>
      <c r="AE1802" s="14">
        <v>0</v>
      </c>
      <c r="AF1802" s="26">
        <v>0</v>
      </c>
      <c r="AG1802" s="12">
        <v>104</v>
      </c>
      <c r="AH1802" s="14">
        <v>0</v>
      </c>
      <c r="AI1802" s="209"/>
      <c r="AJ1802" s="3"/>
      <c r="AK1802" s="3"/>
      <c r="AL1802" s="3"/>
      <c r="AM1802" s="3"/>
      <c r="AN1802" s="3"/>
      <c r="AO1802" s="40"/>
      <c r="AP1802" s="209"/>
      <c r="AQ1802" s="3"/>
      <c r="AR1802" s="40"/>
      <c r="AS1802" s="238"/>
    </row>
    <row r="1803" spans="1:45" s="229" customFormat="1">
      <c r="A1803" s="83" t="s">
        <v>320</v>
      </c>
      <c r="B1803" s="386">
        <v>-2.9071666666666669</v>
      </c>
      <c r="C1803" s="228" t="s">
        <v>299</v>
      </c>
      <c r="D1803" s="229" t="s">
        <v>630</v>
      </c>
      <c r="F1803" s="229">
        <v>924</v>
      </c>
      <c r="G1803" s="40">
        <f>F1803/438</f>
        <v>2.1095890410958904</v>
      </c>
      <c r="H1803" s="14">
        <v>0</v>
      </c>
      <c r="I1803" s="229">
        <v>0</v>
      </c>
      <c r="J1803" s="229">
        <v>1</v>
      </c>
      <c r="K1803" s="26">
        <v>0</v>
      </c>
      <c r="L1803" s="14">
        <v>1</v>
      </c>
      <c r="M1803" s="229">
        <v>0</v>
      </c>
      <c r="N1803" s="229">
        <v>0</v>
      </c>
      <c r="O1803" s="229">
        <v>0</v>
      </c>
      <c r="P1803" s="26">
        <v>1</v>
      </c>
      <c r="Q1803" s="14">
        <v>2</v>
      </c>
      <c r="R1803" s="229">
        <v>6</v>
      </c>
      <c r="S1803" s="229">
        <v>16</v>
      </c>
      <c r="T1803" s="229">
        <v>0</v>
      </c>
      <c r="U1803" s="229">
        <v>0</v>
      </c>
      <c r="V1803" s="229">
        <v>14</v>
      </c>
      <c r="W1803" s="229">
        <v>124</v>
      </c>
      <c r="X1803" s="229">
        <v>0</v>
      </c>
      <c r="Y1803" s="229">
        <v>0</v>
      </c>
      <c r="Z1803" s="229">
        <v>0</v>
      </c>
      <c r="AA1803" s="229">
        <v>137</v>
      </c>
      <c r="AB1803" s="229">
        <v>0</v>
      </c>
      <c r="AC1803" s="12">
        <v>1</v>
      </c>
      <c r="AD1803" s="14">
        <v>1</v>
      </c>
      <c r="AE1803" s="14">
        <v>0</v>
      </c>
      <c r="AF1803" s="26">
        <v>0</v>
      </c>
      <c r="AG1803" s="12">
        <v>123</v>
      </c>
      <c r="AH1803" s="14">
        <v>0</v>
      </c>
      <c r="AI1803" s="209">
        <v>84.334863995799864</v>
      </c>
      <c r="AJ1803" s="3"/>
      <c r="AK1803" s="3"/>
      <c r="AL1803" s="3"/>
      <c r="AM1803" s="3"/>
      <c r="AN1803" s="3"/>
      <c r="AO1803" s="40"/>
      <c r="AP1803" s="209">
        <v>82.916140735530689</v>
      </c>
      <c r="AQ1803" s="3">
        <v>83.991956671464649</v>
      </c>
      <c r="AR1803" s="40"/>
      <c r="AS1803" s="238"/>
    </row>
    <row r="1804" spans="1:45" s="229" customFormat="1">
      <c r="A1804" s="83" t="s">
        <v>320</v>
      </c>
      <c r="B1804" s="386">
        <v>-2.9071666666666669</v>
      </c>
      <c r="C1804" s="228" t="s">
        <v>299</v>
      </c>
      <c r="D1804" s="229" t="s">
        <v>637</v>
      </c>
      <c r="F1804" s="229">
        <v>1449</v>
      </c>
      <c r="G1804" s="40">
        <f>F1804/1137</f>
        <v>1.274406332453826</v>
      </c>
      <c r="H1804" s="14">
        <v>0</v>
      </c>
      <c r="I1804" s="229">
        <v>0</v>
      </c>
      <c r="J1804" s="229">
        <v>1</v>
      </c>
      <c r="K1804" s="26">
        <v>0</v>
      </c>
      <c r="L1804" s="14">
        <v>1</v>
      </c>
      <c r="M1804" s="229">
        <v>0</v>
      </c>
      <c r="N1804" s="229">
        <v>0</v>
      </c>
      <c r="O1804" s="229">
        <v>1</v>
      </c>
      <c r="P1804" s="26">
        <v>2</v>
      </c>
      <c r="Q1804" s="14">
        <v>20</v>
      </c>
      <c r="R1804" s="229">
        <v>5</v>
      </c>
      <c r="S1804" s="229">
        <v>7</v>
      </c>
      <c r="T1804" s="229">
        <v>0</v>
      </c>
      <c r="U1804" s="229">
        <v>0</v>
      </c>
      <c r="V1804" s="229">
        <v>22</v>
      </c>
      <c r="W1804" s="229">
        <v>1058</v>
      </c>
      <c r="X1804" s="229">
        <v>0</v>
      </c>
      <c r="Y1804" s="229">
        <v>0</v>
      </c>
      <c r="Z1804" s="229">
        <v>26</v>
      </c>
      <c r="AA1804" s="229">
        <v>402</v>
      </c>
      <c r="AB1804" s="229">
        <v>0</v>
      </c>
      <c r="AC1804" s="12">
        <v>2</v>
      </c>
      <c r="AD1804" s="14">
        <v>3</v>
      </c>
      <c r="AE1804" s="14">
        <v>432</v>
      </c>
      <c r="AF1804" s="26">
        <v>1150</v>
      </c>
      <c r="AG1804" s="12">
        <v>151</v>
      </c>
      <c r="AH1804" s="14">
        <v>0</v>
      </c>
      <c r="AI1804" s="209">
        <v>80.753859706849738</v>
      </c>
      <c r="AJ1804" s="3"/>
      <c r="AK1804" s="3"/>
      <c r="AL1804" s="3"/>
      <c r="AM1804" s="3"/>
      <c r="AN1804" s="3"/>
      <c r="AO1804" s="40"/>
      <c r="AP1804" s="209">
        <v>84.075719412648453</v>
      </c>
      <c r="AQ1804" s="3">
        <v>82.549587474776487</v>
      </c>
      <c r="AR1804" s="40"/>
      <c r="AS1804" s="238"/>
    </row>
    <row r="1805" spans="1:45" s="229" customFormat="1">
      <c r="A1805" s="83" t="s">
        <v>320</v>
      </c>
      <c r="B1805" s="386">
        <v>-2.9071666666666669</v>
      </c>
      <c r="C1805" s="228" t="s">
        <v>299</v>
      </c>
      <c r="D1805" s="229" t="s">
        <v>638</v>
      </c>
      <c r="E1805" s="229" t="s">
        <v>0</v>
      </c>
      <c r="F1805" s="229">
        <v>2276</v>
      </c>
      <c r="G1805" s="40">
        <f>F1805/1245</f>
        <v>1.8281124497991967</v>
      </c>
      <c r="H1805" s="14">
        <v>0</v>
      </c>
      <c r="I1805" s="229">
        <v>0</v>
      </c>
      <c r="J1805" s="229">
        <v>0</v>
      </c>
      <c r="K1805" s="26">
        <v>1</v>
      </c>
      <c r="L1805" s="14">
        <v>0</v>
      </c>
      <c r="M1805" s="229">
        <v>0</v>
      </c>
      <c r="N1805" s="229">
        <v>1</v>
      </c>
      <c r="O1805" s="229">
        <v>0</v>
      </c>
      <c r="P1805" s="26">
        <v>1</v>
      </c>
      <c r="Q1805" s="14">
        <v>0</v>
      </c>
      <c r="R1805" s="229">
        <v>0</v>
      </c>
      <c r="S1805" s="229">
        <v>0</v>
      </c>
      <c r="T1805" s="229">
        <v>0</v>
      </c>
      <c r="U1805" s="229">
        <v>0</v>
      </c>
      <c r="V1805" s="229">
        <v>0</v>
      </c>
      <c r="W1805" s="229">
        <v>0</v>
      </c>
      <c r="X1805" s="229">
        <v>0</v>
      </c>
      <c r="Y1805" s="229">
        <v>0</v>
      </c>
      <c r="Z1805" s="229">
        <v>0</v>
      </c>
      <c r="AA1805" s="229">
        <v>0</v>
      </c>
      <c r="AB1805" s="229">
        <v>0</v>
      </c>
      <c r="AC1805" s="12">
        <v>1</v>
      </c>
      <c r="AD1805" s="14">
        <v>1</v>
      </c>
      <c r="AE1805" s="14">
        <v>0</v>
      </c>
      <c r="AF1805" s="26">
        <v>0</v>
      </c>
      <c r="AG1805" s="12">
        <v>149</v>
      </c>
      <c r="AH1805" s="14">
        <v>0</v>
      </c>
      <c r="AI1805" s="209">
        <v>87.908030186804169</v>
      </c>
      <c r="AJ1805" s="3"/>
      <c r="AK1805" s="3"/>
      <c r="AL1805" s="3"/>
      <c r="AM1805" s="3"/>
      <c r="AN1805" s="3"/>
      <c r="AO1805" s="40"/>
      <c r="AP1805" s="209">
        <v>84.629237009630273</v>
      </c>
      <c r="AQ1805" s="3"/>
      <c r="AR1805" s="40"/>
      <c r="AS1805" s="238"/>
    </row>
    <row r="1806" spans="1:45" s="229" customFormat="1">
      <c r="A1806" s="83" t="s">
        <v>320</v>
      </c>
      <c r="B1806" s="386">
        <v>-2.9071666666666669</v>
      </c>
      <c r="C1806" s="228" t="s">
        <v>299</v>
      </c>
      <c r="D1806" s="229" t="s">
        <v>638</v>
      </c>
      <c r="E1806" s="229" t="s">
        <v>1</v>
      </c>
      <c r="F1806" s="229">
        <v>2325</v>
      </c>
      <c r="G1806" s="40">
        <f>F1806/1549</f>
        <v>1.5009683666881859</v>
      </c>
      <c r="H1806" s="14">
        <v>0</v>
      </c>
      <c r="I1806" s="229">
        <v>0</v>
      </c>
      <c r="J1806" s="229">
        <v>0</v>
      </c>
      <c r="K1806" s="26">
        <v>1</v>
      </c>
      <c r="L1806" s="14">
        <v>0</v>
      </c>
      <c r="M1806" s="229">
        <v>0</v>
      </c>
      <c r="N1806" s="229">
        <v>1</v>
      </c>
      <c r="O1806" s="229">
        <v>0</v>
      </c>
      <c r="P1806" s="26">
        <v>1</v>
      </c>
      <c r="Q1806" s="14">
        <v>3</v>
      </c>
      <c r="R1806" s="229">
        <v>67</v>
      </c>
      <c r="S1806" s="229">
        <v>169</v>
      </c>
      <c r="T1806" s="229">
        <v>0</v>
      </c>
      <c r="U1806" s="229">
        <v>182</v>
      </c>
      <c r="V1806" s="229">
        <v>0</v>
      </c>
      <c r="W1806" s="229">
        <v>0</v>
      </c>
      <c r="X1806" s="229">
        <v>0</v>
      </c>
      <c r="Y1806" s="229">
        <v>0</v>
      </c>
      <c r="Z1806" s="229">
        <v>0</v>
      </c>
      <c r="AA1806" s="229">
        <v>0</v>
      </c>
      <c r="AB1806" s="229">
        <v>1</v>
      </c>
      <c r="AC1806" s="12">
        <v>1</v>
      </c>
      <c r="AD1806" s="14">
        <v>1</v>
      </c>
      <c r="AE1806" s="14">
        <v>0</v>
      </c>
      <c r="AF1806" s="26">
        <v>0</v>
      </c>
      <c r="AG1806" s="12">
        <v>149</v>
      </c>
      <c r="AH1806" s="14">
        <v>0</v>
      </c>
      <c r="AI1806" s="209">
        <v>87.96609431438219</v>
      </c>
      <c r="AJ1806" s="3"/>
      <c r="AK1806" s="3"/>
      <c r="AL1806" s="3"/>
      <c r="AM1806" s="3"/>
      <c r="AN1806" s="3"/>
      <c r="AO1806" s="40"/>
      <c r="AP1806" s="209">
        <v>84.908212797671766</v>
      </c>
      <c r="AQ1806" s="3"/>
      <c r="AR1806" s="40"/>
      <c r="AS1806" s="238"/>
    </row>
    <row r="1807" spans="1:45" s="229" customFormat="1">
      <c r="A1807" s="83" t="s">
        <v>320</v>
      </c>
      <c r="B1807" s="386">
        <v>-2.9071666666666669</v>
      </c>
      <c r="C1807" s="228" t="s">
        <v>299</v>
      </c>
      <c r="D1807" s="229" t="s">
        <v>639</v>
      </c>
      <c r="F1807" s="229">
        <v>2786</v>
      </c>
      <c r="G1807" s="40">
        <f>F1807/1968</f>
        <v>1.4156504065040652</v>
      </c>
      <c r="H1807" s="14">
        <v>0</v>
      </c>
      <c r="I1807" s="229">
        <v>0</v>
      </c>
      <c r="J1807" s="229">
        <v>1</v>
      </c>
      <c r="K1807" s="26">
        <v>0</v>
      </c>
      <c r="L1807" s="14">
        <v>0</v>
      </c>
      <c r="M1807" s="229">
        <v>0</v>
      </c>
      <c r="N1807" s="229">
        <v>1</v>
      </c>
      <c r="O1807" s="229">
        <v>0</v>
      </c>
      <c r="P1807" s="26">
        <v>1</v>
      </c>
      <c r="Q1807" s="14">
        <v>2</v>
      </c>
      <c r="R1807" s="229">
        <v>23</v>
      </c>
      <c r="S1807" s="229">
        <v>85</v>
      </c>
      <c r="T1807" s="229">
        <v>0</v>
      </c>
      <c r="U1807" s="229">
        <v>0</v>
      </c>
      <c r="V1807" s="229">
        <v>0</v>
      </c>
      <c r="W1807" s="229">
        <v>0</v>
      </c>
      <c r="X1807" s="229">
        <v>0</v>
      </c>
      <c r="Y1807" s="229">
        <v>71</v>
      </c>
      <c r="Z1807" s="229">
        <v>0</v>
      </c>
      <c r="AA1807" s="229">
        <v>0</v>
      </c>
      <c r="AB1807" s="229">
        <v>1</v>
      </c>
      <c r="AC1807" s="12">
        <v>1</v>
      </c>
      <c r="AD1807" s="14">
        <v>1</v>
      </c>
      <c r="AE1807" s="14">
        <v>0</v>
      </c>
      <c r="AF1807" s="26">
        <v>0</v>
      </c>
      <c r="AG1807" s="12">
        <v>166</v>
      </c>
      <c r="AH1807" s="14">
        <v>0</v>
      </c>
      <c r="AI1807" s="209">
        <v>87.188066884371523</v>
      </c>
      <c r="AJ1807" s="3"/>
      <c r="AK1807" s="3"/>
      <c r="AL1807" s="3"/>
      <c r="AM1807" s="3"/>
      <c r="AN1807" s="3"/>
      <c r="AO1807" s="40"/>
      <c r="AP1807" s="209">
        <v>84.633655170024454</v>
      </c>
      <c r="AQ1807" s="3"/>
      <c r="AR1807" s="40"/>
      <c r="AS1807" s="238"/>
    </row>
    <row r="1808" spans="1:45" s="229" customFormat="1" ht="17" thickBot="1">
      <c r="A1808" s="84" t="s">
        <v>320</v>
      </c>
      <c r="B1808" s="385">
        <v>-2.9071666666666669</v>
      </c>
      <c r="C1808" s="226" t="s">
        <v>299</v>
      </c>
      <c r="D1808" s="36" t="s">
        <v>640</v>
      </c>
      <c r="E1808" s="36"/>
      <c r="F1808" s="36">
        <v>1554</v>
      </c>
      <c r="G1808" s="48">
        <f>F1808/1193</f>
        <v>1.3025984911986588</v>
      </c>
      <c r="H1808" s="34">
        <v>0</v>
      </c>
      <c r="I1808" s="36">
        <v>0</v>
      </c>
      <c r="J1808" s="36">
        <v>1</v>
      </c>
      <c r="K1808" s="35">
        <v>1</v>
      </c>
      <c r="L1808" s="34">
        <v>0</v>
      </c>
      <c r="M1808" s="36">
        <v>0</v>
      </c>
      <c r="N1808" s="36">
        <v>1</v>
      </c>
      <c r="O1808" s="36">
        <v>0</v>
      </c>
      <c r="P1808" s="35">
        <v>1</v>
      </c>
      <c r="Q1808" s="34">
        <v>1</v>
      </c>
      <c r="R1808" s="36">
        <v>0</v>
      </c>
      <c r="S1808" s="36">
        <v>0</v>
      </c>
      <c r="T1808" s="36">
        <v>0</v>
      </c>
      <c r="U1808" s="36">
        <v>0</v>
      </c>
      <c r="V1808" s="36">
        <v>18</v>
      </c>
      <c r="W1808" s="36">
        <v>79</v>
      </c>
      <c r="X1808" s="36">
        <v>0</v>
      </c>
      <c r="Y1808" s="36">
        <v>0</v>
      </c>
      <c r="Z1808" s="36">
        <v>0</v>
      </c>
      <c r="AA1808" s="36">
        <v>82</v>
      </c>
      <c r="AB1808" s="36">
        <v>1</v>
      </c>
      <c r="AC1808" s="33">
        <v>2</v>
      </c>
      <c r="AD1808" s="34">
        <v>2</v>
      </c>
      <c r="AE1808" s="34">
        <v>291</v>
      </c>
      <c r="AF1808" s="35">
        <v>1554</v>
      </c>
      <c r="AG1808" s="33">
        <v>133</v>
      </c>
      <c r="AH1808" s="34">
        <v>0</v>
      </c>
      <c r="AI1808" s="210">
        <v>87.357656585074153</v>
      </c>
      <c r="AJ1808" s="51"/>
      <c r="AK1808" s="51"/>
      <c r="AL1808" s="51"/>
      <c r="AM1808" s="51"/>
      <c r="AN1808" s="51"/>
      <c r="AO1808" s="48"/>
      <c r="AP1808" s="210">
        <v>84.546567645358081</v>
      </c>
      <c r="AQ1808" s="51"/>
      <c r="AR1808" s="48"/>
      <c r="AS1808" s="239"/>
    </row>
    <row r="1809" spans="1:45" s="229" customFormat="1">
      <c r="A1809" s="42" t="s">
        <v>320</v>
      </c>
      <c r="B1809" s="386">
        <v>-2.9071666666666669</v>
      </c>
      <c r="C1809" s="229" t="s">
        <v>297</v>
      </c>
      <c r="D1809" s="229" t="s">
        <v>423</v>
      </c>
      <c r="F1809" s="229">
        <v>658</v>
      </c>
      <c r="G1809" s="40">
        <f>F1809/300</f>
        <v>2.1933333333333334</v>
      </c>
      <c r="H1809" s="14">
        <v>0</v>
      </c>
      <c r="I1809" s="229">
        <v>0</v>
      </c>
      <c r="J1809" s="229">
        <v>1</v>
      </c>
      <c r="K1809" s="26">
        <v>0</v>
      </c>
      <c r="L1809" s="14">
        <v>0</v>
      </c>
      <c r="M1809" s="229">
        <v>0</v>
      </c>
      <c r="N1809" s="229">
        <v>1</v>
      </c>
      <c r="O1809" s="229">
        <v>0</v>
      </c>
      <c r="P1809" s="26">
        <v>1</v>
      </c>
      <c r="Q1809" s="14">
        <v>0</v>
      </c>
      <c r="R1809" s="229">
        <v>0</v>
      </c>
      <c r="S1809" s="229">
        <v>0</v>
      </c>
      <c r="T1809" s="229">
        <v>0</v>
      </c>
      <c r="U1809" s="229">
        <v>0</v>
      </c>
      <c r="V1809" s="229">
        <v>0</v>
      </c>
      <c r="W1809" s="229">
        <v>0</v>
      </c>
      <c r="X1809" s="229">
        <v>0</v>
      </c>
      <c r="Y1809" s="229">
        <v>0</v>
      </c>
      <c r="Z1809" s="229">
        <v>0</v>
      </c>
      <c r="AA1809" s="229">
        <v>0</v>
      </c>
      <c r="AB1809" s="229">
        <v>0</v>
      </c>
      <c r="AC1809" s="12">
        <v>1</v>
      </c>
      <c r="AD1809" s="14">
        <v>1</v>
      </c>
      <c r="AE1809" s="14">
        <v>0</v>
      </c>
      <c r="AF1809" s="26">
        <v>0</v>
      </c>
      <c r="AG1809" s="12">
        <v>116</v>
      </c>
      <c r="AH1809" s="14">
        <v>0</v>
      </c>
      <c r="AI1809" s="209"/>
      <c r="AJ1809" s="3"/>
      <c r="AK1809" s="3"/>
      <c r="AL1809" s="3"/>
      <c r="AM1809" s="3"/>
      <c r="AN1809" s="3"/>
      <c r="AO1809" s="40"/>
      <c r="AP1809" s="209"/>
      <c r="AQ1809" s="3"/>
      <c r="AR1809" s="40"/>
      <c r="AS1809" s="238"/>
    </row>
    <row r="1810" spans="1:45" s="229" customFormat="1">
      <c r="A1810" s="42" t="s">
        <v>320</v>
      </c>
      <c r="B1810" s="386">
        <v>-2.9071666666666669</v>
      </c>
      <c r="C1810" s="229" t="s">
        <v>297</v>
      </c>
      <c r="D1810" s="229" t="s">
        <v>622</v>
      </c>
      <c r="E1810" s="229" t="s">
        <v>0</v>
      </c>
      <c r="F1810" s="229">
        <v>532</v>
      </c>
      <c r="G1810" s="40">
        <f>F1810/357</f>
        <v>1.4901960784313726</v>
      </c>
      <c r="H1810" s="14">
        <v>0</v>
      </c>
      <c r="I1810" s="229">
        <v>0</v>
      </c>
      <c r="J1810" s="229">
        <v>1</v>
      </c>
      <c r="K1810" s="26">
        <v>0</v>
      </c>
      <c r="L1810" s="14">
        <v>1</v>
      </c>
      <c r="M1810" s="229">
        <v>0</v>
      </c>
      <c r="N1810" s="229">
        <v>0</v>
      </c>
      <c r="O1810" s="229">
        <v>0</v>
      </c>
      <c r="P1810" s="26">
        <v>1</v>
      </c>
      <c r="Q1810" s="14">
        <v>1</v>
      </c>
      <c r="R1810" s="229">
        <v>0</v>
      </c>
      <c r="S1810" s="229">
        <v>0</v>
      </c>
      <c r="T1810" s="229">
        <v>0</v>
      </c>
      <c r="U1810" s="229">
        <v>0</v>
      </c>
      <c r="V1810" s="229">
        <v>20</v>
      </c>
      <c r="W1810" s="229">
        <v>120</v>
      </c>
      <c r="X1810" s="229">
        <v>0</v>
      </c>
      <c r="Y1810" s="229">
        <v>0</v>
      </c>
      <c r="Z1810" s="229">
        <v>0</v>
      </c>
      <c r="AA1810" s="229">
        <v>0</v>
      </c>
      <c r="AB1810" s="229">
        <v>0</v>
      </c>
      <c r="AC1810" s="12">
        <v>1</v>
      </c>
      <c r="AD1810" s="14">
        <v>1</v>
      </c>
      <c r="AE1810" s="14">
        <v>0</v>
      </c>
      <c r="AF1810" s="26">
        <v>0</v>
      </c>
      <c r="AG1810" s="12">
        <v>141</v>
      </c>
      <c r="AH1810" s="14">
        <v>0</v>
      </c>
      <c r="AI1810" s="209"/>
      <c r="AJ1810" s="3"/>
      <c r="AK1810" s="3"/>
      <c r="AL1810" s="3"/>
      <c r="AM1810" s="3"/>
      <c r="AN1810" s="3"/>
      <c r="AO1810" s="40"/>
      <c r="AP1810" s="209"/>
      <c r="AQ1810" s="3"/>
      <c r="AR1810" s="40"/>
      <c r="AS1810" s="238"/>
    </row>
    <row r="1811" spans="1:45" s="229" customFormat="1">
      <c r="A1811" s="42" t="s">
        <v>320</v>
      </c>
      <c r="B1811" s="386">
        <v>-2.9071666666666669</v>
      </c>
      <c r="C1811" s="229" t="s">
        <v>297</v>
      </c>
      <c r="D1811" s="229" t="s">
        <v>622</v>
      </c>
      <c r="E1811" s="229" t="s">
        <v>1</v>
      </c>
      <c r="F1811" s="229">
        <v>482</v>
      </c>
      <c r="G1811" s="40">
        <f>F1811/151</f>
        <v>3.1920529801324502</v>
      </c>
      <c r="H1811" s="14">
        <v>0</v>
      </c>
      <c r="I1811" s="229">
        <v>0</v>
      </c>
      <c r="J1811" s="229">
        <v>1</v>
      </c>
      <c r="K1811" s="26">
        <v>0</v>
      </c>
      <c r="L1811" s="14">
        <v>0</v>
      </c>
      <c r="M1811" s="229">
        <v>0</v>
      </c>
      <c r="N1811" s="229">
        <v>0</v>
      </c>
      <c r="O1811" s="229">
        <v>1</v>
      </c>
      <c r="P1811" s="26">
        <v>1</v>
      </c>
      <c r="Q1811" s="14">
        <v>0</v>
      </c>
      <c r="R1811" s="229">
        <v>0</v>
      </c>
      <c r="S1811" s="229">
        <v>0</v>
      </c>
      <c r="T1811" s="229">
        <v>0</v>
      </c>
      <c r="U1811" s="229">
        <v>0</v>
      </c>
      <c r="V1811" s="229">
        <v>0</v>
      </c>
      <c r="W1811" s="229">
        <v>0</v>
      </c>
      <c r="X1811" s="229">
        <v>0</v>
      </c>
      <c r="Y1811" s="229">
        <v>0</v>
      </c>
      <c r="Z1811" s="229">
        <v>0</v>
      </c>
      <c r="AA1811" s="229">
        <v>0</v>
      </c>
      <c r="AB1811" s="229">
        <v>0</v>
      </c>
      <c r="AC1811" s="12">
        <v>1</v>
      </c>
      <c r="AD1811" s="14">
        <v>1</v>
      </c>
      <c r="AE1811" s="14">
        <v>0</v>
      </c>
      <c r="AF1811" s="26">
        <v>0</v>
      </c>
      <c r="AG1811" s="12">
        <v>141</v>
      </c>
      <c r="AH1811" s="14">
        <v>0</v>
      </c>
      <c r="AI1811" s="209"/>
      <c r="AJ1811" s="3"/>
      <c r="AK1811" s="3"/>
      <c r="AL1811" s="3"/>
      <c r="AM1811" s="3"/>
      <c r="AN1811" s="3"/>
      <c r="AO1811" s="40"/>
      <c r="AP1811" s="209"/>
      <c r="AQ1811" s="3"/>
      <c r="AR1811" s="40"/>
      <c r="AS1811" s="238"/>
    </row>
    <row r="1812" spans="1:45" s="229" customFormat="1">
      <c r="A1812" s="42" t="s">
        <v>320</v>
      </c>
      <c r="B1812" s="386">
        <v>-2.9071666666666669</v>
      </c>
      <c r="C1812" s="229" t="s">
        <v>297</v>
      </c>
      <c r="D1812" s="229" t="s">
        <v>622</v>
      </c>
      <c r="E1812" s="229" t="s">
        <v>2</v>
      </c>
      <c r="F1812" s="229">
        <v>260</v>
      </c>
      <c r="G1812" s="40">
        <f>F1812/166</f>
        <v>1.5662650602409638</v>
      </c>
      <c r="H1812" s="14">
        <v>0</v>
      </c>
      <c r="I1812" s="229">
        <v>0</v>
      </c>
      <c r="J1812" s="229">
        <v>0</v>
      </c>
      <c r="K1812" s="26">
        <v>1</v>
      </c>
      <c r="L1812" s="14">
        <v>1</v>
      </c>
      <c r="M1812" s="229">
        <v>0</v>
      </c>
      <c r="N1812" s="229">
        <v>0</v>
      </c>
      <c r="O1812" s="229">
        <v>0</v>
      </c>
      <c r="P1812" s="26">
        <v>1</v>
      </c>
      <c r="Q1812" s="14">
        <v>2</v>
      </c>
      <c r="R1812" s="229">
        <v>0</v>
      </c>
      <c r="S1812" s="229">
        <v>0</v>
      </c>
      <c r="T1812" s="229">
        <v>0</v>
      </c>
      <c r="U1812" s="229">
        <v>0</v>
      </c>
      <c r="V1812" s="229">
        <v>12</v>
      </c>
      <c r="W1812" s="229">
        <v>13</v>
      </c>
      <c r="X1812" s="229">
        <v>0</v>
      </c>
      <c r="Y1812" s="229">
        <v>0</v>
      </c>
      <c r="Z1812" s="229">
        <v>0</v>
      </c>
      <c r="AA1812" s="229">
        <v>0</v>
      </c>
      <c r="AB1812" s="229">
        <v>0</v>
      </c>
      <c r="AC1812" s="12">
        <v>1</v>
      </c>
      <c r="AD1812" s="14">
        <v>1</v>
      </c>
      <c r="AE1812" s="14">
        <v>0</v>
      </c>
      <c r="AF1812" s="26">
        <v>0</v>
      </c>
      <c r="AG1812" s="12">
        <v>141</v>
      </c>
      <c r="AH1812" s="14">
        <v>0</v>
      </c>
      <c r="AI1812" s="209"/>
      <c r="AJ1812" s="3"/>
      <c r="AK1812" s="3"/>
      <c r="AL1812" s="3"/>
      <c r="AM1812" s="3"/>
      <c r="AN1812" s="3"/>
      <c r="AO1812" s="40"/>
      <c r="AP1812" s="209"/>
      <c r="AQ1812" s="3"/>
      <c r="AR1812" s="40"/>
      <c r="AS1812" s="238"/>
    </row>
    <row r="1813" spans="1:45" s="229" customFormat="1">
      <c r="A1813" s="42" t="s">
        <v>320</v>
      </c>
      <c r="B1813" s="386">
        <v>-2.9071666666666669</v>
      </c>
      <c r="C1813" s="229" t="s">
        <v>297</v>
      </c>
      <c r="D1813" s="229" t="s">
        <v>622</v>
      </c>
      <c r="E1813" s="229" t="s">
        <v>3</v>
      </c>
      <c r="F1813" s="229">
        <v>671</v>
      </c>
      <c r="G1813" s="40">
        <f>F1813/395</f>
        <v>1.6987341772151898</v>
      </c>
      <c r="H1813" s="14">
        <v>0</v>
      </c>
      <c r="I1813" s="229">
        <v>0</v>
      </c>
      <c r="J1813" s="229">
        <v>1</v>
      </c>
      <c r="K1813" s="26">
        <v>0</v>
      </c>
      <c r="L1813" s="14">
        <v>1</v>
      </c>
      <c r="M1813" s="229">
        <v>0</v>
      </c>
      <c r="N1813" s="229">
        <v>0</v>
      </c>
      <c r="O1813" s="229">
        <v>0</v>
      </c>
      <c r="P1813" s="26">
        <v>1</v>
      </c>
      <c r="Q1813" s="14">
        <v>2</v>
      </c>
      <c r="R1813" s="229">
        <v>0</v>
      </c>
      <c r="S1813" s="229">
        <v>0</v>
      </c>
      <c r="T1813" s="229">
        <v>0</v>
      </c>
      <c r="U1813" s="229">
        <v>0</v>
      </c>
      <c r="V1813" s="229">
        <v>5</v>
      </c>
      <c r="W1813" s="229">
        <v>33</v>
      </c>
      <c r="X1813" s="229">
        <v>0</v>
      </c>
      <c r="Y1813" s="229">
        <v>0</v>
      </c>
      <c r="Z1813" s="229">
        <v>0</v>
      </c>
      <c r="AA1813" s="229">
        <v>0</v>
      </c>
      <c r="AB1813" s="229">
        <v>0</v>
      </c>
      <c r="AC1813" s="12">
        <v>1</v>
      </c>
      <c r="AD1813" s="14">
        <v>1</v>
      </c>
      <c r="AE1813" s="14">
        <v>0</v>
      </c>
      <c r="AF1813" s="26">
        <v>0</v>
      </c>
      <c r="AG1813" s="12">
        <v>141</v>
      </c>
      <c r="AH1813" s="14">
        <v>0</v>
      </c>
      <c r="AI1813" s="209"/>
      <c r="AJ1813" s="3"/>
      <c r="AK1813" s="3"/>
      <c r="AL1813" s="3"/>
      <c r="AM1813" s="3"/>
      <c r="AN1813" s="3"/>
      <c r="AO1813" s="40"/>
      <c r="AP1813" s="209"/>
      <c r="AQ1813" s="3"/>
      <c r="AR1813" s="40"/>
      <c r="AS1813" s="238"/>
    </row>
    <row r="1814" spans="1:45" s="229" customFormat="1">
      <c r="A1814" s="42" t="s">
        <v>320</v>
      </c>
      <c r="B1814" s="386">
        <v>-2.9071666666666669</v>
      </c>
      <c r="C1814" s="229" t="s">
        <v>297</v>
      </c>
      <c r="D1814" s="229" t="s">
        <v>620</v>
      </c>
      <c r="F1814" s="229">
        <v>5388</v>
      </c>
      <c r="G1814" s="40">
        <f>F1814/2818</f>
        <v>1.9119943222143365</v>
      </c>
      <c r="H1814" s="14">
        <v>0</v>
      </c>
      <c r="I1814" s="229">
        <v>0</v>
      </c>
      <c r="J1814" s="229">
        <v>1</v>
      </c>
      <c r="K1814" s="26">
        <v>0</v>
      </c>
      <c r="L1814" s="14">
        <v>0</v>
      </c>
      <c r="M1814" s="229">
        <v>0</v>
      </c>
      <c r="N1814" s="229">
        <v>1</v>
      </c>
      <c r="O1814" s="229">
        <v>0</v>
      </c>
      <c r="P1814" s="26">
        <v>1</v>
      </c>
      <c r="Q1814" s="14">
        <v>2</v>
      </c>
      <c r="R1814" s="229">
        <v>0</v>
      </c>
      <c r="S1814" s="229">
        <v>0</v>
      </c>
      <c r="T1814" s="229">
        <v>0</v>
      </c>
      <c r="U1814" s="229">
        <v>0</v>
      </c>
      <c r="V1814" s="229">
        <v>0</v>
      </c>
      <c r="W1814" s="229">
        <v>83</v>
      </c>
      <c r="X1814" s="229">
        <v>0</v>
      </c>
      <c r="Y1814" s="229">
        <v>0</v>
      </c>
      <c r="Z1814" s="229">
        <v>0</v>
      </c>
      <c r="AA1814" s="229">
        <v>94</v>
      </c>
      <c r="AB1814" s="229">
        <v>0</v>
      </c>
      <c r="AC1814" s="12">
        <v>1</v>
      </c>
      <c r="AD1814" s="14">
        <v>1</v>
      </c>
      <c r="AE1814" s="14">
        <v>0</v>
      </c>
      <c r="AF1814" s="26">
        <v>0</v>
      </c>
      <c r="AG1814" s="12">
        <v>128</v>
      </c>
      <c r="AH1814" s="14">
        <v>1</v>
      </c>
      <c r="AI1814" s="209">
        <v>88.469287050474662</v>
      </c>
      <c r="AJ1814" s="3"/>
      <c r="AK1814" s="3"/>
      <c r="AL1814" s="3"/>
      <c r="AM1814" s="3"/>
      <c r="AN1814" s="3"/>
      <c r="AO1814" s="40"/>
      <c r="AP1814" s="209">
        <v>84.305707174984491</v>
      </c>
      <c r="AQ1814" s="3"/>
      <c r="AR1814" s="40"/>
      <c r="AS1814" s="238"/>
    </row>
    <row r="1815" spans="1:45" s="229" customFormat="1">
      <c r="A1815" s="42" t="s">
        <v>320</v>
      </c>
      <c r="B1815" s="386">
        <v>-2.9071666666666669</v>
      </c>
      <c r="C1815" s="229" t="s">
        <v>297</v>
      </c>
      <c r="D1815" s="229" t="s">
        <v>629</v>
      </c>
      <c r="F1815" s="229">
        <v>536</v>
      </c>
      <c r="G1815" s="40">
        <f>F1815/532</f>
        <v>1.0075187969924813</v>
      </c>
      <c r="H1815" s="14">
        <v>0</v>
      </c>
      <c r="I1815" s="229">
        <v>0</v>
      </c>
      <c r="J1815" s="229">
        <v>1</v>
      </c>
      <c r="K1815" s="26">
        <v>0</v>
      </c>
      <c r="L1815" s="14">
        <v>0</v>
      </c>
      <c r="M1815" s="229">
        <v>0</v>
      </c>
      <c r="N1815" s="229">
        <v>0</v>
      </c>
      <c r="O1815" s="229">
        <v>0</v>
      </c>
      <c r="P1815" s="26">
        <v>0</v>
      </c>
      <c r="Q1815" s="14">
        <v>10</v>
      </c>
      <c r="R1815" s="229">
        <v>0</v>
      </c>
      <c r="S1815" s="229">
        <v>94</v>
      </c>
      <c r="T1815" s="229">
        <v>0</v>
      </c>
      <c r="U1815" s="229">
        <v>0</v>
      </c>
      <c r="V1815" s="229">
        <v>25</v>
      </c>
      <c r="W1815" s="229">
        <v>105</v>
      </c>
      <c r="X1815" s="229">
        <v>0</v>
      </c>
      <c r="Y1815" s="229">
        <v>0</v>
      </c>
      <c r="Z1815" s="229">
        <v>0</v>
      </c>
      <c r="AA1815" s="229">
        <v>0</v>
      </c>
      <c r="AB1815" s="229">
        <v>0</v>
      </c>
      <c r="AC1815" s="12">
        <v>1</v>
      </c>
      <c r="AD1815" s="14">
        <v>1</v>
      </c>
      <c r="AE1815" s="14">
        <v>0</v>
      </c>
      <c r="AF1815" s="26">
        <v>0</v>
      </c>
      <c r="AG1815" s="12">
        <v>118</v>
      </c>
      <c r="AH1815" s="14">
        <v>0</v>
      </c>
      <c r="AI1815" s="209"/>
      <c r="AJ1815" s="3"/>
      <c r="AK1815" s="3"/>
      <c r="AL1815" s="3"/>
      <c r="AM1815" s="3"/>
      <c r="AN1815" s="3"/>
      <c r="AO1815" s="40"/>
      <c r="AP1815" s="209"/>
      <c r="AQ1815" s="3"/>
      <c r="AR1815" s="40"/>
      <c r="AS1815" s="238"/>
    </row>
    <row r="1816" spans="1:45" s="229" customFormat="1">
      <c r="A1816" s="42" t="s">
        <v>320</v>
      </c>
      <c r="B1816" s="386">
        <v>-2.9071666666666669</v>
      </c>
      <c r="C1816" s="229" t="s">
        <v>297</v>
      </c>
      <c r="D1816" s="229" t="s">
        <v>634</v>
      </c>
      <c r="E1816" s="229" t="s">
        <v>0</v>
      </c>
      <c r="F1816" s="229">
        <v>458</v>
      </c>
      <c r="G1816" s="40">
        <f>F1816/363</f>
        <v>1.2617079889807163</v>
      </c>
      <c r="H1816" s="14">
        <v>0</v>
      </c>
      <c r="I1816" s="229">
        <v>0</v>
      </c>
      <c r="J1816" s="229">
        <v>1</v>
      </c>
      <c r="K1816" s="26">
        <v>0</v>
      </c>
      <c r="L1816" s="14">
        <v>1</v>
      </c>
      <c r="M1816" s="229">
        <v>0</v>
      </c>
      <c r="N1816" s="229">
        <v>0</v>
      </c>
      <c r="O1816" s="229">
        <v>0</v>
      </c>
      <c r="P1816" s="26">
        <v>1</v>
      </c>
      <c r="Q1816" s="14">
        <v>1</v>
      </c>
      <c r="R1816" s="229">
        <v>0</v>
      </c>
      <c r="S1816" s="229">
        <v>0</v>
      </c>
      <c r="T1816" s="229">
        <v>0</v>
      </c>
      <c r="U1816" s="229">
        <v>0</v>
      </c>
      <c r="V1816" s="229">
        <v>0</v>
      </c>
      <c r="W1816" s="229">
        <v>0</v>
      </c>
      <c r="X1816" s="229">
        <v>0</v>
      </c>
      <c r="Y1816" s="229">
        <v>0</v>
      </c>
      <c r="Z1816" s="229">
        <v>0</v>
      </c>
      <c r="AA1816" s="229">
        <v>108</v>
      </c>
      <c r="AB1816" s="229">
        <v>0</v>
      </c>
      <c r="AC1816" s="12">
        <v>1</v>
      </c>
      <c r="AD1816" s="14">
        <v>1</v>
      </c>
      <c r="AE1816" s="14">
        <v>0</v>
      </c>
      <c r="AF1816" s="26">
        <v>0</v>
      </c>
      <c r="AG1816" s="12">
        <v>119</v>
      </c>
      <c r="AH1816" s="14">
        <v>0</v>
      </c>
      <c r="AI1816" s="209"/>
      <c r="AJ1816" s="3"/>
      <c r="AK1816" s="3"/>
      <c r="AL1816" s="3"/>
      <c r="AM1816" s="3"/>
      <c r="AN1816" s="3"/>
      <c r="AO1816" s="40"/>
      <c r="AP1816" s="209"/>
      <c r="AQ1816" s="3"/>
      <c r="AR1816" s="40"/>
      <c r="AS1816" s="238"/>
    </row>
    <row r="1817" spans="1:45" s="229" customFormat="1">
      <c r="A1817" s="42" t="s">
        <v>320</v>
      </c>
      <c r="B1817" s="386">
        <v>-2.9071666666666669</v>
      </c>
      <c r="C1817" s="229" t="s">
        <v>297</v>
      </c>
      <c r="D1817" s="229" t="s">
        <v>634</v>
      </c>
      <c r="E1817" s="229" t="s">
        <v>1</v>
      </c>
      <c r="F1817" s="229">
        <v>413</v>
      </c>
      <c r="G1817" s="40">
        <f>F1817/310</f>
        <v>1.332258064516129</v>
      </c>
      <c r="H1817" s="14">
        <v>0</v>
      </c>
      <c r="I1817" s="229">
        <v>0</v>
      </c>
      <c r="J1817" s="229">
        <v>1</v>
      </c>
      <c r="K1817" s="26">
        <v>0</v>
      </c>
      <c r="L1817" s="14">
        <v>0</v>
      </c>
      <c r="M1817" s="229">
        <v>0</v>
      </c>
      <c r="N1817" s="229">
        <v>1</v>
      </c>
      <c r="O1817" s="229">
        <v>0</v>
      </c>
      <c r="P1817" s="26">
        <v>1</v>
      </c>
      <c r="Q1817" s="14">
        <v>0</v>
      </c>
      <c r="R1817" s="229">
        <v>0</v>
      </c>
      <c r="S1817" s="229">
        <v>0</v>
      </c>
      <c r="T1817" s="229">
        <v>0</v>
      </c>
      <c r="U1817" s="229">
        <v>0</v>
      </c>
      <c r="V1817" s="229">
        <v>0</v>
      </c>
      <c r="W1817" s="229">
        <v>0</v>
      </c>
      <c r="X1817" s="229">
        <v>0</v>
      </c>
      <c r="Y1817" s="229">
        <v>0</v>
      </c>
      <c r="Z1817" s="229">
        <v>0</v>
      </c>
      <c r="AA1817" s="229">
        <v>0</v>
      </c>
      <c r="AB1817" s="229">
        <v>0</v>
      </c>
      <c r="AC1817" s="12">
        <v>1</v>
      </c>
      <c r="AD1817" s="14">
        <v>1</v>
      </c>
      <c r="AE1817" s="14">
        <v>0</v>
      </c>
      <c r="AF1817" s="26">
        <v>0</v>
      </c>
      <c r="AG1817" s="12">
        <v>119</v>
      </c>
      <c r="AH1817" s="14">
        <v>0</v>
      </c>
      <c r="AI1817" s="209"/>
      <c r="AJ1817" s="3"/>
      <c r="AK1817" s="3"/>
      <c r="AL1817" s="3"/>
      <c r="AM1817" s="3"/>
      <c r="AN1817" s="3"/>
      <c r="AO1817" s="40"/>
      <c r="AP1817" s="209"/>
      <c r="AQ1817" s="3"/>
      <c r="AR1817" s="40"/>
      <c r="AS1817" s="238"/>
    </row>
    <row r="1818" spans="1:45" s="229" customFormat="1">
      <c r="A1818" s="42" t="s">
        <v>320</v>
      </c>
      <c r="B1818" s="386">
        <v>-2.9071666666666669</v>
      </c>
      <c r="C1818" s="229" t="s">
        <v>297</v>
      </c>
      <c r="D1818" s="229" t="s">
        <v>625</v>
      </c>
      <c r="F1818" s="229">
        <v>510</v>
      </c>
      <c r="G1818" s="40">
        <f>F1818/295</f>
        <v>1.728813559322034</v>
      </c>
      <c r="H1818" s="14">
        <v>0</v>
      </c>
      <c r="I1818" s="229">
        <v>0</v>
      </c>
      <c r="J1818" s="229">
        <v>1</v>
      </c>
      <c r="K1818" s="26">
        <v>0</v>
      </c>
      <c r="L1818" s="14">
        <v>0</v>
      </c>
      <c r="M1818" s="229">
        <v>0</v>
      </c>
      <c r="N1818" s="229">
        <v>1</v>
      </c>
      <c r="O1818" s="229">
        <v>0</v>
      </c>
      <c r="P1818" s="26">
        <v>1</v>
      </c>
      <c r="Q1818" s="14">
        <v>0</v>
      </c>
      <c r="R1818" s="229">
        <v>0</v>
      </c>
      <c r="S1818" s="229">
        <v>0</v>
      </c>
      <c r="T1818" s="229">
        <v>0</v>
      </c>
      <c r="U1818" s="229">
        <v>0</v>
      </c>
      <c r="V1818" s="229">
        <v>0</v>
      </c>
      <c r="W1818" s="229">
        <v>0</v>
      </c>
      <c r="X1818" s="229">
        <v>0</v>
      </c>
      <c r="Y1818" s="229">
        <v>0</v>
      </c>
      <c r="Z1818" s="229">
        <v>0</v>
      </c>
      <c r="AA1818" s="229">
        <v>0</v>
      </c>
      <c r="AB1818" s="229">
        <v>0</v>
      </c>
      <c r="AC1818" s="12">
        <v>1</v>
      </c>
      <c r="AD1818" s="14">
        <v>1</v>
      </c>
      <c r="AE1818" s="14">
        <v>0</v>
      </c>
      <c r="AF1818" s="26">
        <v>0</v>
      </c>
      <c r="AG1818" s="12">
        <v>128</v>
      </c>
      <c r="AH1818" s="14">
        <v>0</v>
      </c>
      <c r="AI1818" s="209"/>
      <c r="AJ1818" s="3"/>
      <c r="AK1818" s="3"/>
      <c r="AL1818" s="3"/>
      <c r="AM1818" s="3"/>
      <c r="AN1818" s="3"/>
      <c r="AO1818" s="40"/>
      <c r="AP1818" s="209"/>
      <c r="AQ1818" s="3"/>
      <c r="AR1818" s="40"/>
      <c r="AS1818" s="238"/>
    </row>
    <row r="1819" spans="1:45" s="229" customFormat="1">
      <c r="A1819" s="42" t="s">
        <v>320</v>
      </c>
      <c r="B1819" s="386">
        <v>-2.9071666666666669</v>
      </c>
      <c r="C1819" s="229" t="s">
        <v>297</v>
      </c>
      <c r="D1819" s="229" t="s">
        <v>630</v>
      </c>
      <c r="F1819" s="229">
        <v>3886</v>
      </c>
      <c r="G1819" s="40">
        <f>F1819/3777</f>
        <v>1.0288588827111464</v>
      </c>
      <c r="H1819" s="14">
        <v>0</v>
      </c>
      <c r="I1819" s="229">
        <v>0</v>
      </c>
      <c r="J1819" s="229">
        <v>1</v>
      </c>
      <c r="K1819" s="26">
        <v>0</v>
      </c>
      <c r="L1819" s="14">
        <v>0</v>
      </c>
      <c r="M1819" s="229">
        <v>0</v>
      </c>
      <c r="N1819" s="229">
        <v>1</v>
      </c>
      <c r="O1819" s="229">
        <v>0</v>
      </c>
      <c r="P1819" s="26">
        <v>1</v>
      </c>
      <c r="Q1819" s="14">
        <v>5</v>
      </c>
      <c r="R1819" s="229">
        <v>0</v>
      </c>
      <c r="S1819" s="229">
        <v>0</v>
      </c>
      <c r="T1819" s="229">
        <v>0</v>
      </c>
      <c r="U1819" s="229">
        <v>0</v>
      </c>
      <c r="V1819" s="229">
        <v>75</v>
      </c>
      <c r="W1819" s="229">
        <v>107</v>
      </c>
      <c r="X1819" s="229">
        <v>0</v>
      </c>
      <c r="Y1819" s="229">
        <v>0</v>
      </c>
      <c r="Z1819" s="229">
        <v>317</v>
      </c>
      <c r="AA1819" s="229">
        <v>330</v>
      </c>
      <c r="AB1819" s="229">
        <v>1</v>
      </c>
      <c r="AC1819" s="12">
        <v>2</v>
      </c>
      <c r="AD1819" s="14">
        <v>2</v>
      </c>
      <c r="AE1819" s="14">
        <v>300</v>
      </c>
      <c r="AF1819" s="26">
        <v>3886</v>
      </c>
      <c r="AG1819" s="12">
        <v>139</v>
      </c>
      <c r="AH1819" s="14">
        <v>0</v>
      </c>
      <c r="AI1819" s="209">
        <v>86.055598242571335</v>
      </c>
      <c r="AJ1819" s="3">
        <v>88.024136671915329</v>
      </c>
      <c r="AK1819" s="3"/>
      <c r="AL1819" s="3"/>
      <c r="AM1819" s="3"/>
      <c r="AN1819" s="3"/>
      <c r="AO1819" s="40"/>
      <c r="AP1819" s="209">
        <v>84.326228650009227</v>
      </c>
      <c r="AQ1819" s="3">
        <v>84.6459235405313</v>
      </c>
      <c r="AR1819" s="40"/>
      <c r="AS1819" s="238"/>
    </row>
    <row r="1820" spans="1:45" s="229" customFormat="1">
      <c r="A1820" s="42" t="s">
        <v>320</v>
      </c>
      <c r="B1820" s="386">
        <v>-2.9071666666666669</v>
      </c>
      <c r="C1820" s="229" t="s">
        <v>297</v>
      </c>
      <c r="D1820" s="229" t="s">
        <v>637</v>
      </c>
      <c r="F1820" s="229">
        <v>807</v>
      </c>
      <c r="G1820" s="40">
        <f>F1820/765</f>
        <v>1.0549019607843138</v>
      </c>
      <c r="H1820" s="14">
        <v>0</v>
      </c>
      <c r="I1820" s="229">
        <v>0</v>
      </c>
      <c r="J1820" s="229">
        <v>1</v>
      </c>
      <c r="K1820" s="26">
        <v>1</v>
      </c>
      <c r="L1820" s="14">
        <v>0</v>
      </c>
      <c r="M1820" s="229">
        <v>0</v>
      </c>
      <c r="N1820" s="229">
        <v>1</v>
      </c>
      <c r="O1820" s="229">
        <v>0</v>
      </c>
      <c r="P1820" s="26">
        <v>1</v>
      </c>
      <c r="Q1820" s="14">
        <v>3</v>
      </c>
      <c r="R1820" s="229">
        <v>0</v>
      </c>
      <c r="S1820" s="229">
        <v>0</v>
      </c>
      <c r="T1820" s="229">
        <v>0</v>
      </c>
      <c r="U1820" s="229">
        <v>0</v>
      </c>
      <c r="V1820" s="229">
        <v>20</v>
      </c>
      <c r="W1820" s="229">
        <v>61</v>
      </c>
      <c r="X1820" s="229">
        <v>0</v>
      </c>
      <c r="Y1820" s="229">
        <v>0</v>
      </c>
      <c r="Z1820" s="229">
        <v>0</v>
      </c>
      <c r="AA1820" s="229">
        <v>116</v>
      </c>
      <c r="AB1820" s="229">
        <v>0</v>
      </c>
      <c r="AC1820" s="12">
        <v>2</v>
      </c>
      <c r="AD1820" s="14">
        <v>8</v>
      </c>
      <c r="AE1820" s="14">
        <v>113</v>
      </c>
      <c r="AF1820" s="26">
        <v>575</v>
      </c>
      <c r="AG1820" s="12">
        <v>96</v>
      </c>
      <c r="AH1820" s="14">
        <v>1</v>
      </c>
      <c r="AI1820" s="209"/>
      <c r="AJ1820" s="3"/>
      <c r="AK1820" s="3"/>
      <c r="AL1820" s="3"/>
      <c r="AM1820" s="3"/>
      <c r="AN1820" s="3"/>
      <c r="AO1820" s="40"/>
      <c r="AP1820" s="209"/>
      <c r="AQ1820" s="3"/>
      <c r="AR1820" s="40"/>
      <c r="AS1820" s="238"/>
    </row>
    <row r="1821" spans="1:45" s="229" customFormat="1" ht="17" thickBot="1">
      <c r="A1821" s="55" t="s">
        <v>320</v>
      </c>
      <c r="B1821" s="385">
        <v>-2.9071666666666669</v>
      </c>
      <c r="C1821" s="229" t="s">
        <v>297</v>
      </c>
      <c r="D1821" s="229" t="s">
        <v>638</v>
      </c>
      <c r="F1821" s="229">
        <v>431</v>
      </c>
      <c r="G1821" s="40">
        <f>F1821/252</f>
        <v>1.7103174603174602</v>
      </c>
      <c r="H1821" s="14">
        <v>0</v>
      </c>
      <c r="I1821" s="229">
        <v>0</v>
      </c>
      <c r="J1821" s="229">
        <v>1</v>
      </c>
      <c r="K1821" s="26">
        <v>0</v>
      </c>
      <c r="L1821" s="14">
        <v>1</v>
      </c>
      <c r="M1821" s="229">
        <v>0</v>
      </c>
      <c r="N1821" s="229">
        <v>0</v>
      </c>
      <c r="O1821" s="229">
        <v>0</v>
      </c>
      <c r="P1821" s="26">
        <v>1</v>
      </c>
      <c r="Q1821" s="14">
        <v>4</v>
      </c>
      <c r="R1821" s="229">
        <v>0</v>
      </c>
      <c r="S1821" s="229">
        <v>0</v>
      </c>
      <c r="T1821" s="229">
        <v>0</v>
      </c>
      <c r="U1821" s="229">
        <v>0</v>
      </c>
      <c r="V1821" s="229">
        <v>12</v>
      </c>
      <c r="W1821" s="229">
        <v>21</v>
      </c>
      <c r="X1821" s="229">
        <v>0</v>
      </c>
      <c r="Y1821" s="229">
        <v>0</v>
      </c>
      <c r="Z1821" s="229">
        <v>0</v>
      </c>
      <c r="AA1821" s="229">
        <v>0</v>
      </c>
      <c r="AB1821" s="229">
        <v>0</v>
      </c>
      <c r="AC1821" s="12">
        <v>1</v>
      </c>
      <c r="AD1821" s="14">
        <v>1</v>
      </c>
      <c r="AE1821" s="14">
        <v>0</v>
      </c>
      <c r="AF1821" s="26">
        <v>0</v>
      </c>
      <c r="AG1821" s="12">
        <v>155</v>
      </c>
      <c r="AH1821" s="14">
        <v>0</v>
      </c>
      <c r="AI1821" s="209"/>
      <c r="AJ1821" s="3"/>
      <c r="AK1821" s="3"/>
      <c r="AL1821" s="3"/>
      <c r="AM1821" s="3"/>
      <c r="AN1821" s="3"/>
      <c r="AO1821" s="40"/>
      <c r="AP1821" s="209"/>
      <c r="AQ1821" s="3"/>
      <c r="AR1821" s="40"/>
      <c r="AS1821" s="238"/>
    </row>
    <row r="1822" spans="1:45" s="229" customFormat="1">
      <c r="A1822" s="87" t="s">
        <v>320</v>
      </c>
      <c r="B1822" s="384">
        <v>-2.9071666666666669</v>
      </c>
      <c r="C1822" s="8" t="s">
        <v>298</v>
      </c>
      <c r="D1822" s="8" t="s">
        <v>423</v>
      </c>
      <c r="E1822" s="8"/>
      <c r="F1822" s="8">
        <v>727</v>
      </c>
      <c r="G1822" s="10">
        <f>F1822/494</f>
        <v>1.4716599190283401</v>
      </c>
      <c r="H1822" s="11">
        <v>0</v>
      </c>
      <c r="I1822" s="8">
        <v>0</v>
      </c>
      <c r="J1822" s="8">
        <v>1</v>
      </c>
      <c r="K1822" s="41">
        <v>0</v>
      </c>
      <c r="L1822" s="11">
        <v>0</v>
      </c>
      <c r="M1822" s="8">
        <v>0</v>
      </c>
      <c r="N1822" s="8">
        <v>0</v>
      </c>
      <c r="O1822" s="8">
        <v>0</v>
      </c>
      <c r="P1822" s="41">
        <v>0</v>
      </c>
      <c r="Q1822" s="11">
        <v>330</v>
      </c>
      <c r="R1822" s="8">
        <v>0</v>
      </c>
      <c r="S1822" s="8">
        <v>0</v>
      </c>
      <c r="T1822" s="8">
        <v>0</v>
      </c>
      <c r="U1822" s="8">
        <v>0</v>
      </c>
      <c r="V1822" s="8">
        <v>0</v>
      </c>
      <c r="W1822" s="8">
        <v>0</v>
      </c>
      <c r="X1822" s="8">
        <v>0</v>
      </c>
      <c r="Y1822" s="8">
        <v>0</v>
      </c>
      <c r="Z1822" s="8">
        <v>0</v>
      </c>
      <c r="AA1822" s="8">
        <v>392</v>
      </c>
      <c r="AB1822" s="8">
        <v>0</v>
      </c>
      <c r="AC1822" s="9">
        <v>1</v>
      </c>
      <c r="AD1822" s="11">
        <v>1</v>
      </c>
      <c r="AE1822" s="11">
        <v>0</v>
      </c>
      <c r="AF1822" s="41">
        <v>0</v>
      </c>
      <c r="AG1822" s="9">
        <v>125</v>
      </c>
      <c r="AH1822" s="11">
        <v>0</v>
      </c>
      <c r="AI1822" s="208">
        <v>83.857835898909272</v>
      </c>
      <c r="AJ1822" s="54"/>
      <c r="AK1822" s="54"/>
      <c r="AL1822" s="54"/>
      <c r="AM1822" s="54"/>
      <c r="AN1822" s="54"/>
      <c r="AO1822" s="10"/>
      <c r="AP1822" s="208">
        <v>82.242120637798493</v>
      </c>
      <c r="AQ1822" s="54"/>
      <c r="AR1822" s="10"/>
      <c r="AS1822" s="237"/>
    </row>
    <row r="1823" spans="1:45" s="229" customFormat="1">
      <c r="A1823" s="42" t="s">
        <v>320</v>
      </c>
      <c r="B1823" s="386">
        <v>-2.9071666666666669</v>
      </c>
      <c r="C1823" s="229" t="s">
        <v>298</v>
      </c>
      <c r="D1823" s="229" t="s">
        <v>622</v>
      </c>
      <c r="F1823" s="229">
        <v>789</v>
      </c>
      <c r="G1823" s="40">
        <f>F1823/404</f>
        <v>1.9529702970297029</v>
      </c>
      <c r="H1823" s="14">
        <v>0</v>
      </c>
      <c r="I1823" s="229">
        <v>0</v>
      </c>
      <c r="J1823" s="229">
        <v>1</v>
      </c>
      <c r="K1823" s="26">
        <v>0</v>
      </c>
      <c r="L1823" s="14">
        <v>1</v>
      </c>
      <c r="M1823" s="229">
        <v>0</v>
      </c>
      <c r="N1823" s="229">
        <v>0</v>
      </c>
      <c r="O1823" s="229">
        <v>0</v>
      </c>
      <c r="P1823" s="26">
        <v>1</v>
      </c>
      <c r="Q1823" s="14">
        <v>4</v>
      </c>
      <c r="R1823" s="229">
        <v>0</v>
      </c>
      <c r="S1823" s="229">
        <v>0</v>
      </c>
      <c r="T1823" s="229">
        <v>0</v>
      </c>
      <c r="U1823" s="229">
        <v>0</v>
      </c>
      <c r="V1823" s="229">
        <v>0</v>
      </c>
      <c r="W1823" s="229">
        <v>153</v>
      </c>
      <c r="X1823" s="229">
        <v>0</v>
      </c>
      <c r="Y1823" s="229">
        <v>0</v>
      </c>
      <c r="Z1823" s="229">
        <v>0</v>
      </c>
      <c r="AA1823" s="229">
        <v>0</v>
      </c>
      <c r="AB1823" s="229">
        <v>0</v>
      </c>
      <c r="AC1823" s="12">
        <v>2</v>
      </c>
      <c r="AD1823" s="14">
        <v>2</v>
      </c>
      <c r="AE1823" s="14">
        <v>466</v>
      </c>
      <c r="AF1823" s="26">
        <v>480</v>
      </c>
      <c r="AG1823" s="12">
        <v>117</v>
      </c>
      <c r="AH1823" s="14">
        <v>0</v>
      </c>
      <c r="AI1823" s="209"/>
      <c r="AJ1823" s="3"/>
      <c r="AK1823" s="3"/>
      <c r="AL1823" s="3"/>
      <c r="AM1823" s="3"/>
      <c r="AN1823" s="3"/>
      <c r="AO1823" s="40"/>
      <c r="AP1823" s="209"/>
      <c r="AQ1823" s="3"/>
      <c r="AR1823" s="40"/>
      <c r="AS1823" s="238"/>
    </row>
    <row r="1824" spans="1:45" s="229" customFormat="1">
      <c r="A1824" s="42" t="s">
        <v>320</v>
      </c>
      <c r="B1824" s="386">
        <v>-2.9071666666666669</v>
      </c>
      <c r="C1824" s="229" t="s">
        <v>298</v>
      </c>
      <c r="D1824" s="229" t="s">
        <v>620</v>
      </c>
      <c r="E1824" s="229" t="s">
        <v>0</v>
      </c>
      <c r="F1824" s="229">
        <v>534</v>
      </c>
      <c r="G1824" s="40">
        <f>F1824/441</f>
        <v>1.2108843537414966</v>
      </c>
      <c r="H1824" s="14">
        <v>0</v>
      </c>
      <c r="I1824" s="229">
        <v>0</v>
      </c>
      <c r="J1824" s="229">
        <v>0</v>
      </c>
      <c r="K1824" s="26">
        <v>1</v>
      </c>
      <c r="L1824" s="14">
        <v>0</v>
      </c>
      <c r="M1824" s="229">
        <v>0</v>
      </c>
      <c r="N1824" s="229">
        <v>1</v>
      </c>
      <c r="O1824" s="229">
        <v>0</v>
      </c>
      <c r="P1824" s="26">
        <v>1</v>
      </c>
      <c r="Q1824" s="14">
        <v>1</v>
      </c>
      <c r="R1824" s="229">
        <v>0</v>
      </c>
      <c r="S1824" s="229">
        <v>22</v>
      </c>
      <c r="T1824" s="229">
        <v>0</v>
      </c>
      <c r="U1824" s="229">
        <v>0</v>
      </c>
      <c r="V1824" s="229">
        <v>0</v>
      </c>
      <c r="W1824" s="229">
        <v>0</v>
      </c>
      <c r="X1824" s="229">
        <v>0</v>
      </c>
      <c r="Y1824" s="229">
        <v>0</v>
      </c>
      <c r="Z1824" s="229">
        <v>0</v>
      </c>
      <c r="AA1824" s="229">
        <v>0</v>
      </c>
      <c r="AB1824" s="229">
        <v>0</v>
      </c>
      <c r="AC1824" s="12">
        <v>1</v>
      </c>
      <c r="AD1824" s="14">
        <v>1</v>
      </c>
      <c r="AE1824" s="14">
        <v>0</v>
      </c>
      <c r="AF1824" s="26">
        <v>0</v>
      </c>
      <c r="AG1824" s="12">
        <v>136</v>
      </c>
      <c r="AH1824" s="14">
        <v>0</v>
      </c>
      <c r="AI1824" s="209"/>
      <c r="AJ1824" s="3"/>
      <c r="AK1824" s="3"/>
      <c r="AL1824" s="3"/>
      <c r="AM1824" s="3"/>
      <c r="AN1824" s="3"/>
      <c r="AO1824" s="40"/>
      <c r="AP1824" s="209"/>
      <c r="AQ1824" s="3"/>
      <c r="AR1824" s="40"/>
      <c r="AS1824" s="238"/>
    </row>
    <row r="1825" spans="1:45" s="229" customFormat="1">
      <c r="A1825" s="42" t="s">
        <v>320</v>
      </c>
      <c r="B1825" s="386">
        <v>-2.9071666666666669</v>
      </c>
      <c r="C1825" s="229" t="s">
        <v>298</v>
      </c>
      <c r="D1825" s="229" t="s">
        <v>620</v>
      </c>
      <c r="E1825" s="229" t="s">
        <v>1</v>
      </c>
      <c r="F1825" s="229">
        <v>452</v>
      </c>
      <c r="G1825" s="40">
        <f>F1825/291</f>
        <v>1.5532646048109966</v>
      </c>
      <c r="H1825" s="14">
        <v>0</v>
      </c>
      <c r="I1825" s="229">
        <v>0</v>
      </c>
      <c r="J1825" s="229">
        <v>0</v>
      </c>
      <c r="K1825" s="26">
        <v>1</v>
      </c>
      <c r="L1825" s="14">
        <v>0</v>
      </c>
      <c r="M1825" s="229">
        <v>0</v>
      </c>
      <c r="N1825" s="229">
        <v>1</v>
      </c>
      <c r="O1825" s="229">
        <v>0</v>
      </c>
      <c r="P1825" s="26">
        <v>1</v>
      </c>
      <c r="Q1825" s="14">
        <v>0</v>
      </c>
      <c r="R1825" s="229">
        <v>0</v>
      </c>
      <c r="S1825" s="229">
        <v>0</v>
      </c>
      <c r="T1825" s="229">
        <v>0</v>
      </c>
      <c r="U1825" s="229">
        <v>0</v>
      </c>
      <c r="V1825" s="229">
        <v>0</v>
      </c>
      <c r="W1825" s="229">
        <v>0</v>
      </c>
      <c r="X1825" s="229">
        <v>0</v>
      </c>
      <c r="Y1825" s="229">
        <v>0</v>
      </c>
      <c r="Z1825" s="229">
        <v>0</v>
      </c>
      <c r="AA1825" s="229">
        <v>0</v>
      </c>
      <c r="AB1825" s="229">
        <v>0</v>
      </c>
      <c r="AC1825" s="12">
        <v>1</v>
      </c>
      <c r="AD1825" s="14">
        <v>1</v>
      </c>
      <c r="AE1825" s="14">
        <v>0</v>
      </c>
      <c r="AF1825" s="26">
        <v>0</v>
      </c>
      <c r="AG1825" s="12">
        <v>136</v>
      </c>
      <c r="AH1825" s="14">
        <v>0</v>
      </c>
      <c r="AI1825" s="209"/>
      <c r="AJ1825" s="3"/>
      <c r="AK1825" s="3"/>
      <c r="AL1825" s="3"/>
      <c r="AM1825" s="3"/>
      <c r="AN1825" s="3"/>
      <c r="AO1825" s="40"/>
      <c r="AP1825" s="209"/>
      <c r="AQ1825" s="3"/>
      <c r="AR1825" s="40"/>
      <c r="AS1825" s="238"/>
    </row>
    <row r="1826" spans="1:45" s="229" customFormat="1">
      <c r="A1826" s="42" t="s">
        <v>320</v>
      </c>
      <c r="B1826" s="386">
        <v>-2.9071666666666669</v>
      </c>
      <c r="C1826" s="229" t="s">
        <v>298</v>
      </c>
      <c r="D1826" s="229" t="s">
        <v>629</v>
      </c>
      <c r="F1826" s="229">
        <v>783</v>
      </c>
      <c r="G1826" s="40">
        <f>F1826/487</f>
        <v>1.6078028747433264</v>
      </c>
      <c r="H1826" s="14">
        <v>0</v>
      </c>
      <c r="I1826" s="229">
        <v>0</v>
      </c>
      <c r="J1826" s="229">
        <v>0</v>
      </c>
      <c r="K1826" s="26">
        <v>1</v>
      </c>
      <c r="L1826" s="14">
        <v>1</v>
      </c>
      <c r="M1826" s="229">
        <v>0</v>
      </c>
      <c r="N1826" s="229">
        <v>0</v>
      </c>
      <c r="O1826" s="229">
        <v>0</v>
      </c>
      <c r="P1826" s="26">
        <v>1</v>
      </c>
      <c r="Q1826" s="14">
        <v>2</v>
      </c>
      <c r="R1826" s="229">
        <v>7</v>
      </c>
      <c r="S1826" s="229">
        <v>9</v>
      </c>
      <c r="T1826" s="229">
        <v>0</v>
      </c>
      <c r="U1826" s="229">
        <v>0</v>
      </c>
      <c r="V1826" s="229">
        <v>9</v>
      </c>
      <c r="W1826" s="229">
        <v>113</v>
      </c>
      <c r="X1826" s="229">
        <v>0</v>
      </c>
      <c r="Y1826" s="229">
        <v>0</v>
      </c>
      <c r="Z1826" s="229">
        <v>18</v>
      </c>
      <c r="AA1826" s="229">
        <v>108</v>
      </c>
      <c r="AB1826" s="229">
        <v>80</v>
      </c>
      <c r="AC1826" s="12">
        <v>1</v>
      </c>
      <c r="AD1826" s="14">
        <v>1</v>
      </c>
      <c r="AE1826" s="14">
        <v>0</v>
      </c>
      <c r="AF1826" s="26">
        <v>0</v>
      </c>
      <c r="AG1826" s="12">
        <v>100</v>
      </c>
      <c r="AH1826" s="14">
        <v>0</v>
      </c>
      <c r="AI1826" s="209"/>
      <c r="AJ1826" s="3"/>
      <c r="AK1826" s="3"/>
      <c r="AL1826" s="3"/>
      <c r="AM1826" s="3"/>
      <c r="AN1826" s="3"/>
      <c r="AO1826" s="40"/>
      <c r="AP1826" s="209"/>
      <c r="AQ1826" s="3"/>
      <c r="AR1826" s="40"/>
      <c r="AS1826" s="238"/>
    </row>
    <row r="1827" spans="1:45" s="229" customFormat="1">
      <c r="A1827" s="42" t="s">
        <v>320</v>
      </c>
      <c r="B1827" s="386">
        <v>-2.9071666666666669</v>
      </c>
      <c r="C1827" s="229" t="s">
        <v>298</v>
      </c>
      <c r="D1827" s="229" t="s">
        <v>634</v>
      </c>
      <c r="F1827" s="229">
        <v>615</v>
      </c>
      <c r="G1827" s="40">
        <f>F1827/458</f>
        <v>1.3427947598253276</v>
      </c>
      <c r="H1827" s="14">
        <v>0</v>
      </c>
      <c r="I1827" s="229">
        <v>0</v>
      </c>
      <c r="J1827" s="229">
        <v>1</v>
      </c>
      <c r="K1827" s="26">
        <v>0</v>
      </c>
      <c r="L1827" s="14">
        <v>0</v>
      </c>
      <c r="M1827" s="229">
        <v>0</v>
      </c>
      <c r="N1827" s="229">
        <v>1</v>
      </c>
      <c r="O1827" s="229">
        <v>0</v>
      </c>
      <c r="P1827" s="26">
        <v>1</v>
      </c>
      <c r="Q1827" s="14">
        <v>5</v>
      </c>
      <c r="R1827" s="229">
        <v>0</v>
      </c>
      <c r="S1827" s="229">
        <v>80</v>
      </c>
      <c r="T1827" s="229">
        <v>0</v>
      </c>
      <c r="U1827" s="229">
        <v>0</v>
      </c>
      <c r="V1827" s="229">
        <v>0</v>
      </c>
      <c r="W1827" s="229">
        <v>40</v>
      </c>
      <c r="X1827" s="229">
        <v>0</v>
      </c>
      <c r="Y1827" s="229">
        <v>0</v>
      </c>
      <c r="Z1827" s="229">
        <v>60</v>
      </c>
      <c r="AA1827" s="229">
        <v>90</v>
      </c>
      <c r="AB1827" s="229">
        <v>0</v>
      </c>
      <c r="AC1827" s="12">
        <v>1</v>
      </c>
      <c r="AD1827" s="14">
        <v>1</v>
      </c>
      <c r="AE1827" s="14">
        <v>0</v>
      </c>
      <c r="AF1827" s="26">
        <v>0</v>
      </c>
      <c r="AG1827" s="12">
        <v>107</v>
      </c>
      <c r="AH1827" s="14">
        <v>0</v>
      </c>
      <c r="AI1827" s="209"/>
      <c r="AJ1827" s="3"/>
      <c r="AK1827" s="3"/>
      <c r="AL1827" s="3"/>
      <c r="AM1827" s="3"/>
      <c r="AN1827" s="3"/>
      <c r="AO1827" s="40"/>
      <c r="AP1827" s="209"/>
      <c r="AQ1827" s="3"/>
      <c r="AR1827" s="40"/>
      <c r="AS1827" s="238"/>
    </row>
    <row r="1828" spans="1:45" s="229" customFormat="1">
      <c r="A1828" s="42" t="s">
        <v>320</v>
      </c>
      <c r="B1828" s="386">
        <v>-2.9071666666666669</v>
      </c>
      <c r="C1828" s="229" t="s">
        <v>298</v>
      </c>
      <c r="D1828" s="229" t="s">
        <v>625</v>
      </c>
      <c r="F1828" s="229">
        <v>1381</v>
      </c>
      <c r="G1828" s="40">
        <f>F1828/994</f>
        <v>1.3893360160965795</v>
      </c>
      <c r="H1828" s="14">
        <v>1</v>
      </c>
      <c r="I1828" s="229">
        <v>0</v>
      </c>
      <c r="J1828" s="229">
        <v>0</v>
      </c>
      <c r="K1828" s="26">
        <v>0</v>
      </c>
      <c r="L1828" s="14">
        <v>0</v>
      </c>
      <c r="M1828" s="229">
        <v>0</v>
      </c>
      <c r="N1828" s="229">
        <v>1</v>
      </c>
      <c r="O1828" s="229">
        <v>0</v>
      </c>
      <c r="P1828" s="26">
        <v>1</v>
      </c>
      <c r="Q1828" s="14">
        <v>1</v>
      </c>
      <c r="R1828" s="229">
        <v>0</v>
      </c>
      <c r="S1828" s="229">
        <v>41</v>
      </c>
      <c r="T1828" s="229">
        <v>0</v>
      </c>
      <c r="U1828" s="229">
        <v>0</v>
      </c>
      <c r="V1828" s="229">
        <v>0</v>
      </c>
      <c r="W1828" s="229">
        <v>0</v>
      </c>
      <c r="X1828" s="229">
        <v>0</v>
      </c>
      <c r="Y1828" s="229">
        <v>0</v>
      </c>
      <c r="Z1828" s="229">
        <v>0</v>
      </c>
      <c r="AA1828" s="229">
        <v>0</v>
      </c>
      <c r="AB1828" s="229">
        <v>0</v>
      </c>
      <c r="AC1828" s="12">
        <v>1</v>
      </c>
      <c r="AD1828" s="14">
        <v>1</v>
      </c>
      <c r="AE1828" s="14">
        <v>0</v>
      </c>
      <c r="AF1828" s="26">
        <v>0</v>
      </c>
      <c r="AG1828" s="12">
        <v>123</v>
      </c>
      <c r="AH1828" s="14">
        <v>0</v>
      </c>
      <c r="AI1828" s="209">
        <v>87.31218165867007</v>
      </c>
      <c r="AJ1828" s="3"/>
      <c r="AK1828" s="3"/>
      <c r="AL1828" s="3"/>
      <c r="AM1828" s="3"/>
      <c r="AN1828" s="3"/>
      <c r="AO1828" s="40"/>
      <c r="AP1828" s="209">
        <v>84.526427791342257</v>
      </c>
      <c r="AQ1828" s="3"/>
      <c r="AR1828" s="40"/>
      <c r="AS1828" s="238"/>
    </row>
    <row r="1829" spans="1:45" s="229" customFormat="1">
      <c r="A1829" s="42" t="s">
        <v>320</v>
      </c>
      <c r="B1829" s="386">
        <v>-2.9071666666666669</v>
      </c>
      <c r="C1829" s="229" t="s">
        <v>298</v>
      </c>
      <c r="D1829" s="229" t="s">
        <v>630</v>
      </c>
      <c r="F1829" s="229">
        <v>315</v>
      </c>
      <c r="G1829" s="40">
        <f>F1829/191</f>
        <v>1.6492146596858639</v>
      </c>
      <c r="H1829" s="14">
        <v>0</v>
      </c>
      <c r="I1829" s="229">
        <v>0</v>
      </c>
      <c r="J1829" s="229">
        <v>0</v>
      </c>
      <c r="K1829" s="26">
        <v>1</v>
      </c>
      <c r="L1829" s="14">
        <v>0</v>
      </c>
      <c r="M1829" s="229">
        <v>0</v>
      </c>
      <c r="N1829" s="229">
        <v>0</v>
      </c>
      <c r="O1829" s="229">
        <v>0</v>
      </c>
      <c r="P1829" s="26">
        <v>0</v>
      </c>
      <c r="Q1829" s="14">
        <v>0</v>
      </c>
      <c r="R1829" s="229">
        <v>0</v>
      </c>
      <c r="S1829" s="229">
        <v>0</v>
      </c>
      <c r="T1829" s="229">
        <v>0</v>
      </c>
      <c r="U1829" s="229">
        <v>0</v>
      </c>
      <c r="V1829" s="229">
        <v>0</v>
      </c>
      <c r="W1829" s="229">
        <v>0</v>
      </c>
      <c r="X1829" s="229">
        <v>0</v>
      </c>
      <c r="Y1829" s="229">
        <v>0</v>
      </c>
      <c r="Z1829" s="229">
        <v>0</v>
      </c>
      <c r="AA1829" s="229">
        <v>0</v>
      </c>
      <c r="AB1829" s="229">
        <v>0</v>
      </c>
      <c r="AC1829" s="12">
        <v>1</v>
      </c>
      <c r="AD1829" s="14">
        <v>1</v>
      </c>
      <c r="AE1829" s="14">
        <v>0</v>
      </c>
      <c r="AF1829" s="26">
        <v>0</v>
      </c>
      <c r="AG1829" s="12">
        <v>137</v>
      </c>
      <c r="AH1829" s="14">
        <v>0</v>
      </c>
      <c r="AI1829" s="209"/>
      <c r="AJ1829" s="3"/>
      <c r="AK1829" s="3"/>
      <c r="AL1829" s="3"/>
      <c r="AM1829" s="3"/>
      <c r="AN1829" s="3"/>
      <c r="AO1829" s="40"/>
      <c r="AP1829" s="209"/>
      <c r="AQ1829" s="3"/>
      <c r="AR1829" s="40"/>
      <c r="AS1829" s="238"/>
    </row>
    <row r="1830" spans="1:45" s="229" customFormat="1">
      <c r="A1830" s="42" t="s">
        <v>320</v>
      </c>
      <c r="B1830" s="386">
        <v>-2.9071666666666669</v>
      </c>
      <c r="C1830" s="229" t="s">
        <v>298</v>
      </c>
      <c r="D1830" s="229" t="s">
        <v>637</v>
      </c>
      <c r="F1830" s="229">
        <v>367</v>
      </c>
      <c r="G1830" s="40">
        <f>F1830/195</f>
        <v>1.882051282051282</v>
      </c>
      <c r="H1830" s="14">
        <v>0</v>
      </c>
      <c r="I1830" s="229">
        <v>0</v>
      </c>
      <c r="J1830" s="229">
        <v>1</v>
      </c>
      <c r="K1830" s="26">
        <v>0</v>
      </c>
      <c r="L1830" s="14">
        <v>0</v>
      </c>
      <c r="M1830" s="229">
        <v>0</v>
      </c>
      <c r="N1830" s="229">
        <v>0</v>
      </c>
      <c r="O1830" s="229">
        <v>0</v>
      </c>
      <c r="P1830" s="26">
        <v>0</v>
      </c>
      <c r="Q1830" s="14">
        <v>0</v>
      </c>
      <c r="R1830" s="229">
        <v>0</v>
      </c>
      <c r="S1830" s="229">
        <v>0</v>
      </c>
      <c r="T1830" s="229">
        <v>0</v>
      </c>
      <c r="U1830" s="229">
        <v>0</v>
      </c>
      <c r="V1830" s="229">
        <v>0</v>
      </c>
      <c r="W1830" s="229">
        <v>0</v>
      </c>
      <c r="X1830" s="229">
        <v>0</v>
      </c>
      <c r="Y1830" s="229">
        <v>0</v>
      </c>
      <c r="Z1830" s="229">
        <v>0</v>
      </c>
      <c r="AA1830" s="229">
        <v>0</v>
      </c>
      <c r="AB1830" s="229">
        <v>0</v>
      </c>
      <c r="AC1830" s="12">
        <v>1</v>
      </c>
      <c r="AD1830" s="14">
        <v>1</v>
      </c>
      <c r="AE1830" s="14">
        <v>0</v>
      </c>
      <c r="AF1830" s="26">
        <v>0</v>
      </c>
      <c r="AG1830" s="12">
        <v>118</v>
      </c>
      <c r="AH1830" s="14">
        <v>0</v>
      </c>
      <c r="AI1830" s="209"/>
      <c r="AJ1830" s="3"/>
      <c r="AK1830" s="3"/>
      <c r="AL1830" s="3"/>
      <c r="AM1830" s="3"/>
      <c r="AN1830" s="3"/>
      <c r="AO1830" s="40"/>
      <c r="AP1830" s="209"/>
      <c r="AQ1830" s="3"/>
      <c r="AR1830" s="40"/>
      <c r="AS1830" s="238"/>
    </row>
    <row r="1831" spans="1:45" s="229" customFormat="1">
      <c r="A1831" s="42" t="s">
        <v>320</v>
      </c>
      <c r="B1831" s="386">
        <v>-2.9071666666666669</v>
      </c>
      <c r="C1831" s="229" t="s">
        <v>298</v>
      </c>
      <c r="D1831" s="229" t="s">
        <v>638</v>
      </c>
      <c r="E1831" s="229" t="s">
        <v>0</v>
      </c>
      <c r="F1831" s="229">
        <v>398</v>
      </c>
      <c r="G1831" s="40">
        <f>F1831/355</f>
        <v>1.1211267605633803</v>
      </c>
      <c r="H1831" s="14">
        <v>0</v>
      </c>
      <c r="I1831" s="229">
        <v>0</v>
      </c>
      <c r="J1831" s="229">
        <v>1</v>
      </c>
      <c r="K1831" s="26">
        <v>0</v>
      </c>
      <c r="L1831" s="14">
        <v>0</v>
      </c>
      <c r="M1831" s="229">
        <v>0</v>
      </c>
      <c r="N1831" s="229">
        <v>0</v>
      </c>
      <c r="O1831" s="229">
        <v>0</v>
      </c>
      <c r="P1831" s="26">
        <v>0</v>
      </c>
      <c r="Q1831" s="14">
        <v>1</v>
      </c>
      <c r="R1831" s="229">
        <v>0</v>
      </c>
      <c r="S1831" s="229">
        <v>0</v>
      </c>
      <c r="T1831" s="229">
        <v>0</v>
      </c>
      <c r="U1831" s="229">
        <v>0</v>
      </c>
      <c r="V1831" s="229">
        <v>32</v>
      </c>
      <c r="W1831" s="229">
        <v>133</v>
      </c>
      <c r="X1831" s="229">
        <v>0</v>
      </c>
      <c r="Y1831" s="229">
        <v>0</v>
      </c>
      <c r="Z1831" s="229">
        <v>0</v>
      </c>
      <c r="AA1831" s="229">
        <v>34</v>
      </c>
      <c r="AB1831" s="229">
        <v>0</v>
      </c>
      <c r="AC1831" s="12">
        <v>1</v>
      </c>
      <c r="AD1831" s="14">
        <v>1</v>
      </c>
      <c r="AE1831" s="14">
        <v>0</v>
      </c>
      <c r="AF1831" s="26">
        <v>0</v>
      </c>
      <c r="AG1831" s="12">
        <v>135</v>
      </c>
      <c r="AH1831" s="14">
        <v>0</v>
      </c>
      <c r="AI1831" s="209"/>
      <c r="AJ1831" s="3"/>
      <c r="AK1831" s="3"/>
      <c r="AL1831" s="3"/>
      <c r="AM1831" s="3"/>
      <c r="AN1831" s="3"/>
      <c r="AO1831" s="40"/>
      <c r="AP1831" s="209"/>
      <c r="AQ1831" s="3"/>
      <c r="AR1831" s="40"/>
      <c r="AS1831" s="238"/>
    </row>
    <row r="1832" spans="1:45" s="229" customFormat="1">
      <c r="A1832" s="42" t="s">
        <v>320</v>
      </c>
      <c r="B1832" s="386">
        <v>-2.9071666666666669</v>
      </c>
      <c r="C1832" s="229" t="s">
        <v>298</v>
      </c>
      <c r="D1832" s="229" t="s">
        <v>638</v>
      </c>
      <c r="E1832" s="229" t="s">
        <v>1</v>
      </c>
      <c r="F1832" s="229">
        <v>635</v>
      </c>
      <c r="G1832" s="40">
        <f>F1832/480</f>
        <v>1.3229166666666667</v>
      </c>
      <c r="H1832" s="14">
        <v>0</v>
      </c>
      <c r="I1832" s="229">
        <v>0</v>
      </c>
      <c r="J1832" s="229">
        <v>1</v>
      </c>
      <c r="K1832" s="26">
        <v>0</v>
      </c>
      <c r="L1832" s="14">
        <v>0</v>
      </c>
      <c r="M1832" s="229">
        <v>0</v>
      </c>
      <c r="N1832" s="229">
        <v>0</v>
      </c>
      <c r="O1832" s="229">
        <v>0</v>
      </c>
      <c r="P1832" s="26">
        <v>0</v>
      </c>
      <c r="Q1832" s="14">
        <v>10</v>
      </c>
      <c r="R1832" s="229">
        <v>0</v>
      </c>
      <c r="S1832" s="229">
        <v>0</v>
      </c>
      <c r="T1832" s="229">
        <v>0</v>
      </c>
      <c r="U1832" s="229">
        <v>0</v>
      </c>
      <c r="V1832" s="229">
        <v>0</v>
      </c>
      <c r="W1832" s="229">
        <v>0</v>
      </c>
      <c r="X1832" s="229">
        <v>0</v>
      </c>
      <c r="Y1832" s="229">
        <v>0</v>
      </c>
      <c r="Z1832" s="229">
        <v>42</v>
      </c>
      <c r="AA1832" s="229">
        <v>242</v>
      </c>
      <c r="AB1832" s="229">
        <v>0</v>
      </c>
      <c r="AC1832" s="12">
        <v>1</v>
      </c>
      <c r="AD1832" s="14">
        <v>1</v>
      </c>
      <c r="AE1832" s="14">
        <v>0</v>
      </c>
      <c r="AF1832" s="26">
        <v>0</v>
      </c>
      <c r="AG1832" s="12">
        <v>135</v>
      </c>
      <c r="AH1832" s="14">
        <v>0</v>
      </c>
      <c r="AI1832" s="209"/>
      <c r="AJ1832" s="3"/>
      <c r="AK1832" s="3"/>
      <c r="AL1832" s="3"/>
      <c r="AM1832" s="3"/>
      <c r="AN1832" s="3"/>
      <c r="AO1832" s="40"/>
      <c r="AP1832" s="209"/>
      <c r="AQ1832" s="3"/>
      <c r="AR1832" s="40"/>
      <c r="AS1832" s="238"/>
    </row>
    <row r="1833" spans="1:45" s="229" customFormat="1">
      <c r="A1833" s="42" t="s">
        <v>320</v>
      </c>
      <c r="B1833" s="386">
        <v>-2.9071666666666669</v>
      </c>
      <c r="C1833" s="229" t="s">
        <v>298</v>
      </c>
      <c r="D1833" s="229" t="s">
        <v>639</v>
      </c>
      <c r="F1833" s="229">
        <v>777</v>
      </c>
      <c r="G1833" s="40">
        <f>F1833/533</f>
        <v>1.4577861163227017</v>
      </c>
      <c r="H1833" s="14">
        <v>0</v>
      </c>
      <c r="I1833" s="229">
        <v>0</v>
      </c>
      <c r="J1833" s="229">
        <v>1</v>
      </c>
      <c r="K1833" s="26">
        <v>0</v>
      </c>
      <c r="L1833" s="14">
        <v>1</v>
      </c>
      <c r="M1833" s="229">
        <v>0</v>
      </c>
      <c r="N1833" s="229">
        <v>0</v>
      </c>
      <c r="O1833" s="229">
        <v>0</v>
      </c>
      <c r="P1833" s="26">
        <v>1</v>
      </c>
      <c r="Q1833" s="14">
        <v>4</v>
      </c>
      <c r="R1833" s="229">
        <v>10</v>
      </c>
      <c r="S1833" s="229">
        <v>52</v>
      </c>
      <c r="T1833" s="229">
        <v>0</v>
      </c>
      <c r="U1833" s="229">
        <v>0</v>
      </c>
      <c r="V1833" s="229">
        <v>36</v>
      </c>
      <c r="W1833" s="229">
        <v>174</v>
      </c>
      <c r="X1833" s="229">
        <v>0</v>
      </c>
      <c r="Y1833" s="229">
        <v>0</v>
      </c>
      <c r="Z1833" s="229">
        <v>0</v>
      </c>
      <c r="AA1833" s="229">
        <v>132</v>
      </c>
      <c r="AB1833" s="229">
        <v>0</v>
      </c>
      <c r="AC1833" s="12">
        <v>1</v>
      </c>
      <c r="AD1833" s="14">
        <v>1</v>
      </c>
      <c r="AE1833" s="14">
        <v>0</v>
      </c>
      <c r="AF1833" s="26">
        <v>0</v>
      </c>
      <c r="AG1833" s="12">
        <v>122</v>
      </c>
      <c r="AH1833" s="14">
        <v>0</v>
      </c>
      <c r="AI1833" s="209"/>
      <c r="AJ1833" s="3"/>
      <c r="AK1833" s="3"/>
      <c r="AL1833" s="3"/>
      <c r="AM1833" s="3"/>
      <c r="AN1833" s="3"/>
      <c r="AO1833" s="40"/>
      <c r="AP1833" s="209"/>
      <c r="AQ1833" s="3"/>
      <c r="AR1833" s="40"/>
      <c r="AS1833" s="238"/>
    </row>
    <row r="1834" spans="1:45" s="229" customFormat="1">
      <c r="A1834" s="42" t="s">
        <v>320</v>
      </c>
      <c r="B1834" s="386">
        <v>-2.9071666666666669</v>
      </c>
      <c r="C1834" s="229" t="s">
        <v>298</v>
      </c>
      <c r="D1834" s="229" t="s">
        <v>640</v>
      </c>
      <c r="F1834" s="229">
        <v>1552</v>
      </c>
      <c r="G1834" s="40">
        <f>F1834/1240</f>
        <v>1.2516129032258065</v>
      </c>
      <c r="H1834" s="14">
        <v>0</v>
      </c>
      <c r="I1834" s="229">
        <v>0</v>
      </c>
      <c r="J1834" s="229">
        <v>1</v>
      </c>
      <c r="K1834" s="26">
        <v>0</v>
      </c>
      <c r="L1834" s="14">
        <v>0</v>
      </c>
      <c r="M1834" s="229">
        <v>0</v>
      </c>
      <c r="N1834" s="229">
        <v>1</v>
      </c>
      <c r="O1834" s="229">
        <v>0</v>
      </c>
      <c r="P1834" s="26">
        <v>1</v>
      </c>
      <c r="Q1834" s="14">
        <v>1</v>
      </c>
      <c r="R1834" s="229">
        <v>0</v>
      </c>
      <c r="S1834" s="229">
        <v>28</v>
      </c>
      <c r="T1834" s="229">
        <v>0</v>
      </c>
      <c r="U1834" s="229">
        <v>0</v>
      </c>
      <c r="V1834" s="229">
        <v>0</v>
      </c>
      <c r="W1834" s="229">
        <v>0</v>
      </c>
      <c r="X1834" s="229">
        <v>0</v>
      </c>
      <c r="Y1834" s="229">
        <v>0</v>
      </c>
      <c r="Z1834" s="229">
        <v>0</v>
      </c>
      <c r="AA1834" s="229">
        <v>0</v>
      </c>
      <c r="AB1834" s="229">
        <v>0</v>
      </c>
      <c r="AC1834" s="12">
        <v>1</v>
      </c>
      <c r="AD1834" s="14">
        <v>1</v>
      </c>
      <c r="AE1834" s="14">
        <v>0</v>
      </c>
      <c r="AF1834" s="26">
        <v>0</v>
      </c>
      <c r="AG1834" s="12">
        <v>134</v>
      </c>
      <c r="AH1834" s="14">
        <v>0</v>
      </c>
      <c r="AI1834" s="209">
        <v>86.282419004811857</v>
      </c>
      <c r="AJ1834" s="3"/>
      <c r="AK1834" s="3"/>
      <c r="AL1834" s="3"/>
      <c r="AM1834" s="3"/>
      <c r="AN1834" s="3"/>
      <c r="AO1834" s="40"/>
      <c r="AP1834" s="209">
        <v>84.284998840944624</v>
      </c>
      <c r="AQ1834" s="3"/>
      <c r="AR1834" s="40"/>
      <c r="AS1834" s="238"/>
    </row>
    <row r="1835" spans="1:45" s="229" customFormat="1">
      <c r="A1835" s="42" t="s">
        <v>320</v>
      </c>
      <c r="B1835" s="386">
        <v>-2.9071666666666669</v>
      </c>
      <c r="C1835" s="229" t="s">
        <v>298</v>
      </c>
      <c r="D1835" s="229" t="s">
        <v>641</v>
      </c>
      <c r="F1835" s="229">
        <v>992</v>
      </c>
      <c r="G1835" s="40">
        <f>F1835/748</f>
        <v>1.3262032085561497</v>
      </c>
      <c r="H1835" s="14">
        <v>0</v>
      </c>
      <c r="I1835" s="229">
        <v>0</v>
      </c>
      <c r="J1835" s="229">
        <v>1</v>
      </c>
      <c r="K1835" s="26">
        <v>0</v>
      </c>
      <c r="L1835" s="14">
        <v>0</v>
      </c>
      <c r="M1835" s="229">
        <v>0</v>
      </c>
      <c r="N1835" s="229">
        <v>0</v>
      </c>
      <c r="O1835" s="229">
        <v>1</v>
      </c>
      <c r="P1835" s="26">
        <v>1</v>
      </c>
      <c r="Q1835" s="14">
        <v>5</v>
      </c>
      <c r="R1835" s="229">
        <v>0</v>
      </c>
      <c r="S1835" s="229">
        <v>0</v>
      </c>
      <c r="T1835" s="229">
        <v>0</v>
      </c>
      <c r="U1835" s="229">
        <v>0</v>
      </c>
      <c r="V1835" s="229">
        <v>25</v>
      </c>
      <c r="W1835" s="229">
        <v>62</v>
      </c>
      <c r="X1835" s="229">
        <v>0</v>
      </c>
      <c r="Y1835" s="229">
        <v>0</v>
      </c>
      <c r="Z1835" s="229">
        <v>52</v>
      </c>
      <c r="AA1835" s="229">
        <v>196</v>
      </c>
      <c r="AB1835" s="229">
        <v>0</v>
      </c>
      <c r="AC1835" s="12">
        <v>1</v>
      </c>
      <c r="AD1835" s="14">
        <v>1</v>
      </c>
      <c r="AE1835" s="14">
        <v>0</v>
      </c>
      <c r="AF1835" s="26">
        <v>0</v>
      </c>
      <c r="AG1835" s="12">
        <v>122</v>
      </c>
      <c r="AH1835" s="14">
        <v>0</v>
      </c>
      <c r="AI1835" s="209">
        <v>83.540163958535587</v>
      </c>
      <c r="AJ1835" s="3">
        <v>83.653679273869628</v>
      </c>
      <c r="AK1835" s="3"/>
      <c r="AL1835" s="3"/>
      <c r="AM1835" s="3"/>
      <c r="AN1835" s="3"/>
      <c r="AO1835" s="40"/>
      <c r="AP1835" s="209">
        <v>84.981497308013047</v>
      </c>
      <c r="AQ1835" s="3">
        <v>84.784995403276568</v>
      </c>
      <c r="AR1835" s="40"/>
      <c r="AS1835" s="238"/>
    </row>
    <row r="1836" spans="1:45" s="229" customFormat="1">
      <c r="A1836" s="42" t="s">
        <v>320</v>
      </c>
      <c r="B1836" s="386">
        <v>-2.9071666666666669</v>
      </c>
      <c r="C1836" s="229" t="s">
        <v>298</v>
      </c>
      <c r="D1836" s="229" t="s">
        <v>647</v>
      </c>
      <c r="F1836" s="229">
        <v>919</v>
      </c>
      <c r="G1836" s="40">
        <f>F1836/652</f>
        <v>1.4095092024539877</v>
      </c>
      <c r="H1836" s="14">
        <v>0</v>
      </c>
      <c r="I1836" s="229">
        <v>0</v>
      </c>
      <c r="J1836" s="229">
        <v>1</v>
      </c>
      <c r="K1836" s="26">
        <v>0</v>
      </c>
      <c r="L1836" s="14">
        <v>0</v>
      </c>
      <c r="M1836" s="229">
        <v>0</v>
      </c>
      <c r="N1836" s="229">
        <v>1</v>
      </c>
      <c r="O1836" s="229">
        <v>0</v>
      </c>
      <c r="P1836" s="26">
        <v>1</v>
      </c>
      <c r="Q1836" s="14">
        <v>0</v>
      </c>
      <c r="R1836" s="229">
        <v>0</v>
      </c>
      <c r="S1836" s="229">
        <v>0</v>
      </c>
      <c r="T1836" s="229">
        <v>0</v>
      </c>
      <c r="U1836" s="229">
        <v>0</v>
      </c>
      <c r="V1836" s="229">
        <v>0</v>
      </c>
      <c r="W1836" s="229">
        <v>0</v>
      </c>
      <c r="X1836" s="229">
        <v>0</v>
      </c>
      <c r="Y1836" s="229">
        <v>0</v>
      </c>
      <c r="Z1836" s="229">
        <v>0</v>
      </c>
      <c r="AA1836" s="229">
        <v>0</v>
      </c>
      <c r="AB1836" s="229">
        <v>0</v>
      </c>
      <c r="AC1836" s="12">
        <v>1</v>
      </c>
      <c r="AD1836" s="14">
        <v>1</v>
      </c>
      <c r="AE1836" s="14">
        <v>0</v>
      </c>
      <c r="AF1836" s="26">
        <v>0</v>
      </c>
      <c r="AG1836" s="12">
        <v>90</v>
      </c>
      <c r="AH1836" s="14">
        <v>0</v>
      </c>
      <c r="AI1836" s="209"/>
      <c r="AJ1836" s="3"/>
      <c r="AK1836" s="3"/>
      <c r="AL1836" s="3"/>
      <c r="AM1836" s="3"/>
      <c r="AN1836" s="3"/>
      <c r="AO1836" s="40"/>
      <c r="AP1836" s="209"/>
      <c r="AQ1836" s="3"/>
      <c r="AR1836" s="40"/>
      <c r="AS1836" s="238"/>
    </row>
    <row r="1837" spans="1:45" s="229" customFormat="1">
      <c r="A1837" s="42" t="s">
        <v>320</v>
      </c>
      <c r="B1837" s="386">
        <v>-2.9071666666666669</v>
      </c>
      <c r="C1837" s="229" t="s">
        <v>298</v>
      </c>
      <c r="D1837" s="229" t="s">
        <v>648</v>
      </c>
      <c r="E1837" s="229" t="s">
        <v>0</v>
      </c>
      <c r="F1837" s="229">
        <v>624</v>
      </c>
      <c r="G1837" s="40">
        <f>F1837/258</f>
        <v>2.4186046511627906</v>
      </c>
      <c r="H1837" s="14">
        <v>0</v>
      </c>
      <c r="I1837" s="229">
        <v>0</v>
      </c>
      <c r="J1837" s="229">
        <v>0</v>
      </c>
      <c r="K1837" s="26">
        <v>1</v>
      </c>
      <c r="L1837" s="14">
        <v>0</v>
      </c>
      <c r="M1837" s="229">
        <v>0</v>
      </c>
      <c r="N1837" s="229">
        <v>0</v>
      </c>
      <c r="O1837" s="229">
        <v>0</v>
      </c>
      <c r="P1837" s="26">
        <v>0</v>
      </c>
      <c r="Q1837" s="14">
        <v>1</v>
      </c>
      <c r="R1837" s="229">
        <v>0</v>
      </c>
      <c r="S1837" s="229">
        <v>0</v>
      </c>
      <c r="T1837" s="229">
        <v>0</v>
      </c>
      <c r="U1837" s="229">
        <v>0</v>
      </c>
      <c r="V1837" s="229">
        <v>0</v>
      </c>
      <c r="W1837" s="229">
        <v>0</v>
      </c>
      <c r="X1837" s="229">
        <v>0</v>
      </c>
      <c r="Y1837" s="229">
        <v>0</v>
      </c>
      <c r="Z1837" s="229">
        <v>0</v>
      </c>
      <c r="AA1837" s="229">
        <v>51</v>
      </c>
      <c r="AB1837" s="229">
        <v>0</v>
      </c>
      <c r="AC1837" s="12">
        <v>2</v>
      </c>
      <c r="AD1837" s="14">
        <v>3</v>
      </c>
      <c r="AE1837" s="14">
        <v>185</v>
      </c>
      <c r="AF1837" s="26">
        <v>257</v>
      </c>
      <c r="AG1837" s="12">
        <v>110</v>
      </c>
      <c r="AH1837" s="14">
        <v>0</v>
      </c>
      <c r="AI1837" s="209"/>
      <c r="AJ1837" s="3"/>
      <c r="AK1837" s="3"/>
      <c r="AL1837" s="3"/>
      <c r="AM1837" s="3"/>
      <c r="AN1837" s="3"/>
      <c r="AO1837" s="40"/>
      <c r="AP1837" s="209"/>
      <c r="AQ1837" s="3"/>
      <c r="AR1837" s="40"/>
      <c r="AS1837" s="238"/>
    </row>
    <row r="1838" spans="1:45" s="229" customFormat="1" ht="17" thickBot="1">
      <c r="A1838" s="55" t="s">
        <v>320</v>
      </c>
      <c r="B1838" s="385">
        <v>-2.9071666666666669</v>
      </c>
      <c r="C1838" s="36" t="s">
        <v>298</v>
      </c>
      <c r="D1838" s="36" t="s">
        <v>648</v>
      </c>
      <c r="E1838" s="36" t="s">
        <v>1</v>
      </c>
      <c r="F1838" s="36">
        <v>800</v>
      </c>
      <c r="G1838" s="48">
        <f>F1838/295</f>
        <v>2.7118644067796609</v>
      </c>
      <c r="H1838" s="34">
        <v>0</v>
      </c>
      <c r="I1838" s="36">
        <v>0</v>
      </c>
      <c r="J1838" s="36">
        <v>0</v>
      </c>
      <c r="K1838" s="35">
        <v>1</v>
      </c>
      <c r="L1838" s="34">
        <v>0</v>
      </c>
      <c r="M1838" s="36">
        <v>0</v>
      </c>
      <c r="N1838" s="36">
        <v>0</v>
      </c>
      <c r="O1838" s="36">
        <v>0</v>
      </c>
      <c r="P1838" s="35">
        <v>0</v>
      </c>
      <c r="Q1838" s="34">
        <v>2</v>
      </c>
      <c r="R1838" s="36">
        <v>0</v>
      </c>
      <c r="S1838" s="36">
        <v>12</v>
      </c>
      <c r="T1838" s="36">
        <v>0</v>
      </c>
      <c r="U1838" s="36">
        <v>0</v>
      </c>
      <c r="V1838" s="36">
        <v>0</v>
      </c>
      <c r="W1838" s="36">
        <v>8</v>
      </c>
      <c r="X1838" s="36">
        <v>0</v>
      </c>
      <c r="Y1838" s="36">
        <v>0</v>
      </c>
      <c r="Z1838" s="36">
        <v>0</v>
      </c>
      <c r="AA1838" s="36">
        <v>93</v>
      </c>
      <c r="AB1838" s="36">
        <v>1</v>
      </c>
      <c r="AC1838" s="33">
        <v>2</v>
      </c>
      <c r="AD1838" s="34">
        <v>2</v>
      </c>
      <c r="AE1838" s="34">
        <v>348</v>
      </c>
      <c r="AF1838" s="35">
        <v>431</v>
      </c>
      <c r="AG1838" s="33">
        <v>110</v>
      </c>
      <c r="AH1838" s="34">
        <v>0</v>
      </c>
      <c r="AI1838" s="210"/>
      <c r="AJ1838" s="51"/>
      <c r="AK1838" s="51"/>
      <c r="AL1838" s="51"/>
      <c r="AM1838" s="51"/>
      <c r="AN1838" s="51"/>
      <c r="AO1838" s="48"/>
      <c r="AP1838" s="210"/>
      <c r="AQ1838" s="51"/>
      <c r="AR1838" s="48"/>
      <c r="AS1838" s="239"/>
    </row>
    <row r="1839" spans="1:45" s="229" customFormat="1">
      <c r="A1839" s="87" t="s">
        <v>320</v>
      </c>
      <c r="B1839" s="384">
        <v>-1.9466666666666668</v>
      </c>
      <c r="C1839" s="229" t="s">
        <v>301</v>
      </c>
      <c r="D1839" s="229" t="s">
        <v>423</v>
      </c>
      <c r="F1839" s="229">
        <v>572</v>
      </c>
      <c r="G1839" s="40">
        <f>F1839/349</f>
        <v>1.6389684813753582</v>
      </c>
      <c r="H1839" s="14">
        <v>0</v>
      </c>
      <c r="I1839" s="229">
        <v>0</v>
      </c>
      <c r="J1839" s="229">
        <v>0</v>
      </c>
      <c r="K1839" s="26">
        <v>1</v>
      </c>
      <c r="L1839" s="14">
        <v>0</v>
      </c>
      <c r="M1839" s="229">
        <v>0</v>
      </c>
      <c r="N1839" s="229">
        <v>0</v>
      </c>
      <c r="O1839" s="229">
        <v>0</v>
      </c>
      <c r="P1839" s="26">
        <v>0</v>
      </c>
      <c r="Q1839" s="14">
        <v>5</v>
      </c>
      <c r="R1839" s="229">
        <v>0</v>
      </c>
      <c r="S1839" s="229">
        <v>0</v>
      </c>
      <c r="T1839" s="229">
        <v>0</v>
      </c>
      <c r="U1839" s="229">
        <v>0</v>
      </c>
      <c r="V1839" s="229">
        <v>0</v>
      </c>
      <c r="W1839" s="229">
        <v>88</v>
      </c>
      <c r="X1839" s="229">
        <v>0</v>
      </c>
      <c r="Y1839" s="229">
        <v>0</v>
      </c>
      <c r="Z1839" s="229">
        <v>0</v>
      </c>
      <c r="AA1839" s="229">
        <v>0</v>
      </c>
      <c r="AB1839" s="229">
        <v>1</v>
      </c>
      <c r="AC1839" s="12">
        <v>1</v>
      </c>
      <c r="AD1839" s="14">
        <v>1</v>
      </c>
      <c r="AE1839" s="14">
        <v>0</v>
      </c>
      <c r="AF1839" s="26">
        <v>0</v>
      </c>
      <c r="AG1839" s="12">
        <v>118</v>
      </c>
      <c r="AH1839" s="14">
        <v>0</v>
      </c>
      <c r="AI1839" s="209"/>
      <c r="AJ1839" s="3"/>
      <c r="AK1839" s="3"/>
      <c r="AL1839" s="3"/>
      <c r="AM1839" s="3"/>
      <c r="AN1839" s="3"/>
      <c r="AO1839" s="40"/>
      <c r="AP1839" s="209"/>
      <c r="AQ1839" s="3"/>
      <c r="AR1839" s="40"/>
      <c r="AS1839" s="238"/>
    </row>
    <row r="1840" spans="1:45" s="229" customFormat="1">
      <c r="A1840" s="42" t="s">
        <v>320</v>
      </c>
      <c r="B1840" s="386">
        <v>-1.9466666666666668</v>
      </c>
      <c r="C1840" s="229" t="s">
        <v>301</v>
      </c>
      <c r="D1840" s="229" t="s">
        <v>622</v>
      </c>
      <c r="F1840" s="229">
        <v>366</v>
      </c>
      <c r="G1840" s="40">
        <f>F1840/245</f>
        <v>1.4938775510204081</v>
      </c>
      <c r="H1840" s="14">
        <v>0</v>
      </c>
      <c r="I1840" s="229">
        <v>0</v>
      </c>
      <c r="J1840" s="229">
        <v>0</v>
      </c>
      <c r="K1840" s="26">
        <v>1</v>
      </c>
      <c r="L1840" s="14">
        <v>0</v>
      </c>
      <c r="M1840" s="229">
        <v>0</v>
      </c>
      <c r="N1840" s="229">
        <v>0</v>
      </c>
      <c r="O1840" s="229">
        <v>1</v>
      </c>
      <c r="P1840" s="26">
        <v>1</v>
      </c>
      <c r="Q1840" s="14">
        <v>0</v>
      </c>
      <c r="R1840" s="229">
        <v>0</v>
      </c>
      <c r="S1840" s="229">
        <v>0</v>
      </c>
      <c r="T1840" s="229">
        <v>0</v>
      </c>
      <c r="U1840" s="229">
        <v>0</v>
      </c>
      <c r="V1840" s="229">
        <v>0</v>
      </c>
      <c r="W1840" s="229">
        <v>0</v>
      </c>
      <c r="X1840" s="229">
        <v>0</v>
      </c>
      <c r="Y1840" s="229">
        <v>0</v>
      </c>
      <c r="Z1840" s="229">
        <v>0</v>
      </c>
      <c r="AA1840" s="229">
        <v>0</v>
      </c>
      <c r="AB1840" s="229">
        <v>0</v>
      </c>
      <c r="AC1840" s="12">
        <v>1</v>
      </c>
      <c r="AD1840" s="14">
        <v>1</v>
      </c>
      <c r="AE1840" s="14">
        <v>0</v>
      </c>
      <c r="AF1840" s="26">
        <v>0</v>
      </c>
      <c r="AG1840" s="12">
        <v>70</v>
      </c>
      <c r="AH1840" s="14">
        <v>0</v>
      </c>
      <c r="AI1840" s="209"/>
      <c r="AJ1840" s="3"/>
      <c r="AK1840" s="3"/>
      <c r="AL1840" s="3"/>
      <c r="AM1840" s="3"/>
      <c r="AN1840" s="3"/>
      <c r="AO1840" s="40"/>
      <c r="AP1840" s="209"/>
      <c r="AQ1840" s="3"/>
      <c r="AR1840" s="40"/>
      <c r="AS1840" s="238"/>
    </row>
    <row r="1841" spans="1:45" s="229" customFormat="1">
      <c r="A1841" s="42" t="s">
        <v>320</v>
      </c>
      <c r="B1841" s="386">
        <v>-1.9466666666666668</v>
      </c>
      <c r="C1841" s="229" t="s">
        <v>301</v>
      </c>
      <c r="D1841" s="229" t="s">
        <v>620</v>
      </c>
      <c r="F1841" s="229">
        <v>586</v>
      </c>
      <c r="G1841" s="40">
        <f>F1841/288</f>
        <v>2.0347222222222223</v>
      </c>
      <c r="H1841" s="14">
        <v>0</v>
      </c>
      <c r="I1841" s="229">
        <v>0</v>
      </c>
      <c r="J1841" s="229">
        <v>1</v>
      </c>
      <c r="K1841" s="26">
        <v>0</v>
      </c>
      <c r="L1841" s="14">
        <v>1</v>
      </c>
      <c r="M1841" s="229">
        <v>0</v>
      </c>
      <c r="N1841" s="229">
        <v>0</v>
      </c>
      <c r="O1841" s="229">
        <v>0</v>
      </c>
      <c r="P1841" s="26">
        <v>1</v>
      </c>
      <c r="Q1841" s="14">
        <v>0</v>
      </c>
      <c r="R1841" s="229">
        <v>0</v>
      </c>
      <c r="S1841" s="229">
        <v>0</v>
      </c>
      <c r="T1841" s="229">
        <v>0</v>
      </c>
      <c r="U1841" s="229">
        <v>0</v>
      </c>
      <c r="V1841" s="229">
        <v>0</v>
      </c>
      <c r="W1841" s="229">
        <v>0</v>
      </c>
      <c r="X1841" s="229">
        <v>0</v>
      </c>
      <c r="Y1841" s="229">
        <v>0</v>
      </c>
      <c r="Z1841" s="229">
        <v>0</v>
      </c>
      <c r="AA1841" s="229">
        <v>0</v>
      </c>
      <c r="AB1841" s="229">
        <v>0</v>
      </c>
      <c r="AC1841" s="12">
        <v>1</v>
      </c>
      <c r="AD1841" s="14">
        <v>1</v>
      </c>
      <c r="AE1841" s="14">
        <v>0</v>
      </c>
      <c r="AF1841" s="26">
        <v>0</v>
      </c>
      <c r="AG1841" s="12">
        <v>118</v>
      </c>
      <c r="AH1841" s="14">
        <v>0</v>
      </c>
      <c r="AI1841" s="209"/>
      <c r="AJ1841" s="3"/>
      <c r="AK1841" s="3"/>
      <c r="AL1841" s="3"/>
      <c r="AM1841" s="3"/>
      <c r="AN1841" s="3"/>
      <c r="AO1841" s="40"/>
      <c r="AP1841" s="209"/>
      <c r="AQ1841" s="3"/>
      <c r="AR1841" s="40"/>
      <c r="AS1841" s="238"/>
    </row>
    <row r="1842" spans="1:45" s="229" customFormat="1">
      <c r="A1842" s="42" t="s">
        <v>320</v>
      </c>
      <c r="B1842" s="386">
        <v>-1.9466666666666668</v>
      </c>
      <c r="C1842" s="229" t="s">
        <v>301</v>
      </c>
      <c r="D1842" s="229" t="s">
        <v>629</v>
      </c>
      <c r="F1842" s="229">
        <v>1161</v>
      </c>
      <c r="G1842" s="40">
        <f>F1842/826</f>
        <v>1.4055690072639224</v>
      </c>
      <c r="H1842" s="14">
        <v>0</v>
      </c>
      <c r="I1842" s="229">
        <v>0</v>
      </c>
      <c r="J1842" s="229">
        <v>1</v>
      </c>
      <c r="K1842" s="26">
        <v>0</v>
      </c>
      <c r="L1842" s="14">
        <v>0</v>
      </c>
      <c r="M1842" s="229">
        <v>0</v>
      </c>
      <c r="N1842" s="229">
        <v>0</v>
      </c>
      <c r="O1842" s="229">
        <v>0</v>
      </c>
      <c r="P1842" s="26">
        <v>0</v>
      </c>
      <c r="Q1842" s="14">
        <v>2</v>
      </c>
      <c r="R1842" s="229">
        <v>0</v>
      </c>
      <c r="S1842" s="229">
        <v>0</v>
      </c>
      <c r="T1842" s="229">
        <v>0</v>
      </c>
      <c r="U1842" s="229">
        <v>0</v>
      </c>
      <c r="V1842" s="229">
        <v>7</v>
      </c>
      <c r="W1842" s="229">
        <v>98</v>
      </c>
      <c r="X1842" s="229">
        <v>0</v>
      </c>
      <c r="Y1842" s="229">
        <v>0</v>
      </c>
      <c r="Z1842" s="229">
        <v>0</v>
      </c>
      <c r="AA1842" s="229">
        <v>0</v>
      </c>
      <c r="AB1842" s="229">
        <v>1</v>
      </c>
      <c r="AC1842" s="12">
        <v>1</v>
      </c>
      <c r="AD1842" s="14">
        <v>1</v>
      </c>
      <c r="AE1842" s="14">
        <v>0</v>
      </c>
      <c r="AF1842" s="26">
        <v>0</v>
      </c>
      <c r="AG1842" s="12">
        <v>127</v>
      </c>
      <c r="AH1842" s="14">
        <v>0</v>
      </c>
      <c r="AI1842" s="209"/>
      <c r="AJ1842" s="3"/>
      <c r="AK1842" s="3"/>
      <c r="AL1842" s="3"/>
      <c r="AM1842" s="3"/>
      <c r="AN1842" s="3"/>
      <c r="AO1842" s="40"/>
      <c r="AP1842" s="209"/>
      <c r="AQ1842" s="3"/>
      <c r="AR1842" s="40"/>
      <c r="AS1842" s="238"/>
    </row>
    <row r="1843" spans="1:45" s="229" customFormat="1">
      <c r="A1843" s="42" t="s">
        <v>320</v>
      </c>
      <c r="B1843" s="386">
        <v>-1.9466666666666668</v>
      </c>
      <c r="C1843" s="229" t="s">
        <v>301</v>
      </c>
      <c r="D1843" s="229" t="s">
        <v>634</v>
      </c>
      <c r="F1843" s="229">
        <v>632</v>
      </c>
      <c r="G1843" s="40">
        <f>F1843/269</f>
        <v>2.3494423791821561</v>
      </c>
      <c r="H1843" s="14">
        <v>0</v>
      </c>
      <c r="I1843" s="229">
        <v>0</v>
      </c>
      <c r="J1843" s="229">
        <v>1</v>
      </c>
      <c r="K1843" s="26">
        <v>0</v>
      </c>
      <c r="L1843" s="14">
        <v>1</v>
      </c>
      <c r="M1843" s="229">
        <v>0</v>
      </c>
      <c r="N1843" s="229">
        <v>0</v>
      </c>
      <c r="O1843" s="229">
        <v>0</v>
      </c>
      <c r="P1843" s="26">
        <v>1</v>
      </c>
      <c r="Q1843" s="14">
        <v>1</v>
      </c>
      <c r="R1843" s="229">
        <v>0</v>
      </c>
      <c r="S1843" s="229">
        <v>0</v>
      </c>
      <c r="T1843" s="229">
        <v>0</v>
      </c>
      <c r="U1843" s="229">
        <v>0</v>
      </c>
      <c r="V1843" s="229">
        <v>11</v>
      </c>
      <c r="W1843" s="229">
        <v>12</v>
      </c>
      <c r="X1843" s="229">
        <v>0</v>
      </c>
      <c r="Y1843" s="229">
        <v>0</v>
      </c>
      <c r="Z1843" s="229">
        <v>0</v>
      </c>
      <c r="AA1843" s="229">
        <v>0</v>
      </c>
      <c r="AB1843" s="229">
        <v>0</v>
      </c>
      <c r="AC1843" s="12">
        <v>1</v>
      </c>
      <c r="AD1843" s="14">
        <v>1</v>
      </c>
      <c r="AE1843" s="14">
        <v>0</v>
      </c>
      <c r="AF1843" s="26">
        <v>0</v>
      </c>
      <c r="AG1843" s="12">
        <v>94</v>
      </c>
      <c r="AH1843" s="14">
        <v>0</v>
      </c>
      <c r="AI1843" s="209"/>
      <c r="AJ1843" s="3"/>
      <c r="AK1843" s="3"/>
      <c r="AL1843" s="3"/>
      <c r="AM1843" s="3"/>
      <c r="AN1843" s="3"/>
      <c r="AO1843" s="40"/>
      <c r="AP1843" s="209"/>
      <c r="AQ1843" s="3"/>
      <c r="AR1843" s="40"/>
      <c r="AS1843" s="238"/>
    </row>
    <row r="1844" spans="1:45" s="229" customFormat="1">
      <c r="A1844" s="42" t="s">
        <v>320</v>
      </c>
      <c r="B1844" s="386">
        <v>-1.9466666666666668</v>
      </c>
      <c r="C1844" s="229" t="s">
        <v>301</v>
      </c>
      <c r="D1844" s="229" t="s">
        <v>625</v>
      </c>
      <c r="E1844" s="229" t="s">
        <v>0</v>
      </c>
      <c r="F1844" s="229">
        <v>305</v>
      </c>
      <c r="G1844" s="40">
        <f>F1844/186</f>
        <v>1.6397849462365592</v>
      </c>
      <c r="H1844" s="14">
        <v>0</v>
      </c>
      <c r="I1844" s="229">
        <v>0</v>
      </c>
      <c r="J1844" s="229">
        <v>1</v>
      </c>
      <c r="K1844" s="26">
        <v>0</v>
      </c>
      <c r="L1844" s="14">
        <v>0</v>
      </c>
      <c r="M1844" s="229">
        <v>0</v>
      </c>
      <c r="N1844" s="229">
        <v>1</v>
      </c>
      <c r="O1844" s="229">
        <v>0</v>
      </c>
      <c r="P1844" s="26">
        <v>1</v>
      </c>
      <c r="Q1844" s="14">
        <v>5</v>
      </c>
      <c r="R1844" s="229">
        <v>8</v>
      </c>
      <c r="S1844" s="229">
        <v>35</v>
      </c>
      <c r="T1844" s="229">
        <v>0</v>
      </c>
      <c r="U1844" s="229">
        <v>0</v>
      </c>
      <c r="V1844" s="229">
        <v>0</v>
      </c>
      <c r="W1844" s="229">
        <v>17</v>
      </c>
      <c r="X1844" s="229">
        <v>0</v>
      </c>
      <c r="Y1844" s="229">
        <v>0</v>
      </c>
      <c r="Z1844" s="229">
        <v>0</v>
      </c>
      <c r="AA1844" s="229">
        <v>0</v>
      </c>
      <c r="AB1844" s="229">
        <v>1</v>
      </c>
      <c r="AC1844" s="12">
        <v>1</v>
      </c>
      <c r="AD1844" s="14">
        <v>1</v>
      </c>
      <c r="AE1844" s="14">
        <v>0</v>
      </c>
      <c r="AF1844" s="26">
        <v>0</v>
      </c>
      <c r="AG1844" s="12"/>
      <c r="AH1844" s="14">
        <v>0</v>
      </c>
      <c r="AI1844" s="209"/>
      <c r="AJ1844" s="3"/>
      <c r="AK1844" s="3"/>
      <c r="AL1844" s="3"/>
      <c r="AM1844" s="3"/>
      <c r="AN1844" s="3"/>
      <c r="AO1844" s="40"/>
      <c r="AP1844" s="209"/>
      <c r="AQ1844" s="3"/>
      <c r="AR1844" s="40"/>
      <c r="AS1844" s="238"/>
    </row>
    <row r="1845" spans="1:45" s="229" customFormat="1">
      <c r="A1845" s="42" t="s">
        <v>320</v>
      </c>
      <c r="B1845" s="386">
        <v>-1.9466666666666668</v>
      </c>
      <c r="C1845" s="229" t="s">
        <v>301</v>
      </c>
      <c r="D1845" s="229" t="s">
        <v>625</v>
      </c>
      <c r="E1845" s="229" t="s">
        <v>1</v>
      </c>
      <c r="F1845" s="229">
        <v>952</v>
      </c>
      <c r="G1845" s="40">
        <f>F1845/606</f>
        <v>1.5709570957095709</v>
      </c>
      <c r="H1845" s="14">
        <v>0</v>
      </c>
      <c r="I1845" s="229">
        <v>0</v>
      </c>
      <c r="J1845" s="229">
        <v>1</v>
      </c>
      <c r="K1845" s="26">
        <v>0</v>
      </c>
      <c r="L1845" s="14">
        <v>1</v>
      </c>
      <c r="M1845" s="229">
        <v>0</v>
      </c>
      <c r="N1845" s="229">
        <v>0</v>
      </c>
      <c r="O1845" s="229">
        <v>0</v>
      </c>
      <c r="P1845" s="26">
        <v>1</v>
      </c>
      <c r="Q1845" s="14">
        <v>1</v>
      </c>
      <c r="R1845" s="229">
        <v>0</v>
      </c>
      <c r="S1845" s="229">
        <v>0</v>
      </c>
      <c r="T1845" s="229">
        <v>0</v>
      </c>
      <c r="U1845" s="229">
        <v>0</v>
      </c>
      <c r="V1845" s="229">
        <v>0</v>
      </c>
      <c r="W1845" s="229">
        <v>69</v>
      </c>
      <c r="X1845" s="229">
        <v>0</v>
      </c>
      <c r="Y1845" s="229">
        <v>0</v>
      </c>
      <c r="Z1845" s="229">
        <v>0</v>
      </c>
      <c r="AA1845" s="229">
        <v>0</v>
      </c>
      <c r="AB1845" s="229">
        <v>1</v>
      </c>
      <c r="AC1845" s="12">
        <v>1</v>
      </c>
      <c r="AD1845" s="14">
        <v>1</v>
      </c>
      <c r="AE1845" s="14">
        <v>0</v>
      </c>
      <c r="AF1845" s="26">
        <v>0</v>
      </c>
      <c r="AG1845" s="12"/>
      <c r="AH1845" s="14">
        <v>0</v>
      </c>
      <c r="AI1845" s="209"/>
      <c r="AJ1845" s="3"/>
      <c r="AK1845" s="3"/>
      <c r="AL1845" s="3"/>
      <c r="AM1845" s="3"/>
      <c r="AN1845" s="3"/>
      <c r="AO1845" s="40"/>
      <c r="AP1845" s="209"/>
      <c r="AQ1845" s="3"/>
      <c r="AR1845" s="40"/>
      <c r="AS1845" s="238"/>
    </row>
    <row r="1846" spans="1:45" s="229" customFormat="1">
      <c r="A1846" s="42" t="s">
        <v>320</v>
      </c>
      <c r="B1846" s="386">
        <v>-1.9466666666666668</v>
      </c>
      <c r="C1846" s="229" t="s">
        <v>300</v>
      </c>
      <c r="D1846" s="229" t="s">
        <v>423</v>
      </c>
      <c r="E1846" s="229" t="s">
        <v>0</v>
      </c>
      <c r="F1846" s="229">
        <v>668</v>
      </c>
      <c r="G1846" s="40">
        <f>F1846/217</f>
        <v>3.0783410138248848</v>
      </c>
      <c r="H1846" s="14">
        <v>0</v>
      </c>
      <c r="I1846" s="229">
        <v>0</v>
      </c>
      <c r="J1846" s="229">
        <v>0</v>
      </c>
      <c r="K1846" s="26">
        <v>1</v>
      </c>
      <c r="L1846" s="14">
        <v>0</v>
      </c>
      <c r="M1846" s="229">
        <v>0</v>
      </c>
      <c r="N1846" s="229">
        <v>0</v>
      </c>
      <c r="O1846" s="229">
        <v>1</v>
      </c>
      <c r="P1846" s="26">
        <v>1</v>
      </c>
      <c r="Q1846" s="14">
        <v>0</v>
      </c>
      <c r="R1846" s="229">
        <v>0</v>
      </c>
      <c r="S1846" s="229">
        <v>0</v>
      </c>
      <c r="T1846" s="229">
        <v>0</v>
      </c>
      <c r="U1846" s="229">
        <v>0</v>
      </c>
      <c r="V1846" s="229">
        <v>0</v>
      </c>
      <c r="W1846" s="229">
        <v>0</v>
      </c>
      <c r="X1846" s="229">
        <v>0</v>
      </c>
      <c r="Y1846" s="229">
        <v>0</v>
      </c>
      <c r="Z1846" s="229">
        <v>0</v>
      </c>
      <c r="AA1846" s="229">
        <v>0</v>
      </c>
      <c r="AB1846" s="229">
        <v>0</v>
      </c>
      <c r="AC1846" s="12">
        <v>1</v>
      </c>
      <c r="AD1846" s="14">
        <v>1</v>
      </c>
      <c r="AE1846" s="14">
        <v>0</v>
      </c>
      <c r="AF1846" s="26">
        <v>0</v>
      </c>
      <c r="AG1846" s="12">
        <v>107</v>
      </c>
      <c r="AH1846" s="14">
        <v>0</v>
      </c>
      <c r="AI1846" s="209"/>
      <c r="AJ1846" s="3"/>
      <c r="AK1846" s="3"/>
      <c r="AL1846" s="3"/>
      <c r="AM1846" s="3"/>
      <c r="AN1846" s="3"/>
      <c r="AO1846" s="40"/>
      <c r="AP1846" s="209"/>
      <c r="AQ1846" s="3"/>
      <c r="AR1846" s="40"/>
      <c r="AS1846" s="238"/>
    </row>
    <row r="1847" spans="1:45" s="229" customFormat="1">
      <c r="A1847" s="42" t="s">
        <v>320</v>
      </c>
      <c r="B1847" s="386">
        <v>-1.9466666666666668</v>
      </c>
      <c r="C1847" s="229" t="s">
        <v>300</v>
      </c>
      <c r="D1847" s="229" t="s">
        <v>423</v>
      </c>
      <c r="E1847" s="229" t="s">
        <v>1</v>
      </c>
      <c r="F1847" s="229">
        <v>917</v>
      </c>
      <c r="G1847" s="40">
        <f>F1847/500</f>
        <v>1.8340000000000001</v>
      </c>
      <c r="H1847" s="14">
        <v>0</v>
      </c>
      <c r="I1847" s="229">
        <v>0</v>
      </c>
      <c r="J1847" s="229">
        <v>0</v>
      </c>
      <c r="K1847" s="26">
        <v>1</v>
      </c>
      <c r="L1847" s="14">
        <v>1</v>
      </c>
      <c r="M1847" s="229">
        <v>0</v>
      </c>
      <c r="N1847" s="229">
        <v>0</v>
      </c>
      <c r="O1847" s="229">
        <v>0</v>
      </c>
      <c r="P1847" s="26">
        <v>1</v>
      </c>
      <c r="Q1847" s="14">
        <v>1</v>
      </c>
      <c r="R1847" s="229">
        <v>0</v>
      </c>
      <c r="S1847" s="229">
        <v>0</v>
      </c>
      <c r="T1847" s="229">
        <v>0</v>
      </c>
      <c r="U1847" s="229">
        <v>0</v>
      </c>
      <c r="V1847" s="229">
        <v>0</v>
      </c>
      <c r="W1847" s="229">
        <v>29</v>
      </c>
      <c r="X1847" s="229">
        <v>0</v>
      </c>
      <c r="Y1847" s="229">
        <v>0</v>
      </c>
      <c r="Z1847" s="229">
        <v>0</v>
      </c>
      <c r="AA1847" s="229">
        <v>0</v>
      </c>
      <c r="AB1847" s="229">
        <v>0</v>
      </c>
      <c r="AC1847" s="12">
        <v>1</v>
      </c>
      <c r="AD1847" s="14">
        <v>1</v>
      </c>
      <c r="AE1847" s="14">
        <v>0</v>
      </c>
      <c r="AF1847" s="26">
        <v>0</v>
      </c>
      <c r="AG1847" s="12">
        <v>107</v>
      </c>
      <c r="AH1847" s="14">
        <v>0</v>
      </c>
      <c r="AI1847" s="209">
        <v>83.800709679325337</v>
      </c>
      <c r="AJ1847" s="3"/>
      <c r="AK1847" s="3"/>
      <c r="AL1847" s="3"/>
      <c r="AM1847" s="3"/>
      <c r="AN1847" s="3"/>
      <c r="AO1847" s="40"/>
      <c r="AP1847" s="209">
        <v>83.055380543130639</v>
      </c>
      <c r="AQ1847" s="3">
        <v>82.934601970745689</v>
      </c>
      <c r="AR1847" s="40"/>
      <c r="AS1847" s="238"/>
    </row>
    <row r="1848" spans="1:45" s="229" customFormat="1">
      <c r="A1848" s="42" t="s">
        <v>320</v>
      </c>
      <c r="B1848" s="386">
        <v>-1.9466666666666668</v>
      </c>
      <c r="C1848" s="229" t="s">
        <v>300</v>
      </c>
      <c r="D1848" s="229" t="s">
        <v>423</v>
      </c>
      <c r="E1848" s="229" t="s">
        <v>2</v>
      </c>
      <c r="F1848" s="229">
        <v>634</v>
      </c>
      <c r="G1848" s="40">
        <f>F1848/442</f>
        <v>1.4343891402714932</v>
      </c>
      <c r="H1848" s="14">
        <v>0</v>
      </c>
      <c r="I1848" s="229">
        <v>0</v>
      </c>
      <c r="J1848" s="229">
        <v>0</v>
      </c>
      <c r="K1848" s="26">
        <v>1</v>
      </c>
      <c r="L1848" s="14">
        <v>1</v>
      </c>
      <c r="M1848" s="229">
        <v>0</v>
      </c>
      <c r="N1848" s="229">
        <v>0</v>
      </c>
      <c r="O1848" s="229">
        <v>0</v>
      </c>
      <c r="P1848" s="26">
        <v>1</v>
      </c>
      <c r="Q1848" s="14">
        <v>0</v>
      </c>
      <c r="R1848" s="229">
        <v>0</v>
      </c>
      <c r="S1848" s="229">
        <v>0</v>
      </c>
      <c r="T1848" s="229">
        <v>0</v>
      </c>
      <c r="U1848" s="229">
        <v>0</v>
      </c>
      <c r="V1848" s="229">
        <v>0</v>
      </c>
      <c r="W1848" s="229">
        <v>0</v>
      </c>
      <c r="X1848" s="229">
        <v>0</v>
      </c>
      <c r="Y1848" s="229">
        <v>0</v>
      </c>
      <c r="Z1848" s="229">
        <v>0</v>
      </c>
      <c r="AA1848" s="229">
        <v>0</v>
      </c>
      <c r="AB1848" s="229">
        <v>0</v>
      </c>
      <c r="AC1848" s="12">
        <v>1</v>
      </c>
      <c r="AD1848" s="14">
        <v>1</v>
      </c>
      <c r="AE1848" s="14">
        <v>0</v>
      </c>
      <c r="AF1848" s="26">
        <v>0</v>
      </c>
      <c r="AG1848" s="12">
        <v>107</v>
      </c>
      <c r="AH1848" s="14">
        <v>0</v>
      </c>
      <c r="AI1848" s="209"/>
      <c r="AJ1848" s="3"/>
      <c r="AK1848" s="3"/>
      <c r="AL1848" s="3"/>
      <c r="AM1848" s="3"/>
      <c r="AN1848" s="3"/>
      <c r="AO1848" s="40"/>
      <c r="AP1848" s="209"/>
      <c r="AQ1848" s="3"/>
      <c r="AR1848" s="40"/>
      <c r="AS1848" s="238"/>
    </row>
    <row r="1849" spans="1:45" s="229" customFormat="1">
      <c r="A1849" s="42" t="s">
        <v>320</v>
      </c>
      <c r="B1849" s="386">
        <v>-1.9466666666666668</v>
      </c>
      <c r="C1849" s="229" t="s">
        <v>300</v>
      </c>
      <c r="D1849" s="229" t="s">
        <v>622</v>
      </c>
      <c r="F1849" s="229">
        <v>733</v>
      </c>
      <c r="G1849" s="40">
        <f>F1849/341</f>
        <v>2.1495601173020527</v>
      </c>
      <c r="H1849" s="14">
        <v>0</v>
      </c>
      <c r="I1849" s="229">
        <v>0</v>
      </c>
      <c r="J1849" s="229">
        <v>1</v>
      </c>
      <c r="K1849" s="26">
        <v>0</v>
      </c>
      <c r="L1849" s="14">
        <v>0</v>
      </c>
      <c r="M1849" s="229">
        <v>0</v>
      </c>
      <c r="N1849" s="229">
        <v>0</v>
      </c>
      <c r="O1849" s="229">
        <v>1</v>
      </c>
      <c r="P1849" s="26">
        <v>1</v>
      </c>
      <c r="Q1849" s="14">
        <v>5</v>
      </c>
      <c r="R1849" s="229">
        <v>0</v>
      </c>
      <c r="S1849" s="229">
        <v>0</v>
      </c>
      <c r="T1849" s="229">
        <v>0</v>
      </c>
      <c r="U1849" s="229">
        <v>0</v>
      </c>
      <c r="V1849" s="229">
        <v>0</v>
      </c>
      <c r="W1849" s="229">
        <v>46</v>
      </c>
      <c r="X1849" s="229">
        <v>0</v>
      </c>
      <c r="Y1849" s="229">
        <v>0</v>
      </c>
      <c r="Z1849" s="229">
        <v>0</v>
      </c>
      <c r="AA1849" s="229">
        <v>137</v>
      </c>
      <c r="AB1849" s="229">
        <v>0</v>
      </c>
      <c r="AC1849" s="12">
        <v>1</v>
      </c>
      <c r="AD1849" s="14">
        <v>1</v>
      </c>
      <c r="AE1849" s="14">
        <v>0</v>
      </c>
      <c r="AF1849" s="26">
        <v>0</v>
      </c>
      <c r="AG1849" s="12">
        <v>135</v>
      </c>
      <c r="AH1849" s="14">
        <v>0</v>
      </c>
      <c r="AI1849" s="209"/>
      <c r="AJ1849" s="3"/>
      <c r="AK1849" s="3"/>
      <c r="AL1849" s="3"/>
      <c r="AM1849" s="3"/>
      <c r="AN1849" s="3"/>
      <c r="AO1849" s="40"/>
      <c r="AP1849" s="209"/>
      <c r="AQ1849" s="3"/>
      <c r="AR1849" s="40"/>
      <c r="AS1849" s="238"/>
    </row>
    <row r="1850" spans="1:45" s="229" customFormat="1">
      <c r="A1850" s="42" t="s">
        <v>320</v>
      </c>
      <c r="B1850" s="386">
        <v>-1.9466666666666668</v>
      </c>
      <c r="C1850" s="229" t="s">
        <v>300</v>
      </c>
      <c r="D1850" s="229" t="s">
        <v>620</v>
      </c>
      <c r="F1850" s="229">
        <v>1405</v>
      </c>
      <c r="G1850" s="40">
        <f>F1850/668</f>
        <v>2.1032934131736525</v>
      </c>
      <c r="H1850" s="14">
        <v>0</v>
      </c>
      <c r="I1850" s="229">
        <v>0</v>
      </c>
      <c r="J1850" s="229">
        <v>1</v>
      </c>
      <c r="K1850" s="26">
        <v>0</v>
      </c>
      <c r="L1850" s="14">
        <v>0</v>
      </c>
      <c r="M1850" s="229">
        <v>0</v>
      </c>
      <c r="N1850" s="229">
        <v>1</v>
      </c>
      <c r="O1850" s="229">
        <v>0</v>
      </c>
      <c r="P1850" s="26">
        <v>1</v>
      </c>
      <c r="Q1850" s="14">
        <v>1</v>
      </c>
      <c r="R1850" s="229">
        <v>0</v>
      </c>
      <c r="S1850" s="229">
        <v>0</v>
      </c>
      <c r="T1850" s="229">
        <v>0</v>
      </c>
      <c r="U1850" s="229">
        <v>0</v>
      </c>
      <c r="V1850" s="229">
        <v>0</v>
      </c>
      <c r="W1850" s="229">
        <v>35</v>
      </c>
      <c r="X1850" s="229">
        <v>0</v>
      </c>
      <c r="Y1850" s="229">
        <v>0</v>
      </c>
      <c r="Z1850" s="229">
        <v>0</v>
      </c>
      <c r="AA1850" s="229">
        <v>0</v>
      </c>
      <c r="AB1850" s="229">
        <v>1</v>
      </c>
      <c r="AC1850" s="12">
        <v>1</v>
      </c>
      <c r="AD1850" s="14">
        <v>1</v>
      </c>
      <c r="AE1850" s="14">
        <v>0</v>
      </c>
      <c r="AF1850" s="26">
        <v>0</v>
      </c>
      <c r="AG1850" s="12">
        <v>109</v>
      </c>
      <c r="AH1850" s="14">
        <v>0</v>
      </c>
      <c r="AI1850" s="209">
        <v>82.700740419566401</v>
      </c>
      <c r="AJ1850" s="3"/>
      <c r="AK1850" s="3"/>
      <c r="AL1850" s="3"/>
      <c r="AM1850" s="3"/>
      <c r="AN1850" s="3"/>
      <c r="AO1850" s="40"/>
      <c r="AP1850" s="209">
        <v>82.541570624738071</v>
      </c>
      <c r="AQ1850" s="3"/>
      <c r="AR1850" s="40"/>
      <c r="AS1850" s="238"/>
    </row>
    <row r="1851" spans="1:45" s="229" customFormat="1">
      <c r="A1851" s="42" t="s">
        <v>320</v>
      </c>
      <c r="B1851" s="386">
        <v>-1.9466666666666668</v>
      </c>
      <c r="C1851" s="229" t="s">
        <v>300</v>
      </c>
      <c r="D1851" s="229" t="s">
        <v>629</v>
      </c>
      <c r="E1851" s="229" t="s">
        <v>0</v>
      </c>
      <c r="F1851" s="229">
        <v>677</v>
      </c>
      <c r="G1851" s="40">
        <f>F1851/379</f>
        <v>1.7862796833773087</v>
      </c>
      <c r="H1851" s="14">
        <v>0</v>
      </c>
      <c r="I1851" s="229">
        <v>0</v>
      </c>
      <c r="J1851" s="229">
        <v>1</v>
      </c>
      <c r="K1851" s="26">
        <v>0</v>
      </c>
      <c r="L1851" s="14">
        <v>0</v>
      </c>
      <c r="M1851" s="229">
        <v>0</v>
      </c>
      <c r="N1851" s="229">
        <v>1</v>
      </c>
      <c r="O1851" s="229">
        <v>0</v>
      </c>
      <c r="P1851" s="26">
        <v>1</v>
      </c>
      <c r="Q1851" s="14">
        <v>0</v>
      </c>
      <c r="R1851" s="229">
        <v>0</v>
      </c>
      <c r="S1851" s="229">
        <v>0</v>
      </c>
      <c r="T1851" s="229">
        <v>0</v>
      </c>
      <c r="U1851" s="229">
        <v>0</v>
      </c>
      <c r="V1851" s="229">
        <v>0</v>
      </c>
      <c r="W1851" s="229">
        <v>0</v>
      </c>
      <c r="X1851" s="229">
        <v>0</v>
      </c>
      <c r="Y1851" s="229">
        <v>0</v>
      </c>
      <c r="Z1851" s="229">
        <v>0</v>
      </c>
      <c r="AA1851" s="229">
        <v>0</v>
      </c>
      <c r="AB1851" s="229">
        <v>0</v>
      </c>
      <c r="AC1851" s="12">
        <v>1</v>
      </c>
      <c r="AD1851" s="14">
        <v>1</v>
      </c>
      <c r="AE1851" s="14">
        <v>0</v>
      </c>
      <c r="AF1851" s="26">
        <v>0</v>
      </c>
      <c r="AG1851" s="12">
        <v>109</v>
      </c>
      <c r="AH1851" s="14">
        <v>0</v>
      </c>
      <c r="AI1851" s="209">
        <v>83.262561659252469</v>
      </c>
      <c r="AJ1851" s="3"/>
      <c r="AK1851" s="3"/>
      <c r="AL1851" s="3"/>
      <c r="AM1851" s="3"/>
      <c r="AN1851" s="3"/>
      <c r="AO1851" s="40"/>
      <c r="AP1851" s="209">
        <v>83.167288993706649</v>
      </c>
      <c r="AQ1851" s="3"/>
      <c r="AR1851" s="40"/>
      <c r="AS1851" s="238"/>
    </row>
    <row r="1852" spans="1:45" s="229" customFormat="1">
      <c r="A1852" s="42" t="s">
        <v>320</v>
      </c>
      <c r="B1852" s="386">
        <v>-1.9466666666666668</v>
      </c>
      <c r="C1852" s="229" t="s">
        <v>300</v>
      </c>
      <c r="D1852" s="229" t="s">
        <v>629</v>
      </c>
      <c r="E1852" s="229" t="s">
        <v>1</v>
      </c>
      <c r="F1852" s="229">
        <v>502</v>
      </c>
      <c r="G1852" s="40">
        <f>F1852/205</f>
        <v>2.448780487804878</v>
      </c>
      <c r="H1852" s="14">
        <v>1</v>
      </c>
      <c r="I1852" s="229">
        <v>0</v>
      </c>
      <c r="J1852" s="229">
        <v>0</v>
      </c>
      <c r="K1852" s="26">
        <v>0</v>
      </c>
      <c r="L1852" s="14">
        <v>0</v>
      </c>
      <c r="M1852" s="229">
        <v>0</v>
      </c>
      <c r="N1852" s="229">
        <v>1</v>
      </c>
      <c r="O1852" s="229">
        <v>0</v>
      </c>
      <c r="P1852" s="26">
        <v>1</v>
      </c>
      <c r="Q1852" s="14">
        <v>0</v>
      </c>
      <c r="R1852" s="229">
        <v>0</v>
      </c>
      <c r="S1852" s="229">
        <v>0</v>
      </c>
      <c r="T1852" s="229">
        <v>0</v>
      </c>
      <c r="U1852" s="229">
        <v>0</v>
      </c>
      <c r="V1852" s="229">
        <v>0</v>
      </c>
      <c r="W1852" s="229">
        <v>0</v>
      </c>
      <c r="X1852" s="229">
        <v>0</v>
      </c>
      <c r="Y1852" s="229">
        <v>0</v>
      </c>
      <c r="Z1852" s="229">
        <v>0</v>
      </c>
      <c r="AA1852" s="229">
        <v>0</v>
      </c>
      <c r="AB1852" s="229">
        <v>0</v>
      </c>
      <c r="AC1852" s="12">
        <v>1</v>
      </c>
      <c r="AD1852" s="14">
        <v>1</v>
      </c>
      <c r="AE1852" s="14">
        <v>0</v>
      </c>
      <c r="AF1852" s="26">
        <v>0</v>
      </c>
      <c r="AG1852" s="12">
        <v>109</v>
      </c>
      <c r="AH1852" s="14">
        <v>0</v>
      </c>
      <c r="AI1852" s="209">
        <v>83.75635948004151</v>
      </c>
      <c r="AJ1852" s="3"/>
      <c r="AK1852" s="3"/>
      <c r="AL1852" s="3"/>
      <c r="AM1852" s="3"/>
      <c r="AN1852" s="3"/>
      <c r="AO1852" s="40"/>
      <c r="AP1852" s="209"/>
      <c r="AQ1852" s="3"/>
      <c r="AR1852" s="40"/>
      <c r="AS1852" s="238"/>
    </row>
    <row r="1853" spans="1:45" s="229" customFormat="1">
      <c r="A1853" s="42" t="s">
        <v>320</v>
      </c>
      <c r="B1853" s="386">
        <v>-1.9466666666666668</v>
      </c>
      <c r="C1853" s="229" t="s">
        <v>300</v>
      </c>
      <c r="D1853" s="229" t="s">
        <v>634</v>
      </c>
      <c r="F1853" s="229">
        <v>607</v>
      </c>
      <c r="G1853" s="40">
        <f>F1853/509</f>
        <v>1.1925343811394893</v>
      </c>
      <c r="H1853" s="14">
        <v>0</v>
      </c>
      <c r="I1853" s="229">
        <v>0</v>
      </c>
      <c r="J1853" s="229">
        <v>1</v>
      </c>
      <c r="K1853" s="26">
        <v>0</v>
      </c>
      <c r="L1853" s="14">
        <v>0</v>
      </c>
      <c r="M1853" s="229">
        <v>0</v>
      </c>
      <c r="N1853" s="229">
        <v>1</v>
      </c>
      <c r="O1853" s="229">
        <v>0</v>
      </c>
      <c r="P1853" s="26">
        <v>1</v>
      </c>
      <c r="Q1853" s="14">
        <v>0</v>
      </c>
      <c r="R1853" s="229">
        <v>0</v>
      </c>
      <c r="S1853" s="229">
        <v>0</v>
      </c>
      <c r="T1853" s="229">
        <v>0</v>
      </c>
      <c r="U1853" s="229">
        <v>0</v>
      </c>
      <c r="V1853" s="229">
        <v>0</v>
      </c>
      <c r="W1853" s="229">
        <v>0</v>
      </c>
      <c r="X1853" s="229">
        <v>0</v>
      </c>
      <c r="Y1853" s="229">
        <v>0</v>
      </c>
      <c r="Z1853" s="229">
        <v>0</v>
      </c>
      <c r="AA1853" s="229">
        <v>0</v>
      </c>
      <c r="AB1853" s="229">
        <v>0</v>
      </c>
      <c r="AC1853" s="12">
        <v>1</v>
      </c>
      <c r="AD1853" s="14">
        <v>1</v>
      </c>
      <c r="AE1853" s="14">
        <v>0</v>
      </c>
      <c r="AF1853" s="26">
        <v>0</v>
      </c>
      <c r="AG1853" s="12">
        <v>91</v>
      </c>
      <c r="AH1853" s="14">
        <v>0</v>
      </c>
      <c r="AI1853" s="209"/>
      <c r="AJ1853" s="3"/>
      <c r="AK1853" s="3"/>
      <c r="AL1853" s="3"/>
      <c r="AM1853" s="3"/>
      <c r="AN1853" s="3"/>
      <c r="AO1853" s="40"/>
      <c r="AP1853" s="209"/>
      <c r="AQ1853" s="3"/>
      <c r="AR1853" s="40"/>
      <c r="AS1853" s="238"/>
    </row>
    <row r="1854" spans="1:45" s="229" customFormat="1">
      <c r="A1854" s="42" t="s">
        <v>320</v>
      </c>
      <c r="B1854" s="386">
        <v>-1.9466666666666668</v>
      </c>
      <c r="C1854" s="229" t="s">
        <v>300</v>
      </c>
      <c r="D1854" s="229" t="s">
        <v>625</v>
      </c>
      <c r="F1854" s="229">
        <v>1255</v>
      </c>
      <c r="G1854" s="40">
        <f>F1854/594</f>
        <v>2.1127946127946129</v>
      </c>
      <c r="H1854" s="14">
        <v>0</v>
      </c>
      <c r="I1854" s="229">
        <v>0</v>
      </c>
      <c r="J1854" s="229">
        <v>1</v>
      </c>
      <c r="K1854" s="26">
        <v>1</v>
      </c>
      <c r="L1854" s="14">
        <v>0</v>
      </c>
      <c r="M1854" s="229">
        <v>0</v>
      </c>
      <c r="N1854" s="229">
        <v>1</v>
      </c>
      <c r="O1854" s="229">
        <v>0</v>
      </c>
      <c r="P1854" s="26">
        <v>1</v>
      </c>
      <c r="Q1854" s="14">
        <v>20</v>
      </c>
      <c r="R1854" s="229">
        <v>11</v>
      </c>
      <c r="S1854" s="229">
        <v>148</v>
      </c>
      <c r="T1854" s="229">
        <v>0</v>
      </c>
      <c r="U1854" s="229">
        <v>0</v>
      </c>
      <c r="V1854" s="229">
        <v>68</v>
      </c>
      <c r="W1854" s="229">
        <v>139</v>
      </c>
      <c r="X1854" s="229">
        <v>0</v>
      </c>
      <c r="Y1854" s="229">
        <v>0</v>
      </c>
      <c r="Z1854" s="229">
        <v>0</v>
      </c>
      <c r="AA1854" s="229">
        <v>223</v>
      </c>
      <c r="AB1854" s="229">
        <v>1</v>
      </c>
      <c r="AC1854" s="12">
        <v>2</v>
      </c>
      <c r="AD1854" s="14">
        <v>2</v>
      </c>
      <c r="AE1854" s="14">
        <v>268</v>
      </c>
      <c r="AF1854" s="26">
        <v>1118</v>
      </c>
      <c r="AG1854" s="12">
        <v>109</v>
      </c>
      <c r="AH1854" s="14">
        <v>0</v>
      </c>
      <c r="AI1854" s="209"/>
      <c r="AJ1854" s="3"/>
      <c r="AK1854" s="3"/>
      <c r="AL1854" s="3"/>
      <c r="AM1854" s="3"/>
      <c r="AN1854" s="3"/>
      <c r="AO1854" s="40"/>
      <c r="AP1854" s="209"/>
      <c r="AQ1854" s="3"/>
      <c r="AR1854" s="40"/>
      <c r="AS1854" s="238"/>
    </row>
    <row r="1855" spans="1:45" s="229" customFormat="1">
      <c r="A1855" s="42" t="s">
        <v>320</v>
      </c>
      <c r="B1855" s="386">
        <v>-1.9466666666666668</v>
      </c>
      <c r="C1855" s="229" t="s">
        <v>300</v>
      </c>
      <c r="D1855" s="229" t="s">
        <v>630</v>
      </c>
      <c r="F1855" s="229">
        <v>283</v>
      </c>
      <c r="G1855" s="40">
        <f>F1855/232</f>
        <v>1.2198275862068966</v>
      </c>
      <c r="H1855" s="14">
        <v>0</v>
      </c>
      <c r="I1855" s="229">
        <v>0</v>
      </c>
      <c r="J1855" s="229">
        <v>1</v>
      </c>
      <c r="K1855" s="26">
        <v>0</v>
      </c>
      <c r="L1855" s="14">
        <v>1</v>
      </c>
      <c r="M1855" s="229">
        <v>0</v>
      </c>
      <c r="N1855" s="229">
        <v>0</v>
      </c>
      <c r="O1855" s="229">
        <v>0</v>
      </c>
      <c r="P1855" s="26">
        <v>1</v>
      </c>
      <c r="Q1855" s="14">
        <v>1</v>
      </c>
      <c r="R1855" s="229">
        <v>0</v>
      </c>
      <c r="S1855" s="229">
        <v>3</v>
      </c>
      <c r="T1855" s="229">
        <v>0</v>
      </c>
      <c r="U1855" s="229">
        <v>0</v>
      </c>
      <c r="V1855" s="229">
        <v>3</v>
      </c>
      <c r="W1855" s="229">
        <v>11</v>
      </c>
      <c r="X1855" s="229">
        <v>0</v>
      </c>
      <c r="Y1855" s="229">
        <v>0</v>
      </c>
      <c r="Z1855" s="229">
        <v>0</v>
      </c>
      <c r="AA1855" s="229">
        <v>0</v>
      </c>
      <c r="AB1855" s="229">
        <v>0</v>
      </c>
      <c r="AC1855" s="12">
        <v>1</v>
      </c>
      <c r="AD1855" s="14">
        <v>1</v>
      </c>
      <c r="AE1855" s="14">
        <v>0</v>
      </c>
      <c r="AF1855" s="26">
        <v>0</v>
      </c>
      <c r="AG1855" s="12">
        <v>54</v>
      </c>
      <c r="AH1855" s="14">
        <v>0</v>
      </c>
      <c r="AI1855" s="209"/>
      <c r="AJ1855" s="3"/>
      <c r="AK1855" s="3"/>
      <c r="AL1855" s="3"/>
      <c r="AM1855" s="3"/>
      <c r="AN1855" s="3"/>
      <c r="AO1855" s="40"/>
      <c r="AP1855" s="209"/>
      <c r="AQ1855" s="3"/>
      <c r="AR1855" s="40"/>
      <c r="AS1855" s="238"/>
    </row>
    <row r="1856" spans="1:45" s="229" customFormat="1" ht="17" thickBot="1">
      <c r="A1856" s="55" t="s">
        <v>320</v>
      </c>
      <c r="B1856" s="385">
        <v>-1.9466666666666668</v>
      </c>
      <c r="C1856" s="229" t="s">
        <v>300</v>
      </c>
      <c r="D1856" s="229" t="s">
        <v>168</v>
      </c>
      <c r="E1856" s="229" t="s">
        <v>0</v>
      </c>
      <c r="F1856" s="229">
        <v>736</v>
      </c>
      <c r="G1856" s="40">
        <f>F1856/341</f>
        <v>2.1583577712609969</v>
      </c>
      <c r="H1856" s="14">
        <v>0</v>
      </c>
      <c r="I1856" s="229">
        <v>0</v>
      </c>
      <c r="J1856" s="229">
        <v>1</v>
      </c>
      <c r="K1856" s="26">
        <v>0</v>
      </c>
      <c r="L1856" s="14">
        <v>1</v>
      </c>
      <c r="M1856" s="229">
        <v>0</v>
      </c>
      <c r="N1856" s="229">
        <v>0</v>
      </c>
      <c r="O1856" s="229">
        <v>0</v>
      </c>
      <c r="P1856" s="26">
        <v>1</v>
      </c>
      <c r="Q1856" s="14">
        <v>5</v>
      </c>
      <c r="R1856" s="229">
        <v>0</v>
      </c>
      <c r="S1856" s="229">
        <v>0</v>
      </c>
      <c r="T1856" s="229">
        <v>0</v>
      </c>
      <c r="U1856" s="229">
        <v>0</v>
      </c>
      <c r="V1856" s="229">
        <v>0</v>
      </c>
      <c r="W1856" s="229">
        <v>48</v>
      </c>
      <c r="X1856" s="229">
        <v>0</v>
      </c>
      <c r="Y1856" s="229">
        <v>0</v>
      </c>
      <c r="Z1856" s="229">
        <v>0</v>
      </c>
      <c r="AA1856" s="229">
        <v>135</v>
      </c>
      <c r="AB1856" s="229">
        <v>0</v>
      </c>
      <c r="AC1856" s="12">
        <v>1</v>
      </c>
      <c r="AD1856" s="14">
        <v>1</v>
      </c>
      <c r="AE1856" s="14">
        <v>0</v>
      </c>
      <c r="AF1856" s="26">
        <v>0</v>
      </c>
      <c r="AG1856" s="12">
        <v>77</v>
      </c>
      <c r="AH1856" s="14">
        <v>0</v>
      </c>
      <c r="AI1856" s="209"/>
      <c r="AJ1856" s="3"/>
      <c r="AK1856" s="3"/>
      <c r="AL1856" s="3"/>
      <c r="AM1856" s="3"/>
      <c r="AN1856" s="3"/>
      <c r="AO1856" s="40"/>
      <c r="AP1856" s="209"/>
      <c r="AQ1856" s="3"/>
      <c r="AR1856" s="40"/>
      <c r="AS1856" s="238"/>
    </row>
    <row r="1857" spans="1:45" s="229" customFormat="1">
      <c r="A1857" s="87" t="s">
        <v>320</v>
      </c>
      <c r="B1857" s="384">
        <v>-1.9466666666666668</v>
      </c>
      <c r="C1857" s="8" t="s">
        <v>302</v>
      </c>
      <c r="D1857" s="8" t="s">
        <v>423</v>
      </c>
      <c r="E1857" s="8"/>
      <c r="F1857" s="8">
        <v>563</v>
      </c>
      <c r="G1857" s="10">
        <f>F1857/505</f>
        <v>1.114851485148515</v>
      </c>
      <c r="H1857" s="11">
        <v>0</v>
      </c>
      <c r="I1857" s="8">
        <v>0</v>
      </c>
      <c r="J1857" s="8">
        <v>1</v>
      </c>
      <c r="K1857" s="41">
        <v>0</v>
      </c>
      <c r="L1857" s="11">
        <v>0</v>
      </c>
      <c r="M1857" s="8">
        <v>0</v>
      </c>
      <c r="N1857" s="8">
        <v>1</v>
      </c>
      <c r="O1857" s="8">
        <v>0</v>
      </c>
      <c r="P1857" s="41">
        <v>1</v>
      </c>
      <c r="Q1857" s="11">
        <v>2</v>
      </c>
      <c r="R1857" s="8">
        <v>0</v>
      </c>
      <c r="S1857" s="8">
        <v>0</v>
      </c>
      <c r="T1857" s="8">
        <v>0</v>
      </c>
      <c r="U1857" s="8">
        <v>0</v>
      </c>
      <c r="V1857" s="8">
        <v>0</v>
      </c>
      <c r="W1857" s="8">
        <v>73</v>
      </c>
      <c r="X1857" s="8">
        <v>0</v>
      </c>
      <c r="Y1857" s="8">
        <v>0</v>
      </c>
      <c r="Z1857" s="8">
        <v>0</v>
      </c>
      <c r="AA1857" s="8">
        <v>0</v>
      </c>
      <c r="AB1857" s="8">
        <v>0</v>
      </c>
      <c r="AC1857" s="9">
        <v>1</v>
      </c>
      <c r="AD1857" s="11">
        <v>1</v>
      </c>
      <c r="AE1857" s="11">
        <v>0</v>
      </c>
      <c r="AF1857" s="41">
        <v>0</v>
      </c>
      <c r="AG1857" s="9">
        <v>179</v>
      </c>
      <c r="AH1857" s="11">
        <v>0</v>
      </c>
      <c r="AI1857" s="208"/>
      <c r="AJ1857" s="54"/>
      <c r="AK1857" s="54"/>
      <c r="AL1857" s="54"/>
      <c r="AM1857" s="54"/>
      <c r="AN1857" s="54"/>
      <c r="AO1857" s="10"/>
      <c r="AP1857" s="208"/>
      <c r="AQ1857" s="54"/>
      <c r="AR1857" s="10"/>
      <c r="AS1857" s="237"/>
    </row>
    <row r="1858" spans="1:45" s="229" customFormat="1">
      <c r="A1858" s="42" t="s">
        <v>320</v>
      </c>
      <c r="B1858" s="386">
        <v>-1.9466666666666668</v>
      </c>
      <c r="C1858" s="229" t="s">
        <v>302</v>
      </c>
      <c r="D1858" s="229" t="s">
        <v>622</v>
      </c>
      <c r="F1858" s="229">
        <v>1240</v>
      </c>
      <c r="G1858" s="40">
        <f>F1858/768</f>
        <v>1.6145833333333333</v>
      </c>
      <c r="H1858" s="14">
        <v>0</v>
      </c>
      <c r="I1858" s="229">
        <v>0</v>
      </c>
      <c r="J1858" s="229">
        <v>1</v>
      </c>
      <c r="K1858" s="26">
        <v>0</v>
      </c>
      <c r="L1858" s="14">
        <v>0</v>
      </c>
      <c r="M1858" s="229">
        <v>0</v>
      </c>
      <c r="N1858" s="229">
        <v>1</v>
      </c>
      <c r="O1858" s="229">
        <v>0</v>
      </c>
      <c r="P1858" s="26">
        <v>1</v>
      </c>
      <c r="Q1858" s="14">
        <v>10</v>
      </c>
      <c r="R1858" s="229">
        <v>0</v>
      </c>
      <c r="S1858" s="229">
        <v>0</v>
      </c>
      <c r="T1858" s="229">
        <v>0</v>
      </c>
      <c r="U1858" s="229">
        <v>0</v>
      </c>
      <c r="V1858" s="229">
        <v>0</v>
      </c>
      <c r="W1858" s="229">
        <v>0</v>
      </c>
      <c r="X1858" s="229">
        <v>0</v>
      </c>
      <c r="Y1858" s="229">
        <v>0</v>
      </c>
      <c r="Z1858" s="229">
        <v>0</v>
      </c>
      <c r="AA1858" s="229">
        <v>363</v>
      </c>
      <c r="AB1858" s="229">
        <v>0</v>
      </c>
      <c r="AC1858" s="12">
        <v>1</v>
      </c>
      <c r="AD1858" s="14">
        <v>1</v>
      </c>
      <c r="AE1858" s="14">
        <v>0</v>
      </c>
      <c r="AF1858" s="26">
        <v>0</v>
      </c>
      <c r="AG1858" s="12">
        <v>161</v>
      </c>
      <c r="AH1858" s="14">
        <v>0</v>
      </c>
      <c r="AI1858" s="209">
        <v>83.379854958846593</v>
      </c>
      <c r="AJ1858" s="3"/>
      <c r="AK1858" s="3"/>
      <c r="AL1858" s="3"/>
      <c r="AM1858" s="3"/>
      <c r="AN1858" s="3"/>
      <c r="AO1858" s="40"/>
      <c r="AP1858" s="209">
        <v>83.052986541074446</v>
      </c>
      <c r="AQ1858" s="3"/>
      <c r="AR1858" s="40"/>
      <c r="AS1858" s="238"/>
    </row>
    <row r="1859" spans="1:45" s="229" customFormat="1">
      <c r="A1859" s="42" t="s">
        <v>320</v>
      </c>
      <c r="B1859" s="386">
        <v>-1.9466666666666668</v>
      </c>
      <c r="C1859" s="229" t="s">
        <v>302</v>
      </c>
      <c r="D1859" s="229" t="s">
        <v>620</v>
      </c>
      <c r="F1859" s="229">
        <v>352</v>
      </c>
      <c r="G1859" s="40">
        <f>F1859/342</f>
        <v>1.0292397660818713</v>
      </c>
      <c r="H1859" s="14">
        <v>1</v>
      </c>
      <c r="I1859" s="229">
        <v>0</v>
      </c>
      <c r="J1859" s="229">
        <v>0</v>
      </c>
      <c r="K1859" s="26">
        <v>0</v>
      </c>
      <c r="L1859" s="14">
        <v>0</v>
      </c>
      <c r="M1859" s="229">
        <v>0</v>
      </c>
      <c r="N1859" s="229">
        <v>1</v>
      </c>
      <c r="O1859" s="229">
        <v>0</v>
      </c>
      <c r="P1859" s="26">
        <v>1</v>
      </c>
      <c r="Q1859" s="14">
        <v>0</v>
      </c>
      <c r="R1859" s="229">
        <v>0</v>
      </c>
      <c r="S1859" s="229">
        <v>0</v>
      </c>
      <c r="T1859" s="229">
        <v>0</v>
      </c>
      <c r="U1859" s="229">
        <v>0</v>
      </c>
      <c r="V1859" s="229">
        <v>0</v>
      </c>
      <c r="W1859" s="229">
        <v>0</v>
      </c>
      <c r="X1859" s="229">
        <v>0</v>
      </c>
      <c r="Y1859" s="229">
        <v>0</v>
      </c>
      <c r="Z1859" s="229">
        <v>0</v>
      </c>
      <c r="AA1859" s="229">
        <v>0</v>
      </c>
      <c r="AB1859" s="229">
        <v>0</v>
      </c>
      <c r="AC1859" s="12">
        <v>1</v>
      </c>
      <c r="AD1859" s="14">
        <v>1</v>
      </c>
      <c r="AE1859" s="14">
        <v>0</v>
      </c>
      <c r="AF1859" s="26">
        <v>0</v>
      </c>
      <c r="AG1859" s="12">
        <v>150</v>
      </c>
      <c r="AH1859" s="14">
        <v>0</v>
      </c>
      <c r="AI1859" s="209">
        <v>84.371271713911966</v>
      </c>
      <c r="AJ1859" s="3"/>
      <c r="AK1859" s="3"/>
      <c r="AL1859" s="3"/>
      <c r="AM1859" s="3"/>
      <c r="AN1859" s="3"/>
      <c r="AO1859" s="40"/>
      <c r="AP1859" s="209">
        <v>83.009463262572609</v>
      </c>
      <c r="AQ1859" s="3"/>
      <c r="AR1859" s="40"/>
      <c r="AS1859" s="238"/>
    </row>
    <row r="1860" spans="1:45" s="229" customFormat="1">
      <c r="A1860" s="42" t="s">
        <v>320</v>
      </c>
      <c r="B1860" s="386">
        <v>-1.9466666666666668</v>
      </c>
      <c r="C1860" s="229" t="s">
        <v>302</v>
      </c>
      <c r="D1860" s="229" t="s">
        <v>629</v>
      </c>
      <c r="F1860" s="229">
        <v>729</v>
      </c>
      <c r="G1860" s="40">
        <f>F1860/374</f>
        <v>1.9491978609625669</v>
      </c>
      <c r="H1860" s="14">
        <v>0</v>
      </c>
      <c r="I1860" s="229">
        <v>0</v>
      </c>
      <c r="J1860" s="229">
        <v>1</v>
      </c>
      <c r="K1860" s="26">
        <v>0</v>
      </c>
      <c r="L1860" s="14">
        <v>0</v>
      </c>
      <c r="M1860" s="229">
        <v>0</v>
      </c>
      <c r="N1860" s="229">
        <v>1</v>
      </c>
      <c r="O1860" s="229">
        <v>0</v>
      </c>
      <c r="P1860" s="26">
        <v>1</v>
      </c>
      <c r="Q1860" s="14">
        <v>0</v>
      </c>
      <c r="R1860" s="229">
        <v>0</v>
      </c>
      <c r="S1860" s="229">
        <v>0</v>
      </c>
      <c r="T1860" s="229">
        <v>0</v>
      </c>
      <c r="U1860" s="229">
        <v>0</v>
      </c>
      <c r="V1860" s="229">
        <v>0</v>
      </c>
      <c r="W1860" s="229">
        <v>0</v>
      </c>
      <c r="X1860" s="229">
        <v>0</v>
      </c>
      <c r="Y1860" s="229">
        <v>0</v>
      </c>
      <c r="Z1860" s="229">
        <v>0</v>
      </c>
      <c r="AA1860" s="229">
        <v>0</v>
      </c>
      <c r="AB1860" s="229">
        <v>0</v>
      </c>
      <c r="AC1860" s="12">
        <v>1</v>
      </c>
      <c r="AD1860" s="14">
        <v>1</v>
      </c>
      <c r="AE1860" s="14">
        <v>0</v>
      </c>
      <c r="AF1860" s="26">
        <v>0</v>
      </c>
      <c r="AG1860" s="12">
        <v>141</v>
      </c>
      <c r="AH1860" s="14">
        <v>0</v>
      </c>
      <c r="AI1860" s="209"/>
      <c r="AJ1860" s="3"/>
      <c r="AK1860" s="3"/>
      <c r="AL1860" s="3"/>
      <c r="AM1860" s="3"/>
      <c r="AN1860" s="3"/>
      <c r="AO1860" s="40"/>
      <c r="AP1860" s="209"/>
      <c r="AQ1860" s="3"/>
      <c r="AR1860" s="40"/>
      <c r="AS1860" s="238"/>
    </row>
    <row r="1861" spans="1:45" s="229" customFormat="1">
      <c r="A1861" s="42" t="s">
        <v>320</v>
      </c>
      <c r="B1861" s="386">
        <v>-1.9466666666666668</v>
      </c>
      <c r="C1861" s="229" t="s">
        <v>302</v>
      </c>
      <c r="D1861" s="229" t="s">
        <v>634</v>
      </c>
      <c r="F1861" s="229">
        <v>655</v>
      </c>
      <c r="G1861" s="40">
        <f>F1861/466</f>
        <v>1.405579399141631</v>
      </c>
      <c r="H1861" s="14">
        <v>0</v>
      </c>
      <c r="I1861" s="229">
        <v>0</v>
      </c>
      <c r="J1861" s="229">
        <v>1</v>
      </c>
      <c r="K1861" s="26">
        <v>0</v>
      </c>
      <c r="L1861" s="14">
        <v>0</v>
      </c>
      <c r="M1861" s="229">
        <v>0</v>
      </c>
      <c r="N1861" s="229">
        <v>0</v>
      </c>
      <c r="O1861" s="229">
        <v>0</v>
      </c>
      <c r="P1861" s="26">
        <v>0</v>
      </c>
      <c r="Q1861" s="14">
        <v>1</v>
      </c>
      <c r="R1861" s="229">
        <v>11</v>
      </c>
      <c r="S1861" s="229">
        <v>22</v>
      </c>
      <c r="T1861" s="229">
        <v>0</v>
      </c>
      <c r="U1861" s="229">
        <v>0</v>
      </c>
      <c r="V1861" s="229">
        <v>0</v>
      </c>
      <c r="W1861" s="229">
        <v>0</v>
      </c>
      <c r="X1861" s="229">
        <v>0</v>
      </c>
      <c r="Y1861" s="229">
        <v>0</v>
      </c>
      <c r="Z1861" s="229">
        <v>0</v>
      </c>
      <c r="AA1861" s="229">
        <v>0</v>
      </c>
      <c r="AB1861" s="229">
        <v>0</v>
      </c>
      <c r="AC1861" s="12">
        <v>1</v>
      </c>
      <c r="AD1861" s="14">
        <v>1</v>
      </c>
      <c r="AE1861" s="14">
        <v>0</v>
      </c>
      <c r="AF1861" s="26">
        <v>0</v>
      </c>
      <c r="AG1861" s="12">
        <v>132</v>
      </c>
      <c r="AH1861" s="14">
        <v>0</v>
      </c>
      <c r="AI1861" s="209"/>
      <c r="AJ1861" s="3"/>
      <c r="AK1861" s="3"/>
      <c r="AL1861" s="3"/>
      <c r="AM1861" s="3"/>
      <c r="AN1861" s="3"/>
      <c r="AO1861" s="40"/>
      <c r="AP1861" s="209"/>
      <c r="AQ1861" s="3"/>
      <c r="AR1861" s="40"/>
      <c r="AS1861" s="238"/>
    </row>
    <row r="1862" spans="1:45" s="229" customFormat="1">
      <c r="A1862" s="42" t="s">
        <v>320</v>
      </c>
      <c r="B1862" s="386">
        <v>-1.9466666666666668</v>
      </c>
      <c r="C1862" s="229" t="s">
        <v>302</v>
      </c>
      <c r="D1862" s="229" t="s">
        <v>625</v>
      </c>
      <c r="F1862" s="229">
        <v>956</v>
      </c>
      <c r="G1862" s="40">
        <f>F1862/623</f>
        <v>1.5345104333868378</v>
      </c>
      <c r="H1862" s="14">
        <v>1</v>
      </c>
      <c r="I1862" s="229">
        <v>0</v>
      </c>
      <c r="J1862" s="229">
        <v>0</v>
      </c>
      <c r="K1862" s="26">
        <v>0</v>
      </c>
      <c r="L1862" s="14">
        <v>0</v>
      </c>
      <c r="M1862" s="229">
        <v>0</v>
      </c>
      <c r="N1862" s="229">
        <v>1</v>
      </c>
      <c r="O1862" s="229">
        <v>0</v>
      </c>
      <c r="P1862" s="26">
        <v>1</v>
      </c>
      <c r="Q1862" s="14">
        <v>0</v>
      </c>
      <c r="R1862" s="229">
        <v>0</v>
      </c>
      <c r="S1862" s="229">
        <v>0</v>
      </c>
      <c r="T1862" s="229">
        <v>0</v>
      </c>
      <c r="U1862" s="229">
        <v>0</v>
      </c>
      <c r="V1862" s="229">
        <v>0</v>
      </c>
      <c r="W1862" s="229">
        <v>0</v>
      </c>
      <c r="X1862" s="229">
        <v>0</v>
      </c>
      <c r="Y1862" s="229">
        <v>0</v>
      </c>
      <c r="Z1862" s="229">
        <v>0</v>
      </c>
      <c r="AA1862" s="229">
        <v>0</v>
      </c>
      <c r="AB1862" s="229">
        <v>0</v>
      </c>
      <c r="AC1862" s="12">
        <v>1</v>
      </c>
      <c r="AD1862" s="14">
        <v>1</v>
      </c>
      <c r="AE1862" s="14">
        <v>0</v>
      </c>
      <c r="AF1862" s="26">
        <v>0</v>
      </c>
      <c r="AG1862" s="12">
        <v>155</v>
      </c>
      <c r="AH1862" s="14">
        <v>0</v>
      </c>
      <c r="AI1862" s="209"/>
      <c r="AJ1862" s="3"/>
      <c r="AK1862" s="3"/>
      <c r="AL1862" s="3"/>
      <c r="AM1862" s="3"/>
      <c r="AN1862" s="3"/>
      <c r="AO1862" s="40"/>
      <c r="AP1862" s="209"/>
      <c r="AQ1862" s="3"/>
      <c r="AR1862" s="40"/>
      <c r="AS1862" s="238"/>
    </row>
    <row r="1863" spans="1:45" s="229" customFormat="1">
      <c r="A1863" s="42" t="s">
        <v>320</v>
      </c>
      <c r="B1863" s="386">
        <v>-1.9466666666666668</v>
      </c>
      <c r="C1863" s="229" t="s">
        <v>302</v>
      </c>
      <c r="D1863" s="229" t="s">
        <v>630</v>
      </c>
      <c r="F1863" s="229">
        <v>690</v>
      </c>
      <c r="G1863" s="40">
        <f>F1863/533</f>
        <v>1.2945590994371483</v>
      </c>
      <c r="H1863" s="14">
        <v>0</v>
      </c>
      <c r="I1863" s="229">
        <v>0</v>
      </c>
      <c r="J1863" s="229">
        <v>1</v>
      </c>
      <c r="K1863" s="26">
        <v>0</v>
      </c>
      <c r="L1863" s="14">
        <v>0</v>
      </c>
      <c r="M1863" s="229">
        <v>0</v>
      </c>
      <c r="N1863" s="229">
        <v>1</v>
      </c>
      <c r="O1863" s="229">
        <v>0</v>
      </c>
      <c r="P1863" s="26">
        <v>1</v>
      </c>
      <c r="Q1863" s="14">
        <v>0</v>
      </c>
      <c r="R1863" s="229">
        <v>0</v>
      </c>
      <c r="S1863" s="229">
        <v>0</v>
      </c>
      <c r="T1863" s="229">
        <v>0</v>
      </c>
      <c r="U1863" s="229">
        <v>0</v>
      </c>
      <c r="V1863" s="229">
        <v>0</v>
      </c>
      <c r="W1863" s="229">
        <v>0</v>
      </c>
      <c r="X1863" s="229">
        <v>0</v>
      </c>
      <c r="Y1863" s="229">
        <v>0</v>
      </c>
      <c r="Z1863" s="229">
        <v>0</v>
      </c>
      <c r="AA1863" s="229">
        <v>0</v>
      </c>
      <c r="AB1863" s="229">
        <v>0</v>
      </c>
      <c r="AC1863" s="12">
        <v>1</v>
      </c>
      <c r="AD1863" s="14">
        <v>1</v>
      </c>
      <c r="AE1863" s="14">
        <v>0</v>
      </c>
      <c r="AF1863" s="26">
        <v>0</v>
      </c>
      <c r="AG1863" s="12">
        <v>108</v>
      </c>
      <c r="AH1863" s="14">
        <v>0</v>
      </c>
      <c r="AI1863" s="209"/>
      <c r="AJ1863" s="3"/>
      <c r="AK1863" s="3"/>
      <c r="AL1863" s="3"/>
      <c r="AM1863" s="3"/>
      <c r="AN1863" s="3"/>
      <c r="AO1863" s="40"/>
      <c r="AP1863" s="209"/>
      <c r="AQ1863" s="3"/>
      <c r="AR1863" s="40"/>
      <c r="AS1863" s="238"/>
    </row>
    <row r="1864" spans="1:45" s="229" customFormat="1">
      <c r="A1864" s="42" t="s">
        <v>320</v>
      </c>
      <c r="B1864" s="386">
        <v>-1.9466666666666668</v>
      </c>
      <c r="C1864" s="229" t="s">
        <v>302</v>
      </c>
      <c r="D1864" s="229" t="s">
        <v>637</v>
      </c>
      <c r="E1864" s="229" t="s">
        <v>0</v>
      </c>
      <c r="F1864" s="229">
        <v>563</v>
      </c>
      <c r="G1864" s="40">
        <f>F1864/547</f>
        <v>1.0292504570383911</v>
      </c>
      <c r="H1864" s="14">
        <v>0</v>
      </c>
      <c r="I1864" s="229">
        <v>0</v>
      </c>
      <c r="J1864" s="229">
        <v>1</v>
      </c>
      <c r="K1864" s="26">
        <v>0</v>
      </c>
      <c r="L1864" s="14">
        <v>0</v>
      </c>
      <c r="M1864" s="229">
        <v>0</v>
      </c>
      <c r="N1864" s="229">
        <v>1</v>
      </c>
      <c r="O1864" s="229">
        <v>0</v>
      </c>
      <c r="P1864" s="26">
        <v>1</v>
      </c>
      <c r="Q1864" s="14">
        <v>0</v>
      </c>
      <c r="R1864" s="229">
        <v>0</v>
      </c>
      <c r="S1864" s="229">
        <v>0</v>
      </c>
      <c r="T1864" s="229">
        <v>0</v>
      </c>
      <c r="U1864" s="229">
        <v>0</v>
      </c>
      <c r="V1864" s="229">
        <v>0</v>
      </c>
      <c r="W1864" s="229">
        <v>0</v>
      </c>
      <c r="X1864" s="229">
        <v>0</v>
      </c>
      <c r="Y1864" s="229">
        <v>0</v>
      </c>
      <c r="Z1864" s="229">
        <v>0</v>
      </c>
      <c r="AA1864" s="229">
        <v>0</v>
      </c>
      <c r="AB1864" s="229">
        <v>0</v>
      </c>
      <c r="AC1864" s="12">
        <v>1</v>
      </c>
      <c r="AD1864" s="14">
        <v>1</v>
      </c>
      <c r="AE1864" s="14">
        <v>0</v>
      </c>
      <c r="AF1864" s="26">
        <v>0</v>
      </c>
      <c r="AG1864" s="12">
        <v>129</v>
      </c>
      <c r="AH1864" s="14">
        <v>0</v>
      </c>
      <c r="AI1864" s="209"/>
      <c r="AJ1864" s="3"/>
      <c r="AK1864" s="3"/>
      <c r="AL1864" s="3"/>
      <c r="AM1864" s="3"/>
      <c r="AN1864" s="3"/>
      <c r="AO1864" s="40"/>
      <c r="AP1864" s="209"/>
      <c r="AQ1864" s="3"/>
      <c r="AR1864" s="40"/>
      <c r="AS1864" s="238"/>
    </row>
    <row r="1865" spans="1:45" s="229" customFormat="1">
      <c r="A1865" s="42" t="s">
        <v>320</v>
      </c>
      <c r="B1865" s="386">
        <v>-1.9466666666666668</v>
      </c>
      <c r="C1865" s="229" t="s">
        <v>302</v>
      </c>
      <c r="D1865" s="229" t="s">
        <v>637</v>
      </c>
      <c r="E1865" s="229" t="s">
        <v>1</v>
      </c>
      <c r="F1865" s="229">
        <v>625</v>
      </c>
      <c r="G1865" s="40">
        <f>F1865/466</f>
        <v>1.3412017167381973</v>
      </c>
      <c r="H1865" s="14">
        <v>0</v>
      </c>
      <c r="I1865" s="229">
        <v>0</v>
      </c>
      <c r="J1865" s="229">
        <v>0</v>
      </c>
      <c r="K1865" s="26">
        <v>1</v>
      </c>
      <c r="L1865" s="14">
        <v>0</v>
      </c>
      <c r="M1865" s="229">
        <v>0</v>
      </c>
      <c r="N1865" s="229">
        <v>0</v>
      </c>
      <c r="O1865" s="229">
        <v>0</v>
      </c>
      <c r="P1865" s="26">
        <v>0</v>
      </c>
      <c r="Q1865" s="14">
        <v>1</v>
      </c>
      <c r="R1865" s="229">
        <v>0</v>
      </c>
      <c r="S1865" s="229">
        <v>0</v>
      </c>
      <c r="T1865" s="229">
        <v>0</v>
      </c>
      <c r="U1865" s="229">
        <v>0</v>
      </c>
      <c r="V1865" s="229">
        <v>0</v>
      </c>
      <c r="W1865" s="229">
        <v>0</v>
      </c>
      <c r="X1865" s="229">
        <v>0</v>
      </c>
      <c r="Y1865" s="229">
        <v>0</v>
      </c>
      <c r="Z1865" s="229">
        <v>0</v>
      </c>
      <c r="AA1865" s="229">
        <v>0</v>
      </c>
      <c r="AB1865" s="229">
        <v>0</v>
      </c>
      <c r="AC1865" s="12">
        <v>1</v>
      </c>
      <c r="AD1865" s="14">
        <v>1</v>
      </c>
      <c r="AE1865" s="14">
        <v>0</v>
      </c>
      <c r="AF1865" s="26">
        <v>0</v>
      </c>
      <c r="AG1865" s="12">
        <v>129</v>
      </c>
      <c r="AH1865" s="14">
        <v>0</v>
      </c>
      <c r="AI1865" s="209"/>
      <c r="AJ1865" s="3"/>
      <c r="AK1865" s="3"/>
      <c r="AL1865" s="3"/>
      <c r="AM1865" s="3"/>
      <c r="AN1865" s="3"/>
      <c r="AO1865" s="40"/>
      <c r="AP1865" s="209"/>
      <c r="AQ1865" s="3"/>
      <c r="AR1865" s="40"/>
      <c r="AS1865" s="238"/>
    </row>
    <row r="1866" spans="1:45" s="229" customFormat="1">
      <c r="A1866" s="42" t="s">
        <v>320</v>
      </c>
      <c r="B1866" s="386">
        <v>-1.9466666666666668</v>
      </c>
      <c r="C1866" s="229" t="s">
        <v>302</v>
      </c>
      <c r="D1866" s="229" t="s">
        <v>639</v>
      </c>
      <c r="F1866" s="229">
        <v>1421</v>
      </c>
      <c r="G1866" s="40">
        <f>F1866/1011</f>
        <v>1.4055390702274975</v>
      </c>
      <c r="H1866" s="14">
        <v>0</v>
      </c>
      <c r="I1866" s="229">
        <v>0</v>
      </c>
      <c r="J1866" s="229">
        <v>1</v>
      </c>
      <c r="K1866" s="26">
        <v>0</v>
      </c>
      <c r="L1866" s="14">
        <v>0</v>
      </c>
      <c r="M1866" s="229">
        <v>0</v>
      </c>
      <c r="N1866" s="229">
        <v>1</v>
      </c>
      <c r="O1866" s="229">
        <v>0</v>
      </c>
      <c r="P1866" s="26">
        <v>1</v>
      </c>
      <c r="Q1866" s="14">
        <v>1</v>
      </c>
      <c r="R1866" s="229">
        <v>0</v>
      </c>
      <c r="S1866" s="229">
        <v>0</v>
      </c>
      <c r="T1866" s="229">
        <v>0</v>
      </c>
      <c r="U1866" s="229">
        <v>0</v>
      </c>
      <c r="V1866" s="229">
        <v>19</v>
      </c>
      <c r="W1866" s="229">
        <v>30</v>
      </c>
      <c r="X1866" s="229">
        <v>0</v>
      </c>
      <c r="Y1866" s="229">
        <v>0</v>
      </c>
      <c r="Z1866" s="229">
        <v>0</v>
      </c>
      <c r="AA1866" s="229">
        <v>0</v>
      </c>
      <c r="AB1866" s="229">
        <v>0</v>
      </c>
      <c r="AC1866" s="12">
        <v>1</v>
      </c>
      <c r="AD1866" s="14">
        <v>1</v>
      </c>
      <c r="AE1866" s="14">
        <v>0</v>
      </c>
      <c r="AF1866" s="26">
        <v>0</v>
      </c>
      <c r="AG1866" s="12">
        <v>128</v>
      </c>
      <c r="AH1866" s="14">
        <v>0</v>
      </c>
      <c r="AI1866" s="209"/>
      <c r="AJ1866" s="3"/>
      <c r="AK1866" s="3"/>
      <c r="AL1866" s="3"/>
      <c r="AM1866" s="3"/>
      <c r="AN1866" s="3"/>
      <c r="AO1866" s="40"/>
      <c r="AP1866" s="209"/>
      <c r="AQ1866" s="3"/>
      <c r="AR1866" s="40"/>
      <c r="AS1866" s="238"/>
    </row>
    <row r="1867" spans="1:45" s="229" customFormat="1">
      <c r="A1867" s="42" t="s">
        <v>320</v>
      </c>
      <c r="B1867" s="386">
        <v>-1.9466666666666668</v>
      </c>
      <c r="C1867" s="24" t="s">
        <v>302</v>
      </c>
      <c r="D1867" s="229" t="s">
        <v>640</v>
      </c>
      <c r="F1867" s="229">
        <v>435</v>
      </c>
      <c r="G1867" s="40">
        <f>F1867/316</f>
        <v>1.3765822784810127</v>
      </c>
      <c r="H1867" s="14">
        <v>1</v>
      </c>
      <c r="I1867" s="229">
        <v>0</v>
      </c>
      <c r="J1867" s="229">
        <v>0</v>
      </c>
      <c r="K1867" s="26">
        <v>0</v>
      </c>
      <c r="L1867" s="14">
        <v>0</v>
      </c>
      <c r="M1867" s="229">
        <v>0</v>
      </c>
      <c r="N1867" s="229">
        <v>0</v>
      </c>
      <c r="O1867" s="229">
        <v>0</v>
      </c>
      <c r="P1867" s="26">
        <v>0</v>
      </c>
      <c r="Q1867" s="14">
        <v>5</v>
      </c>
      <c r="R1867" s="229">
        <v>0</v>
      </c>
      <c r="S1867" s="229">
        <v>0</v>
      </c>
      <c r="T1867" s="229">
        <v>0</v>
      </c>
      <c r="U1867" s="229">
        <v>0</v>
      </c>
      <c r="V1867" s="229">
        <v>31</v>
      </c>
      <c r="W1867" s="229">
        <v>125</v>
      </c>
      <c r="X1867" s="229">
        <v>0</v>
      </c>
      <c r="Y1867" s="229">
        <v>0</v>
      </c>
      <c r="Z1867" s="229">
        <v>0</v>
      </c>
      <c r="AA1867" s="229">
        <v>0</v>
      </c>
      <c r="AB1867" s="229">
        <v>0</v>
      </c>
      <c r="AC1867" s="12">
        <v>1</v>
      </c>
      <c r="AD1867" s="14">
        <v>1</v>
      </c>
      <c r="AE1867" s="14">
        <v>0</v>
      </c>
      <c r="AF1867" s="26">
        <v>0</v>
      </c>
      <c r="AG1867" s="12">
        <v>154</v>
      </c>
      <c r="AH1867" s="14">
        <v>0</v>
      </c>
      <c r="AI1867" s="209"/>
      <c r="AJ1867" s="3"/>
      <c r="AK1867" s="3"/>
      <c r="AL1867" s="3"/>
      <c r="AM1867" s="3"/>
      <c r="AN1867" s="3"/>
      <c r="AO1867" s="40"/>
      <c r="AP1867" s="209"/>
      <c r="AQ1867" s="3"/>
      <c r="AR1867" s="40"/>
      <c r="AS1867" s="238"/>
    </row>
    <row r="1868" spans="1:45" s="229" customFormat="1">
      <c r="A1868" s="42" t="s">
        <v>320</v>
      </c>
      <c r="B1868" s="386">
        <v>-1.9466666666666668</v>
      </c>
      <c r="C1868" s="229" t="s">
        <v>303</v>
      </c>
      <c r="D1868" s="229" t="s">
        <v>423</v>
      </c>
      <c r="F1868" s="229">
        <v>785</v>
      </c>
      <c r="G1868" s="40">
        <f>F1868/702</f>
        <v>1.1182336182336183</v>
      </c>
      <c r="H1868" s="14">
        <v>0</v>
      </c>
      <c r="I1868" s="229">
        <v>0</v>
      </c>
      <c r="J1868" s="229">
        <v>1</v>
      </c>
      <c r="K1868" s="26">
        <v>0</v>
      </c>
      <c r="L1868" s="14">
        <v>1</v>
      </c>
      <c r="M1868" s="229">
        <v>0</v>
      </c>
      <c r="N1868" s="229">
        <v>0</v>
      </c>
      <c r="O1868" s="229">
        <v>0</v>
      </c>
      <c r="P1868" s="26">
        <v>1</v>
      </c>
      <c r="Q1868" s="14">
        <v>5</v>
      </c>
      <c r="R1868" s="229">
        <v>0</v>
      </c>
      <c r="S1868" s="229">
        <v>0</v>
      </c>
      <c r="T1868" s="229">
        <v>0</v>
      </c>
      <c r="U1868" s="229">
        <v>0</v>
      </c>
      <c r="V1868" s="229">
        <v>46</v>
      </c>
      <c r="W1868" s="229">
        <v>113</v>
      </c>
      <c r="X1868" s="229">
        <v>0</v>
      </c>
      <c r="Y1868" s="229">
        <v>0</v>
      </c>
      <c r="Z1868" s="229">
        <v>0</v>
      </c>
      <c r="AA1868" s="229">
        <v>0</v>
      </c>
      <c r="AB1868" s="229">
        <v>0</v>
      </c>
      <c r="AC1868" s="12">
        <v>1</v>
      </c>
      <c r="AD1868" s="14">
        <v>1</v>
      </c>
      <c r="AE1868" s="14">
        <v>0</v>
      </c>
      <c r="AF1868" s="26">
        <v>0</v>
      </c>
      <c r="AG1868" s="12">
        <v>130</v>
      </c>
      <c r="AH1868" s="14">
        <v>0</v>
      </c>
      <c r="AI1868" s="209">
        <v>83.100533400900716</v>
      </c>
      <c r="AJ1868" s="3"/>
      <c r="AK1868" s="3"/>
      <c r="AL1868" s="3"/>
      <c r="AM1868" s="3"/>
      <c r="AN1868" s="3"/>
      <c r="AO1868" s="40"/>
      <c r="AP1868" s="209">
        <v>83.155310825648911</v>
      </c>
      <c r="AQ1868" s="3"/>
      <c r="AR1868" s="40"/>
      <c r="AS1868" s="238"/>
    </row>
    <row r="1869" spans="1:45" s="229" customFormat="1">
      <c r="A1869" s="42" t="s">
        <v>320</v>
      </c>
      <c r="B1869" s="386">
        <v>-1.9466666666666668</v>
      </c>
      <c r="C1869" s="229" t="s">
        <v>303</v>
      </c>
      <c r="D1869" s="229" t="s">
        <v>622</v>
      </c>
      <c r="F1869" s="229">
        <v>1442</v>
      </c>
      <c r="G1869" s="40">
        <f>F1869/1162</f>
        <v>1.2409638554216869</v>
      </c>
      <c r="H1869" s="14">
        <v>0</v>
      </c>
      <c r="I1869" s="229">
        <v>0</v>
      </c>
      <c r="J1869" s="229">
        <v>1</v>
      </c>
      <c r="K1869" s="26">
        <v>0</v>
      </c>
      <c r="L1869" s="14">
        <v>0</v>
      </c>
      <c r="M1869" s="229">
        <v>0</v>
      </c>
      <c r="N1869" s="229">
        <v>1</v>
      </c>
      <c r="O1869" s="229">
        <v>0</v>
      </c>
      <c r="P1869" s="26">
        <v>1</v>
      </c>
      <c r="Q1869" s="14">
        <v>1</v>
      </c>
      <c r="R1869" s="229">
        <v>0</v>
      </c>
      <c r="S1869" s="229">
        <v>0</v>
      </c>
      <c r="T1869" s="229">
        <v>0</v>
      </c>
      <c r="U1869" s="229">
        <v>0</v>
      </c>
      <c r="V1869" s="229">
        <v>0</v>
      </c>
      <c r="W1869" s="229">
        <v>90</v>
      </c>
      <c r="X1869" s="229">
        <v>0</v>
      </c>
      <c r="Y1869" s="229">
        <v>0</v>
      </c>
      <c r="Z1869" s="229">
        <v>0</v>
      </c>
      <c r="AA1869" s="229">
        <v>0</v>
      </c>
      <c r="AB1869" s="229">
        <v>0</v>
      </c>
      <c r="AC1869" s="12">
        <v>1</v>
      </c>
      <c r="AD1869" s="14">
        <v>1</v>
      </c>
      <c r="AE1869" s="14">
        <v>0</v>
      </c>
      <c r="AF1869" s="26">
        <v>0</v>
      </c>
      <c r="AG1869" s="12">
        <v>173</v>
      </c>
      <c r="AH1869" s="14">
        <v>0</v>
      </c>
      <c r="AI1869" s="209"/>
      <c r="AJ1869" s="3"/>
      <c r="AK1869" s="3"/>
      <c r="AL1869" s="3"/>
      <c r="AM1869" s="3"/>
      <c r="AN1869" s="3"/>
      <c r="AO1869" s="40"/>
      <c r="AP1869" s="209"/>
      <c r="AQ1869" s="3"/>
      <c r="AR1869" s="40"/>
      <c r="AS1869" s="238"/>
    </row>
    <row r="1870" spans="1:45" s="229" customFormat="1">
      <c r="A1870" s="42" t="s">
        <v>320</v>
      </c>
      <c r="B1870" s="386">
        <v>-1.9466666666666668</v>
      </c>
      <c r="C1870" s="229" t="s">
        <v>303</v>
      </c>
      <c r="D1870" s="229" t="s">
        <v>620</v>
      </c>
      <c r="F1870" s="229">
        <v>911</v>
      </c>
      <c r="G1870" s="40">
        <f>F1870/686</f>
        <v>1.3279883381924198</v>
      </c>
      <c r="H1870" s="14">
        <v>0</v>
      </c>
      <c r="I1870" s="229">
        <v>0</v>
      </c>
      <c r="J1870" s="229">
        <v>1</v>
      </c>
      <c r="K1870" s="26">
        <v>0</v>
      </c>
      <c r="L1870" s="14">
        <v>1</v>
      </c>
      <c r="M1870" s="229">
        <v>0</v>
      </c>
      <c r="N1870" s="229">
        <v>0</v>
      </c>
      <c r="O1870" s="229">
        <v>0</v>
      </c>
      <c r="P1870" s="26">
        <v>1</v>
      </c>
      <c r="Q1870" s="14">
        <v>0</v>
      </c>
      <c r="R1870" s="229">
        <v>0</v>
      </c>
      <c r="S1870" s="229">
        <v>0</v>
      </c>
      <c r="T1870" s="229">
        <v>0</v>
      </c>
      <c r="U1870" s="229">
        <v>0</v>
      </c>
      <c r="V1870" s="229">
        <v>0</v>
      </c>
      <c r="W1870" s="229">
        <v>0</v>
      </c>
      <c r="X1870" s="229">
        <v>0</v>
      </c>
      <c r="Y1870" s="229">
        <v>0</v>
      </c>
      <c r="Z1870" s="229">
        <v>0</v>
      </c>
      <c r="AA1870" s="229">
        <v>0</v>
      </c>
      <c r="AB1870" s="229">
        <v>0</v>
      </c>
      <c r="AC1870" s="12">
        <v>1</v>
      </c>
      <c r="AD1870" s="14">
        <v>1</v>
      </c>
      <c r="AE1870" s="14">
        <v>0</v>
      </c>
      <c r="AF1870" s="26">
        <v>0</v>
      </c>
      <c r="AG1870" s="12">
        <v>109</v>
      </c>
      <c r="AH1870" s="14">
        <v>0</v>
      </c>
      <c r="AI1870" s="209"/>
      <c r="AJ1870" s="3"/>
      <c r="AK1870" s="3"/>
      <c r="AL1870" s="3"/>
      <c r="AM1870" s="3"/>
      <c r="AN1870" s="3"/>
      <c r="AO1870" s="40"/>
      <c r="AP1870" s="209"/>
      <c r="AQ1870" s="3"/>
      <c r="AR1870" s="40"/>
      <c r="AS1870" s="238"/>
    </row>
    <row r="1871" spans="1:45" s="229" customFormat="1">
      <c r="A1871" s="42" t="s">
        <v>320</v>
      </c>
      <c r="B1871" s="386">
        <v>-1.9466666666666668</v>
      </c>
      <c r="C1871" s="229" t="s">
        <v>303</v>
      </c>
      <c r="D1871" s="229" t="s">
        <v>629</v>
      </c>
      <c r="F1871" s="229">
        <v>1092</v>
      </c>
      <c r="G1871" s="40">
        <f>F1871/811</f>
        <v>1.3464858199753391</v>
      </c>
      <c r="H1871" s="14">
        <v>0</v>
      </c>
      <c r="I1871" s="229">
        <v>0</v>
      </c>
      <c r="J1871" s="229">
        <v>0</v>
      </c>
      <c r="K1871" s="26">
        <v>1</v>
      </c>
      <c r="L1871" s="14">
        <v>0</v>
      </c>
      <c r="M1871" s="229">
        <v>0</v>
      </c>
      <c r="N1871" s="229">
        <v>0</v>
      </c>
      <c r="O1871" s="229">
        <v>0</v>
      </c>
      <c r="P1871" s="26">
        <v>0</v>
      </c>
      <c r="Q1871" s="14">
        <v>0</v>
      </c>
      <c r="R1871" s="229">
        <v>0</v>
      </c>
      <c r="S1871" s="229">
        <v>0</v>
      </c>
      <c r="T1871" s="229">
        <v>0</v>
      </c>
      <c r="U1871" s="229">
        <v>0</v>
      </c>
      <c r="V1871" s="229">
        <v>0</v>
      </c>
      <c r="W1871" s="229">
        <v>0</v>
      </c>
      <c r="X1871" s="229">
        <v>0</v>
      </c>
      <c r="Y1871" s="229">
        <v>0</v>
      </c>
      <c r="Z1871" s="229">
        <v>0</v>
      </c>
      <c r="AA1871" s="229">
        <v>0</v>
      </c>
      <c r="AB1871" s="229">
        <v>0</v>
      </c>
      <c r="AC1871" s="12">
        <v>1</v>
      </c>
      <c r="AD1871" s="14">
        <v>1</v>
      </c>
      <c r="AE1871" s="14">
        <v>0</v>
      </c>
      <c r="AF1871" s="26">
        <v>0</v>
      </c>
      <c r="AG1871" s="12">
        <v>152</v>
      </c>
      <c r="AH1871" s="14">
        <v>0</v>
      </c>
      <c r="AI1871" s="209"/>
      <c r="AJ1871" s="3"/>
      <c r="AK1871" s="3"/>
      <c r="AL1871" s="3"/>
      <c r="AM1871" s="3"/>
      <c r="AN1871" s="3"/>
      <c r="AO1871" s="40"/>
      <c r="AP1871" s="209"/>
      <c r="AQ1871" s="3"/>
      <c r="AR1871" s="40"/>
      <c r="AS1871" s="238"/>
    </row>
    <row r="1872" spans="1:45" s="229" customFormat="1">
      <c r="A1872" s="42" t="s">
        <v>320</v>
      </c>
      <c r="B1872" s="386">
        <v>-1.9466666666666668</v>
      </c>
      <c r="C1872" s="229" t="s">
        <v>303</v>
      </c>
      <c r="D1872" s="229" t="s">
        <v>634</v>
      </c>
      <c r="F1872" s="229">
        <v>2588</v>
      </c>
      <c r="G1872" s="40">
        <f>F1872/1279</f>
        <v>2.0234558248631744</v>
      </c>
      <c r="H1872" s="14">
        <v>0</v>
      </c>
      <c r="I1872" s="229">
        <v>0</v>
      </c>
      <c r="J1872" s="229">
        <v>1</v>
      </c>
      <c r="K1872" s="26">
        <v>0</v>
      </c>
      <c r="L1872" s="14">
        <v>1</v>
      </c>
      <c r="M1872" s="229">
        <v>0</v>
      </c>
      <c r="N1872" s="229">
        <v>0</v>
      </c>
      <c r="O1872" s="229">
        <v>0</v>
      </c>
      <c r="P1872" s="26">
        <v>1</v>
      </c>
      <c r="Q1872" s="14">
        <v>1</v>
      </c>
      <c r="R1872" s="229">
        <v>13</v>
      </c>
      <c r="S1872" s="229">
        <v>36</v>
      </c>
      <c r="T1872" s="229">
        <v>0</v>
      </c>
      <c r="U1872" s="229">
        <v>0</v>
      </c>
      <c r="V1872" s="229">
        <v>57</v>
      </c>
      <c r="W1872" s="229">
        <v>102</v>
      </c>
      <c r="X1872" s="229">
        <v>0</v>
      </c>
      <c r="Y1872" s="229">
        <v>0</v>
      </c>
      <c r="Z1872" s="229">
        <v>0</v>
      </c>
      <c r="AA1872" s="229">
        <v>0</v>
      </c>
      <c r="AB1872" s="229">
        <v>0</v>
      </c>
      <c r="AC1872" s="12">
        <v>1</v>
      </c>
      <c r="AD1872" s="14">
        <v>1</v>
      </c>
      <c r="AE1872" s="14">
        <v>0</v>
      </c>
      <c r="AF1872" s="26">
        <v>0</v>
      </c>
      <c r="AG1872" s="12">
        <v>137</v>
      </c>
      <c r="AH1872" s="14">
        <v>0</v>
      </c>
      <c r="AI1872" s="209">
        <v>83.109677271881893</v>
      </c>
      <c r="AJ1872" s="3"/>
      <c r="AK1872" s="3"/>
      <c r="AL1872" s="3"/>
      <c r="AM1872" s="3"/>
      <c r="AN1872" s="3"/>
      <c r="AO1872" s="40"/>
      <c r="AP1872" s="209">
        <v>82.754741898827263</v>
      </c>
      <c r="AQ1872" s="3"/>
      <c r="AR1872" s="40"/>
      <c r="AS1872" s="238"/>
    </row>
    <row r="1873" spans="1:45" s="229" customFormat="1">
      <c r="A1873" s="42" t="s">
        <v>320</v>
      </c>
      <c r="B1873" s="386">
        <v>-1.9466666666666668</v>
      </c>
      <c r="C1873" s="229" t="s">
        <v>303</v>
      </c>
      <c r="D1873" s="229" t="s">
        <v>625</v>
      </c>
      <c r="E1873" s="229" t="s">
        <v>0</v>
      </c>
      <c r="F1873" s="229">
        <v>732</v>
      </c>
      <c r="G1873" s="40">
        <f>F1873/561</f>
        <v>1.304812834224599</v>
      </c>
      <c r="H1873" s="14">
        <v>0</v>
      </c>
      <c r="I1873" s="229">
        <v>0</v>
      </c>
      <c r="J1873" s="229">
        <v>1</v>
      </c>
      <c r="K1873" s="26">
        <v>1</v>
      </c>
      <c r="L1873" s="14">
        <v>1</v>
      </c>
      <c r="M1873" s="229">
        <v>0</v>
      </c>
      <c r="N1873" s="229">
        <v>0</v>
      </c>
      <c r="O1873" s="229">
        <v>0</v>
      </c>
      <c r="P1873" s="26">
        <v>1</v>
      </c>
      <c r="Q1873" s="14">
        <v>1</v>
      </c>
      <c r="R1873" s="229">
        <v>0</v>
      </c>
      <c r="S1873" s="229">
        <v>26</v>
      </c>
      <c r="T1873" s="229">
        <v>0</v>
      </c>
      <c r="U1873" s="229">
        <v>0</v>
      </c>
      <c r="V1873" s="229">
        <v>0</v>
      </c>
      <c r="W1873" s="229">
        <v>0</v>
      </c>
      <c r="X1873" s="229">
        <v>0</v>
      </c>
      <c r="Y1873" s="229">
        <v>0</v>
      </c>
      <c r="Z1873" s="229">
        <v>0</v>
      </c>
      <c r="AA1873" s="229">
        <v>0</v>
      </c>
      <c r="AB1873" s="229">
        <v>0</v>
      </c>
      <c r="AC1873" s="12">
        <v>2</v>
      </c>
      <c r="AD1873" s="14">
        <v>2</v>
      </c>
      <c r="AE1873" s="14">
        <v>405</v>
      </c>
      <c r="AF1873" s="26">
        <v>732</v>
      </c>
      <c r="AG1873" s="12">
        <v>111</v>
      </c>
      <c r="AH1873" s="14">
        <v>0</v>
      </c>
      <c r="AI1873" s="209"/>
      <c r="AJ1873" s="3"/>
      <c r="AK1873" s="3"/>
      <c r="AL1873" s="3"/>
      <c r="AM1873" s="3"/>
      <c r="AN1873" s="3"/>
      <c r="AO1873" s="40"/>
      <c r="AP1873" s="209"/>
      <c r="AQ1873" s="3"/>
      <c r="AR1873" s="40"/>
      <c r="AS1873" s="238"/>
    </row>
    <row r="1874" spans="1:45" s="229" customFormat="1">
      <c r="A1874" s="42" t="s">
        <v>320</v>
      </c>
      <c r="B1874" s="386">
        <v>-1.9466666666666668</v>
      </c>
      <c r="C1874" s="229" t="s">
        <v>303</v>
      </c>
      <c r="D1874" s="229" t="s">
        <v>625</v>
      </c>
      <c r="E1874" s="229" t="s">
        <v>1</v>
      </c>
      <c r="F1874" s="229">
        <v>602</v>
      </c>
      <c r="G1874" s="40">
        <f>F1874/342</f>
        <v>1.760233918128655</v>
      </c>
      <c r="H1874" s="14">
        <v>0</v>
      </c>
      <c r="I1874" s="229">
        <v>0</v>
      </c>
      <c r="J1874" s="229">
        <v>1</v>
      </c>
      <c r="K1874" s="26">
        <v>0</v>
      </c>
      <c r="L1874" s="14">
        <v>1</v>
      </c>
      <c r="M1874" s="229">
        <v>0</v>
      </c>
      <c r="N1874" s="229">
        <v>0</v>
      </c>
      <c r="O1874" s="229">
        <v>0</v>
      </c>
      <c r="P1874" s="26">
        <v>1</v>
      </c>
      <c r="Q1874" s="14">
        <v>2</v>
      </c>
      <c r="R1874" s="229">
        <v>0</v>
      </c>
      <c r="S1874" s="229">
        <v>0</v>
      </c>
      <c r="T1874" s="229">
        <v>0</v>
      </c>
      <c r="U1874" s="229">
        <v>0</v>
      </c>
      <c r="V1874" s="229">
        <v>0</v>
      </c>
      <c r="W1874" s="229">
        <v>80</v>
      </c>
      <c r="X1874" s="229">
        <v>0</v>
      </c>
      <c r="Y1874" s="229">
        <v>0</v>
      </c>
      <c r="Z1874" s="229">
        <v>0</v>
      </c>
      <c r="AA1874" s="229">
        <v>0</v>
      </c>
      <c r="AB1874" s="229">
        <v>0</v>
      </c>
      <c r="AC1874" s="12">
        <v>1</v>
      </c>
      <c r="AD1874" s="14">
        <v>1</v>
      </c>
      <c r="AE1874" s="14">
        <v>0</v>
      </c>
      <c r="AF1874" s="26">
        <v>0</v>
      </c>
      <c r="AG1874" s="12">
        <v>111</v>
      </c>
      <c r="AH1874" s="14">
        <v>0</v>
      </c>
      <c r="AI1874" s="209"/>
      <c r="AJ1874" s="3"/>
      <c r="AK1874" s="3"/>
      <c r="AL1874" s="3"/>
      <c r="AM1874" s="3"/>
      <c r="AN1874" s="3"/>
      <c r="AO1874" s="40"/>
      <c r="AP1874" s="209"/>
      <c r="AQ1874" s="3"/>
      <c r="AR1874" s="40"/>
      <c r="AS1874" s="238"/>
    </row>
    <row r="1875" spans="1:45" s="229" customFormat="1">
      <c r="A1875" s="42" t="s">
        <v>320</v>
      </c>
      <c r="B1875" s="386">
        <v>-1.9466666666666668</v>
      </c>
      <c r="C1875" s="229" t="s">
        <v>303</v>
      </c>
      <c r="D1875" s="229" t="s">
        <v>630</v>
      </c>
      <c r="F1875" s="229">
        <v>717</v>
      </c>
      <c r="G1875" s="40">
        <f>F1875/591</f>
        <v>1.2131979695431472</v>
      </c>
      <c r="H1875" s="14">
        <v>0</v>
      </c>
      <c r="I1875" s="229">
        <v>0</v>
      </c>
      <c r="J1875" s="229">
        <v>0</v>
      </c>
      <c r="K1875" s="26">
        <v>1</v>
      </c>
      <c r="L1875" s="14">
        <v>1</v>
      </c>
      <c r="M1875" s="229">
        <v>0</v>
      </c>
      <c r="N1875" s="229">
        <v>0</v>
      </c>
      <c r="O1875" s="229">
        <v>0</v>
      </c>
      <c r="P1875" s="26">
        <v>1</v>
      </c>
      <c r="Q1875" s="14">
        <v>0</v>
      </c>
      <c r="R1875" s="229">
        <v>0</v>
      </c>
      <c r="S1875" s="229">
        <v>0</v>
      </c>
      <c r="T1875" s="229">
        <v>0</v>
      </c>
      <c r="U1875" s="229">
        <v>0</v>
      </c>
      <c r="V1875" s="229">
        <v>0</v>
      </c>
      <c r="W1875" s="229">
        <v>0</v>
      </c>
      <c r="X1875" s="229">
        <v>0</v>
      </c>
      <c r="Y1875" s="229">
        <v>0</v>
      </c>
      <c r="Z1875" s="229">
        <v>0</v>
      </c>
      <c r="AA1875" s="229">
        <v>0</v>
      </c>
      <c r="AB1875" s="229">
        <v>0</v>
      </c>
      <c r="AC1875" s="12">
        <v>1</v>
      </c>
      <c r="AD1875" s="14">
        <v>1</v>
      </c>
      <c r="AE1875" s="14">
        <v>0</v>
      </c>
      <c r="AF1875" s="26">
        <v>0</v>
      </c>
      <c r="AG1875" s="12">
        <v>139</v>
      </c>
      <c r="AH1875" s="14">
        <v>0</v>
      </c>
      <c r="AI1875" s="209"/>
      <c r="AJ1875" s="3"/>
      <c r="AK1875" s="3"/>
      <c r="AL1875" s="3"/>
      <c r="AM1875" s="3"/>
      <c r="AN1875" s="3"/>
      <c r="AO1875" s="40"/>
      <c r="AP1875" s="209"/>
      <c r="AQ1875" s="3"/>
      <c r="AR1875" s="40"/>
      <c r="AS1875" s="238"/>
    </row>
    <row r="1876" spans="1:45" s="229" customFormat="1">
      <c r="A1876" s="42" t="s">
        <v>320</v>
      </c>
      <c r="B1876" s="386">
        <v>-1.9466666666666668</v>
      </c>
      <c r="C1876" s="229" t="s">
        <v>303</v>
      </c>
      <c r="D1876" s="229" t="s">
        <v>637</v>
      </c>
      <c r="F1876" s="229">
        <v>862</v>
      </c>
      <c r="G1876" s="40">
        <f>F1876/778</f>
        <v>1.1079691516709511</v>
      </c>
      <c r="H1876" s="14">
        <v>0</v>
      </c>
      <c r="I1876" s="229">
        <v>0</v>
      </c>
      <c r="J1876" s="229">
        <v>1</v>
      </c>
      <c r="K1876" s="26">
        <v>0</v>
      </c>
      <c r="L1876" s="14">
        <v>1</v>
      </c>
      <c r="M1876" s="229">
        <v>0</v>
      </c>
      <c r="N1876" s="229">
        <v>0</v>
      </c>
      <c r="O1876" s="229">
        <v>0</v>
      </c>
      <c r="P1876" s="26">
        <v>1</v>
      </c>
      <c r="Q1876" s="14">
        <v>1</v>
      </c>
      <c r="R1876" s="229">
        <v>0</v>
      </c>
      <c r="S1876" s="229">
        <v>0</v>
      </c>
      <c r="T1876" s="229">
        <v>0</v>
      </c>
      <c r="U1876" s="229">
        <v>0</v>
      </c>
      <c r="V1876" s="229">
        <v>0</v>
      </c>
      <c r="W1876" s="229">
        <v>17</v>
      </c>
      <c r="X1876" s="229">
        <v>0</v>
      </c>
      <c r="Y1876" s="229">
        <v>0</v>
      </c>
      <c r="Z1876" s="229">
        <v>0</v>
      </c>
      <c r="AA1876" s="229">
        <v>0</v>
      </c>
      <c r="AB1876" s="229">
        <v>0</v>
      </c>
      <c r="AC1876" s="12">
        <v>1</v>
      </c>
      <c r="AD1876" s="14">
        <v>1</v>
      </c>
      <c r="AE1876" s="14">
        <v>0</v>
      </c>
      <c r="AF1876" s="26">
        <v>0</v>
      </c>
      <c r="AG1876" s="12">
        <v>106</v>
      </c>
      <c r="AH1876" s="14">
        <v>0</v>
      </c>
      <c r="AI1876" s="209"/>
      <c r="AJ1876" s="3"/>
      <c r="AK1876" s="3"/>
      <c r="AL1876" s="3"/>
      <c r="AM1876" s="3"/>
      <c r="AN1876" s="3"/>
      <c r="AO1876" s="40"/>
      <c r="AP1876" s="209"/>
      <c r="AQ1876" s="3"/>
      <c r="AR1876" s="40"/>
      <c r="AS1876" s="238"/>
    </row>
    <row r="1877" spans="1:45" s="229" customFormat="1">
      <c r="A1877" s="42" t="s">
        <v>320</v>
      </c>
      <c r="B1877" s="386">
        <v>-1.9466666666666668</v>
      </c>
      <c r="C1877" s="229" t="s">
        <v>303</v>
      </c>
      <c r="D1877" s="229" t="s">
        <v>638</v>
      </c>
      <c r="F1877" s="229">
        <v>1728</v>
      </c>
      <c r="G1877" s="40">
        <f>F1877/1085</f>
        <v>1.592626728110599</v>
      </c>
      <c r="H1877" s="14">
        <v>0</v>
      </c>
      <c r="I1877" s="229">
        <v>0</v>
      </c>
      <c r="J1877" s="229">
        <v>1</v>
      </c>
      <c r="K1877" s="26">
        <v>0</v>
      </c>
      <c r="L1877" s="14">
        <v>1</v>
      </c>
      <c r="M1877" s="229">
        <v>0</v>
      </c>
      <c r="N1877" s="229">
        <v>0</v>
      </c>
      <c r="O1877" s="229">
        <v>0</v>
      </c>
      <c r="P1877" s="26">
        <v>1</v>
      </c>
      <c r="Q1877" s="14">
        <v>0</v>
      </c>
      <c r="R1877" s="229">
        <v>0</v>
      </c>
      <c r="S1877" s="229">
        <v>0</v>
      </c>
      <c r="T1877" s="229">
        <v>0</v>
      </c>
      <c r="U1877" s="229">
        <v>0</v>
      </c>
      <c r="V1877" s="229">
        <v>0</v>
      </c>
      <c r="W1877" s="229">
        <v>0</v>
      </c>
      <c r="X1877" s="229">
        <v>0</v>
      </c>
      <c r="Y1877" s="229">
        <v>0</v>
      </c>
      <c r="Z1877" s="229">
        <v>0</v>
      </c>
      <c r="AA1877" s="229">
        <v>0</v>
      </c>
      <c r="AB1877" s="229">
        <v>0</v>
      </c>
      <c r="AC1877" s="12">
        <v>1</v>
      </c>
      <c r="AD1877" s="14">
        <v>1</v>
      </c>
      <c r="AE1877" s="14">
        <v>0</v>
      </c>
      <c r="AF1877" s="26">
        <v>0</v>
      </c>
      <c r="AG1877" s="12">
        <v>146</v>
      </c>
      <c r="AH1877" s="14">
        <v>0</v>
      </c>
      <c r="AI1877" s="209">
        <v>84.511535494461427</v>
      </c>
      <c r="AJ1877" s="3"/>
      <c r="AK1877" s="3"/>
      <c r="AL1877" s="3"/>
      <c r="AM1877" s="3"/>
      <c r="AN1877" s="3"/>
      <c r="AO1877" s="40"/>
      <c r="AP1877" s="209">
        <v>82.705274486745807</v>
      </c>
      <c r="AQ1877" s="3">
        <v>82.822559661562138</v>
      </c>
      <c r="AR1877" s="40"/>
      <c r="AS1877" s="238"/>
    </row>
    <row r="1878" spans="1:45" s="229" customFormat="1">
      <c r="A1878" s="42" t="s">
        <v>320</v>
      </c>
      <c r="B1878" s="386">
        <v>-1.9466666666666668</v>
      </c>
      <c r="C1878" s="229" t="s">
        <v>303</v>
      </c>
      <c r="D1878" s="229" t="s">
        <v>765</v>
      </c>
      <c r="F1878" s="229">
        <v>1203</v>
      </c>
      <c r="G1878" s="40">
        <f>F1878/905</f>
        <v>1.3292817679558011</v>
      </c>
      <c r="H1878" s="14">
        <v>0</v>
      </c>
      <c r="I1878" s="229">
        <v>0</v>
      </c>
      <c r="J1878" s="229">
        <v>1</v>
      </c>
      <c r="K1878" s="26">
        <v>0</v>
      </c>
      <c r="L1878" s="14">
        <v>0</v>
      </c>
      <c r="M1878" s="229">
        <v>0</v>
      </c>
      <c r="N1878" s="229">
        <v>1</v>
      </c>
      <c r="O1878" s="229">
        <v>0</v>
      </c>
      <c r="P1878" s="26">
        <v>1</v>
      </c>
      <c r="Q1878" s="14">
        <v>5</v>
      </c>
      <c r="R1878" s="229">
        <v>0</v>
      </c>
      <c r="S1878" s="229">
        <v>0</v>
      </c>
      <c r="T1878" s="229">
        <v>0</v>
      </c>
      <c r="U1878" s="229">
        <v>0</v>
      </c>
      <c r="V1878" s="229">
        <v>0</v>
      </c>
      <c r="W1878" s="229">
        <v>52</v>
      </c>
      <c r="X1878" s="229">
        <v>0</v>
      </c>
      <c r="Y1878" s="229">
        <v>0</v>
      </c>
      <c r="Z1878" s="229">
        <v>125</v>
      </c>
      <c r="AA1878" s="229">
        <v>323</v>
      </c>
      <c r="AB1878" s="229">
        <v>0</v>
      </c>
      <c r="AC1878" s="12">
        <v>1</v>
      </c>
      <c r="AD1878" s="14">
        <v>1</v>
      </c>
      <c r="AE1878" s="14">
        <v>0</v>
      </c>
      <c r="AF1878" s="26">
        <v>0</v>
      </c>
      <c r="AG1878" s="12">
        <v>133</v>
      </c>
      <c r="AH1878" s="14">
        <v>0</v>
      </c>
      <c r="AI1878" s="209"/>
      <c r="AJ1878" s="3"/>
      <c r="AK1878" s="3"/>
      <c r="AL1878" s="3"/>
      <c r="AM1878" s="3"/>
      <c r="AN1878" s="3"/>
      <c r="AO1878" s="40"/>
      <c r="AP1878" s="209"/>
      <c r="AQ1878" s="3"/>
      <c r="AR1878" s="40"/>
      <c r="AS1878" s="238"/>
    </row>
    <row r="1879" spans="1:45" s="229" customFormat="1" ht="17" thickBot="1">
      <c r="A1879" s="55" t="s">
        <v>320</v>
      </c>
      <c r="B1879" s="385">
        <v>-1.9466666666666668</v>
      </c>
      <c r="C1879" s="36" t="s">
        <v>303</v>
      </c>
      <c r="D1879" s="36" t="s">
        <v>639</v>
      </c>
      <c r="E1879" s="36"/>
      <c r="F1879" s="36">
        <v>1643</v>
      </c>
      <c r="G1879" s="48">
        <f>F1879/716</f>
        <v>2.2946927374301676</v>
      </c>
      <c r="H1879" s="34">
        <v>0</v>
      </c>
      <c r="I1879" s="36">
        <v>0</v>
      </c>
      <c r="J1879" s="36">
        <v>1</v>
      </c>
      <c r="K1879" s="35">
        <v>0</v>
      </c>
      <c r="L1879" s="34">
        <v>0</v>
      </c>
      <c r="M1879" s="36">
        <v>0</v>
      </c>
      <c r="N1879" s="36">
        <v>1</v>
      </c>
      <c r="O1879" s="36">
        <v>0</v>
      </c>
      <c r="P1879" s="35">
        <v>1</v>
      </c>
      <c r="Q1879" s="34">
        <v>5</v>
      </c>
      <c r="R1879" s="36">
        <v>0</v>
      </c>
      <c r="S1879" s="36">
        <v>77</v>
      </c>
      <c r="T1879" s="36">
        <v>0</v>
      </c>
      <c r="U1879" s="36">
        <v>0</v>
      </c>
      <c r="V1879" s="36">
        <v>47</v>
      </c>
      <c r="W1879" s="36">
        <v>197</v>
      </c>
      <c r="X1879" s="36">
        <v>0</v>
      </c>
      <c r="Y1879" s="36">
        <v>0</v>
      </c>
      <c r="Z1879" s="36">
        <v>0</v>
      </c>
      <c r="AA1879" s="36">
        <v>0</v>
      </c>
      <c r="AB1879" s="36">
        <v>0</v>
      </c>
      <c r="AC1879" s="33">
        <v>1</v>
      </c>
      <c r="AD1879" s="34">
        <v>1</v>
      </c>
      <c r="AE1879" s="34">
        <v>0</v>
      </c>
      <c r="AF1879" s="35">
        <v>0</v>
      </c>
      <c r="AG1879" s="33"/>
      <c r="AH1879" s="34">
        <v>0</v>
      </c>
      <c r="AI1879" s="210"/>
      <c r="AJ1879" s="51"/>
      <c r="AK1879" s="51"/>
      <c r="AL1879" s="51"/>
      <c r="AM1879" s="51"/>
      <c r="AN1879" s="51"/>
      <c r="AO1879" s="48"/>
      <c r="AP1879" s="210"/>
      <c r="AQ1879" s="51"/>
      <c r="AR1879" s="48"/>
      <c r="AS1879" s="239"/>
    </row>
    <row r="1880" spans="1:45" s="229" customFormat="1">
      <c r="A1880" s="87" t="s">
        <v>320</v>
      </c>
      <c r="B1880" s="384">
        <v>-1.9466666666666668</v>
      </c>
      <c r="C1880" s="229" t="s">
        <v>304</v>
      </c>
      <c r="D1880" s="229" t="s">
        <v>423</v>
      </c>
      <c r="F1880" s="229">
        <v>757</v>
      </c>
      <c r="G1880" s="40">
        <f>F1880/705</f>
        <v>1.0737588652482271</v>
      </c>
      <c r="H1880" s="14">
        <v>1</v>
      </c>
      <c r="I1880" s="229">
        <v>0</v>
      </c>
      <c r="J1880" s="229">
        <v>0</v>
      </c>
      <c r="K1880" s="26">
        <v>0</v>
      </c>
      <c r="L1880" s="14">
        <v>0</v>
      </c>
      <c r="M1880" s="229">
        <v>0</v>
      </c>
      <c r="N1880" s="229">
        <v>0</v>
      </c>
      <c r="O1880" s="229">
        <v>0</v>
      </c>
      <c r="P1880" s="26">
        <v>0</v>
      </c>
      <c r="Q1880" s="14">
        <v>5</v>
      </c>
      <c r="R1880" s="229">
        <v>0</v>
      </c>
      <c r="S1880" s="229">
        <v>26</v>
      </c>
      <c r="T1880" s="229">
        <v>0</v>
      </c>
      <c r="U1880" s="229">
        <v>0</v>
      </c>
      <c r="V1880" s="229">
        <v>22</v>
      </c>
      <c r="W1880" s="229">
        <v>77</v>
      </c>
      <c r="X1880" s="229">
        <v>0</v>
      </c>
      <c r="Y1880" s="229">
        <v>0</v>
      </c>
      <c r="Z1880" s="229">
        <v>0</v>
      </c>
      <c r="AA1880" s="229">
        <v>157</v>
      </c>
      <c r="AB1880" s="229">
        <v>1</v>
      </c>
      <c r="AC1880" s="12">
        <v>1</v>
      </c>
      <c r="AD1880" s="14">
        <v>1</v>
      </c>
      <c r="AE1880" s="14">
        <v>0</v>
      </c>
      <c r="AF1880" s="26">
        <v>0</v>
      </c>
      <c r="AG1880" s="12">
        <v>95</v>
      </c>
      <c r="AH1880" s="14">
        <v>0</v>
      </c>
      <c r="AI1880" s="209">
        <v>83.253068066449259</v>
      </c>
      <c r="AJ1880" s="3"/>
      <c r="AK1880" s="3"/>
      <c r="AL1880" s="3"/>
      <c r="AM1880" s="3"/>
      <c r="AN1880" s="3"/>
      <c r="AO1880" s="40"/>
      <c r="AP1880" s="209">
        <v>82.939283159452501</v>
      </c>
      <c r="AQ1880" s="3"/>
      <c r="AR1880" s="40"/>
      <c r="AS1880" s="238"/>
    </row>
    <row r="1881" spans="1:45" s="229" customFormat="1">
      <c r="A1881" s="42" t="s">
        <v>320</v>
      </c>
      <c r="B1881" s="386">
        <v>-1.9466666666666668</v>
      </c>
      <c r="C1881" s="229" t="s">
        <v>304</v>
      </c>
      <c r="D1881" s="229" t="s">
        <v>622</v>
      </c>
      <c r="F1881" s="229">
        <v>1011</v>
      </c>
      <c r="G1881" s="40">
        <f>F1881/634</f>
        <v>1.5946372239747635</v>
      </c>
      <c r="H1881" s="14">
        <v>0</v>
      </c>
      <c r="I1881" s="229">
        <v>0</v>
      </c>
      <c r="J1881" s="229">
        <v>1</v>
      </c>
      <c r="K1881" s="26">
        <v>0</v>
      </c>
      <c r="L1881" s="14">
        <v>0</v>
      </c>
      <c r="M1881" s="229">
        <v>0</v>
      </c>
      <c r="N1881" s="229">
        <v>0</v>
      </c>
      <c r="O1881" s="229">
        <v>1</v>
      </c>
      <c r="P1881" s="26">
        <v>1</v>
      </c>
      <c r="Q1881" s="14">
        <v>0</v>
      </c>
      <c r="R1881" s="229">
        <v>0</v>
      </c>
      <c r="S1881" s="229">
        <v>0</v>
      </c>
      <c r="T1881" s="229">
        <v>0</v>
      </c>
      <c r="U1881" s="229">
        <v>0</v>
      </c>
      <c r="V1881" s="229">
        <v>0</v>
      </c>
      <c r="W1881" s="229">
        <v>0</v>
      </c>
      <c r="X1881" s="229">
        <v>0</v>
      </c>
      <c r="Y1881" s="229">
        <v>0</v>
      </c>
      <c r="Z1881" s="229">
        <v>0</v>
      </c>
      <c r="AA1881" s="229">
        <v>0</v>
      </c>
      <c r="AB1881" s="229">
        <v>0</v>
      </c>
      <c r="AC1881" s="12">
        <v>1</v>
      </c>
      <c r="AD1881" s="14">
        <v>1</v>
      </c>
      <c r="AE1881" s="14">
        <v>0</v>
      </c>
      <c r="AF1881" s="26">
        <v>0</v>
      </c>
      <c r="AG1881" s="12">
        <v>94</v>
      </c>
      <c r="AH1881" s="14">
        <v>0</v>
      </c>
      <c r="AI1881" s="209">
        <v>77.167652988463573</v>
      </c>
      <c r="AJ1881" s="3"/>
      <c r="AK1881" s="3"/>
      <c r="AL1881" s="3"/>
      <c r="AM1881" s="3"/>
      <c r="AN1881" s="3"/>
      <c r="AO1881" s="40"/>
      <c r="AP1881" s="209">
        <v>82.842273605857201</v>
      </c>
      <c r="AQ1881" s="3">
        <v>82.320209696830204</v>
      </c>
      <c r="AR1881" s="40"/>
      <c r="AS1881" s="238"/>
    </row>
    <row r="1882" spans="1:45" s="229" customFormat="1">
      <c r="A1882" s="42" t="s">
        <v>320</v>
      </c>
      <c r="B1882" s="386">
        <v>-1.9466666666666668</v>
      </c>
      <c r="C1882" s="229" t="s">
        <v>304</v>
      </c>
      <c r="D1882" s="229" t="s">
        <v>629</v>
      </c>
      <c r="E1882" s="229" t="s">
        <v>0</v>
      </c>
      <c r="F1882" s="229">
        <v>562</v>
      </c>
      <c r="G1882" s="40">
        <f>F1882/532</f>
        <v>1.0563909774436091</v>
      </c>
      <c r="H1882" s="14">
        <v>1</v>
      </c>
      <c r="I1882" s="229">
        <v>0</v>
      </c>
      <c r="J1882" s="229">
        <v>0</v>
      </c>
      <c r="K1882" s="26">
        <v>0</v>
      </c>
      <c r="L1882" s="14">
        <v>1</v>
      </c>
      <c r="M1882" s="229">
        <v>0</v>
      </c>
      <c r="N1882" s="229">
        <v>0</v>
      </c>
      <c r="O1882" s="229">
        <v>0</v>
      </c>
      <c r="P1882" s="26">
        <v>1</v>
      </c>
      <c r="Q1882" s="14">
        <v>1</v>
      </c>
      <c r="R1882" s="229">
        <v>0</v>
      </c>
      <c r="S1882" s="229">
        <v>20</v>
      </c>
      <c r="T1882" s="229">
        <v>0</v>
      </c>
      <c r="U1882" s="229">
        <v>0</v>
      </c>
      <c r="V1882" s="229">
        <v>0</v>
      </c>
      <c r="W1882" s="229">
        <v>0</v>
      </c>
      <c r="X1882" s="229">
        <v>0</v>
      </c>
      <c r="Y1882" s="229">
        <v>0</v>
      </c>
      <c r="Z1882" s="229">
        <v>0</v>
      </c>
      <c r="AA1882" s="229">
        <v>81</v>
      </c>
      <c r="AB1882" s="229">
        <v>0</v>
      </c>
      <c r="AC1882" s="12">
        <v>1</v>
      </c>
      <c r="AD1882" s="14">
        <v>1</v>
      </c>
      <c r="AE1882" s="14">
        <v>0</v>
      </c>
      <c r="AF1882" s="26">
        <v>0</v>
      </c>
      <c r="AG1882" s="12">
        <v>115</v>
      </c>
      <c r="AH1882" s="14">
        <v>0</v>
      </c>
      <c r="AI1882" s="209">
        <v>82.725840507445994</v>
      </c>
      <c r="AJ1882" s="3"/>
      <c r="AK1882" s="3"/>
      <c r="AL1882" s="3"/>
      <c r="AM1882" s="3"/>
      <c r="AN1882" s="3"/>
      <c r="AO1882" s="40"/>
      <c r="AP1882" s="209">
        <v>82.93068430436341</v>
      </c>
      <c r="AQ1882" s="3">
        <v>81.778608632176912</v>
      </c>
      <c r="AR1882" s="40"/>
      <c r="AS1882" s="238"/>
    </row>
    <row r="1883" spans="1:45" s="229" customFormat="1">
      <c r="A1883" s="42" t="s">
        <v>320</v>
      </c>
      <c r="B1883" s="386">
        <v>-1.9466666666666668</v>
      </c>
      <c r="C1883" s="229" t="s">
        <v>304</v>
      </c>
      <c r="D1883" s="229" t="s">
        <v>629</v>
      </c>
      <c r="E1883" s="229" t="s">
        <v>1</v>
      </c>
      <c r="F1883" s="229">
        <v>1109</v>
      </c>
      <c r="G1883" s="40">
        <f>F1883/795</f>
        <v>1.3949685534591194</v>
      </c>
      <c r="H1883" s="14">
        <v>0</v>
      </c>
      <c r="I1883" s="229">
        <v>0</v>
      </c>
      <c r="J1883" s="229">
        <v>1</v>
      </c>
      <c r="K1883" s="26">
        <v>0</v>
      </c>
      <c r="L1883" s="14">
        <v>0</v>
      </c>
      <c r="M1883" s="229">
        <v>0</v>
      </c>
      <c r="N1883" s="229">
        <v>1</v>
      </c>
      <c r="O1883" s="229">
        <v>0</v>
      </c>
      <c r="P1883" s="26">
        <v>1</v>
      </c>
      <c r="Q1883" s="14">
        <v>3</v>
      </c>
      <c r="R1883" s="229">
        <v>0</v>
      </c>
      <c r="S1883" s="229">
        <v>29</v>
      </c>
      <c r="T1883" s="229">
        <v>0</v>
      </c>
      <c r="U1883" s="229">
        <v>0</v>
      </c>
      <c r="V1883" s="229">
        <v>0</v>
      </c>
      <c r="W1883" s="229">
        <v>0</v>
      </c>
      <c r="X1883" s="229">
        <v>0</v>
      </c>
      <c r="Y1883" s="229">
        <v>0</v>
      </c>
      <c r="Z1883" s="229">
        <v>0</v>
      </c>
      <c r="AA1883" s="229">
        <v>240</v>
      </c>
      <c r="AB1883" s="229">
        <v>0</v>
      </c>
      <c r="AC1883" s="12">
        <v>1</v>
      </c>
      <c r="AD1883" s="14">
        <v>1</v>
      </c>
      <c r="AE1883" s="14">
        <v>0</v>
      </c>
      <c r="AF1883" s="26">
        <v>0</v>
      </c>
      <c r="AG1883" s="12">
        <v>115</v>
      </c>
      <c r="AH1883" s="14">
        <v>0</v>
      </c>
      <c r="AI1883" s="209">
        <v>83.810643468849648</v>
      </c>
      <c r="AJ1883" s="3"/>
      <c r="AK1883" s="3"/>
      <c r="AL1883" s="3"/>
      <c r="AM1883" s="3"/>
      <c r="AN1883" s="3"/>
      <c r="AO1883" s="40"/>
      <c r="AP1883" s="209">
        <v>82.988353433081642</v>
      </c>
      <c r="AQ1883" s="3"/>
      <c r="AR1883" s="40"/>
      <c r="AS1883" s="238">
        <v>83.288089795911858</v>
      </c>
    </row>
    <row r="1884" spans="1:45" s="229" customFormat="1">
      <c r="A1884" s="42" t="s">
        <v>320</v>
      </c>
      <c r="B1884" s="386">
        <v>-1.9466666666666668</v>
      </c>
      <c r="C1884" s="229" t="s">
        <v>304</v>
      </c>
      <c r="D1884" s="229" t="s">
        <v>634</v>
      </c>
      <c r="F1884" s="229">
        <v>679</v>
      </c>
      <c r="G1884" s="40">
        <f>F1884/534</f>
        <v>1.2715355805243447</v>
      </c>
      <c r="H1884" s="14">
        <v>0</v>
      </c>
      <c r="I1884" s="229">
        <v>0</v>
      </c>
      <c r="J1884" s="229">
        <v>1</v>
      </c>
      <c r="K1884" s="26">
        <v>0</v>
      </c>
      <c r="L1884" s="14">
        <v>1</v>
      </c>
      <c r="M1884" s="229">
        <v>0</v>
      </c>
      <c r="N1884" s="229">
        <v>0</v>
      </c>
      <c r="O1884" s="229">
        <v>0</v>
      </c>
      <c r="P1884" s="26">
        <v>1</v>
      </c>
      <c r="Q1884" s="14">
        <v>0</v>
      </c>
      <c r="R1884" s="229">
        <v>0</v>
      </c>
      <c r="S1884" s="229">
        <v>0</v>
      </c>
      <c r="T1884" s="229">
        <v>0</v>
      </c>
      <c r="U1884" s="229">
        <v>0</v>
      </c>
      <c r="V1884" s="229">
        <v>0</v>
      </c>
      <c r="W1884" s="229">
        <v>0</v>
      </c>
      <c r="X1884" s="229">
        <v>0</v>
      </c>
      <c r="Y1884" s="229">
        <v>0</v>
      </c>
      <c r="Z1884" s="229">
        <v>0</v>
      </c>
      <c r="AA1884" s="229">
        <v>0</v>
      </c>
      <c r="AB1884" s="229">
        <v>0</v>
      </c>
      <c r="AC1884" s="12">
        <v>1</v>
      </c>
      <c r="AD1884" s="14">
        <v>1</v>
      </c>
      <c r="AE1884" s="14">
        <v>0</v>
      </c>
      <c r="AF1884" s="26">
        <v>0</v>
      </c>
      <c r="AG1884" s="12">
        <v>116</v>
      </c>
      <c r="AH1884" s="14">
        <v>0</v>
      </c>
      <c r="AI1884" s="209"/>
      <c r="AJ1884" s="3"/>
      <c r="AK1884" s="3"/>
      <c r="AL1884" s="3"/>
      <c r="AM1884" s="3"/>
      <c r="AN1884" s="3"/>
      <c r="AO1884" s="40"/>
      <c r="AP1884" s="209"/>
      <c r="AQ1884" s="3"/>
      <c r="AR1884" s="40"/>
      <c r="AS1884" s="238"/>
    </row>
    <row r="1885" spans="1:45" s="229" customFormat="1">
      <c r="A1885" s="42" t="s">
        <v>320</v>
      </c>
      <c r="B1885" s="386">
        <v>-1.9466666666666668</v>
      </c>
      <c r="C1885" s="229" t="s">
        <v>304</v>
      </c>
      <c r="D1885" s="229" t="s">
        <v>625</v>
      </c>
      <c r="F1885" s="229">
        <v>1062</v>
      </c>
      <c r="G1885" s="40">
        <f>F1885/930</f>
        <v>1.1419354838709677</v>
      </c>
      <c r="H1885" s="14">
        <v>0</v>
      </c>
      <c r="I1885" s="229">
        <v>0</v>
      </c>
      <c r="J1885" s="229">
        <v>0</v>
      </c>
      <c r="K1885" s="26">
        <v>1</v>
      </c>
      <c r="L1885" s="14">
        <v>0</v>
      </c>
      <c r="M1885" s="229">
        <v>0</v>
      </c>
      <c r="N1885" s="229">
        <v>1</v>
      </c>
      <c r="O1885" s="229">
        <v>0</v>
      </c>
      <c r="P1885" s="26">
        <v>1</v>
      </c>
      <c r="Q1885" s="14">
        <v>1</v>
      </c>
      <c r="R1885" s="229">
        <v>0</v>
      </c>
      <c r="S1885" s="229">
        <v>27</v>
      </c>
      <c r="T1885" s="229">
        <v>0</v>
      </c>
      <c r="U1885" s="229">
        <v>0</v>
      </c>
      <c r="V1885" s="229">
        <v>0</v>
      </c>
      <c r="W1885" s="229">
        <v>0</v>
      </c>
      <c r="X1885" s="229">
        <v>0</v>
      </c>
      <c r="Y1885" s="229">
        <v>0</v>
      </c>
      <c r="Z1885" s="229">
        <v>0</v>
      </c>
      <c r="AA1885" s="229">
        <v>0</v>
      </c>
      <c r="AB1885" s="229">
        <v>1</v>
      </c>
      <c r="AC1885" s="12">
        <v>2</v>
      </c>
      <c r="AD1885" s="14">
        <v>3</v>
      </c>
      <c r="AE1885" s="14">
        <v>430</v>
      </c>
      <c r="AF1885" s="26">
        <v>635</v>
      </c>
      <c r="AG1885" s="12">
        <v>123</v>
      </c>
      <c r="AH1885" s="14">
        <v>0</v>
      </c>
      <c r="AI1885" s="209">
        <v>84.030342864701296</v>
      </c>
      <c r="AJ1885" s="3">
        <v>83.147407711104364</v>
      </c>
      <c r="AK1885" s="3"/>
      <c r="AL1885" s="3"/>
      <c r="AM1885" s="3"/>
      <c r="AN1885" s="3"/>
      <c r="AO1885" s="40"/>
      <c r="AP1885" s="209">
        <v>81.632714904598302</v>
      </c>
      <c r="AQ1885" s="3">
        <v>81.412539437852459</v>
      </c>
      <c r="AR1885" s="40"/>
      <c r="AS1885" s="238"/>
    </row>
    <row r="1886" spans="1:45" s="229" customFormat="1">
      <c r="A1886" s="42" t="s">
        <v>320</v>
      </c>
      <c r="B1886" s="386">
        <v>-1.9466666666666668</v>
      </c>
      <c r="C1886" s="229" t="s">
        <v>304</v>
      </c>
      <c r="D1886" s="229" t="s">
        <v>630</v>
      </c>
      <c r="F1886" s="229">
        <v>2670</v>
      </c>
      <c r="G1886" s="40">
        <f>F1886/879</f>
        <v>3.0375426621160408</v>
      </c>
      <c r="H1886" s="14">
        <v>0</v>
      </c>
      <c r="I1886" s="229">
        <v>0</v>
      </c>
      <c r="J1886" s="229">
        <v>1</v>
      </c>
      <c r="K1886" s="26">
        <v>0</v>
      </c>
      <c r="L1886" s="14">
        <v>0</v>
      </c>
      <c r="M1886" s="229">
        <v>0</v>
      </c>
      <c r="N1886" s="229">
        <v>1</v>
      </c>
      <c r="O1886" s="229">
        <v>0</v>
      </c>
      <c r="P1886" s="26">
        <v>1</v>
      </c>
      <c r="Q1886" s="14">
        <v>8</v>
      </c>
      <c r="R1886" s="229">
        <v>0</v>
      </c>
      <c r="S1886" s="229">
        <v>36</v>
      </c>
      <c r="T1886" s="229">
        <v>0</v>
      </c>
      <c r="U1886" s="229">
        <v>0</v>
      </c>
      <c r="V1886" s="229">
        <v>47</v>
      </c>
      <c r="W1886" s="229">
        <v>147</v>
      </c>
      <c r="X1886" s="229">
        <v>0</v>
      </c>
      <c r="Y1886" s="229">
        <v>0</v>
      </c>
      <c r="Z1886" s="229">
        <v>71</v>
      </c>
      <c r="AA1886" s="229">
        <v>382</v>
      </c>
      <c r="AB1886" s="229">
        <v>0</v>
      </c>
      <c r="AC1886" s="12">
        <v>1</v>
      </c>
      <c r="AD1886" s="14">
        <v>1</v>
      </c>
      <c r="AE1886" s="14">
        <v>0</v>
      </c>
      <c r="AF1886" s="26">
        <v>0</v>
      </c>
      <c r="AG1886" s="12">
        <v>172</v>
      </c>
      <c r="AH1886" s="14">
        <v>0</v>
      </c>
      <c r="AI1886" s="209"/>
      <c r="AJ1886" s="3"/>
      <c r="AK1886" s="3"/>
      <c r="AL1886" s="3"/>
      <c r="AM1886" s="3"/>
      <c r="AN1886" s="3"/>
      <c r="AO1886" s="40"/>
      <c r="AP1886" s="209"/>
      <c r="AQ1886" s="3"/>
      <c r="AR1886" s="40"/>
      <c r="AS1886" s="238"/>
    </row>
    <row r="1887" spans="1:45" s="229" customFormat="1">
      <c r="A1887" s="42" t="s">
        <v>320</v>
      </c>
      <c r="B1887" s="386">
        <v>-1.9466666666666668</v>
      </c>
      <c r="C1887" s="229" t="s">
        <v>304</v>
      </c>
      <c r="D1887" s="229" t="s">
        <v>637</v>
      </c>
      <c r="F1887" s="229">
        <v>1390</v>
      </c>
      <c r="G1887" s="40">
        <f>F1887/802</f>
        <v>1.7331670822942644</v>
      </c>
      <c r="H1887" s="14">
        <v>0</v>
      </c>
      <c r="I1887" s="229">
        <v>0</v>
      </c>
      <c r="J1887" s="229">
        <v>1</v>
      </c>
      <c r="K1887" s="26">
        <v>0</v>
      </c>
      <c r="L1887" s="14">
        <v>1</v>
      </c>
      <c r="M1887" s="229">
        <v>0</v>
      </c>
      <c r="N1887" s="229">
        <v>0</v>
      </c>
      <c r="O1887" s="229">
        <v>0</v>
      </c>
      <c r="P1887" s="26">
        <v>1</v>
      </c>
      <c r="Q1887" s="14">
        <v>1</v>
      </c>
      <c r="R1887" s="229">
        <v>0</v>
      </c>
      <c r="S1887" s="229">
        <v>14</v>
      </c>
      <c r="T1887" s="229">
        <v>0</v>
      </c>
      <c r="U1887" s="229">
        <v>0</v>
      </c>
      <c r="V1887" s="229">
        <v>47</v>
      </c>
      <c r="W1887" s="229">
        <v>165</v>
      </c>
      <c r="X1887" s="229">
        <v>0</v>
      </c>
      <c r="Y1887" s="229">
        <v>0</v>
      </c>
      <c r="Z1887" s="229">
        <v>0</v>
      </c>
      <c r="AA1887" s="229">
        <v>43</v>
      </c>
      <c r="AB1887" s="229">
        <v>0</v>
      </c>
      <c r="AC1887" s="12">
        <v>1</v>
      </c>
      <c r="AD1887" s="14">
        <v>1</v>
      </c>
      <c r="AE1887" s="14">
        <v>0</v>
      </c>
      <c r="AF1887" s="26">
        <v>0</v>
      </c>
      <c r="AG1887" s="12">
        <v>130</v>
      </c>
      <c r="AH1887" s="14">
        <v>0</v>
      </c>
      <c r="AI1887" s="209"/>
      <c r="AJ1887" s="3"/>
      <c r="AK1887" s="3"/>
      <c r="AL1887" s="3"/>
      <c r="AM1887" s="3"/>
      <c r="AN1887" s="3"/>
      <c r="AO1887" s="40"/>
      <c r="AP1887" s="209"/>
      <c r="AQ1887" s="3"/>
      <c r="AR1887" s="40"/>
      <c r="AS1887" s="238"/>
    </row>
    <row r="1888" spans="1:45" s="229" customFormat="1">
      <c r="A1888" s="42" t="s">
        <v>320</v>
      </c>
      <c r="B1888" s="386">
        <v>-1.9466666666666668</v>
      </c>
      <c r="C1888" s="229" t="s">
        <v>304</v>
      </c>
      <c r="D1888" s="229" t="s">
        <v>638</v>
      </c>
      <c r="F1888" s="229">
        <v>1419</v>
      </c>
      <c r="G1888" s="40">
        <f>F1888/1369</f>
        <v>1.0365230094959825</v>
      </c>
      <c r="H1888" s="14">
        <v>0</v>
      </c>
      <c r="I1888" s="229">
        <v>0</v>
      </c>
      <c r="J1888" s="229">
        <v>1</v>
      </c>
      <c r="K1888" s="26">
        <v>0</v>
      </c>
      <c r="L1888" s="14">
        <v>1</v>
      </c>
      <c r="M1888" s="229">
        <v>0</v>
      </c>
      <c r="N1888" s="229">
        <v>0</v>
      </c>
      <c r="O1888" s="229">
        <v>0</v>
      </c>
      <c r="P1888" s="26">
        <v>1</v>
      </c>
      <c r="Q1888" s="14">
        <v>1</v>
      </c>
      <c r="R1888" s="229">
        <v>0</v>
      </c>
      <c r="S1888" s="229">
        <v>0</v>
      </c>
      <c r="T1888" s="229">
        <v>0</v>
      </c>
      <c r="U1888" s="229">
        <v>0</v>
      </c>
      <c r="V1888" s="229">
        <v>0</v>
      </c>
      <c r="W1888" s="229">
        <v>33</v>
      </c>
      <c r="X1888" s="229">
        <v>0</v>
      </c>
      <c r="Y1888" s="229">
        <v>0</v>
      </c>
      <c r="Z1888" s="229">
        <v>25</v>
      </c>
      <c r="AA1888" s="229">
        <v>54</v>
      </c>
      <c r="AB1888" s="229">
        <v>1</v>
      </c>
      <c r="AC1888" s="12">
        <v>1</v>
      </c>
      <c r="AD1888" s="14">
        <v>1</v>
      </c>
      <c r="AE1888" s="14">
        <v>0</v>
      </c>
      <c r="AF1888" s="26">
        <v>0</v>
      </c>
      <c r="AG1888" s="12">
        <v>136</v>
      </c>
      <c r="AH1888" s="14">
        <v>0</v>
      </c>
      <c r="AI1888" s="209"/>
      <c r="AJ1888" s="3"/>
      <c r="AK1888" s="3"/>
      <c r="AL1888" s="3"/>
      <c r="AM1888" s="3"/>
      <c r="AN1888" s="3"/>
      <c r="AO1888" s="40"/>
      <c r="AP1888" s="209"/>
      <c r="AQ1888" s="3"/>
      <c r="AR1888" s="40"/>
      <c r="AS1888" s="238"/>
    </row>
    <row r="1889" spans="1:45" s="229" customFormat="1">
      <c r="A1889" s="42" t="s">
        <v>320</v>
      </c>
      <c r="B1889" s="386">
        <v>-1.9466666666666668</v>
      </c>
      <c r="C1889" s="229" t="s">
        <v>304</v>
      </c>
      <c r="D1889" s="229" t="s">
        <v>640</v>
      </c>
      <c r="F1889" s="229">
        <v>543</v>
      </c>
      <c r="G1889" s="40">
        <f>F1889/475</f>
        <v>1.1431578947368422</v>
      </c>
      <c r="H1889" s="14">
        <v>0</v>
      </c>
      <c r="I1889" s="229">
        <v>0</v>
      </c>
      <c r="J1889" s="229">
        <v>0</v>
      </c>
      <c r="K1889" s="26">
        <v>1</v>
      </c>
      <c r="L1889" s="14">
        <v>0</v>
      </c>
      <c r="M1889" s="229">
        <v>0</v>
      </c>
      <c r="N1889" s="229">
        <v>0</v>
      </c>
      <c r="O1889" s="229">
        <v>0</v>
      </c>
      <c r="P1889" s="26">
        <v>0</v>
      </c>
      <c r="Q1889" s="14">
        <v>5</v>
      </c>
      <c r="R1889" s="229">
        <v>0</v>
      </c>
      <c r="S1889" s="229">
        <v>0</v>
      </c>
      <c r="T1889" s="229">
        <v>0</v>
      </c>
      <c r="U1889" s="229">
        <v>0</v>
      </c>
      <c r="V1889" s="229">
        <v>0</v>
      </c>
      <c r="W1889" s="229">
        <v>19</v>
      </c>
      <c r="X1889" s="229">
        <v>0</v>
      </c>
      <c r="Y1889" s="229">
        <v>0</v>
      </c>
      <c r="Z1889" s="229">
        <v>0</v>
      </c>
      <c r="AA1889" s="229">
        <v>208</v>
      </c>
      <c r="AB1889" s="229">
        <v>0</v>
      </c>
      <c r="AC1889" s="12">
        <v>1</v>
      </c>
      <c r="AD1889" s="14">
        <v>1</v>
      </c>
      <c r="AE1889" s="14">
        <v>0</v>
      </c>
      <c r="AF1889" s="26">
        <v>0</v>
      </c>
      <c r="AG1889" s="12">
        <v>102</v>
      </c>
      <c r="AH1889" s="14">
        <v>0</v>
      </c>
      <c r="AI1889" s="209"/>
      <c r="AJ1889" s="3"/>
      <c r="AK1889" s="3"/>
      <c r="AL1889" s="3"/>
      <c r="AM1889" s="3"/>
      <c r="AN1889" s="3"/>
      <c r="AO1889" s="40"/>
      <c r="AP1889" s="209"/>
      <c r="AQ1889" s="3"/>
      <c r="AR1889" s="40"/>
      <c r="AS1889" s="238"/>
    </row>
    <row r="1890" spans="1:45" s="229" customFormat="1">
      <c r="A1890" s="42" t="s">
        <v>320</v>
      </c>
      <c r="B1890" s="386">
        <v>-1.9466666666666668</v>
      </c>
      <c r="C1890" s="229" t="s">
        <v>304</v>
      </c>
      <c r="D1890" s="229" t="s">
        <v>641</v>
      </c>
      <c r="F1890" s="229">
        <v>1381</v>
      </c>
      <c r="G1890" s="40">
        <f>F1890/700</f>
        <v>1.9728571428571429</v>
      </c>
      <c r="H1890" s="14">
        <v>0</v>
      </c>
      <c r="I1890" s="229">
        <v>0</v>
      </c>
      <c r="J1890" s="229">
        <v>1</v>
      </c>
      <c r="K1890" s="26">
        <v>0</v>
      </c>
      <c r="L1890" s="14">
        <v>0</v>
      </c>
      <c r="M1890" s="229">
        <v>0</v>
      </c>
      <c r="N1890" s="229">
        <v>1</v>
      </c>
      <c r="O1890" s="229">
        <v>0</v>
      </c>
      <c r="P1890" s="26">
        <v>1</v>
      </c>
      <c r="Q1890" s="14">
        <v>2</v>
      </c>
      <c r="R1890" s="229">
        <v>0</v>
      </c>
      <c r="S1890" s="229">
        <v>0</v>
      </c>
      <c r="T1890" s="229">
        <v>0</v>
      </c>
      <c r="U1890" s="229">
        <v>0</v>
      </c>
      <c r="V1890" s="229">
        <v>43</v>
      </c>
      <c r="W1890" s="229">
        <v>131</v>
      </c>
      <c r="X1890" s="229">
        <v>0</v>
      </c>
      <c r="Y1890" s="229">
        <v>0</v>
      </c>
      <c r="Z1890" s="229">
        <v>0</v>
      </c>
      <c r="AA1890" s="229">
        <v>0</v>
      </c>
      <c r="AB1890" s="229">
        <v>0</v>
      </c>
      <c r="AC1890" s="12">
        <v>1</v>
      </c>
      <c r="AD1890" s="14">
        <v>1</v>
      </c>
      <c r="AE1890" s="14">
        <v>0</v>
      </c>
      <c r="AF1890" s="26">
        <v>0</v>
      </c>
      <c r="AG1890" s="12">
        <v>104</v>
      </c>
      <c r="AH1890" s="14">
        <v>0</v>
      </c>
      <c r="AI1890" s="209"/>
      <c r="AJ1890" s="3"/>
      <c r="AK1890" s="3"/>
      <c r="AL1890" s="3"/>
      <c r="AM1890" s="3"/>
      <c r="AN1890" s="3"/>
      <c r="AO1890" s="40"/>
      <c r="AP1890" s="209"/>
      <c r="AQ1890" s="3"/>
      <c r="AR1890" s="40"/>
      <c r="AS1890" s="238"/>
    </row>
    <row r="1891" spans="1:45" s="229" customFormat="1" ht="17" thickBot="1">
      <c r="A1891" s="55" t="s">
        <v>320</v>
      </c>
      <c r="B1891" s="385">
        <v>-1.9466666666666668</v>
      </c>
      <c r="C1891" s="229" t="s">
        <v>304</v>
      </c>
      <c r="D1891" s="229" t="s">
        <v>647</v>
      </c>
      <c r="F1891" s="229">
        <v>2693</v>
      </c>
      <c r="G1891" s="40">
        <f>F1891/2257</f>
        <v>1.1931767833407179</v>
      </c>
      <c r="H1891" s="14">
        <v>0</v>
      </c>
      <c r="I1891" s="229">
        <v>0</v>
      </c>
      <c r="J1891" s="229">
        <v>1</v>
      </c>
      <c r="K1891" s="26">
        <v>0</v>
      </c>
      <c r="L1891" s="14">
        <v>1</v>
      </c>
      <c r="M1891" s="229">
        <v>0</v>
      </c>
      <c r="N1891" s="229">
        <v>0</v>
      </c>
      <c r="O1891" s="229">
        <v>0</v>
      </c>
      <c r="P1891" s="26">
        <v>1</v>
      </c>
      <c r="Q1891" s="14">
        <v>0</v>
      </c>
      <c r="R1891" s="229">
        <v>0</v>
      </c>
      <c r="S1891" s="229">
        <v>0</v>
      </c>
      <c r="T1891" s="229">
        <v>0</v>
      </c>
      <c r="U1891" s="229">
        <v>0</v>
      </c>
      <c r="V1891" s="229">
        <v>0</v>
      </c>
      <c r="W1891" s="229">
        <v>0</v>
      </c>
      <c r="X1891" s="229">
        <v>0</v>
      </c>
      <c r="Y1891" s="229">
        <v>0</v>
      </c>
      <c r="Z1891" s="229">
        <v>0</v>
      </c>
      <c r="AA1891" s="229">
        <v>0</v>
      </c>
      <c r="AB1891" s="229">
        <v>0</v>
      </c>
      <c r="AC1891" s="12">
        <v>1</v>
      </c>
      <c r="AD1891" s="14">
        <v>1</v>
      </c>
      <c r="AE1891" s="14">
        <v>0</v>
      </c>
      <c r="AF1891" s="26">
        <v>0</v>
      </c>
      <c r="AG1891" s="12">
        <v>135</v>
      </c>
      <c r="AH1891" s="14">
        <v>0</v>
      </c>
      <c r="AI1891" s="209">
        <v>81.89369461406379</v>
      </c>
      <c r="AJ1891" s="3"/>
      <c r="AK1891" s="3"/>
      <c r="AL1891" s="3"/>
      <c r="AM1891" s="3"/>
      <c r="AN1891" s="3"/>
      <c r="AO1891" s="40"/>
      <c r="AP1891" s="209">
        <v>84.332854228628818</v>
      </c>
      <c r="AQ1891" s="3">
        <v>82.668088441647313</v>
      </c>
      <c r="AR1891" s="40"/>
      <c r="AS1891" s="238"/>
    </row>
    <row r="1892" spans="1:45" s="229" customFormat="1" ht="17" thickBot="1">
      <c r="A1892" s="55" t="s">
        <v>320</v>
      </c>
      <c r="B1892" s="388">
        <v>-0.48</v>
      </c>
      <c r="C1892" s="30" t="s">
        <v>311</v>
      </c>
      <c r="D1892" s="30" t="s">
        <v>423</v>
      </c>
      <c r="E1892" s="30"/>
      <c r="F1892" s="30">
        <v>1094</v>
      </c>
      <c r="G1892" s="45">
        <f>F1892/489</f>
        <v>2.2372188139059306</v>
      </c>
      <c r="H1892" s="28">
        <v>0</v>
      </c>
      <c r="I1892" s="30">
        <v>0</v>
      </c>
      <c r="J1892" s="30">
        <v>1</v>
      </c>
      <c r="K1892" s="29">
        <v>0</v>
      </c>
      <c r="L1892" s="28">
        <v>0</v>
      </c>
      <c r="M1892" s="30">
        <v>0</v>
      </c>
      <c r="N1892" s="30">
        <v>1</v>
      </c>
      <c r="O1892" s="30">
        <v>0</v>
      </c>
      <c r="P1892" s="29">
        <v>1</v>
      </c>
      <c r="Q1892" s="28">
        <v>5</v>
      </c>
      <c r="R1892" s="30">
        <v>0</v>
      </c>
      <c r="S1892" s="30">
        <v>8</v>
      </c>
      <c r="T1892" s="30">
        <v>0</v>
      </c>
      <c r="U1892" s="30">
        <v>0</v>
      </c>
      <c r="V1892" s="30">
        <v>29</v>
      </c>
      <c r="W1892" s="30">
        <v>133</v>
      </c>
      <c r="X1892" s="30">
        <v>0</v>
      </c>
      <c r="Y1892" s="30">
        <v>0</v>
      </c>
      <c r="Z1892" s="30">
        <v>22</v>
      </c>
      <c r="AA1892" s="30">
        <v>250</v>
      </c>
      <c r="AB1892" s="30">
        <v>0</v>
      </c>
      <c r="AC1892" s="27">
        <v>1</v>
      </c>
      <c r="AD1892" s="28">
        <v>1</v>
      </c>
      <c r="AE1892" s="28">
        <v>0</v>
      </c>
      <c r="AF1892" s="29">
        <v>0</v>
      </c>
      <c r="AG1892" s="27">
        <v>93</v>
      </c>
      <c r="AH1892" s="28">
        <v>0</v>
      </c>
      <c r="AI1892" s="211">
        <v>85.233115604687853</v>
      </c>
      <c r="AJ1892" s="77"/>
      <c r="AK1892" s="77"/>
      <c r="AL1892" s="77"/>
      <c r="AM1892" s="77"/>
      <c r="AN1892" s="77"/>
      <c r="AO1892" s="45"/>
      <c r="AP1892" s="211">
        <v>83.44263924878571</v>
      </c>
      <c r="AQ1892" s="77"/>
      <c r="AR1892" s="45"/>
      <c r="AS1892" s="236"/>
    </row>
    <row r="1893" spans="1:45" s="229" customFormat="1">
      <c r="A1893" s="87" t="s">
        <v>320</v>
      </c>
      <c r="B1893" s="386">
        <v>-1.2864833333333334</v>
      </c>
      <c r="C1893" s="229" t="s">
        <v>305</v>
      </c>
      <c r="D1893" s="229" t="s">
        <v>423</v>
      </c>
      <c r="E1893" s="229" t="s">
        <v>0</v>
      </c>
      <c r="F1893" s="229">
        <v>316</v>
      </c>
      <c r="G1893" s="40">
        <f>F1893/246</f>
        <v>1.2845528455284554</v>
      </c>
      <c r="H1893" s="14">
        <v>0</v>
      </c>
      <c r="I1893" s="229">
        <v>0</v>
      </c>
      <c r="J1893" s="229">
        <v>1</v>
      </c>
      <c r="K1893" s="26">
        <v>0</v>
      </c>
      <c r="L1893" s="14">
        <v>0</v>
      </c>
      <c r="M1893" s="229">
        <v>0</v>
      </c>
      <c r="N1893" s="229">
        <v>0</v>
      </c>
      <c r="O1893" s="229">
        <v>0</v>
      </c>
      <c r="P1893" s="26">
        <v>0</v>
      </c>
      <c r="Q1893" s="14">
        <v>0</v>
      </c>
      <c r="R1893" s="229">
        <v>0</v>
      </c>
      <c r="S1893" s="229">
        <v>0</v>
      </c>
      <c r="T1893" s="229">
        <v>0</v>
      </c>
      <c r="U1893" s="229">
        <v>0</v>
      </c>
      <c r="V1893" s="229">
        <v>0</v>
      </c>
      <c r="W1893" s="229">
        <v>0</v>
      </c>
      <c r="X1893" s="229">
        <v>0</v>
      </c>
      <c r="Y1893" s="229">
        <v>0</v>
      </c>
      <c r="Z1893" s="229">
        <v>0</v>
      </c>
      <c r="AA1893" s="229">
        <v>0</v>
      </c>
      <c r="AB1893" s="229">
        <v>0</v>
      </c>
      <c r="AC1893" s="12">
        <v>1</v>
      </c>
      <c r="AD1893" s="14">
        <v>1</v>
      </c>
      <c r="AE1893" s="14">
        <v>0</v>
      </c>
      <c r="AF1893" s="26">
        <v>0</v>
      </c>
      <c r="AG1893" s="12">
        <v>91</v>
      </c>
      <c r="AH1893" s="14">
        <v>0</v>
      </c>
      <c r="AI1893" s="209"/>
      <c r="AJ1893" s="3"/>
      <c r="AK1893" s="3"/>
      <c r="AL1893" s="3"/>
      <c r="AM1893" s="3"/>
      <c r="AN1893" s="3"/>
      <c r="AO1893" s="40"/>
      <c r="AP1893" s="209"/>
      <c r="AQ1893" s="3"/>
      <c r="AR1893" s="40"/>
      <c r="AS1893" s="238"/>
    </row>
    <row r="1894" spans="1:45" s="229" customFormat="1">
      <c r="A1894" s="42" t="s">
        <v>320</v>
      </c>
      <c r="B1894" s="386">
        <v>-1.2864833333333334</v>
      </c>
      <c r="C1894" s="229" t="s">
        <v>305</v>
      </c>
      <c r="D1894" s="229" t="s">
        <v>423</v>
      </c>
      <c r="E1894" s="229" t="s">
        <v>1</v>
      </c>
      <c r="F1894" s="229">
        <v>281</v>
      </c>
      <c r="G1894" s="40">
        <f>F1894/136</f>
        <v>2.0661764705882355</v>
      </c>
      <c r="H1894" s="14">
        <v>0</v>
      </c>
      <c r="I1894" s="229">
        <v>0</v>
      </c>
      <c r="J1894" s="229">
        <v>1</v>
      </c>
      <c r="K1894" s="26">
        <v>0</v>
      </c>
      <c r="L1894" s="14">
        <v>0</v>
      </c>
      <c r="M1894" s="229">
        <v>0</v>
      </c>
      <c r="N1894" s="229">
        <v>0</v>
      </c>
      <c r="O1894" s="229">
        <v>0</v>
      </c>
      <c r="P1894" s="26">
        <v>0</v>
      </c>
      <c r="Q1894" s="14">
        <v>0</v>
      </c>
      <c r="R1894" s="229">
        <v>0</v>
      </c>
      <c r="S1894" s="229">
        <v>0</v>
      </c>
      <c r="T1894" s="229">
        <v>0</v>
      </c>
      <c r="U1894" s="229">
        <v>0</v>
      </c>
      <c r="V1894" s="229">
        <v>0</v>
      </c>
      <c r="W1894" s="229">
        <v>0</v>
      </c>
      <c r="X1894" s="229">
        <v>0</v>
      </c>
      <c r="Y1894" s="229">
        <v>0</v>
      </c>
      <c r="Z1894" s="229">
        <v>0</v>
      </c>
      <c r="AA1894" s="229">
        <v>0</v>
      </c>
      <c r="AB1894" s="229">
        <v>0</v>
      </c>
      <c r="AC1894" s="12">
        <v>1</v>
      </c>
      <c r="AD1894" s="14">
        <v>1</v>
      </c>
      <c r="AE1894" s="14">
        <v>0</v>
      </c>
      <c r="AF1894" s="26">
        <v>0</v>
      </c>
      <c r="AG1894" s="12">
        <v>91</v>
      </c>
      <c r="AH1894" s="14">
        <v>0</v>
      </c>
      <c r="AI1894" s="209"/>
      <c r="AJ1894" s="3"/>
      <c r="AK1894" s="3"/>
      <c r="AL1894" s="3"/>
      <c r="AM1894" s="3"/>
      <c r="AN1894" s="3"/>
      <c r="AO1894" s="40"/>
      <c r="AP1894" s="209"/>
      <c r="AQ1894" s="3"/>
      <c r="AR1894" s="40"/>
      <c r="AS1894" s="238"/>
    </row>
    <row r="1895" spans="1:45" s="229" customFormat="1">
      <c r="A1895" s="42" t="s">
        <v>320</v>
      </c>
      <c r="B1895" s="386">
        <v>-1.2864833333333334</v>
      </c>
      <c r="C1895" s="229" t="s">
        <v>305</v>
      </c>
      <c r="D1895" s="229" t="s">
        <v>622</v>
      </c>
      <c r="E1895" s="229" t="s">
        <v>0</v>
      </c>
      <c r="F1895" s="229">
        <v>463</v>
      </c>
      <c r="G1895" s="40">
        <f>F1895/254</f>
        <v>1.8228346456692914</v>
      </c>
      <c r="H1895" s="14">
        <v>0</v>
      </c>
      <c r="I1895" s="229">
        <v>0</v>
      </c>
      <c r="J1895" s="229">
        <v>1</v>
      </c>
      <c r="K1895" s="26">
        <v>0</v>
      </c>
      <c r="L1895" s="14">
        <v>0</v>
      </c>
      <c r="M1895" s="229">
        <v>0</v>
      </c>
      <c r="N1895" s="229">
        <v>0</v>
      </c>
      <c r="O1895" s="229">
        <v>0</v>
      </c>
      <c r="P1895" s="26">
        <v>0</v>
      </c>
      <c r="Q1895" s="14">
        <v>5</v>
      </c>
      <c r="R1895" s="229">
        <v>0</v>
      </c>
      <c r="S1895" s="229">
        <v>0</v>
      </c>
      <c r="T1895" s="229">
        <v>0</v>
      </c>
      <c r="U1895" s="229">
        <v>0</v>
      </c>
      <c r="V1895" s="229">
        <v>10</v>
      </c>
      <c r="W1895" s="229">
        <v>41</v>
      </c>
      <c r="X1895" s="229">
        <v>0</v>
      </c>
      <c r="Y1895" s="229">
        <v>0</v>
      </c>
      <c r="Z1895" s="229">
        <v>0</v>
      </c>
      <c r="AA1895" s="229">
        <v>106</v>
      </c>
      <c r="AB1895" s="229">
        <v>1</v>
      </c>
      <c r="AC1895" s="12">
        <v>1</v>
      </c>
      <c r="AD1895" s="14">
        <v>1</v>
      </c>
      <c r="AE1895" s="14">
        <v>0</v>
      </c>
      <c r="AF1895" s="26">
        <v>0</v>
      </c>
      <c r="AG1895" s="12">
        <v>104</v>
      </c>
      <c r="AH1895" s="14">
        <v>0</v>
      </c>
      <c r="AI1895" s="209"/>
      <c r="AJ1895" s="3"/>
      <c r="AK1895" s="3"/>
      <c r="AL1895" s="3"/>
      <c r="AM1895" s="3"/>
      <c r="AN1895" s="3"/>
      <c r="AO1895" s="40"/>
      <c r="AP1895" s="209"/>
      <c r="AQ1895" s="3"/>
      <c r="AR1895" s="40"/>
      <c r="AS1895" s="238"/>
    </row>
    <row r="1896" spans="1:45" s="229" customFormat="1">
      <c r="A1896" s="42" t="s">
        <v>320</v>
      </c>
      <c r="B1896" s="386">
        <v>-1.2864833333333334</v>
      </c>
      <c r="C1896" s="229" t="s">
        <v>305</v>
      </c>
      <c r="D1896" s="229" t="s">
        <v>622</v>
      </c>
      <c r="E1896" s="229" t="s">
        <v>1</v>
      </c>
      <c r="F1896" s="229">
        <v>573</v>
      </c>
      <c r="G1896" s="40">
        <f>F1896/324</f>
        <v>1.7685185185185186</v>
      </c>
      <c r="H1896" s="14">
        <v>0</v>
      </c>
      <c r="I1896" s="229">
        <v>0</v>
      </c>
      <c r="J1896" s="229">
        <v>1</v>
      </c>
      <c r="K1896" s="26">
        <v>0</v>
      </c>
      <c r="L1896" s="14">
        <v>0</v>
      </c>
      <c r="M1896" s="229">
        <v>0</v>
      </c>
      <c r="N1896" s="229">
        <v>0</v>
      </c>
      <c r="O1896" s="229">
        <v>0</v>
      </c>
      <c r="P1896" s="26">
        <v>0</v>
      </c>
      <c r="Q1896" s="14">
        <v>5</v>
      </c>
      <c r="R1896" s="229">
        <v>0</v>
      </c>
      <c r="S1896" s="229">
        <v>18</v>
      </c>
      <c r="T1896" s="229">
        <v>0</v>
      </c>
      <c r="U1896" s="229">
        <v>0</v>
      </c>
      <c r="V1896" s="229">
        <v>31</v>
      </c>
      <c r="W1896" s="229">
        <v>138</v>
      </c>
      <c r="X1896" s="229">
        <v>0</v>
      </c>
      <c r="Y1896" s="229">
        <v>0</v>
      </c>
      <c r="Z1896" s="229">
        <v>0</v>
      </c>
      <c r="AA1896" s="229">
        <v>92</v>
      </c>
      <c r="AB1896" s="229">
        <v>1</v>
      </c>
      <c r="AC1896" s="12">
        <v>1</v>
      </c>
      <c r="AD1896" s="14">
        <v>1</v>
      </c>
      <c r="AE1896" s="14">
        <v>0</v>
      </c>
      <c r="AF1896" s="26">
        <v>0</v>
      </c>
      <c r="AG1896" s="12">
        <v>104</v>
      </c>
      <c r="AH1896" s="14">
        <v>0</v>
      </c>
      <c r="AI1896" s="209"/>
      <c r="AJ1896" s="3"/>
      <c r="AK1896" s="3"/>
      <c r="AL1896" s="3"/>
      <c r="AM1896" s="3"/>
      <c r="AN1896" s="3"/>
      <c r="AO1896" s="40"/>
      <c r="AP1896" s="209"/>
      <c r="AQ1896" s="3"/>
      <c r="AR1896" s="40"/>
      <c r="AS1896" s="238"/>
    </row>
    <row r="1897" spans="1:45" s="229" customFormat="1">
      <c r="A1897" s="42" t="s">
        <v>320</v>
      </c>
      <c r="B1897" s="386">
        <v>-1.2864833333333334</v>
      </c>
      <c r="C1897" s="229" t="s">
        <v>305</v>
      </c>
      <c r="D1897" s="229" t="s">
        <v>620</v>
      </c>
      <c r="F1897" s="229">
        <v>2051</v>
      </c>
      <c r="G1897" s="40">
        <f>F1897/1189</f>
        <v>1.7249789739276704</v>
      </c>
      <c r="H1897" s="14">
        <v>0</v>
      </c>
      <c r="I1897" s="229">
        <v>0</v>
      </c>
      <c r="J1897" s="229">
        <v>0</v>
      </c>
      <c r="K1897" s="26">
        <v>1</v>
      </c>
      <c r="L1897" s="14">
        <v>1</v>
      </c>
      <c r="M1897" s="229">
        <v>0</v>
      </c>
      <c r="N1897" s="229">
        <v>1</v>
      </c>
      <c r="O1897" s="229">
        <v>0</v>
      </c>
      <c r="P1897" s="26">
        <v>2</v>
      </c>
      <c r="Q1897" s="14">
        <v>2</v>
      </c>
      <c r="R1897" s="229">
        <v>0</v>
      </c>
      <c r="S1897" s="229">
        <v>0</v>
      </c>
      <c r="T1897" s="229">
        <v>0</v>
      </c>
      <c r="U1897" s="229">
        <v>0</v>
      </c>
      <c r="V1897" s="229">
        <v>6</v>
      </c>
      <c r="W1897" s="229">
        <v>52</v>
      </c>
      <c r="X1897" s="229">
        <v>0</v>
      </c>
      <c r="Y1897" s="229">
        <v>0</v>
      </c>
      <c r="Z1897" s="229">
        <v>41</v>
      </c>
      <c r="AA1897" s="229">
        <v>178</v>
      </c>
      <c r="AB1897" s="229">
        <v>0</v>
      </c>
      <c r="AC1897" s="12">
        <v>2</v>
      </c>
      <c r="AD1897" s="14">
        <v>2</v>
      </c>
      <c r="AE1897" s="14">
        <v>926</v>
      </c>
      <c r="AF1897" s="26">
        <v>1133</v>
      </c>
      <c r="AG1897" s="12">
        <v>119</v>
      </c>
      <c r="AH1897" s="14">
        <v>0</v>
      </c>
      <c r="AI1897" s="209">
        <v>87.589804181260007</v>
      </c>
      <c r="AJ1897" s="3">
        <v>87.401334700120188</v>
      </c>
      <c r="AK1897" s="3"/>
      <c r="AL1897" s="3"/>
      <c r="AM1897" s="3"/>
      <c r="AN1897" s="3"/>
      <c r="AO1897" s="40"/>
      <c r="AP1897" s="209">
        <v>85.134308241704517</v>
      </c>
      <c r="AQ1897" s="3">
        <v>85.061364292821182</v>
      </c>
      <c r="AR1897" s="40"/>
      <c r="AS1897" s="238"/>
    </row>
    <row r="1898" spans="1:45" s="229" customFormat="1">
      <c r="A1898" s="42" t="s">
        <v>320</v>
      </c>
      <c r="B1898" s="386">
        <v>-1.2864833333333334</v>
      </c>
      <c r="C1898" s="229" t="s">
        <v>305</v>
      </c>
      <c r="D1898" s="229" t="s">
        <v>629</v>
      </c>
      <c r="F1898" s="229">
        <v>1105</v>
      </c>
      <c r="G1898" s="40">
        <f>F1898/567</f>
        <v>1.9488536155202822</v>
      </c>
      <c r="H1898" s="14">
        <v>0</v>
      </c>
      <c r="I1898" s="229">
        <v>0</v>
      </c>
      <c r="J1898" s="229">
        <v>1</v>
      </c>
      <c r="K1898" s="26">
        <v>0</v>
      </c>
      <c r="L1898" s="14">
        <v>0</v>
      </c>
      <c r="M1898" s="229">
        <v>0</v>
      </c>
      <c r="N1898" s="229">
        <v>1</v>
      </c>
      <c r="O1898" s="229">
        <v>0</v>
      </c>
      <c r="P1898" s="26">
        <v>1</v>
      </c>
      <c r="Q1898" s="14">
        <v>1</v>
      </c>
      <c r="R1898" s="229">
        <v>0</v>
      </c>
      <c r="S1898" s="229">
        <v>0</v>
      </c>
      <c r="T1898" s="229">
        <v>0</v>
      </c>
      <c r="U1898" s="229">
        <v>0</v>
      </c>
      <c r="V1898" s="229">
        <v>0</v>
      </c>
      <c r="W1898" s="229">
        <v>0</v>
      </c>
      <c r="X1898" s="229">
        <v>0</v>
      </c>
      <c r="Y1898" s="229">
        <v>0</v>
      </c>
      <c r="Z1898" s="229">
        <v>0</v>
      </c>
      <c r="AA1898" s="229">
        <v>89</v>
      </c>
      <c r="AB1898" s="229">
        <v>0</v>
      </c>
      <c r="AC1898" s="12">
        <v>1</v>
      </c>
      <c r="AD1898" s="14">
        <v>1</v>
      </c>
      <c r="AE1898" s="14">
        <v>0</v>
      </c>
      <c r="AF1898" s="26">
        <v>0</v>
      </c>
      <c r="AG1898" s="12">
        <v>94</v>
      </c>
      <c r="AH1898" s="14">
        <v>0</v>
      </c>
      <c r="AI1898" s="209"/>
      <c r="AJ1898" s="3"/>
      <c r="AK1898" s="3"/>
      <c r="AL1898" s="3"/>
      <c r="AM1898" s="3"/>
      <c r="AN1898" s="3"/>
      <c r="AO1898" s="40"/>
      <c r="AP1898" s="209"/>
      <c r="AQ1898" s="3"/>
      <c r="AR1898" s="40"/>
      <c r="AS1898" s="238"/>
    </row>
    <row r="1899" spans="1:45" s="229" customFormat="1">
      <c r="A1899" s="42" t="s">
        <v>320</v>
      </c>
      <c r="B1899" s="386">
        <v>-1.2864833333333334</v>
      </c>
      <c r="C1899" s="229" t="s">
        <v>305</v>
      </c>
      <c r="D1899" s="229" t="s">
        <v>634</v>
      </c>
      <c r="F1899" s="229">
        <v>422</v>
      </c>
      <c r="G1899" s="40">
        <f>F1899/208</f>
        <v>2.0288461538461537</v>
      </c>
      <c r="H1899" s="14">
        <v>0</v>
      </c>
      <c r="I1899" s="229">
        <v>0</v>
      </c>
      <c r="J1899" s="229">
        <v>1</v>
      </c>
      <c r="K1899" s="26">
        <v>0</v>
      </c>
      <c r="L1899" s="14">
        <v>0</v>
      </c>
      <c r="M1899" s="229">
        <v>0</v>
      </c>
      <c r="N1899" s="229">
        <v>0</v>
      </c>
      <c r="O1899" s="229">
        <v>0</v>
      </c>
      <c r="P1899" s="26">
        <v>0</v>
      </c>
      <c r="Q1899" s="14">
        <v>2</v>
      </c>
      <c r="R1899" s="229">
        <v>0</v>
      </c>
      <c r="S1899" s="229">
        <v>0</v>
      </c>
      <c r="T1899" s="229">
        <v>0</v>
      </c>
      <c r="U1899" s="229">
        <v>0</v>
      </c>
      <c r="V1899" s="229">
        <v>0</v>
      </c>
      <c r="W1899" s="229">
        <v>10</v>
      </c>
      <c r="X1899" s="229">
        <v>0</v>
      </c>
      <c r="Y1899" s="229">
        <v>0</v>
      </c>
      <c r="Z1899" s="229">
        <v>0</v>
      </c>
      <c r="AA1899" s="229">
        <v>88</v>
      </c>
      <c r="AB1899" s="229">
        <v>1</v>
      </c>
      <c r="AC1899" s="12">
        <v>1</v>
      </c>
      <c r="AD1899" s="14">
        <v>1</v>
      </c>
      <c r="AE1899" s="14">
        <v>0</v>
      </c>
      <c r="AF1899" s="26">
        <v>0</v>
      </c>
      <c r="AG1899" s="12">
        <v>95</v>
      </c>
      <c r="AH1899" s="14">
        <v>0</v>
      </c>
      <c r="AI1899" s="209">
        <v>85.019917277875223</v>
      </c>
      <c r="AJ1899" s="3"/>
      <c r="AK1899" s="3"/>
      <c r="AL1899" s="3"/>
      <c r="AM1899" s="3"/>
      <c r="AN1899" s="3"/>
      <c r="AO1899" s="40"/>
      <c r="AP1899" s="209">
        <v>85.021468750361635</v>
      </c>
      <c r="AQ1899" s="3"/>
      <c r="AR1899" s="40"/>
      <c r="AS1899" s="238"/>
    </row>
    <row r="1900" spans="1:45" s="229" customFormat="1">
      <c r="A1900" s="42" t="s">
        <v>320</v>
      </c>
      <c r="B1900" s="386">
        <v>-1.2864833333333334</v>
      </c>
      <c r="C1900" s="229" t="s">
        <v>305</v>
      </c>
      <c r="D1900" s="229" t="s">
        <v>625</v>
      </c>
      <c r="F1900" s="229">
        <v>323</v>
      </c>
      <c r="G1900" s="40">
        <f>F1900/141</f>
        <v>2.2907801418439715</v>
      </c>
      <c r="H1900" s="14">
        <v>1</v>
      </c>
      <c r="I1900" s="229">
        <v>0</v>
      </c>
      <c r="J1900" s="229">
        <v>0</v>
      </c>
      <c r="K1900" s="26">
        <v>0</v>
      </c>
      <c r="L1900" s="14">
        <v>0</v>
      </c>
      <c r="M1900" s="229">
        <v>0</v>
      </c>
      <c r="N1900" s="229">
        <v>0</v>
      </c>
      <c r="O1900" s="229">
        <v>0</v>
      </c>
      <c r="P1900" s="26">
        <v>0</v>
      </c>
      <c r="Q1900" s="14">
        <v>0</v>
      </c>
      <c r="R1900" s="229">
        <v>0</v>
      </c>
      <c r="S1900" s="229">
        <v>0</v>
      </c>
      <c r="T1900" s="229">
        <v>0</v>
      </c>
      <c r="U1900" s="229">
        <v>0</v>
      </c>
      <c r="V1900" s="229">
        <v>0</v>
      </c>
      <c r="W1900" s="229">
        <v>0</v>
      </c>
      <c r="X1900" s="229">
        <v>0</v>
      </c>
      <c r="Y1900" s="229">
        <v>0</v>
      </c>
      <c r="Z1900" s="229">
        <v>0</v>
      </c>
      <c r="AA1900" s="229">
        <v>0</v>
      </c>
      <c r="AB1900" s="229">
        <v>0</v>
      </c>
      <c r="AC1900" s="12">
        <v>1</v>
      </c>
      <c r="AD1900" s="14">
        <v>1</v>
      </c>
      <c r="AE1900" s="14">
        <v>0</v>
      </c>
      <c r="AF1900" s="26">
        <v>0</v>
      </c>
      <c r="AG1900" s="12">
        <v>115</v>
      </c>
      <c r="AH1900" s="14">
        <v>0</v>
      </c>
      <c r="AI1900" s="209"/>
      <c r="AJ1900" s="3"/>
      <c r="AK1900" s="3"/>
      <c r="AL1900" s="3"/>
      <c r="AM1900" s="3"/>
      <c r="AN1900" s="3"/>
      <c r="AO1900" s="40"/>
      <c r="AP1900" s="209"/>
      <c r="AQ1900" s="3"/>
      <c r="AR1900" s="40"/>
      <c r="AS1900" s="238"/>
    </row>
    <row r="1901" spans="1:45" s="229" customFormat="1">
      <c r="A1901" s="42" t="s">
        <v>320</v>
      </c>
      <c r="B1901" s="386">
        <v>-1.2864833333333334</v>
      </c>
      <c r="C1901" s="229" t="s">
        <v>305</v>
      </c>
      <c r="D1901" s="229" t="s">
        <v>206</v>
      </c>
      <c r="F1901" s="229">
        <v>675</v>
      </c>
      <c r="G1901" s="40">
        <f>F1901/447</f>
        <v>1.5100671140939597</v>
      </c>
      <c r="H1901" s="14">
        <v>0</v>
      </c>
      <c r="I1901" s="229">
        <v>0</v>
      </c>
      <c r="J1901" s="229">
        <v>1</v>
      </c>
      <c r="K1901" s="26">
        <v>0</v>
      </c>
      <c r="L1901" s="14">
        <v>0</v>
      </c>
      <c r="M1901" s="229">
        <v>0</v>
      </c>
      <c r="N1901" s="229">
        <v>0</v>
      </c>
      <c r="O1901" s="229">
        <v>0</v>
      </c>
      <c r="P1901" s="26">
        <v>0</v>
      </c>
      <c r="Q1901" s="14">
        <v>25</v>
      </c>
      <c r="R1901" s="229">
        <v>0</v>
      </c>
      <c r="S1901" s="229">
        <v>14</v>
      </c>
      <c r="T1901" s="229">
        <v>0</v>
      </c>
      <c r="U1901" s="229">
        <v>0</v>
      </c>
      <c r="V1901" s="229">
        <v>0</v>
      </c>
      <c r="W1901" s="229">
        <v>24</v>
      </c>
      <c r="X1901" s="229">
        <v>0</v>
      </c>
      <c r="Y1901" s="229">
        <v>0</v>
      </c>
      <c r="Z1901" s="229">
        <v>127</v>
      </c>
      <c r="AA1901" s="229">
        <v>412</v>
      </c>
      <c r="AB1901" s="229">
        <v>0</v>
      </c>
      <c r="AC1901" s="12">
        <v>1</v>
      </c>
      <c r="AD1901" s="14">
        <v>1</v>
      </c>
      <c r="AE1901" s="14">
        <v>0</v>
      </c>
      <c r="AF1901" s="26">
        <v>0</v>
      </c>
      <c r="AG1901" s="12">
        <v>124</v>
      </c>
      <c r="AH1901" s="14">
        <v>0</v>
      </c>
      <c r="AI1901" s="209"/>
      <c r="AJ1901" s="3"/>
      <c r="AK1901" s="3"/>
      <c r="AL1901" s="3"/>
      <c r="AM1901" s="3"/>
      <c r="AN1901" s="3"/>
      <c r="AO1901" s="40"/>
      <c r="AP1901" s="209"/>
      <c r="AQ1901" s="3"/>
      <c r="AR1901" s="40"/>
      <c r="AS1901" s="238"/>
    </row>
    <row r="1902" spans="1:45" s="229" customFormat="1">
      <c r="A1902" s="42" t="s">
        <v>320</v>
      </c>
      <c r="B1902" s="386">
        <v>-1.2864833333333334</v>
      </c>
      <c r="C1902" s="229" t="s">
        <v>305</v>
      </c>
      <c r="D1902" s="229" t="s">
        <v>630</v>
      </c>
      <c r="E1902" s="229" t="s">
        <v>0</v>
      </c>
      <c r="F1902" s="229">
        <v>379</v>
      </c>
      <c r="G1902" s="40">
        <f>F1902/214</f>
        <v>1.7710280373831775</v>
      </c>
      <c r="H1902" s="14">
        <v>0</v>
      </c>
      <c r="I1902" s="229">
        <v>0</v>
      </c>
      <c r="J1902" s="229">
        <v>1</v>
      </c>
      <c r="K1902" s="26">
        <v>0</v>
      </c>
      <c r="L1902" s="14">
        <v>0</v>
      </c>
      <c r="M1902" s="229">
        <v>0</v>
      </c>
      <c r="N1902" s="229">
        <v>0</v>
      </c>
      <c r="O1902" s="229">
        <v>0</v>
      </c>
      <c r="P1902" s="26">
        <v>0</v>
      </c>
      <c r="Q1902" s="14">
        <v>1</v>
      </c>
      <c r="R1902" s="229">
        <v>0</v>
      </c>
      <c r="S1902" s="229">
        <v>12</v>
      </c>
      <c r="T1902" s="229">
        <v>0</v>
      </c>
      <c r="U1902" s="229">
        <v>0</v>
      </c>
      <c r="V1902" s="229">
        <v>0</v>
      </c>
      <c r="W1902" s="229">
        <v>0</v>
      </c>
      <c r="X1902" s="229">
        <v>0</v>
      </c>
      <c r="Y1902" s="229">
        <v>0</v>
      </c>
      <c r="Z1902" s="229">
        <v>0</v>
      </c>
      <c r="AA1902" s="229">
        <v>0</v>
      </c>
      <c r="AB1902" s="229">
        <v>0</v>
      </c>
      <c r="AC1902" s="12">
        <v>1</v>
      </c>
      <c r="AD1902" s="14">
        <v>1</v>
      </c>
      <c r="AE1902" s="14">
        <v>0</v>
      </c>
      <c r="AF1902" s="26">
        <v>0</v>
      </c>
      <c r="AG1902" s="12">
        <v>111</v>
      </c>
      <c r="AH1902" s="14">
        <v>0</v>
      </c>
      <c r="AI1902" s="209"/>
      <c r="AJ1902" s="3"/>
      <c r="AK1902" s="3"/>
      <c r="AL1902" s="3"/>
      <c r="AM1902" s="3"/>
      <c r="AN1902" s="3"/>
      <c r="AO1902" s="40"/>
      <c r="AP1902" s="209"/>
      <c r="AQ1902" s="3"/>
      <c r="AR1902" s="40"/>
      <c r="AS1902" s="238"/>
    </row>
    <row r="1903" spans="1:45" s="229" customFormat="1" ht="17" thickBot="1">
      <c r="A1903" s="42" t="s">
        <v>320</v>
      </c>
      <c r="B1903" s="386">
        <v>-1.2864833333333334</v>
      </c>
      <c r="C1903" s="229" t="s">
        <v>305</v>
      </c>
      <c r="D1903" s="229" t="s">
        <v>630</v>
      </c>
      <c r="E1903" s="229" t="s">
        <v>1</v>
      </c>
      <c r="F1903" s="229">
        <v>169</v>
      </c>
      <c r="G1903" s="40">
        <f>F1903/136</f>
        <v>1.2426470588235294</v>
      </c>
      <c r="H1903" s="14">
        <v>0</v>
      </c>
      <c r="I1903" s="229">
        <v>0</v>
      </c>
      <c r="J1903" s="229">
        <v>0</v>
      </c>
      <c r="K1903" s="26">
        <v>1</v>
      </c>
      <c r="L1903" s="14">
        <v>0</v>
      </c>
      <c r="M1903" s="229">
        <v>0</v>
      </c>
      <c r="N1903" s="229">
        <v>0</v>
      </c>
      <c r="O1903" s="229">
        <v>0</v>
      </c>
      <c r="P1903" s="26">
        <v>0</v>
      </c>
      <c r="Q1903" s="14">
        <v>0</v>
      </c>
      <c r="R1903" s="229">
        <v>0</v>
      </c>
      <c r="S1903" s="229">
        <v>0</v>
      </c>
      <c r="T1903" s="229">
        <v>0</v>
      </c>
      <c r="U1903" s="229">
        <v>0</v>
      </c>
      <c r="V1903" s="229">
        <v>0</v>
      </c>
      <c r="W1903" s="229">
        <v>0</v>
      </c>
      <c r="X1903" s="229">
        <v>0</v>
      </c>
      <c r="Y1903" s="229">
        <v>0</v>
      </c>
      <c r="Z1903" s="229">
        <v>0</v>
      </c>
      <c r="AA1903" s="229">
        <v>0</v>
      </c>
      <c r="AB1903" s="229">
        <v>0</v>
      </c>
      <c r="AC1903" s="12">
        <v>1</v>
      </c>
      <c r="AD1903" s="14">
        <v>1</v>
      </c>
      <c r="AE1903" s="14">
        <v>0</v>
      </c>
      <c r="AF1903" s="26">
        <v>0</v>
      </c>
      <c r="AG1903" s="12">
        <v>111</v>
      </c>
      <c r="AH1903" s="14">
        <v>0</v>
      </c>
      <c r="AI1903" s="209"/>
      <c r="AJ1903" s="3"/>
      <c r="AK1903" s="3"/>
      <c r="AL1903" s="3"/>
      <c r="AM1903" s="3"/>
      <c r="AN1903" s="3"/>
      <c r="AO1903" s="40"/>
      <c r="AP1903" s="209"/>
      <c r="AQ1903" s="3"/>
      <c r="AR1903" s="40"/>
      <c r="AS1903" s="238"/>
    </row>
    <row r="1904" spans="1:45" s="229" customFormat="1">
      <c r="A1904" s="87" t="s">
        <v>320</v>
      </c>
      <c r="B1904" s="384">
        <v>-0.86499999999999999</v>
      </c>
      <c r="C1904" s="8" t="s">
        <v>296</v>
      </c>
      <c r="D1904" s="8" t="s">
        <v>766</v>
      </c>
      <c r="E1904" s="8"/>
      <c r="F1904" s="8">
        <v>693</v>
      </c>
      <c r="G1904" s="10">
        <f>F1904/365</f>
        <v>1.8986301369863015</v>
      </c>
      <c r="H1904" s="11">
        <v>0</v>
      </c>
      <c r="I1904" s="8">
        <v>0</v>
      </c>
      <c r="J1904" s="8">
        <v>1</v>
      </c>
      <c r="K1904" s="41">
        <v>0</v>
      </c>
      <c r="L1904" s="11">
        <v>0</v>
      </c>
      <c r="M1904" s="8">
        <v>0</v>
      </c>
      <c r="N1904" s="8">
        <v>0</v>
      </c>
      <c r="O1904" s="8">
        <v>1</v>
      </c>
      <c r="P1904" s="41">
        <v>1</v>
      </c>
      <c r="Q1904" s="11">
        <v>2</v>
      </c>
      <c r="R1904" s="8">
        <v>3</v>
      </c>
      <c r="S1904" s="8">
        <v>7</v>
      </c>
      <c r="T1904" s="8">
        <v>0</v>
      </c>
      <c r="U1904" s="8">
        <v>0</v>
      </c>
      <c r="V1904" s="8">
        <v>7</v>
      </c>
      <c r="W1904" s="8">
        <v>13</v>
      </c>
      <c r="X1904" s="8">
        <v>0</v>
      </c>
      <c r="Y1904" s="8">
        <v>0</v>
      </c>
      <c r="Z1904" s="8">
        <v>31</v>
      </c>
      <c r="AA1904" s="8">
        <v>38</v>
      </c>
      <c r="AB1904" s="8">
        <v>0</v>
      </c>
      <c r="AC1904" s="9">
        <v>1</v>
      </c>
      <c r="AD1904" s="11">
        <v>1</v>
      </c>
      <c r="AE1904" s="11">
        <v>0</v>
      </c>
      <c r="AF1904" s="41">
        <v>0</v>
      </c>
      <c r="AG1904" s="9">
        <v>132</v>
      </c>
      <c r="AH1904" s="11">
        <v>0</v>
      </c>
      <c r="AI1904" s="208"/>
      <c r="AJ1904" s="54"/>
      <c r="AK1904" s="54"/>
      <c r="AL1904" s="54"/>
      <c r="AM1904" s="54"/>
      <c r="AN1904" s="54"/>
      <c r="AO1904" s="10"/>
      <c r="AP1904" s="208"/>
      <c r="AQ1904" s="54"/>
      <c r="AR1904" s="10"/>
      <c r="AS1904" s="237"/>
    </row>
    <row r="1905" spans="1:45" s="229" customFormat="1">
      <c r="A1905" s="42" t="s">
        <v>320</v>
      </c>
      <c r="B1905" s="386">
        <v>-0.86499999999999999</v>
      </c>
      <c r="C1905" s="229" t="s">
        <v>296</v>
      </c>
      <c r="D1905" s="229" t="s">
        <v>622</v>
      </c>
      <c r="F1905" s="229">
        <v>394</v>
      </c>
      <c r="G1905" s="40">
        <f>F1905/269</f>
        <v>1.4646840148698885</v>
      </c>
      <c r="H1905" s="14">
        <v>0</v>
      </c>
      <c r="I1905" s="229">
        <v>0</v>
      </c>
      <c r="J1905" s="229">
        <v>1</v>
      </c>
      <c r="K1905" s="26">
        <v>0</v>
      </c>
      <c r="L1905" s="14">
        <v>0</v>
      </c>
      <c r="M1905" s="229">
        <v>0</v>
      </c>
      <c r="N1905" s="229">
        <v>0</v>
      </c>
      <c r="O1905" s="229">
        <v>1</v>
      </c>
      <c r="P1905" s="26">
        <v>1</v>
      </c>
      <c r="Q1905" s="14">
        <v>8</v>
      </c>
      <c r="R1905" s="229">
        <v>0</v>
      </c>
      <c r="S1905" s="229">
        <v>4</v>
      </c>
      <c r="T1905" s="229">
        <v>0</v>
      </c>
      <c r="U1905" s="229">
        <v>0</v>
      </c>
      <c r="V1905" s="229">
        <v>5</v>
      </c>
      <c r="W1905" s="229">
        <v>9</v>
      </c>
      <c r="X1905" s="229">
        <v>0</v>
      </c>
      <c r="Y1905" s="229">
        <v>0</v>
      </c>
      <c r="Z1905" s="229">
        <v>8</v>
      </c>
      <c r="AA1905" s="229">
        <v>69</v>
      </c>
      <c r="AB1905" s="229">
        <v>0</v>
      </c>
      <c r="AC1905" s="12">
        <v>1</v>
      </c>
      <c r="AD1905" s="14">
        <v>1</v>
      </c>
      <c r="AE1905" s="14">
        <v>0</v>
      </c>
      <c r="AF1905" s="26">
        <v>0</v>
      </c>
      <c r="AG1905" s="12">
        <v>101</v>
      </c>
      <c r="AH1905" s="14">
        <v>0</v>
      </c>
      <c r="AI1905" s="209"/>
      <c r="AJ1905" s="3"/>
      <c r="AK1905" s="3"/>
      <c r="AL1905" s="3"/>
      <c r="AM1905" s="3"/>
      <c r="AN1905" s="3"/>
      <c r="AO1905" s="40"/>
      <c r="AP1905" s="209"/>
      <c r="AQ1905" s="3"/>
      <c r="AR1905" s="40"/>
      <c r="AS1905" s="238"/>
    </row>
    <row r="1906" spans="1:45" s="229" customFormat="1">
      <c r="A1906" s="42" t="s">
        <v>320</v>
      </c>
      <c r="B1906" s="386">
        <v>-0.86499999999999999</v>
      </c>
      <c r="C1906" s="229" t="s">
        <v>296</v>
      </c>
      <c r="D1906" s="229" t="s">
        <v>620</v>
      </c>
      <c r="F1906" s="229">
        <v>382</v>
      </c>
      <c r="G1906" s="40">
        <f>F1906/346</f>
        <v>1.1040462427745665</v>
      </c>
      <c r="H1906" s="14">
        <v>0</v>
      </c>
      <c r="I1906" s="229">
        <v>0</v>
      </c>
      <c r="J1906" s="229">
        <v>1</v>
      </c>
      <c r="K1906" s="26">
        <v>0</v>
      </c>
      <c r="L1906" s="14">
        <v>0</v>
      </c>
      <c r="M1906" s="229">
        <v>0</v>
      </c>
      <c r="N1906" s="229">
        <v>0</v>
      </c>
      <c r="O1906" s="229">
        <v>1</v>
      </c>
      <c r="P1906" s="26">
        <v>1</v>
      </c>
      <c r="Q1906" s="14">
        <v>10</v>
      </c>
      <c r="R1906" s="229">
        <v>0</v>
      </c>
      <c r="S1906" s="229">
        <v>0</v>
      </c>
      <c r="T1906" s="229">
        <v>0</v>
      </c>
      <c r="U1906" s="229">
        <v>0</v>
      </c>
      <c r="V1906" s="229">
        <v>4</v>
      </c>
      <c r="W1906" s="229">
        <v>75</v>
      </c>
      <c r="X1906" s="229">
        <v>0</v>
      </c>
      <c r="Y1906" s="229">
        <v>0</v>
      </c>
      <c r="Z1906" s="229">
        <v>10</v>
      </c>
      <c r="AA1906" s="229">
        <v>135</v>
      </c>
      <c r="AB1906" s="229">
        <v>0</v>
      </c>
      <c r="AC1906" s="12">
        <v>1</v>
      </c>
      <c r="AD1906" s="14">
        <v>1</v>
      </c>
      <c r="AE1906" s="14">
        <v>0</v>
      </c>
      <c r="AF1906" s="26">
        <v>0</v>
      </c>
      <c r="AG1906" s="12">
        <v>87</v>
      </c>
      <c r="AH1906" s="14">
        <v>0</v>
      </c>
      <c r="AI1906" s="209"/>
      <c r="AJ1906" s="3"/>
      <c r="AK1906" s="3"/>
      <c r="AL1906" s="3"/>
      <c r="AM1906" s="3"/>
      <c r="AN1906" s="3"/>
      <c r="AO1906" s="40"/>
      <c r="AP1906" s="209"/>
      <c r="AQ1906" s="3"/>
      <c r="AR1906" s="40"/>
      <c r="AS1906" s="238"/>
    </row>
    <row r="1907" spans="1:45" s="229" customFormat="1">
      <c r="A1907" s="42" t="s">
        <v>320</v>
      </c>
      <c r="B1907" s="386">
        <v>-0.86499999999999999</v>
      </c>
      <c r="C1907" s="229" t="s">
        <v>296</v>
      </c>
      <c r="D1907" s="229" t="s">
        <v>629</v>
      </c>
      <c r="F1907" s="229">
        <v>381</v>
      </c>
      <c r="G1907" s="40">
        <f>F1907/272</f>
        <v>1.400735294117647</v>
      </c>
      <c r="H1907" s="14">
        <v>0</v>
      </c>
      <c r="I1907" s="229">
        <v>0</v>
      </c>
      <c r="J1907" s="229">
        <v>1</v>
      </c>
      <c r="K1907" s="26">
        <v>0</v>
      </c>
      <c r="L1907" s="14">
        <v>0</v>
      </c>
      <c r="M1907" s="229">
        <v>0</v>
      </c>
      <c r="N1907" s="229">
        <v>0</v>
      </c>
      <c r="O1907" s="229">
        <v>1</v>
      </c>
      <c r="P1907" s="26">
        <v>1</v>
      </c>
      <c r="Q1907" s="14">
        <v>5</v>
      </c>
      <c r="R1907" s="229">
        <v>3</v>
      </c>
      <c r="S1907" s="229">
        <v>9</v>
      </c>
      <c r="T1907" s="229">
        <v>0</v>
      </c>
      <c r="U1907" s="229">
        <v>0</v>
      </c>
      <c r="V1907" s="229">
        <v>0</v>
      </c>
      <c r="W1907" s="229">
        <v>0</v>
      </c>
      <c r="X1907" s="229">
        <v>0</v>
      </c>
      <c r="Y1907" s="229">
        <v>0</v>
      </c>
      <c r="Z1907" s="229">
        <v>26</v>
      </c>
      <c r="AA1907" s="229">
        <v>34</v>
      </c>
      <c r="AB1907" s="229">
        <v>0</v>
      </c>
      <c r="AC1907" s="12">
        <v>1</v>
      </c>
      <c r="AD1907" s="14">
        <v>1</v>
      </c>
      <c r="AE1907" s="14">
        <v>0</v>
      </c>
      <c r="AF1907" s="26">
        <v>0</v>
      </c>
      <c r="AG1907" s="12">
        <v>109</v>
      </c>
      <c r="AH1907" s="14">
        <v>0</v>
      </c>
      <c r="AI1907" s="209"/>
      <c r="AJ1907" s="3"/>
      <c r="AK1907" s="3"/>
      <c r="AL1907" s="3"/>
      <c r="AM1907" s="3"/>
      <c r="AN1907" s="3"/>
      <c r="AO1907" s="40"/>
      <c r="AP1907" s="209"/>
      <c r="AQ1907" s="3"/>
      <c r="AR1907" s="40"/>
      <c r="AS1907" s="238"/>
    </row>
    <row r="1908" spans="1:45" s="229" customFormat="1">
      <c r="A1908" s="42" t="s">
        <v>320</v>
      </c>
      <c r="B1908" s="386">
        <v>-0.86499999999999999</v>
      </c>
      <c r="C1908" s="229" t="s">
        <v>296</v>
      </c>
      <c r="D1908" s="229" t="s">
        <v>634</v>
      </c>
      <c r="E1908" s="229" t="s">
        <v>0</v>
      </c>
      <c r="F1908" s="229">
        <v>1681</v>
      </c>
      <c r="G1908" s="40">
        <f>F1908/1306</f>
        <v>1.287136294027565</v>
      </c>
      <c r="H1908" s="14">
        <v>0</v>
      </c>
      <c r="I1908" s="229">
        <v>0</v>
      </c>
      <c r="J1908" s="229">
        <v>1</v>
      </c>
      <c r="K1908" s="26">
        <v>1</v>
      </c>
      <c r="L1908" s="14">
        <v>0</v>
      </c>
      <c r="M1908" s="229">
        <v>0</v>
      </c>
      <c r="N1908" s="229">
        <v>1</v>
      </c>
      <c r="O1908" s="229">
        <v>0</v>
      </c>
      <c r="P1908" s="26">
        <v>1</v>
      </c>
      <c r="Q1908" s="14">
        <v>8</v>
      </c>
      <c r="R1908" s="229">
        <v>0</v>
      </c>
      <c r="S1908" s="229">
        <v>0</v>
      </c>
      <c r="T1908" s="229">
        <v>0</v>
      </c>
      <c r="U1908" s="229">
        <v>0</v>
      </c>
      <c r="V1908" s="229">
        <v>56</v>
      </c>
      <c r="W1908" s="229">
        <v>265</v>
      </c>
      <c r="X1908" s="229">
        <v>0</v>
      </c>
      <c r="Y1908" s="229">
        <v>0</v>
      </c>
      <c r="Z1908" s="229">
        <v>184</v>
      </c>
      <c r="AA1908" s="229">
        <v>211</v>
      </c>
      <c r="AB1908" s="229">
        <v>0</v>
      </c>
      <c r="AC1908" s="12">
        <v>2</v>
      </c>
      <c r="AD1908" s="14">
        <v>4</v>
      </c>
      <c r="AE1908" s="14">
        <v>240</v>
      </c>
      <c r="AF1908" s="26">
        <v>1681</v>
      </c>
      <c r="AG1908" s="12">
        <v>130</v>
      </c>
      <c r="AH1908" s="14">
        <v>0</v>
      </c>
      <c r="AI1908" s="209"/>
      <c r="AJ1908" s="3"/>
      <c r="AK1908" s="3"/>
      <c r="AL1908" s="3"/>
      <c r="AM1908" s="3"/>
      <c r="AN1908" s="3"/>
      <c r="AO1908" s="40"/>
      <c r="AP1908" s="209"/>
      <c r="AQ1908" s="3"/>
      <c r="AR1908" s="40"/>
      <c r="AS1908" s="238"/>
    </row>
    <row r="1909" spans="1:45" s="229" customFormat="1">
      <c r="A1909" s="42" t="s">
        <v>320</v>
      </c>
      <c r="B1909" s="386">
        <v>-0.86499999999999999</v>
      </c>
      <c r="C1909" s="229" t="s">
        <v>296</v>
      </c>
      <c r="D1909" s="229" t="s">
        <v>634</v>
      </c>
      <c r="E1909" s="229" t="s">
        <v>1</v>
      </c>
      <c r="F1909" s="229">
        <v>434</v>
      </c>
      <c r="G1909" s="40">
        <f>F1909/306</f>
        <v>1.4183006535947713</v>
      </c>
      <c r="H1909" s="14">
        <v>0</v>
      </c>
      <c r="I1909" s="229">
        <v>0</v>
      </c>
      <c r="J1909" s="229">
        <v>0</v>
      </c>
      <c r="K1909" s="26">
        <v>1</v>
      </c>
      <c r="L1909" s="14">
        <v>0</v>
      </c>
      <c r="M1909" s="229">
        <v>0</v>
      </c>
      <c r="N1909" s="229">
        <v>0</v>
      </c>
      <c r="O1909" s="229">
        <v>0</v>
      </c>
      <c r="P1909" s="26">
        <v>0</v>
      </c>
      <c r="Q1909" s="14">
        <v>0</v>
      </c>
      <c r="R1909" s="229">
        <v>0</v>
      </c>
      <c r="S1909" s="229">
        <v>0</v>
      </c>
      <c r="T1909" s="229">
        <v>0</v>
      </c>
      <c r="U1909" s="229">
        <v>0</v>
      </c>
      <c r="V1909" s="229">
        <v>0</v>
      </c>
      <c r="W1909" s="229">
        <v>0</v>
      </c>
      <c r="X1909" s="229">
        <v>0</v>
      </c>
      <c r="Y1909" s="229">
        <v>0</v>
      </c>
      <c r="Z1909" s="229">
        <v>0</v>
      </c>
      <c r="AA1909" s="229">
        <v>0</v>
      </c>
      <c r="AB1909" s="229">
        <v>0</v>
      </c>
      <c r="AC1909" s="12">
        <v>1</v>
      </c>
      <c r="AD1909" s="14">
        <v>1</v>
      </c>
      <c r="AE1909" s="14">
        <v>0</v>
      </c>
      <c r="AF1909" s="26">
        <v>0</v>
      </c>
      <c r="AG1909" s="12">
        <v>130</v>
      </c>
      <c r="AH1909" s="14">
        <v>0</v>
      </c>
      <c r="AI1909" s="209"/>
      <c r="AJ1909" s="3"/>
      <c r="AK1909" s="3"/>
      <c r="AL1909" s="3"/>
      <c r="AM1909" s="3"/>
      <c r="AN1909" s="3"/>
      <c r="AO1909" s="40"/>
      <c r="AP1909" s="209"/>
      <c r="AQ1909" s="3"/>
      <c r="AR1909" s="40"/>
      <c r="AS1909" s="238"/>
    </row>
    <row r="1910" spans="1:45" s="229" customFormat="1">
      <c r="A1910" s="42" t="s">
        <v>320</v>
      </c>
      <c r="B1910" s="386">
        <v>-0.86499999999999999</v>
      </c>
      <c r="C1910" s="229" t="s">
        <v>296</v>
      </c>
      <c r="D1910" s="229" t="s">
        <v>634</v>
      </c>
      <c r="E1910" s="229" t="s">
        <v>2</v>
      </c>
      <c r="F1910" s="229">
        <v>630</v>
      </c>
      <c r="G1910" s="40">
        <f>F1910/518</f>
        <v>1.2162162162162162</v>
      </c>
      <c r="H1910" s="14">
        <v>0</v>
      </c>
      <c r="I1910" s="229">
        <v>0</v>
      </c>
      <c r="J1910" s="229">
        <v>0</v>
      </c>
      <c r="K1910" s="26">
        <v>1</v>
      </c>
      <c r="L1910" s="14">
        <v>1</v>
      </c>
      <c r="M1910" s="229">
        <v>0</v>
      </c>
      <c r="N1910" s="229">
        <v>0</v>
      </c>
      <c r="O1910" s="229">
        <v>0</v>
      </c>
      <c r="P1910" s="26">
        <v>1</v>
      </c>
      <c r="Q1910" s="14">
        <v>5</v>
      </c>
      <c r="R1910" s="229">
        <v>0</v>
      </c>
      <c r="S1910" s="229">
        <v>0</v>
      </c>
      <c r="T1910" s="229">
        <v>0</v>
      </c>
      <c r="U1910" s="229">
        <v>0</v>
      </c>
      <c r="V1910" s="229">
        <v>0</v>
      </c>
      <c r="W1910" s="229">
        <v>0</v>
      </c>
      <c r="X1910" s="229">
        <v>0</v>
      </c>
      <c r="Y1910" s="229">
        <v>8</v>
      </c>
      <c r="Z1910" s="229">
        <v>48</v>
      </c>
      <c r="AA1910" s="229">
        <v>88</v>
      </c>
      <c r="AB1910" s="229">
        <v>0</v>
      </c>
      <c r="AC1910" s="12">
        <v>2</v>
      </c>
      <c r="AD1910" s="14">
        <v>2</v>
      </c>
      <c r="AE1910" s="14">
        <v>380</v>
      </c>
      <c r="AF1910" s="26">
        <v>518</v>
      </c>
      <c r="AG1910" s="12">
        <v>130</v>
      </c>
      <c r="AH1910" s="14">
        <v>0</v>
      </c>
      <c r="AI1910" s="209"/>
      <c r="AJ1910" s="3"/>
      <c r="AK1910" s="3"/>
      <c r="AL1910" s="3"/>
      <c r="AM1910" s="3"/>
      <c r="AN1910" s="3"/>
      <c r="AO1910" s="40"/>
      <c r="AP1910" s="209"/>
      <c r="AQ1910" s="3"/>
      <c r="AR1910" s="40"/>
      <c r="AS1910" s="238"/>
    </row>
    <row r="1911" spans="1:45" s="229" customFormat="1" ht="17" thickBot="1">
      <c r="A1911" s="55" t="s">
        <v>320</v>
      </c>
      <c r="B1911" s="385">
        <v>-0.86499999999999999</v>
      </c>
      <c r="C1911" s="36" t="s">
        <v>296</v>
      </c>
      <c r="D1911" s="36" t="s">
        <v>625</v>
      </c>
      <c r="E1911" s="36"/>
      <c r="F1911" s="36">
        <v>393</v>
      </c>
      <c r="G1911" s="48">
        <f>F1911/234</f>
        <v>1.6794871794871795</v>
      </c>
      <c r="H1911" s="34">
        <v>0</v>
      </c>
      <c r="I1911" s="36">
        <v>0</v>
      </c>
      <c r="J1911" s="36">
        <v>1</v>
      </c>
      <c r="K1911" s="35">
        <v>0</v>
      </c>
      <c r="L1911" s="34">
        <v>1</v>
      </c>
      <c r="M1911" s="36">
        <v>0</v>
      </c>
      <c r="N1911" s="36">
        <v>0</v>
      </c>
      <c r="O1911" s="36">
        <v>0</v>
      </c>
      <c r="P1911" s="35">
        <v>1</v>
      </c>
      <c r="Q1911" s="34">
        <v>0</v>
      </c>
      <c r="R1911" s="36">
        <v>0</v>
      </c>
      <c r="S1911" s="36">
        <v>0</v>
      </c>
      <c r="T1911" s="36">
        <v>0</v>
      </c>
      <c r="U1911" s="36">
        <v>0</v>
      </c>
      <c r="V1911" s="36">
        <v>0</v>
      </c>
      <c r="W1911" s="36">
        <v>0</v>
      </c>
      <c r="X1911" s="36">
        <v>0</v>
      </c>
      <c r="Y1911" s="36">
        <v>0</v>
      </c>
      <c r="Z1911" s="36">
        <v>0</v>
      </c>
      <c r="AA1911" s="36">
        <v>0</v>
      </c>
      <c r="AB1911" s="36">
        <v>0</v>
      </c>
      <c r="AC1911" s="33">
        <v>1</v>
      </c>
      <c r="AD1911" s="34">
        <v>1</v>
      </c>
      <c r="AE1911" s="34">
        <v>0</v>
      </c>
      <c r="AF1911" s="35">
        <v>0</v>
      </c>
      <c r="AG1911" s="33">
        <v>95</v>
      </c>
      <c r="AH1911" s="34">
        <v>0</v>
      </c>
      <c r="AI1911" s="210"/>
      <c r="AJ1911" s="51"/>
      <c r="AK1911" s="51"/>
      <c r="AL1911" s="51"/>
      <c r="AM1911" s="51"/>
      <c r="AN1911" s="51"/>
      <c r="AO1911" s="48"/>
      <c r="AP1911" s="210"/>
      <c r="AQ1911" s="51"/>
      <c r="AR1911" s="48"/>
      <c r="AS1911" s="239"/>
    </row>
    <row r="1912" spans="1:45" s="229" customFormat="1">
      <c r="A1912" s="147" t="s">
        <v>324</v>
      </c>
      <c r="B1912" s="389">
        <v>22.331666666666667</v>
      </c>
      <c r="C1912" s="8" t="s">
        <v>767</v>
      </c>
      <c r="D1912" s="8" t="s">
        <v>622</v>
      </c>
      <c r="E1912" s="8" t="s">
        <v>0</v>
      </c>
      <c r="F1912" s="8">
        <v>324</v>
      </c>
      <c r="G1912" s="10">
        <f>F1912/190</f>
        <v>1.7052631578947368</v>
      </c>
      <c r="H1912" s="11">
        <v>1</v>
      </c>
      <c r="I1912" s="8">
        <v>0</v>
      </c>
      <c r="J1912" s="8">
        <v>0</v>
      </c>
      <c r="K1912" s="41">
        <v>0</v>
      </c>
      <c r="L1912" s="11">
        <v>0</v>
      </c>
      <c r="M1912" s="8">
        <v>0</v>
      </c>
      <c r="N1912" s="8">
        <v>0</v>
      </c>
      <c r="O1912" s="8">
        <v>0</v>
      </c>
      <c r="P1912" s="41">
        <v>0</v>
      </c>
      <c r="Q1912" s="11">
        <v>0</v>
      </c>
      <c r="R1912" s="8">
        <v>0</v>
      </c>
      <c r="S1912" s="8">
        <v>0</v>
      </c>
      <c r="T1912" s="8">
        <v>0</v>
      </c>
      <c r="U1912" s="8">
        <v>0</v>
      </c>
      <c r="V1912" s="8">
        <v>0</v>
      </c>
      <c r="W1912" s="8">
        <v>0</v>
      </c>
      <c r="X1912" s="8">
        <v>0</v>
      </c>
      <c r="Y1912" s="8">
        <v>0</v>
      </c>
      <c r="Z1912" s="8">
        <v>0</v>
      </c>
      <c r="AA1912" s="8">
        <v>0</v>
      </c>
      <c r="AB1912" s="8">
        <v>0</v>
      </c>
      <c r="AC1912" s="9">
        <v>1</v>
      </c>
      <c r="AD1912" s="11">
        <v>1</v>
      </c>
      <c r="AE1912" s="11">
        <v>0</v>
      </c>
      <c r="AF1912" s="41">
        <v>0</v>
      </c>
      <c r="AG1912" s="9">
        <v>85</v>
      </c>
      <c r="AH1912" s="11">
        <v>0</v>
      </c>
      <c r="AI1912" s="208"/>
      <c r="AJ1912" s="54"/>
      <c r="AK1912" s="54"/>
      <c r="AL1912" s="54"/>
      <c r="AM1912" s="54"/>
      <c r="AN1912" s="54"/>
      <c r="AO1912" s="10"/>
      <c r="AP1912" s="208"/>
      <c r="AQ1912" s="54"/>
      <c r="AR1912" s="10"/>
      <c r="AS1912" s="237"/>
    </row>
    <row r="1913" spans="1:45" s="229" customFormat="1">
      <c r="A1913" s="83" t="s">
        <v>324</v>
      </c>
      <c r="B1913" s="390">
        <v>22.331666666666667</v>
      </c>
      <c r="C1913" s="229" t="s">
        <v>767</v>
      </c>
      <c r="D1913" s="229" t="s">
        <v>622</v>
      </c>
      <c r="E1913" s="229" t="s">
        <v>1</v>
      </c>
      <c r="F1913" s="229">
        <v>132</v>
      </c>
      <c r="G1913" s="40">
        <f>F1913/92</f>
        <v>1.4347826086956521</v>
      </c>
      <c r="H1913" s="14">
        <v>0</v>
      </c>
      <c r="I1913" s="229">
        <v>0</v>
      </c>
      <c r="J1913" s="229">
        <v>0</v>
      </c>
      <c r="K1913" s="26">
        <v>1</v>
      </c>
      <c r="L1913" s="14">
        <v>0</v>
      </c>
      <c r="M1913" s="229">
        <v>0</v>
      </c>
      <c r="N1913" s="229">
        <v>0</v>
      </c>
      <c r="O1913" s="229">
        <v>0</v>
      </c>
      <c r="P1913" s="26">
        <v>0</v>
      </c>
      <c r="Q1913" s="14">
        <v>0</v>
      </c>
      <c r="R1913" s="229">
        <v>0</v>
      </c>
      <c r="S1913" s="229">
        <v>0</v>
      </c>
      <c r="T1913" s="229">
        <v>0</v>
      </c>
      <c r="U1913" s="229">
        <v>0</v>
      </c>
      <c r="V1913" s="229">
        <v>0</v>
      </c>
      <c r="W1913" s="229">
        <v>0</v>
      </c>
      <c r="X1913" s="229">
        <v>0</v>
      </c>
      <c r="Y1913" s="229">
        <v>0</v>
      </c>
      <c r="Z1913" s="229">
        <v>0</v>
      </c>
      <c r="AA1913" s="229">
        <v>0</v>
      </c>
      <c r="AB1913" s="229">
        <v>0</v>
      </c>
      <c r="AC1913" s="12">
        <v>1</v>
      </c>
      <c r="AD1913" s="14">
        <v>1</v>
      </c>
      <c r="AE1913" s="14">
        <v>0</v>
      </c>
      <c r="AF1913" s="26">
        <v>0</v>
      </c>
      <c r="AG1913" s="12">
        <v>85</v>
      </c>
      <c r="AH1913" s="14">
        <v>0</v>
      </c>
      <c r="AI1913" s="209"/>
      <c r="AJ1913" s="3"/>
      <c r="AK1913" s="3"/>
      <c r="AL1913" s="3"/>
      <c r="AM1913" s="3"/>
      <c r="AN1913" s="3"/>
      <c r="AO1913" s="40"/>
      <c r="AP1913" s="209"/>
      <c r="AQ1913" s="3"/>
      <c r="AR1913" s="40"/>
      <c r="AS1913" s="238"/>
    </row>
    <row r="1914" spans="1:45" s="229" customFormat="1">
      <c r="A1914" s="83" t="s">
        <v>324</v>
      </c>
      <c r="B1914" s="390">
        <v>22.331666666666667</v>
      </c>
      <c r="C1914" s="229" t="s">
        <v>767</v>
      </c>
      <c r="D1914" s="229" t="s">
        <v>622</v>
      </c>
      <c r="E1914" s="229" t="s">
        <v>2</v>
      </c>
      <c r="F1914" s="229">
        <v>760</v>
      </c>
      <c r="G1914" s="40">
        <f>F1914/433</f>
        <v>1.7551963048498844</v>
      </c>
      <c r="H1914" s="14">
        <v>1</v>
      </c>
      <c r="I1914" s="229">
        <v>0</v>
      </c>
      <c r="J1914" s="229">
        <v>1</v>
      </c>
      <c r="K1914" s="26">
        <v>1</v>
      </c>
      <c r="L1914" s="14">
        <v>0</v>
      </c>
      <c r="M1914" s="229">
        <v>0</v>
      </c>
      <c r="N1914" s="229">
        <v>0</v>
      </c>
      <c r="O1914" s="229">
        <v>0</v>
      </c>
      <c r="P1914" s="26">
        <v>0</v>
      </c>
      <c r="Q1914" s="14">
        <v>1</v>
      </c>
      <c r="R1914" s="229">
        <v>0</v>
      </c>
      <c r="S1914" s="229">
        <v>0</v>
      </c>
      <c r="T1914" s="229">
        <v>0</v>
      </c>
      <c r="U1914" s="229">
        <v>0</v>
      </c>
      <c r="V1914" s="229">
        <v>11</v>
      </c>
      <c r="W1914" s="229">
        <v>41</v>
      </c>
      <c r="X1914" s="229">
        <v>0</v>
      </c>
      <c r="Y1914" s="229">
        <v>0</v>
      </c>
      <c r="Z1914" s="229">
        <v>0</v>
      </c>
      <c r="AA1914" s="229">
        <v>0</v>
      </c>
      <c r="AB1914" s="229">
        <v>0</v>
      </c>
      <c r="AC1914" s="12">
        <v>2</v>
      </c>
      <c r="AD1914" s="14">
        <v>6</v>
      </c>
      <c r="AE1914" s="258">
        <v>156</v>
      </c>
      <c r="AF1914" s="259">
        <v>617</v>
      </c>
      <c r="AG1914" s="12">
        <v>85</v>
      </c>
      <c r="AH1914" s="14">
        <v>0</v>
      </c>
      <c r="AI1914" s="209"/>
      <c r="AJ1914" s="3"/>
      <c r="AK1914" s="3"/>
      <c r="AL1914" s="3"/>
      <c r="AM1914" s="3"/>
      <c r="AN1914" s="3"/>
      <c r="AO1914" s="40"/>
      <c r="AP1914" s="209"/>
      <c r="AQ1914" s="3"/>
      <c r="AR1914" s="40"/>
      <c r="AS1914" s="238"/>
    </row>
    <row r="1915" spans="1:45" s="229" customFormat="1">
      <c r="A1915" s="83" t="s">
        <v>324</v>
      </c>
      <c r="B1915" s="390">
        <v>22.331666666666667</v>
      </c>
      <c r="C1915" s="229" t="s">
        <v>767</v>
      </c>
      <c r="D1915" s="229" t="s">
        <v>620</v>
      </c>
      <c r="E1915" s="229" t="s">
        <v>0</v>
      </c>
      <c r="F1915" s="229">
        <v>156</v>
      </c>
      <c r="G1915" s="40">
        <f>F1915/87</f>
        <v>1.7931034482758621</v>
      </c>
      <c r="H1915" s="14">
        <v>0</v>
      </c>
      <c r="I1915" s="229">
        <v>0</v>
      </c>
      <c r="J1915" s="229">
        <v>1</v>
      </c>
      <c r="K1915" s="26">
        <v>0</v>
      </c>
      <c r="L1915" s="14">
        <v>0</v>
      </c>
      <c r="M1915" s="229">
        <v>0</v>
      </c>
      <c r="N1915" s="229">
        <v>0</v>
      </c>
      <c r="O1915" s="229">
        <v>1</v>
      </c>
      <c r="P1915" s="26">
        <v>1</v>
      </c>
      <c r="Q1915" s="14">
        <v>5</v>
      </c>
      <c r="R1915" s="229">
        <v>0</v>
      </c>
      <c r="S1915" s="229">
        <v>0</v>
      </c>
      <c r="T1915" s="229">
        <v>0</v>
      </c>
      <c r="U1915" s="229">
        <v>0</v>
      </c>
      <c r="V1915" s="229">
        <v>0</v>
      </c>
      <c r="W1915" s="229">
        <v>32</v>
      </c>
      <c r="X1915" s="229">
        <v>0</v>
      </c>
      <c r="Y1915" s="229">
        <v>0</v>
      </c>
      <c r="Z1915" s="229">
        <v>0</v>
      </c>
      <c r="AA1915" s="229">
        <v>0</v>
      </c>
      <c r="AB1915" s="229">
        <v>0</v>
      </c>
      <c r="AC1915" s="12">
        <v>1</v>
      </c>
      <c r="AD1915" s="14">
        <v>1</v>
      </c>
      <c r="AE1915" s="14">
        <v>0</v>
      </c>
      <c r="AF1915" s="26">
        <v>0</v>
      </c>
      <c r="AG1915" s="12">
        <v>64</v>
      </c>
      <c r="AH1915" s="14">
        <v>0</v>
      </c>
      <c r="AI1915" s="209"/>
      <c r="AJ1915" s="3"/>
      <c r="AK1915" s="3"/>
      <c r="AL1915" s="3"/>
      <c r="AM1915" s="3"/>
      <c r="AN1915" s="3"/>
      <c r="AO1915" s="40"/>
      <c r="AP1915" s="209"/>
      <c r="AQ1915" s="3"/>
      <c r="AR1915" s="40"/>
      <c r="AS1915" s="238"/>
    </row>
    <row r="1916" spans="1:45" s="229" customFormat="1">
      <c r="A1916" s="83" t="s">
        <v>324</v>
      </c>
      <c r="B1916" s="390">
        <v>22.331666666666667</v>
      </c>
      <c r="C1916" s="229" t="s">
        <v>767</v>
      </c>
      <c r="D1916" s="229" t="s">
        <v>620</v>
      </c>
      <c r="E1916" s="229" t="s">
        <v>1</v>
      </c>
      <c r="F1916" s="229">
        <v>399</v>
      </c>
      <c r="G1916" s="40">
        <f>F1916/387</f>
        <v>1.0310077519379846</v>
      </c>
      <c r="H1916" s="14">
        <v>0</v>
      </c>
      <c r="I1916" s="229">
        <v>0</v>
      </c>
      <c r="J1916" s="229">
        <v>1</v>
      </c>
      <c r="K1916" s="26">
        <v>1</v>
      </c>
      <c r="L1916" s="14">
        <v>1</v>
      </c>
      <c r="M1916" s="229">
        <v>0</v>
      </c>
      <c r="N1916" s="229">
        <v>0</v>
      </c>
      <c r="O1916" s="229">
        <v>0</v>
      </c>
      <c r="P1916" s="26">
        <v>1</v>
      </c>
      <c r="Q1916" s="14">
        <v>3</v>
      </c>
      <c r="R1916" s="229">
        <v>0</v>
      </c>
      <c r="S1916" s="229">
        <v>0</v>
      </c>
      <c r="T1916" s="229">
        <v>0</v>
      </c>
      <c r="U1916" s="229">
        <v>0</v>
      </c>
      <c r="V1916" s="229">
        <v>14</v>
      </c>
      <c r="W1916" s="229">
        <v>43</v>
      </c>
      <c r="X1916" s="229">
        <v>0</v>
      </c>
      <c r="Y1916" s="229">
        <v>0</v>
      </c>
      <c r="Z1916" s="229">
        <v>0</v>
      </c>
      <c r="AA1916" s="229">
        <v>0</v>
      </c>
      <c r="AB1916" s="229">
        <v>0</v>
      </c>
      <c r="AC1916" s="12">
        <v>2</v>
      </c>
      <c r="AD1916" s="14">
        <v>2</v>
      </c>
      <c r="AE1916" s="258">
        <v>290</v>
      </c>
      <c r="AF1916" s="259">
        <v>300</v>
      </c>
      <c r="AG1916" s="12">
        <v>64</v>
      </c>
      <c r="AH1916" s="14">
        <v>0</v>
      </c>
      <c r="AI1916" s="209"/>
      <c r="AJ1916" s="3"/>
      <c r="AK1916" s="3"/>
      <c r="AL1916" s="3"/>
      <c r="AM1916" s="3"/>
      <c r="AN1916" s="3"/>
      <c r="AO1916" s="40"/>
      <c r="AP1916" s="209"/>
      <c r="AQ1916" s="3"/>
      <c r="AR1916" s="40"/>
      <c r="AS1916" s="238"/>
    </row>
    <row r="1917" spans="1:45" s="229" customFormat="1">
      <c r="A1917" s="83" t="s">
        <v>324</v>
      </c>
      <c r="B1917" s="390">
        <v>22.331666666666667</v>
      </c>
      <c r="C1917" s="229" t="s">
        <v>767</v>
      </c>
      <c r="D1917" s="229" t="s">
        <v>620</v>
      </c>
      <c r="E1917" s="229" t="s">
        <v>2</v>
      </c>
      <c r="F1917" s="229">
        <v>369</v>
      </c>
      <c r="G1917" s="40">
        <f>F1917/255</f>
        <v>1.4470588235294117</v>
      </c>
      <c r="H1917" s="14">
        <v>0</v>
      </c>
      <c r="I1917" s="229">
        <v>0</v>
      </c>
      <c r="J1917" s="229">
        <v>1</v>
      </c>
      <c r="K1917" s="26">
        <v>0</v>
      </c>
      <c r="L1917" s="14">
        <v>1</v>
      </c>
      <c r="M1917" s="229">
        <v>0</v>
      </c>
      <c r="N1917" s="229">
        <v>0</v>
      </c>
      <c r="O1917" s="229">
        <v>0</v>
      </c>
      <c r="P1917" s="26">
        <v>1</v>
      </c>
      <c r="Q1917" s="14">
        <v>2</v>
      </c>
      <c r="R1917" s="229">
        <v>0</v>
      </c>
      <c r="S1917" s="229">
        <v>0</v>
      </c>
      <c r="T1917" s="229">
        <v>0</v>
      </c>
      <c r="U1917" s="229">
        <v>0</v>
      </c>
      <c r="V1917" s="229">
        <v>0</v>
      </c>
      <c r="W1917" s="229">
        <v>22</v>
      </c>
      <c r="X1917" s="229">
        <v>0</v>
      </c>
      <c r="Y1917" s="229">
        <v>0</v>
      </c>
      <c r="Z1917" s="229">
        <v>0</v>
      </c>
      <c r="AA1917" s="229">
        <v>0</v>
      </c>
      <c r="AB1917" s="229">
        <v>0</v>
      </c>
      <c r="AC1917" s="12">
        <v>1</v>
      </c>
      <c r="AD1917" s="14">
        <v>1</v>
      </c>
      <c r="AE1917" s="14">
        <v>0</v>
      </c>
      <c r="AF1917" s="26">
        <v>0</v>
      </c>
      <c r="AG1917" s="12">
        <v>64</v>
      </c>
      <c r="AH1917" s="14">
        <v>0</v>
      </c>
      <c r="AI1917" s="209"/>
      <c r="AJ1917" s="3"/>
      <c r="AK1917" s="3"/>
      <c r="AL1917" s="3"/>
      <c r="AM1917" s="3"/>
      <c r="AN1917" s="3"/>
      <c r="AO1917" s="40"/>
      <c r="AP1917" s="209"/>
      <c r="AQ1917" s="3"/>
      <c r="AR1917" s="40"/>
      <c r="AS1917" s="238"/>
    </row>
    <row r="1918" spans="1:45" s="229" customFormat="1">
      <c r="A1918" s="83" t="s">
        <v>324</v>
      </c>
      <c r="B1918" s="390">
        <v>22.331666666666667</v>
      </c>
      <c r="C1918" s="229" t="s">
        <v>767</v>
      </c>
      <c r="D1918" s="229" t="s">
        <v>629</v>
      </c>
      <c r="F1918" s="229">
        <v>348</v>
      </c>
      <c r="G1918" s="40">
        <f>F1918/201</f>
        <v>1.7313432835820894</v>
      </c>
      <c r="H1918" s="14">
        <v>0</v>
      </c>
      <c r="I1918" s="229">
        <v>0</v>
      </c>
      <c r="J1918" s="229">
        <v>1</v>
      </c>
      <c r="K1918" s="26">
        <v>0</v>
      </c>
      <c r="L1918" s="14">
        <v>0</v>
      </c>
      <c r="M1918" s="229">
        <v>1</v>
      </c>
      <c r="N1918" s="229">
        <v>0</v>
      </c>
      <c r="O1918" s="229">
        <v>0</v>
      </c>
      <c r="P1918" s="26">
        <v>1</v>
      </c>
      <c r="Q1918" s="14">
        <v>6</v>
      </c>
      <c r="R1918" s="229">
        <v>5</v>
      </c>
      <c r="S1918" s="229">
        <v>9</v>
      </c>
      <c r="T1918" s="229">
        <v>0</v>
      </c>
      <c r="U1918" s="229">
        <v>0</v>
      </c>
      <c r="V1918" s="229">
        <v>56</v>
      </c>
      <c r="W1918" s="229">
        <v>66</v>
      </c>
      <c r="X1918" s="229">
        <v>0</v>
      </c>
      <c r="Y1918" s="229">
        <v>0</v>
      </c>
      <c r="Z1918" s="229">
        <v>0</v>
      </c>
      <c r="AA1918" s="229">
        <v>86</v>
      </c>
      <c r="AB1918" s="229">
        <v>0</v>
      </c>
      <c r="AC1918" s="12">
        <v>1</v>
      </c>
      <c r="AD1918" s="14">
        <v>1</v>
      </c>
      <c r="AE1918" s="14">
        <v>0</v>
      </c>
      <c r="AF1918" s="26">
        <v>0</v>
      </c>
      <c r="AG1918" s="12">
        <v>62</v>
      </c>
      <c r="AH1918" s="14">
        <v>0</v>
      </c>
      <c r="AI1918" s="209"/>
      <c r="AJ1918" s="3"/>
      <c r="AK1918" s="3"/>
      <c r="AL1918" s="3"/>
      <c r="AM1918" s="3"/>
      <c r="AN1918" s="3"/>
      <c r="AO1918" s="40"/>
      <c r="AP1918" s="209"/>
      <c r="AQ1918" s="3"/>
      <c r="AR1918" s="40"/>
      <c r="AS1918" s="238"/>
    </row>
    <row r="1919" spans="1:45" s="229" customFormat="1">
      <c r="A1919" s="83" t="s">
        <v>324</v>
      </c>
      <c r="B1919" s="390">
        <v>22.331666666666667</v>
      </c>
      <c r="C1919" s="229" t="s">
        <v>767</v>
      </c>
      <c r="D1919" s="229" t="s">
        <v>634</v>
      </c>
      <c r="F1919" s="229">
        <v>429</v>
      </c>
      <c r="G1919" s="40">
        <f>F1919/251</f>
        <v>1.7091633466135459</v>
      </c>
      <c r="H1919" s="14">
        <v>0</v>
      </c>
      <c r="I1919" s="229">
        <v>0</v>
      </c>
      <c r="J1919" s="229">
        <v>0</v>
      </c>
      <c r="K1919" s="26">
        <v>1</v>
      </c>
      <c r="L1919" s="14">
        <v>0</v>
      </c>
      <c r="M1919" s="229">
        <v>0</v>
      </c>
      <c r="N1919" s="229">
        <v>0</v>
      </c>
      <c r="O1919" s="229">
        <v>1</v>
      </c>
      <c r="P1919" s="26">
        <v>1</v>
      </c>
      <c r="Q1919" s="14">
        <v>1</v>
      </c>
      <c r="R1919" s="229">
        <v>0</v>
      </c>
      <c r="S1919" s="229">
        <v>0</v>
      </c>
      <c r="T1919" s="229">
        <v>0</v>
      </c>
      <c r="U1919" s="229">
        <v>0</v>
      </c>
      <c r="V1919" s="229">
        <v>0</v>
      </c>
      <c r="W1919" s="229">
        <v>42</v>
      </c>
      <c r="X1919" s="229">
        <v>0</v>
      </c>
      <c r="Y1919" s="229">
        <v>0</v>
      </c>
      <c r="Z1919" s="229">
        <v>0</v>
      </c>
      <c r="AA1919" s="229">
        <v>0</v>
      </c>
      <c r="AB1919" s="229">
        <v>0</v>
      </c>
      <c r="AC1919" s="12">
        <v>2</v>
      </c>
      <c r="AD1919" s="14">
        <v>3</v>
      </c>
      <c r="AE1919" s="258">
        <v>266</v>
      </c>
      <c r="AF1919" s="259">
        <v>429</v>
      </c>
      <c r="AG1919" s="12">
        <v>70</v>
      </c>
      <c r="AH1919" s="14">
        <v>0</v>
      </c>
      <c r="AI1919" s="209"/>
      <c r="AJ1919" s="3"/>
      <c r="AK1919" s="3"/>
      <c r="AL1919" s="3"/>
      <c r="AM1919" s="3"/>
      <c r="AN1919" s="3"/>
      <c r="AO1919" s="40"/>
      <c r="AP1919" s="209"/>
      <c r="AQ1919" s="3"/>
      <c r="AR1919" s="40"/>
      <c r="AS1919" s="238"/>
    </row>
    <row r="1920" spans="1:45" s="229" customFormat="1">
      <c r="A1920" s="83" t="s">
        <v>324</v>
      </c>
      <c r="B1920" s="390">
        <v>22.331666666666667</v>
      </c>
      <c r="C1920" s="229" t="s">
        <v>767</v>
      </c>
      <c r="D1920" s="229" t="s">
        <v>625</v>
      </c>
      <c r="E1920" s="229" t="s">
        <v>0</v>
      </c>
      <c r="F1920" s="229">
        <v>384</v>
      </c>
      <c r="G1920" s="40">
        <f>F1920/319</f>
        <v>1.2037617554858935</v>
      </c>
      <c r="H1920" s="14">
        <v>0</v>
      </c>
      <c r="I1920" s="229">
        <v>0</v>
      </c>
      <c r="J1920" s="229">
        <v>1</v>
      </c>
      <c r="K1920" s="26">
        <v>0</v>
      </c>
      <c r="L1920" s="14">
        <v>1</v>
      </c>
      <c r="M1920" s="229">
        <v>0</v>
      </c>
      <c r="N1920" s="229">
        <v>0</v>
      </c>
      <c r="O1920" s="229">
        <v>0</v>
      </c>
      <c r="P1920" s="26">
        <v>1</v>
      </c>
      <c r="Q1920" s="14">
        <v>8</v>
      </c>
      <c r="R1920" s="229">
        <v>0</v>
      </c>
      <c r="S1920" s="229">
        <v>12</v>
      </c>
      <c r="T1920" s="229">
        <v>0</v>
      </c>
      <c r="U1920" s="229">
        <v>0</v>
      </c>
      <c r="V1920" s="229">
        <v>7</v>
      </c>
      <c r="W1920" s="229">
        <v>132</v>
      </c>
      <c r="X1920" s="229">
        <v>0</v>
      </c>
      <c r="Y1920" s="229">
        <v>0</v>
      </c>
      <c r="Z1920" s="229">
        <v>0</v>
      </c>
      <c r="AA1920" s="229">
        <v>0</v>
      </c>
      <c r="AB1920" s="229">
        <v>0</v>
      </c>
      <c r="AC1920" s="12">
        <v>1</v>
      </c>
      <c r="AD1920" s="14">
        <v>1</v>
      </c>
      <c r="AE1920" s="14">
        <v>0</v>
      </c>
      <c r="AF1920" s="26">
        <v>0</v>
      </c>
      <c r="AG1920" s="12">
        <v>66</v>
      </c>
      <c r="AH1920" s="14">
        <v>0</v>
      </c>
      <c r="AI1920" s="209">
        <v>80.581620809950138</v>
      </c>
      <c r="AJ1920" s="3"/>
      <c r="AK1920" s="3"/>
      <c r="AL1920" s="3"/>
      <c r="AM1920" s="3"/>
      <c r="AN1920" s="3"/>
      <c r="AO1920" s="40"/>
      <c r="AP1920" s="209">
        <v>79.523634230609787</v>
      </c>
      <c r="AQ1920" s="3">
        <v>80.075193922367831</v>
      </c>
      <c r="AR1920" s="40"/>
      <c r="AS1920" s="238"/>
    </row>
    <row r="1921" spans="1:45" s="229" customFormat="1">
      <c r="A1921" s="83" t="s">
        <v>324</v>
      </c>
      <c r="B1921" s="390">
        <v>22.331666666666667</v>
      </c>
      <c r="C1921" s="229" t="s">
        <v>767</v>
      </c>
      <c r="D1921" s="229" t="s">
        <v>625</v>
      </c>
      <c r="E1921" s="229" t="s">
        <v>1</v>
      </c>
      <c r="F1921" s="229">
        <v>159</v>
      </c>
      <c r="G1921" s="40">
        <f>F1921/115</f>
        <v>1.3826086956521739</v>
      </c>
      <c r="H1921" s="14">
        <v>1</v>
      </c>
      <c r="I1921" s="229">
        <v>0</v>
      </c>
      <c r="J1921" s="229">
        <v>0</v>
      </c>
      <c r="K1921" s="26">
        <v>0</v>
      </c>
      <c r="L1921" s="14">
        <v>1</v>
      </c>
      <c r="M1921" s="229">
        <v>0</v>
      </c>
      <c r="N1921" s="229">
        <v>0</v>
      </c>
      <c r="O1921" s="229">
        <v>0</v>
      </c>
      <c r="P1921" s="26">
        <v>1</v>
      </c>
      <c r="Q1921" s="14">
        <v>0</v>
      </c>
      <c r="R1921" s="229">
        <v>0</v>
      </c>
      <c r="S1921" s="229">
        <v>0</v>
      </c>
      <c r="T1921" s="229">
        <v>0</v>
      </c>
      <c r="U1921" s="229">
        <v>0</v>
      </c>
      <c r="V1921" s="229">
        <v>0</v>
      </c>
      <c r="W1921" s="229">
        <v>0</v>
      </c>
      <c r="X1921" s="229">
        <v>0</v>
      </c>
      <c r="Y1921" s="229">
        <v>0</v>
      </c>
      <c r="Z1921" s="229">
        <v>0</v>
      </c>
      <c r="AA1921" s="229">
        <v>0</v>
      </c>
      <c r="AB1921" s="229">
        <v>0</v>
      </c>
      <c r="AC1921" s="12">
        <v>1</v>
      </c>
      <c r="AD1921" s="14">
        <v>1</v>
      </c>
      <c r="AE1921" s="14">
        <v>0</v>
      </c>
      <c r="AF1921" s="26">
        <v>0</v>
      </c>
      <c r="AG1921" s="12">
        <v>66</v>
      </c>
      <c r="AH1921" s="14">
        <v>0</v>
      </c>
      <c r="AI1921" s="209"/>
      <c r="AJ1921" s="3"/>
      <c r="AK1921" s="3"/>
      <c r="AL1921" s="3"/>
      <c r="AM1921" s="3"/>
      <c r="AN1921" s="3"/>
      <c r="AO1921" s="40"/>
      <c r="AP1921" s="209"/>
      <c r="AQ1921" s="3"/>
      <c r="AR1921" s="40"/>
      <c r="AS1921" s="238"/>
    </row>
    <row r="1922" spans="1:45" s="229" customFormat="1">
      <c r="A1922" s="83" t="s">
        <v>324</v>
      </c>
      <c r="B1922" s="390">
        <v>22.331666666666667</v>
      </c>
      <c r="C1922" s="229" t="s">
        <v>767</v>
      </c>
      <c r="D1922" s="229" t="s">
        <v>630</v>
      </c>
      <c r="E1922" s="229" t="s">
        <v>0</v>
      </c>
      <c r="F1922" s="229">
        <v>348</v>
      </c>
      <c r="G1922" s="40">
        <f>F1922/278</f>
        <v>1.2517985611510791</v>
      </c>
      <c r="H1922" s="14">
        <v>0</v>
      </c>
      <c r="I1922" s="229">
        <v>0</v>
      </c>
      <c r="J1922" s="229">
        <v>0</v>
      </c>
      <c r="K1922" s="26">
        <v>1</v>
      </c>
      <c r="L1922" s="14">
        <v>0</v>
      </c>
      <c r="M1922" s="229">
        <v>0</v>
      </c>
      <c r="N1922" s="229">
        <v>0</v>
      </c>
      <c r="O1922" s="229">
        <v>0</v>
      </c>
      <c r="P1922" s="26">
        <v>0</v>
      </c>
      <c r="Q1922" s="14">
        <v>5</v>
      </c>
      <c r="R1922" s="229">
        <v>0</v>
      </c>
      <c r="S1922" s="229">
        <v>0</v>
      </c>
      <c r="T1922" s="229">
        <v>0</v>
      </c>
      <c r="U1922" s="229">
        <v>0</v>
      </c>
      <c r="V1922" s="229">
        <v>0</v>
      </c>
      <c r="W1922" s="229">
        <v>75</v>
      </c>
      <c r="X1922" s="229">
        <v>0</v>
      </c>
      <c r="Y1922" s="229">
        <v>0</v>
      </c>
      <c r="Z1922" s="229">
        <v>0</v>
      </c>
      <c r="AA1922" s="229">
        <v>0</v>
      </c>
      <c r="AB1922" s="229">
        <v>0</v>
      </c>
      <c r="AC1922" s="12">
        <v>2</v>
      </c>
      <c r="AD1922" s="14">
        <v>2</v>
      </c>
      <c r="AE1922" s="258">
        <v>277</v>
      </c>
      <c r="AF1922" s="259">
        <v>296</v>
      </c>
      <c r="AG1922" s="12">
        <v>63</v>
      </c>
      <c r="AH1922" s="14">
        <v>0</v>
      </c>
      <c r="AI1922" s="209"/>
      <c r="AJ1922" s="3"/>
      <c r="AK1922" s="3"/>
      <c r="AL1922" s="3"/>
      <c r="AM1922" s="3"/>
      <c r="AN1922" s="3"/>
      <c r="AO1922" s="40"/>
      <c r="AP1922" s="209"/>
      <c r="AQ1922" s="3"/>
      <c r="AR1922" s="40"/>
      <c r="AS1922" s="238"/>
    </row>
    <row r="1923" spans="1:45" s="229" customFormat="1">
      <c r="A1923" s="83" t="s">
        <v>324</v>
      </c>
      <c r="B1923" s="390">
        <v>22.331666666666667</v>
      </c>
      <c r="C1923" s="229" t="s">
        <v>767</v>
      </c>
      <c r="D1923" s="229" t="s">
        <v>630</v>
      </c>
      <c r="E1923" s="229" t="s">
        <v>1</v>
      </c>
      <c r="F1923" s="229">
        <v>465</v>
      </c>
      <c r="G1923" s="40">
        <f>F1923/355</f>
        <v>1.3098591549295775</v>
      </c>
      <c r="H1923" s="14">
        <v>0</v>
      </c>
      <c r="I1923" s="229">
        <v>0</v>
      </c>
      <c r="J1923" s="229">
        <v>1</v>
      </c>
      <c r="K1923" s="26">
        <v>1</v>
      </c>
      <c r="L1923" s="14">
        <v>0</v>
      </c>
      <c r="M1923" s="229">
        <v>0</v>
      </c>
      <c r="N1923" s="229">
        <v>0</v>
      </c>
      <c r="O1923" s="229">
        <v>0</v>
      </c>
      <c r="P1923" s="26">
        <v>0</v>
      </c>
      <c r="Q1923" s="14">
        <v>0</v>
      </c>
      <c r="R1923" s="229">
        <v>0</v>
      </c>
      <c r="S1923" s="229">
        <v>0</v>
      </c>
      <c r="T1923" s="229">
        <v>0</v>
      </c>
      <c r="U1923" s="229">
        <v>0</v>
      </c>
      <c r="V1923" s="229">
        <v>0</v>
      </c>
      <c r="W1923" s="229">
        <v>0</v>
      </c>
      <c r="X1923" s="229">
        <v>0</v>
      </c>
      <c r="Y1923" s="229">
        <v>0</v>
      </c>
      <c r="Z1923" s="229">
        <v>0</v>
      </c>
      <c r="AA1923" s="229">
        <v>0</v>
      </c>
      <c r="AB1923" s="229">
        <v>0</v>
      </c>
      <c r="AC1923" s="12">
        <v>2</v>
      </c>
      <c r="AD1923" s="14">
        <v>5</v>
      </c>
      <c r="AE1923" s="258">
        <v>69</v>
      </c>
      <c r="AF1923" s="259">
        <v>353</v>
      </c>
      <c r="AG1923" s="12">
        <v>63</v>
      </c>
      <c r="AH1923" s="14">
        <v>0</v>
      </c>
      <c r="AI1923" s="209"/>
      <c r="AJ1923" s="3"/>
      <c r="AK1923" s="3"/>
      <c r="AL1923" s="3"/>
      <c r="AM1923" s="3"/>
      <c r="AN1923" s="3"/>
      <c r="AO1923" s="40"/>
      <c r="AP1923" s="209"/>
      <c r="AQ1923" s="3"/>
      <c r="AR1923" s="40"/>
      <c r="AS1923" s="238"/>
    </row>
    <row r="1924" spans="1:45" s="229" customFormat="1">
      <c r="A1924" s="83" t="s">
        <v>324</v>
      </c>
      <c r="B1924" s="390">
        <v>22.331666666666667</v>
      </c>
      <c r="C1924" s="229" t="s">
        <v>767</v>
      </c>
      <c r="D1924" s="229" t="s">
        <v>637</v>
      </c>
      <c r="F1924" s="229">
        <v>749</v>
      </c>
      <c r="G1924" s="40">
        <f>F1924/666</f>
        <v>1.1246246246246245</v>
      </c>
      <c r="H1924" s="14">
        <v>0</v>
      </c>
      <c r="I1924" s="229">
        <v>0</v>
      </c>
      <c r="J1924" s="229">
        <v>1</v>
      </c>
      <c r="K1924" s="26">
        <v>0</v>
      </c>
      <c r="L1924" s="14">
        <v>0</v>
      </c>
      <c r="M1924" s="229">
        <v>0</v>
      </c>
      <c r="N1924" s="229">
        <v>0</v>
      </c>
      <c r="O1924" s="229">
        <v>1</v>
      </c>
      <c r="P1924" s="26">
        <v>1</v>
      </c>
      <c r="Q1924" s="14">
        <v>10</v>
      </c>
      <c r="R1924" s="229">
        <v>12</v>
      </c>
      <c r="S1924" s="229">
        <v>80</v>
      </c>
      <c r="T1924" s="229">
        <v>0</v>
      </c>
      <c r="U1924" s="229">
        <v>0</v>
      </c>
      <c r="V1924" s="229">
        <v>8</v>
      </c>
      <c r="W1924" s="229">
        <v>83</v>
      </c>
      <c r="X1924" s="229">
        <v>0</v>
      </c>
      <c r="Y1924" s="229">
        <v>0</v>
      </c>
      <c r="Z1924" s="229">
        <v>0</v>
      </c>
      <c r="AA1924" s="229">
        <v>115</v>
      </c>
      <c r="AB1924" s="229">
        <v>0</v>
      </c>
      <c r="AC1924" s="12">
        <v>2</v>
      </c>
      <c r="AD1924" s="14">
        <v>2</v>
      </c>
      <c r="AE1924" s="258">
        <v>662</v>
      </c>
      <c r="AF1924" s="259">
        <v>710</v>
      </c>
      <c r="AG1924" s="12">
        <v>63</v>
      </c>
      <c r="AH1924" s="14">
        <v>0</v>
      </c>
      <c r="AI1924" s="209"/>
      <c r="AJ1924" s="3"/>
      <c r="AK1924" s="3"/>
      <c r="AL1924" s="3"/>
      <c r="AM1924" s="3"/>
      <c r="AN1924" s="3"/>
      <c r="AO1924" s="40"/>
      <c r="AP1924" s="209"/>
      <c r="AQ1924" s="3"/>
      <c r="AR1924" s="40"/>
      <c r="AS1924" s="238"/>
    </row>
    <row r="1925" spans="1:45" s="229" customFormat="1">
      <c r="A1925" s="83" t="s">
        <v>324</v>
      </c>
      <c r="B1925" s="390">
        <v>22.331666666666667</v>
      </c>
      <c r="C1925" s="229" t="s">
        <v>767</v>
      </c>
      <c r="D1925" s="229" t="s">
        <v>639</v>
      </c>
      <c r="F1925" s="229">
        <v>1105</v>
      </c>
      <c r="G1925" s="40">
        <f>F1925/2-3</f>
        <v>549.5</v>
      </c>
      <c r="H1925" s="14">
        <v>0</v>
      </c>
      <c r="I1925" s="229">
        <v>0</v>
      </c>
      <c r="J1925" s="229">
        <v>1</v>
      </c>
      <c r="K1925" s="26">
        <v>0</v>
      </c>
      <c r="L1925" s="14">
        <v>0</v>
      </c>
      <c r="M1925" s="229">
        <v>0</v>
      </c>
      <c r="N1925" s="229">
        <v>0</v>
      </c>
      <c r="O1925" s="229">
        <v>1</v>
      </c>
      <c r="P1925" s="26">
        <v>1</v>
      </c>
      <c r="Q1925" s="14">
        <v>1</v>
      </c>
      <c r="R1925" s="229">
        <v>0</v>
      </c>
      <c r="S1925" s="229">
        <v>0</v>
      </c>
      <c r="T1925" s="229">
        <v>0</v>
      </c>
      <c r="U1925" s="229">
        <v>0</v>
      </c>
      <c r="V1925" s="229">
        <v>16</v>
      </c>
      <c r="W1925" s="229">
        <v>30</v>
      </c>
      <c r="X1925" s="229">
        <v>0</v>
      </c>
      <c r="Y1925" s="229">
        <v>0</v>
      </c>
      <c r="Z1925" s="229">
        <v>0</v>
      </c>
      <c r="AA1925" s="229">
        <v>0</v>
      </c>
      <c r="AB1925" s="229">
        <v>0</v>
      </c>
      <c r="AC1925" s="12">
        <v>1</v>
      </c>
      <c r="AD1925" s="14">
        <v>1</v>
      </c>
      <c r="AE1925" s="14">
        <v>0</v>
      </c>
      <c r="AF1925" s="26">
        <v>0</v>
      </c>
      <c r="AG1925" s="12">
        <v>64</v>
      </c>
      <c r="AH1925" s="14">
        <v>0</v>
      </c>
      <c r="AI1925" s="209"/>
      <c r="AJ1925" s="3"/>
      <c r="AK1925" s="3"/>
      <c r="AL1925" s="3"/>
      <c r="AM1925" s="3"/>
      <c r="AN1925" s="3"/>
      <c r="AO1925" s="40"/>
      <c r="AP1925" s="209"/>
      <c r="AQ1925" s="3"/>
      <c r="AR1925" s="40"/>
      <c r="AS1925" s="238"/>
    </row>
    <row r="1926" spans="1:45" s="229" customFormat="1">
      <c r="A1926" s="83" t="s">
        <v>324</v>
      </c>
      <c r="B1926" s="390">
        <v>22.331666666666667</v>
      </c>
      <c r="C1926" s="229" t="s">
        <v>767</v>
      </c>
      <c r="D1926" s="229" t="s">
        <v>640</v>
      </c>
      <c r="E1926" s="229" t="s">
        <v>0</v>
      </c>
      <c r="F1926" s="229">
        <v>374</v>
      </c>
      <c r="G1926" s="40">
        <f>F1926/249</f>
        <v>1.5020080321285141</v>
      </c>
      <c r="H1926" s="14">
        <v>0</v>
      </c>
      <c r="I1926" s="229">
        <v>0</v>
      </c>
      <c r="J1926" s="229">
        <v>1</v>
      </c>
      <c r="K1926" s="26">
        <v>0</v>
      </c>
      <c r="L1926" s="14">
        <v>0</v>
      </c>
      <c r="M1926" s="229">
        <v>0</v>
      </c>
      <c r="N1926" s="229">
        <v>0</v>
      </c>
      <c r="O1926" s="229">
        <v>1</v>
      </c>
      <c r="P1926" s="26">
        <v>1</v>
      </c>
      <c r="Q1926" s="14">
        <v>1</v>
      </c>
      <c r="R1926" s="229">
        <v>0</v>
      </c>
      <c r="S1926" s="229">
        <v>0</v>
      </c>
      <c r="T1926" s="229">
        <v>0</v>
      </c>
      <c r="U1926" s="229">
        <v>0</v>
      </c>
      <c r="V1926" s="229">
        <v>10</v>
      </c>
      <c r="W1926" s="229">
        <v>17</v>
      </c>
      <c r="X1926" s="229">
        <v>0</v>
      </c>
      <c r="Y1926" s="229">
        <v>0</v>
      </c>
      <c r="Z1926" s="229">
        <v>0</v>
      </c>
      <c r="AA1926" s="229">
        <v>0</v>
      </c>
      <c r="AB1926" s="229">
        <v>0</v>
      </c>
      <c r="AC1926" s="12">
        <v>1</v>
      </c>
      <c r="AD1926" s="14">
        <v>1</v>
      </c>
      <c r="AE1926" s="14">
        <v>0</v>
      </c>
      <c r="AF1926" s="26">
        <v>0</v>
      </c>
      <c r="AG1926" s="12">
        <v>85</v>
      </c>
      <c r="AH1926" s="14">
        <v>0</v>
      </c>
      <c r="AI1926" s="209"/>
      <c r="AJ1926" s="3"/>
      <c r="AK1926" s="3"/>
      <c r="AL1926" s="3"/>
      <c r="AM1926" s="3"/>
      <c r="AN1926" s="3"/>
      <c r="AO1926" s="40"/>
      <c r="AP1926" s="209"/>
      <c r="AQ1926" s="3"/>
      <c r="AR1926" s="40"/>
      <c r="AS1926" s="238"/>
    </row>
    <row r="1927" spans="1:45" s="229" customFormat="1">
      <c r="A1927" s="83" t="s">
        <v>324</v>
      </c>
      <c r="B1927" s="390">
        <v>22.331666666666667</v>
      </c>
      <c r="C1927" s="229" t="s">
        <v>767</v>
      </c>
      <c r="D1927" s="229" t="s">
        <v>640</v>
      </c>
      <c r="E1927" s="229" t="s">
        <v>1</v>
      </c>
      <c r="F1927" s="229">
        <v>621</v>
      </c>
      <c r="G1927" s="40">
        <f>F1927/467</f>
        <v>1.3297644539614561</v>
      </c>
      <c r="H1927" s="14">
        <v>0</v>
      </c>
      <c r="I1927" s="229">
        <v>0</v>
      </c>
      <c r="J1927" s="229">
        <v>1</v>
      </c>
      <c r="K1927" s="26">
        <v>0</v>
      </c>
      <c r="L1927" s="14">
        <v>0</v>
      </c>
      <c r="M1927" s="229">
        <v>0</v>
      </c>
      <c r="N1927" s="229">
        <v>0</v>
      </c>
      <c r="O1927" s="229">
        <v>1</v>
      </c>
      <c r="P1927" s="26">
        <v>1</v>
      </c>
      <c r="Q1927" s="14">
        <v>2</v>
      </c>
      <c r="R1927" s="229">
        <v>0</v>
      </c>
      <c r="S1927" s="229">
        <v>0</v>
      </c>
      <c r="T1927" s="229">
        <v>0</v>
      </c>
      <c r="U1927" s="229">
        <v>0</v>
      </c>
      <c r="V1927" s="229">
        <v>11</v>
      </c>
      <c r="W1927" s="229">
        <v>84</v>
      </c>
      <c r="X1927" s="229">
        <v>0</v>
      </c>
      <c r="Y1927" s="229">
        <v>0</v>
      </c>
      <c r="Z1927" s="229">
        <v>0</v>
      </c>
      <c r="AA1927" s="229">
        <v>0</v>
      </c>
      <c r="AB1927" s="229">
        <v>0</v>
      </c>
      <c r="AC1927" s="12">
        <v>1</v>
      </c>
      <c r="AD1927" s="14">
        <v>1</v>
      </c>
      <c r="AE1927" s="14">
        <v>0</v>
      </c>
      <c r="AF1927" s="26">
        <v>0</v>
      </c>
      <c r="AG1927" s="12">
        <v>85</v>
      </c>
      <c r="AH1927" s="14">
        <v>0</v>
      </c>
      <c r="AI1927" s="209"/>
      <c r="AJ1927" s="3"/>
      <c r="AK1927" s="3"/>
      <c r="AL1927" s="3"/>
      <c r="AM1927" s="3"/>
      <c r="AN1927" s="3"/>
      <c r="AO1927" s="40"/>
      <c r="AP1927" s="209"/>
      <c r="AQ1927" s="3"/>
      <c r="AR1927" s="40"/>
      <c r="AS1927" s="238"/>
    </row>
    <row r="1928" spans="1:45" s="229" customFormat="1">
      <c r="A1928" s="83" t="s">
        <v>324</v>
      </c>
      <c r="B1928" s="390">
        <v>22.331666666666667</v>
      </c>
      <c r="C1928" s="229" t="s">
        <v>767</v>
      </c>
      <c r="D1928" s="229" t="s">
        <v>641</v>
      </c>
      <c r="F1928" s="229">
        <v>1274</v>
      </c>
      <c r="G1928" s="40">
        <f>F1928/840</f>
        <v>1.5166666666666666</v>
      </c>
      <c r="H1928" s="14">
        <v>0</v>
      </c>
      <c r="I1928" s="229">
        <v>0</v>
      </c>
      <c r="J1928" s="229">
        <v>1</v>
      </c>
      <c r="K1928" s="26">
        <v>1</v>
      </c>
      <c r="L1928" s="14">
        <v>0</v>
      </c>
      <c r="M1928" s="229">
        <v>0</v>
      </c>
      <c r="N1928" s="229">
        <v>0</v>
      </c>
      <c r="O1928" s="229">
        <v>1</v>
      </c>
      <c r="P1928" s="26">
        <v>1</v>
      </c>
      <c r="Q1928" s="14">
        <v>14</v>
      </c>
      <c r="R1928" s="229">
        <v>0</v>
      </c>
      <c r="S1928" s="229">
        <v>0</v>
      </c>
      <c r="T1928" s="229">
        <v>0</v>
      </c>
      <c r="U1928" s="229">
        <v>0</v>
      </c>
      <c r="V1928" s="229">
        <v>11</v>
      </c>
      <c r="W1928" s="229">
        <v>108</v>
      </c>
      <c r="X1928" s="229">
        <v>0</v>
      </c>
      <c r="Y1928" s="229">
        <v>0</v>
      </c>
      <c r="Z1928" s="229">
        <v>147</v>
      </c>
      <c r="AA1928" s="229">
        <v>272</v>
      </c>
      <c r="AB1928" s="229">
        <v>0</v>
      </c>
      <c r="AC1928" s="12">
        <v>2</v>
      </c>
      <c r="AD1928" s="14">
        <v>4</v>
      </c>
      <c r="AE1928" s="258">
        <v>128</v>
      </c>
      <c r="AF1928" s="259">
        <v>1274</v>
      </c>
      <c r="AG1928" s="12">
        <v>102</v>
      </c>
      <c r="AH1928" s="14">
        <v>0</v>
      </c>
      <c r="AI1928" s="209">
        <v>79.208574675410389</v>
      </c>
      <c r="AJ1928" s="3"/>
      <c r="AK1928" s="3"/>
      <c r="AL1928" s="3"/>
      <c r="AM1928" s="3"/>
      <c r="AN1928" s="3"/>
      <c r="AO1928" s="40"/>
      <c r="AP1928" s="209">
        <v>80.324742532492934</v>
      </c>
      <c r="AQ1928" s="3"/>
      <c r="AR1928" s="40"/>
      <c r="AS1928" s="238"/>
    </row>
    <row r="1929" spans="1:45" s="229" customFormat="1">
      <c r="A1929" s="83" t="s">
        <v>324</v>
      </c>
      <c r="B1929" s="390">
        <v>22.331666666666667</v>
      </c>
      <c r="C1929" s="229" t="s">
        <v>767</v>
      </c>
      <c r="D1929" s="229" t="s">
        <v>647</v>
      </c>
      <c r="F1929" s="229">
        <v>806</v>
      </c>
      <c r="G1929" s="40">
        <f>F1929/332</f>
        <v>2.427710843373494</v>
      </c>
      <c r="H1929" s="14">
        <v>0</v>
      </c>
      <c r="I1929" s="229">
        <v>0</v>
      </c>
      <c r="J1929" s="229">
        <v>1</v>
      </c>
      <c r="K1929" s="26">
        <v>1</v>
      </c>
      <c r="L1929" s="14">
        <v>0</v>
      </c>
      <c r="M1929" s="229">
        <v>1</v>
      </c>
      <c r="N1929" s="229">
        <v>0</v>
      </c>
      <c r="O1929" s="229">
        <v>0</v>
      </c>
      <c r="P1929" s="26">
        <v>1</v>
      </c>
      <c r="Q1929" s="14">
        <v>10</v>
      </c>
      <c r="R1929" s="229">
        <v>0</v>
      </c>
      <c r="S1929" s="229">
        <v>0</v>
      </c>
      <c r="T1929" s="229">
        <v>0</v>
      </c>
      <c r="U1929" s="229">
        <v>0</v>
      </c>
      <c r="V1929" s="229">
        <v>13</v>
      </c>
      <c r="W1929" s="229">
        <v>52</v>
      </c>
      <c r="X1929" s="229">
        <v>0</v>
      </c>
      <c r="Y1929" s="229">
        <v>0</v>
      </c>
      <c r="Z1929" s="229">
        <v>107</v>
      </c>
      <c r="AA1929" s="229">
        <v>140</v>
      </c>
      <c r="AB1929" s="229">
        <v>0</v>
      </c>
      <c r="AC1929" s="12">
        <v>2</v>
      </c>
      <c r="AD1929" s="14">
        <v>3</v>
      </c>
      <c r="AE1929" s="258">
        <v>259</v>
      </c>
      <c r="AF1929" s="259">
        <v>541</v>
      </c>
      <c r="AG1929" s="12">
        <v>83</v>
      </c>
      <c r="AH1929" s="14">
        <v>0</v>
      </c>
      <c r="AI1929" s="209"/>
      <c r="AJ1929" s="3"/>
      <c r="AK1929" s="3"/>
      <c r="AL1929" s="3"/>
      <c r="AM1929" s="3"/>
      <c r="AN1929" s="3"/>
      <c r="AO1929" s="40"/>
      <c r="AP1929" s="209"/>
      <c r="AQ1929" s="3"/>
      <c r="AR1929" s="40"/>
      <c r="AS1929" s="238"/>
    </row>
    <row r="1930" spans="1:45" s="229" customFormat="1">
      <c r="A1930" s="83" t="s">
        <v>324</v>
      </c>
      <c r="B1930" s="390">
        <v>22.331666666666667</v>
      </c>
      <c r="C1930" s="229" t="s">
        <v>767</v>
      </c>
      <c r="D1930" s="229" t="s">
        <v>648</v>
      </c>
      <c r="E1930" s="229" t="s">
        <v>0</v>
      </c>
      <c r="F1930" s="229">
        <v>735</v>
      </c>
      <c r="G1930" s="40">
        <f>F1930/284</f>
        <v>2.5880281690140845</v>
      </c>
      <c r="H1930" s="14">
        <v>0</v>
      </c>
      <c r="I1930" s="229">
        <v>0</v>
      </c>
      <c r="J1930" s="229">
        <v>1</v>
      </c>
      <c r="K1930" s="26">
        <v>0</v>
      </c>
      <c r="L1930" s="14">
        <v>0</v>
      </c>
      <c r="M1930" s="229">
        <v>0</v>
      </c>
      <c r="N1930" s="229">
        <v>0</v>
      </c>
      <c r="O1930" s="229">
        <v>0</v>
      </c>
      <c r="P1930" s="26">
        <v>0</v>
      </c>
      <c r="Q1930" s="14">
        <v>10</v>
      </c>
      <c r="R1930" s="229">
        <v>0</v>
      </c>
      <c r="S1930" s="229">
        <v>12</v>
      </c>
      <c r="T1930" s="229">
        <v>0</v>
      </c>
      <c r="U1930" s="229">
        <v>0</v>
      </c>
      <c r="V1930" s="229">
        <v>0</v>
      </c>
      <c r="W1930" s="229">
        <v>46</v>
      </c>
      <c r="X1930" s="229">
        <v>0</v>
      </c>
      <c r="Y1930" s="229">
        <v>0</v>
      </c>
      <c r="Z1930" s="229">
        <v>203</v>
      </c>
      <c r="AA1930" s="229">
        <v>212</v>
      </c>
      <c r="AB1930" s="229">
        <v>0</v>
      </c>
      <c r="AC1930" s="12">
        <v>1</v>
      </c>
      <c r="AD1930" s="14">
        <v>1</v>
      </c>
      <c r="AE1930" s="14">
        <v>0</v>
      </c>
      <c r="AF1930" s="26">
        <v>0</v>
      </c>
      <c r="AG1930" s="12">
        <v>73</v>
      </c>
      <c r="AH1930" s="14">
        <v>0</v>
      </c>
      <c r="AI1930" s="209"/>
      <c r="AJ1930" s="3"/>
      <c r="AK1930" s="3"/>
      <c r="AL1930" s="3"/>
      <c r="AM1930" s="3"/>
      <c r="AN1930" s="3"/>
      <c r="AO1930" s="40"/>
      <c r="AP1930" s="209"/>
      <c r="AQ1930" s="3"/>
      <c r="AR1930" s="40"/>
      <c r="AS1930" s="238"/>
    </row>
    <row r="1931" spans="1:45" s="229" customFormat="1">
      <c r="A1931" s="83" t="s">
        <v>324</v>
      </c>
      <c r="B1931" s="390">
        <v>22.331666666666667</v>
      </c>
      <c r="C1931" s="229" t="s">
        <v>767</v>
      </c>
      <c r="D1931" s="229" t="s">
        <v>648</v>
      </c>
      <c r="E1931" s="229" t="s">
        <v>1</v>
      </c>
      <c r="F1931" s="229">
        <v>783</v>
      </c>
      <c r="G1931" s="40">
        <f>F1931/324</f>
        <v>2.4166666666666665</v>
      </c>
      <c r="H1931" s="14">
        <v>0</v>
      </c>
      <c r="I1931" s="229">
        <v>0</v>
      </c>
      <c r="J1931" s="229">
        <v>1</v>
      </c>
      <c r="K1931" s="26">
        <v>1</v>
      </c>
      <c r="L1931" s="14">
        <v>0</v>
      </c>
      <c r="M1931" s="229">
        <v>0</v>
      </c>
      <c r="N1931" s="229">
        <v>0</v>
      </c>
      <c r="O1931" s="229">
        <v>0</v>
      </c>
      <c r="P1931" s="26">
        <v>0</v>
      </c>
      <c r="Q1931" s="14">
        <v>20</v>
      </c>
      <c r="R1931" s="229">
        <v>0</v>
      </c>
      <c r="S1931" s="229">
        <v>20</v>
      </c>
      <c r="T1931" s="229">
        <v>0</v>
      </c>
      <c r="U1931" s="229">
        <v>0</v>
      </c>
      <c r="V1931" s="229">
        <v>12</v>
      </c>
      <c r="W1931" s="229">
        <v>58</v>
      </c>
      <c r="X1931" s="229">
        <v>0</v>
      </c>
      <c r="Y1931" s="229">
        <v>0</v>
      </c>
      <c r="Z1931" s="229">
        <v>119</v>
      </c>
      <c r="AA1931" s="229">
        <v>209</v>
      </c>
      <c r="AB1931" s="229">
        <v>0</v>
      </c>
      <c r="AC1931" s="12">
        <v>2</v>
      </c>
      <c r="AD1931" s="14">
        <v>3</v>
      </c>
      <c r="AE1931" s="258">
        <v>99</v>
      </c>
      <c r="AF1931" s="259">
        <v>783</v>
      </c>
      <c r="AG1931" s="12">
        <v>73</v>
      </c>
      <c r="AH1931" s="14">
        <v>0</v>
      </c>
      <c r="AI1931" s="209"/>
      <c r="AJ1931" s="3"/>
      <c r="AK1931" s="3"/>
      <c r="AL1931" s="3"/>
      <c r="AM1931" s="3"/>
      <c r="AN1931" s="3"/>
      <c r="AO1931" s="40"/>
      <c r="AP1931" s="209"/>
      <c r="AQ1931" s="3"/>
      <c r="AR1931" s="40"/>
      <c r="AS1931" s="238"/>
    </row>
    <row r="1932" spans="1:45" s="229" customFormat="1">
      <c r="A1932" s="83" t="s">
        <v>324</v>
      </c>
      <c r="B1932" s="390">
        <v>22.331666666666667</v>
      </c>
      <c r="C1932" s="229" t="s">
        <v>767</v>
      </c>
      <c r="D1932" s="229" t="s">
        <v>649</v>
      </c>
      <c r="E1932" s="229" t="s">
        <v>0</v>
      </c>
      <c r="F1932" s="229">
        <v>228</v>
      </c>
      <c r="G1932" s="40">
        <f>F1932/134</f>
        <v>1.7014925373134329</v>
      </c>
      <c r="H1932" s="14">
        <v>1</v>
      </c>
      <c r="I1932" s="229">
        <v>0</v>
      </c>
      <c r="J1932" s="229">
        <v>0</v>
      </c>
      <c r="K1932" s="26">
        <v>0</v>
      </c>
      <c r="L1932" s="14">
        <v>0</v>
      </c>
      <c r="M1932" s="229">
        <v>0</v>
      </c>
      <c r="N1932" s="229">
        <v>0</v>
      </c>
      <c r="O1932" s="229">
        <v>0</v>
      </c>
      <c r="P1932" s="26">
        <v>0</v>
      </c>
      <c r="Q1932" s="14">
        <v>4</v>
      </c>
      <c r="R1932" s="229">
        <v>0</v>
      </c>
      <c r="S1932" s="229">
        <v>21</v>
      </c>
      <c r="T1932" s="229">
        <v>0</v>
      </c>
      <c r="U1932" s="229">
        <v>0</v>
      </c>
      <c r="V1932" s="229">
        <v>0</v>
      </c>
      <c r="W1932" s="229">
        <v>0</v>
      </c>
      <c r="X1932" s="229">
        <v>0</v>
      </c>
      <c r="Y1932" s="229">
        <v>0</v>
      </c>
      <c r="Z1932" s="229">
        <v>0</v>
      </c>
      <c r="AA1932" s="229">
        <v>0</v>
      </c>
      <c r="AB1932" s="229">
        <v>0</v>
      </c>
      <c r="AC1932" s="12">
        <v>1</v>
      </c>
      <c r="AD1932" s="14">
        <v>1</v>
      </c>
      <c r="AE1932" s="14">
        <v>0</v>
      </c>
      <c r="AF1932" s="26">
        <v>0</v>
      </c>
      <c r="AG1932" s="12">
        <v>96</v>
      </c>
      <c r="AH1932" s="14">
        <v>0</v>
      </c>
      <c r="AI1932" s="209">
        <v>80.679278995039681</v>
      </c>
      <c r="AJ1932" s="3"/>
      <c r="AK1932" s="3"/>
      <c r="AL1932" s="3"/>
      <c r="AM1932" s="3"/>
      <c r="AN1932" s="3"/>
      <c r="AO1932" s="40"/>
      <c r="AP1932" s="209"/>
      <c r="AQ1932" s="3"/>
      <c r="AR1932" s="40"/>
      <c r="AS1932" s="238"/>
    </row>
    <row r="1933" spans="1:45" s="229" customFormat="1">
      <c r="A1933" s="83" t="s">
        <v>324</v>
      </c>
      <c r="B1933" s="390">
        <v>22.331666666666667</v>
      </c>
      <c r="C1933" s="229" t="s">
        <v>767</v>
      </c>
      <c r="D1933" s="229" t="s">
        <v>649</v>
      </c>
      <c r="E1933" s="229" t="s">
        <v>1</v>
      </c>
      <c r="F1933" s="229">
        <v>520</v>
      </c>
      <c r="G1933" s="40">
        <f>F1933/343</f>
        <v>1.5160349854227406</v>
      </c>
      <c r="H1933" s="14">
        <v>0</v>
      </c>
      <c r="I1933" s="229">
        <v>0</v>
      </c>
      <c r="J1933" s="229">
        <v>1</v>
      </c>
      <c r="K1933" s="26">
        <v>0</v>
      </c>
      <c r="L1933" s="14">
        <v>0</v>
      </c>
      <c r="M1933" s="229">
        <v>0</v>
      </c>
      <c r="N1933" s="229">
        <v>0</v>
      </c>
      <c r="O1933" s="229">
        <v>1</v>
      </c>
      <c r="P1933" s="26">
        <v>1</v>
      </c>
      <c r="Q1933" s="14">
        <v>25</v>
      </c>
      <c r="R1933" s="229">
        <v>6</v>
      </c>
      <c r="S1933" s="229">
        <v>17</v>
      </c>
      <c r="T1933" s="229">
        <v>0</v>
      </c>
      <c r="U1933" s="229">
        <v>0</v>
      </c>
      <c r="V1933" s="229">
        <v>0</v>
      </c>
      <c r="W1933" s="229">
        <v>28</v>
      </c>
      <c r="X1933" s="229">
        <v>0</v>
      </c>
      <c r="Y1933" s="229">
        <v>0</v>
      </c>
      <c r="Z1933" s="229">
        <v>64</v>
      </c>
      <c r="AA1933" s="229">
        <v>276</v>
      </c>
      <c r="AB1933" s="229">
        <v>0</v>
      </c>
      <c r="AC1933" s="12">
        <v>1</v>
      </c>
      <c r="AD1933" s="14">
        <v>1</v>
      </c>
      <c r="AE1933" s="14">
        <v>0</v>
      </c>
      <c r="AF1933" s="26">
        <v>0</v>
      </c>
      <c r="AG1933" s="12">
        <v>96</v>
      </c>
      <c r="AH1933" s="14">
        <v>0</v>
      </c>
      <c r="AI1933" s="209">
        <v>79.574588034613555</v>
      </c>
      <c r="AJ1933" s="3"/>
      <c r="AK1933" s="3"/>
      <c r="AL1933" s="3"/>
      <c r="AM1933" s="3"/>
      <c r="AN1933" s="3"/>
      <c r="AO1933" s="40"/>
      <c r="AP1933" s="209">
        <v>79.810566935339679</v>
      </c>
      <c r="AQ1933" s="3"/>
      <c r="AR1933" s="40"/>
      <c r="AS1933" s="238"/>
    </row>
    <row r="1934" spans="1:45" s="229" customFormat="1">
      <c r="A1934" s="83" t="s">
        <v>324</v>
      </c>
      <c r="B1934" s="390">
        <v>22.331666666666667</v>
      </c>
      <c r="C1934" s="229" t="s">
        <v>767</v>
      </c>
      <c r="D1934" s="229" t="s">
        <v>669</v>
      </c>
      <c r="E1934" s="229" t="s">
        <v>0</v>
      </c>
      <c r="F1934" s="229">
        <v>421</v>
      </c>
      <c r="G1934" s="40">
        <f>F1934/232</f>
        <v>1.8146551724137931</v>
      </c>
      <c r="H1934" s="14">
        <v>1</v>
      </c>
      <c r="I1934" s="229">
        <v>0</v>
      </c>
      <c r="J1934" s="229">
        <v>0</v>
      </c>
      <c r="K1934" s="26">
        <v>0</v>
      </c>
      <c r="L1934" s="14">
        <v>1</v>
      </c>
      <c r="M1934" s="229">
        <v>0</v>
      </c>
      <c r="N1934" s="229">
        <v>0</v>
      </c>
      <c r="O1934" s="229">
        <v>0</v>
      </c>
      <c r="P1934" s="26">
        <v>1</v>
      </c>
      <c r="Q1934" s="14">
        <v>10</v>
      </c>
      <c r="R1934" s="229">
        <v>21</v>
      </c>
      <c r="S1934" s="229">
        <v>29</v>
      </c>
      <c r="T1934" s="229">
        <v>0</v>
      </c>
      <c r="U1934" s="229">
        <v>0</v>
      </c>
      <c r="V1934" s="229">
        <v>25</v>
      </c>
      <c r="W1934" s="229">
        <v>69</v>
      </c>
      <c r="X1934" s="229">
        <v>0</v>
      </c>
      <c r="Y1934" s="229">
        <v>0</v>
      </c>
      <c r="Z1934" s="229">
        <v>0</v>
      </c>
      <c r="AA1934" s="229">
        <v>0</v>
      </c>
      <c r="AB1934" s="229">
        <v>0</v>
      </c>
      <c r="AC1934" s="12">
        <v>1</v>
      </c>
      <c r="AD1934" s="14">
        <v>1</v>
      </c>
      <c r="AE1934" s="14">
        <v>0</v>
      </c>
      <c r="AF1934" s="26">
        <v>0</v>
      </c>
      <c r="AG1934" s="12">
        <v>71</v>
      </c>
      <c r="AH1934" s="14">
        <v>0</v>
      </c>
      <c r="AI1934" s="209"/>
      <c r="AJ1934" s="3"/>
      <c r="AK1934" s="3"/>
      <c r="AL1934" s="3"/>
      <c r="AM1934" s="3"/>
      <c r="AN1934" s="3"/>
      <c r="AO1934" s="40"/>
      <c r="AP1934" s="209"/>
      <c r="AQ1934" s="3"/>
      <c r="AR1934" s="40"/>
      <c r="AS1934" s="238"/>
    </row>
    <row r="1935" spans="1:45" s="229" customFormat="1">
      <c r="A1935" s="83" t="s">
        <v>324</v>
      </c>
      <c r="B1935" s="390">
        <v>22.331666666666667</v>
      </c>
      <c r="C1935" s="229" t="s">
        <v>767</v>
      </c>
      <c r="D1935" s="229" t="s">
        <v>669</v>
      </c>
      <c r="E1935" s="229" t="s">
        <v>1</v>
      </c>
      <c r="F1935" s="229">
        <v>621</v>
      </c>
      <c r="G1935" s="40">
        <f>F1935/323</f>
        <v>1.9226006191950464</v>
      </c>
      <c r="H1935" s="14">
        <v>0</v>
      </c>
      <c r="I1935" s="229">
        <v>0</v>
      </c>
      <c r="J1935" s="229">
        <v>1</v>
      </c>
      <c r="K1935" s="26">
        <v>0</v>
      </c>
      <c r="L1935" s="14">
        <v>0</v>
      </c>
      <c r="M1935" s="229">
        <v>0</v>
      </c>
      <c r="N1935" s="229">
        <v>0</v>
      </c>
      <c r="O1935" s="229">
        <v>1</v>
      </c>
      <c r="P1935" s="26">
        <v>1</v>
      </c>
      <c r="Q1935" s="14">
        <v>10</v>
      </c>
      <c r="R1935" s="229">
        <v>10</v>
      </c>
      <c r="S1935" s="229">
        <v>20</v>
      </c>
      <c r="T1935" s="229">
        <v>0</v>
      </c>
      <c r="U1935" s="229">
        <v>0</v>
      </c>
      <c r="V1935" s="229">
        <v>0</v>
      </c>
      <c r="W1935" s="229">
        <v>68</v>
      </c>
      <c r="X1935" s="229">
        <v>0</v>
      </c>
      <c r="Y1935" s="229">
        <v>0</v>
      </c>
      <c r="Z1935" s="229">
        <v>0</v>
      </c>
      <c r="AA1935" s="229">
        <v>166</v>
      </c>
      <c r="AB1935" s="229">
        <v>0</v>
      </c>
      <c r="AC1935" s="12">
        <v>1</v>
      </c>
      <c r="AD1935" s="14">
        <v>1</v>
      </c>
      <c r="AE1935" s="258">
        <v>0</v>
      </c>
      <c r="AF1935" s="259">
        <v>0</v>
      </c>
      <c r="AG1935" s="12">
        <v>71</v>
      </c>
      <c r="AH1935" s="14">
        <v>0</v>
      </c>
      <c r="AI1935" s="209">
        <v>79.515658762996622</v>
      </c>
      <c r="AJ1935" s="3"/>
      <c r="AK1935" s="3"/>
      <c r="AL1935" s="3"/>
      <c r="AM1935" s="3"/>
      <c r="AN1935" s="3"/>
      <c r="AO1935" s="40"/>
      <c r="AP1935" s="209">
        <v>80.425916027883289</v>
      </c>
      <c r="AQ1935" s="3"/>
      <c r="AR1935" s="40"/>
      <c r="AS1935" s="238"/>
    </row>
    <row r="1936" spans="1:45" s="229" customFormat="1">
      <c r="A1936" s="83" t="s">
        <v>324</v>
      </c>
      <c r="B1936" s="390">
        <v>22.331666666666667</v>
      </c>
      <c r="C1936" s="229" t="s">
        <v>767</v>
      </c>
      <c r="D1936" s="229" t="s">
        <v>670</v>
      </c>
      <c r="E1936" s="229" t="s">
        <v>0</v>
      </c>
      <c r="F1936" s="229">
        <v>526</v>
      </c>
      <c r="G1936" s="40">
        <f>F1936/282</f>
        <v>1.8652482269503545</v>
      </c>
      <c r="H1936" s="14">
        <v>0</v>
      </c>
      <c r="I1936" s="229">
        <v>0</v>
      </c>
      <c r="J1936" s="229">
        <v>1</v>
      </c>
      <c r="K1936" s="26">
        <v>1</v>
      </c>
      <c r="L1936" s="14">
        <v>0</v>
      </c>
      <c r="M1936" s="229">
        <v>0</v>
      </c>
      <c r="N1936" s="229">
        <v>1</v>
      </c>
      <c r="O1936" s="229">
        <v>0</v>
      </c>
      <c r="P1936" s="26">
        <v>1</v>
      </c>
      <c r="Q1936" s="14">
        <v>3</v>
      </c>
      <c r="R1936" s="229">
        <v>0</v>
      </c>
      <c r="S1936" s="229">
        <v>0</v>
      </c>
      <c r="T1936" s="229">
        <v>0</v>
      </c>
      <c r="U1936" s="229">
        <v>0</v>
      </c>
      <c r="V1936" s="229">
        <v>8</v>
      </c>
      <c r="W1936" s="229">
        <v>40</v>
      </c>
      <c r="X1936" s="229">
        <v>0</v>
      </c>
      <c r="Y1936" s="229">
        <v>0</v>
      </c>
      <c r="Z1936" s="229">
        <v>0</v>
      </c>
      <c r="AA1936" s="229">
        <v>49</v>
      </c>
      <c r="AB1936" s="229">
        <v>0</v>
      </c>
      <c r="AC1936" s="12">
        <v>2</v>
      </c>
      <c r="AD1936" s="14">
        <v>2</v>
      </c>
      <c r="AE1936" s="258">
        <v>128</v>
      </c>
      <c r="AF1936" s="259">
        <v>460</v>
      </c>
      <c r="AG1936" s="12">
        <v>74</v>
      </c>
      <c r="AH1936" s="14">
        <v>0</v>
      </c>
      <c r="AI1936" s="209"/>
      <c r="AJ1936" s="3"/>
      <c r="AK1936" s="3"/>
      <c r="AL1936" s="3"/>
      <c r="AM1936" s="3"/>
      <c r="AN1936" s="3"/>
      <c r="AO1936" s="40"/>
      <c r="AP1936" s="209"/>
      <c r="AQ1936" s="3"/>
      <c r="AR1936" s="40"/>
      <c r="AS1936" s="238"/>
    </row>
    <row r="1937" spans="1:45" s="229" customFormat="1">
      <c r="A1937" s="83" t="s">
        <v>324</v>
      </c>
      <c r="B1937" s="390">
        <v>22.331666666666667</v>
      </c>
      <c r="C1937" s="229" t="s">
        <v>767</v>
      </c>
      <c r="D1937" s="229" t="s">
        <v>670</v>
      </c>
      <c r="E1937" s="229" t="s">
        <v>1</v>
      </c>
      <c r="F1937" s="229">
        <v>531</v>
      </c>
      <c r="G1937" s="40">
        <f>F1937/292</f>
        <v>1.8184931506849316</v>
      </c>
      <c r="H1937" s="14">
        <v>0</v>
      </c>
      <c r="I1937" s="229">
        <v>0</v>
      </c>
      <c r="J1937" s="229">
        <v>1</v>
      </c>
      <c r="K1937" s="26">
        <v>0</v>
      </c>
      <c r="L1937" s="14">
        <v>0</v>
      </c>
      <c r="M1937" s="229">
        <v>1</v>
      </c>
      <c r="N1937" s="229">
        <v>0</v>
      </c>
      <c r="O1937" s="229">
        <v>0</v>
      </c>
      <c r="P1937" s="26">
        <v>1</v>
      </c>
      <c r="Q1937" s="14">
        <v>15</v>
      </c>
      <c r="R1937" s="229">
        <v>0</v>
      </c>
      <c r="S1937" s="229">
        <v>0</v>
      </c>
      <c r="T1937" s="229">
        <v>0</v>
      </c>
      <c r="U1937" s="229">
        <v>0</v>
      </c>
      <c r="V1937" s="229">
        <v>13</v>
      </c>
      <c r="W1937" s="229">
        <v>116</v>
      </c>
      <c r="X1937" s="229">
        <v>0</v>
      </c>
      <c r="Y1937" s="229">
        <v>0</v>
      </c>
      <c r="Z1937" s="229">
        <v>90</v>
      </c>
      <c r="AA1937" s="229">
        <v>121</v>
      </c>
      <c r="AB1937" s="229">
        <v>0</v>
      </c>
      <c r="AC1937" s="12">
        <v>1</v>
      </c>
      <c r="AD1937" s="14">
        <v>1</v>
      </c>
      <c r="AE1937" s="14">
        <v>0</v>
      </c>
      <c r="AF1937" s="26">
        <v>0</v>
      </c>
      <c r="AG1937" s="12">
        <v>74</v>
      </c>
      <c r="AH1937" s="14">
        <v>0</v>
      </c>
      <c r="AI1937" s="209"/>
      <c r="AJ1937" s="3"/>
      <c r="AK1937" s="3"/>
      <c r="AL1937" s="3"/>
      <c r="AM1937" s="3"/>
      <c r="AN1937" s="3"/>
      <c r="AO1937" s="40"/>
      <c r="AP1937" s="209"/>
      <c r="AQ1937" s="3"/>
      <c r="AR1937" s="40"/>
      <c r="AS1937" s="238"/>
    </row>
    <row r="1938" spans="1:45" s="229" customFormat="1">
      <c r="A1938" s="83" t="s">
        <v>324</v>
      </c>
      <c r="B1938" s="390">
        <v>22.331666666666667</v>
      </c>
      <c r="C1938" s="229" t="s">
        <v>767</v>
      </c>
      <c r="D1938" s="229" t="s">
        <v>670</v>
      </c>
      <c r="E1938" s="229" t="s">
        <v>2</v>
      </c>
      <c r="F1938" s="229">
        <v>130</v>
      </c>
      <c r="G1938" s="40">
        <f>F1938/70</f>
        <v>1.8571428571428572</v>
      </c>
      <c r="H1938" s="14">
        <v>0</v>
      </c>
      <c r="I1938" s="229">
        <v>0</v>
      </c>
      <c r="J1938" s="229">
        <v>1</v>
      </c>
      <c r="K1938" s="26">
        <v>0</v>
      </c>
      <c r="L1938" s="14">
        <v>0</v>
      </c>
      <c r="M1938" s="229">
        <v>0</v>
      </c>
      <c r="N1938" s="229">
        <v>0</v>
      </c>
      <c r="O1938" s="229">
        <v>0</v>
      </c>
      <c r="P1938" s="26">
        <v>0</v>
      </c>
      <c r="Q1938" s="14">
        <v>50</v>
      </c>
      <c r="R1938" s="229">
        <v>0</v>
      </c>
      <c r="S1938" s="229">
        <v>0</v>
      </c>
      <c r="T1938" s="229">
        <v>0</v>
      </c>
      <c r="U1938" s="229">
        <v>0</v>
      </c>
      <c r="V1938" s="229">
        <v>15</v>
      </c>
      <c r="W1938" s="229">
        <v>25</v>
      </c>
      <c r="X1938" s="229">
        <v>0</v>
      </c>
      <c r="Y1938" s="229">
        <v>0</v>
      </c>
      <c r="Z1938" s="229">
        <v>0</v>
      </c>
      <c r="AA1938" s="229">
        <v>49</v>
      </c>
      <c r="AB1938" s="229">
        <v>0</v>
      </c>
      <c r="AC1938" s="12">
        <v>1</v>
      </c>
      <c r="AD1938" s="14">
        <v>1</v>
      </c>
      <c r="AE1938" s="14">
        <v>0</v>
      </c>
      <c r="AF1938" s="26">
        <v>0</v>
      </c>
      <c r="AG1938" s="12">
        <v>74</v>
      </c>
      <c r="AH1938" s="14">
        <v>0</v>
      </c>
      <c r="AI1938" s="209"/>
      <c r="AJ1938" s="3"/>
      <c r="AK1938" s="3"/>
      <c r="AL1938" s="3"/>
      <c r="AM1938" s="3"/>
      <c r="AN1938" s="3"/>
      <c r="AO1938" s="40"/>
      <c r="AP1938" s="209"/>
      <c r="AQ1938" s="3"/>
      <c r="AR1938" s="40"/>
      <c r="AS1938" s="238"/>
    </row>
    <row r="1939" spans="1:45" s="229" customFormat="1">
      <c r="A1939" s="83" t="s">
        <v>324</v>
      </c>
      <c r="B1939" s="390">
        <v>22.331666666666667</v>
      </c>
      <c r="C1939" s="229" t="s">
        <v>767</v>
      </c>
      <c r="D1939" s="229" t="s">
        <v>671</v>
      </c>
      <c r="E1939" s="229" t="s">
        <v>0</v>
      </c>
      <c r="F1939" s="229">
        <v>768</v>
      </c>
      <c r="G1939" s="40">
        <f>F1939/728</f>
        <v>1.054945054945055</v>
      </c>
      <c r="H1939" s="14">
        <v>0</v>
      </c>
      <c r="I1939" s="229">
        <v>0</v>
      </c>
      <c r="J1939" s="229">
        <v>1</v>
      </c>
      <c r="K1939" s="26">
        <v>1</v>
      </c>
      <c r="L1939" s="14">
        <v>0</v>
      </c>
      <c r="M1939" s="229">
        <v>0</v>
      </c>
      <c r="N1939" s="229">
        <v>0</v>
      </c>
      <c r="O1939" s="229">
        <v>1</v>
      </c>
      <c r="P1939" s="26">
        <v>1</v>
      </c>
      <c r="Q1939" s="14">
        <v>15</v>
      </c>
      <c r="R1939" s="229">
        <v>8</v>
      </c>
      <c r="S1939" s="229">
        <v>24</v>
      </c>
      <c r="T1939" s="229">
        <v>0</v>
      </c>
      <c r="U1939" s="229">
        <v>0</v>
      </c>
      <c r="V1939" s="229">
        <v>51</v>
      </c>
      <c r="W1939" s="229">
        <v>175</v>
      </c>
      <c r="X1939" s="229">
        <v>0</v>
      </c>
      <c r="Y1939" s="229">
        <v>0</v>
      </c>
      <c r="Z1939" s="229">
        <v>55</v>
      </c>
      <c r="AA1939" s="229">
        <v>83</v>
      </c>
      <c r="AB1939" s="229">
        <v>0</v>
      </c>
      <c r="AC1939" s="12">
        <v>2</v>
      </c>
      <c r="AD1939" s="14">
        <v>4</v>
      </c>
      <c r="AE1939" s="258">
        <v>211</v>
      </c>
      <c r="AF1939" s="259">
        <v>728</v>
      </c>
      <c r="AG1939" s="12">
        <v>66</v>
      </c>
      <c r="AH1939" s="14">
        <v>0</v>
      </c>
      <c r="AI1939" s="209"/>
      <c r="AJ1939" s="3"/>
      <c r="AK1939" s="3"/>
      <c r="AL1939" s="3"/>
      <c r="AM1939" s="3"/>
      <c r="AN1939" s="3"/>
      <c r="AO1939" s="40"/>
      <c r="AP1939" s="209"/>
      <c r="AQ1939" s="3"/>
      <c r="AR1939" s="40"/>
      <c r="AS1939" s="238"/>
    </row>
    <row r="1940" spans="1:45" s="229" customFormat="1">
      <c r="A1940" s="83" t="s">
        <v>324</v>
      </c>
      <c r="B1940" s="390">
        <v>22.331666666666667</v>
      </c>
      <c r="C1940" s="229" t="s">
        <v>767</v>
      </c>
      <c r="D1940" s="229" t="s">
        <v>671</v>
      </c>
      <c r="E1940" s="229" t="s">
        <v>1</v>
      </c>
      <c r="F1940" s="229">
        <v>240</v>
      </c>
      <c r="G1940" s="40">
        <v>186</v>
      </c>
      <c r="H1940" s="14">
        <v>0</v>
      </c>
      <c r="I1940" s="229">
        <v>0</v>
      </c>
      <c r="J1940" s="229">
        <v>0</v>
      </c>
      <c r="K1940" s="26">
        <v>1</v>
      </c>
      <c r="L1940" s="14">
        <v>0</v>
      </c>
      <c r="M1940" s="229">
        <v>0</v>
      </c>
      <c r="N1940" s="229">
        <v>0</v>
      </c>
      <c r="O1940" s="229">
        <v>1</v>
      </c>
      <c r="P1940" s="26">
        <v>1</v>
      </c>
      <c r="Q1940" s="14">
        <v>0</v>
      </c>
      <c r="R1940" s="229">
        <v>0</v>
      </c>
      <c r="S1940" s="229">
        <v>0</v>
      </c>
      <c r="T1940" s="229">
        <v>0</v>
      </c>
      <c r="U1940" s="229">
        <v>0</v>
      </c>
      <c r="V1940" s="229">
        <v>0</v>
      </c>
      <c r="W1940" s="229">
        <v>0</v>
      </c>
      <c r="X1940" s="229">
        <v>0</v>
      </c>
      <c r="Y1940" s="229">
        <v>0</v>
      </c>
      <c r="Z1940" s="229">
        <v>0</v>
      </c>
      <c r="AA1940" s="229">
        <v>0</v>
      </c>
      <c r="AB1940" s="229">
        <v>0</v>
      </c>
      <c r="AC1940" s="12">
        <v>2</v>
      </c>
      <c r="AD1940" s="14">
        <v>2</v>
      </c>
      <c r="AE1940" s="258">
        <v>154</v>
      </c>
      <c r="AF1940" s="259">
        <v>240</v>
      </c>
      <c r="AG1940" s="12">
        <v>66</v>
      </c>
      <c r="AH1940" s="14">
        <v>0</v>
      </c>
      <c r="AI1940" s="209"/>
      <c r="AJ1940" s="3"/>
      <c r="AK1940" s="3"/>
      <c r="AL1940" s="3"/>
      <c r="AM1940" s="3"/>
      <c r="AN1940" s="3"/>
      <c r="AO1940" s="40"/>
      <c r="AP1940" s="209"/>
      <c r="AQ1940" s="3"/>
      <c r="AR1940" s="40"/>
      <c r="AS1940" s="238"/>
    </row>
    <row r="1941" spans="1:45" s="229" customFormat="1">
      <c r="A1941" s="83" t="s">
        <v>324</v>
      </c>
      <c r="B1941" s="390">
        <v>22.331666666666667</v>
      </c>
      <c r="C1941" s="229" t="s">
        <v>767</v>
      </c>
      <c r="D1941" s="229" t="s">
        <v>671</v>
      </c>
      <c r="E1941" s="229" t="s">
        <v>2</v>
      </c>
      <c r="F1941" s="229">
        <v>348</v>
      </c>
      <c r="G1941" s="40">
        <f>F1941/245</f>
        <v>1.4204081632653061</v>
      </c>
      <c r="H1941" s="14">
        <v>0</v>
      </c>
      <c r="I1941" s="229">
        <v>0</v>
      </c>
      <c r="J1941" s="229">
        <v>1</v>
      </c>
      <c r="K1941" s="26">
        <v>1</v>
      </c>
      <c r="L1941" s="14">
        <v>0</v>
      </c>
      <c r="M1941" s="229">
        <v>1</v>
      </c>
      <c r="N1941" s="229">
        <v>0</v>
      </c>
      <c r="O1941" s="229">
        <v>0</v>
      </c>
      <c r="P1941" s="26">
        <v>1</v>
      </c>
      <c r="Q1941" s="14"/>
      <c r="R1941" s="229">
        <v>2</v>
      </c>
      <c r="S1941" s="229">
        <v>0</v>
      </c>
      <c r="T1941" s="229">
        <v>6</v>
      </c>
      <c r="U1941" s="229">
        <v>0</v>
      </c>
      <c r="V1941" s="229">
        <v>21</v>
      </c>
      <c r="W1941" s="229">
        <v>96</v>
      </c>
      <c r="X1941" s="229">
        <v>0</v>
      </c>
      <c r="Y1941" s="229">
        <v>0</v>
      </c>
      <c r="Z1941" s="229">
        <v>0</v>
      </c>
      <c r="AA1941" s="229">
        <v>0</v>
      </c>
      <c r="AB1941" s="229">
        <v>0</v>
      </c>
      <c r="AC1941" s="12">
        <v>2</v>
      </c>
      <c r="AD1941" s="14">
        <v>2</v>
      </c>
      <c r="AE1941" s="258">
        <v>211</v>
      </c>
      <c r="AF1941" s="259">
        <v>275</v>
      </c>
      <c r="AG1941" s="12">
        <v>66</v>
      </c>
      <c r="AH1941" s="14">
        <v>0</v>
      </c>
      <c r="AI1941" s="209"/>
      <c r="AJ1941" s="3"/>
      <c r="AK1941" s="3"/>
      <c r="AL1941" s="3"/>
      <c r="AM1941" s="3"/>
      <c r="AN1941" s="3"/>
      <c r="AO1941" s="40"/>
      <c r="AP1941" s="209"/>
      <c r="AQ1941" s="3"/>
      <c r="AR1941" s="40"/>
      <c r="AS1941" s="238"/>
    </row>
    <row r="1942" spans="1:45" s="229" customFormat="1">
      <c r="A1942" s="83" t="s">
        <v>324</v>
      </c>
      <c r="B1942" s="390">
        <v>22.331666666666667</v>
      </c>
      <c r="C1942" s="229" t="s">
        <v>767</v>
      </c>
      <c r="D1942" s="229" t="s">
        <v>672</v>
      </c>
      <c r="E1942" s="229" t="s">
        <v>0</v>
      </c>
      <c r="F1942" s="229">
        <v>469</v>
      </c>
      <c r="G1942" s="40">
        <f>F1942/347</f>
        <v>1.3515850144092219</v>
      </c>
      <c r="H1942" s="14">
        <v>0</v>
      </c>
      <c r="I1942" s="229">
        <v>0</v>
      </c>
      <c r="J1942" s="229">
        <v>1</v>
      </c>
      <c r="K1942" s="26">
        <v>0</v>
      </c>
      <c r="L1942" s="14">
        <v>1</v>
      </c>
      <c r="M1942" s="229">
        <v>0</v>
      </c>
      <c r="N1942" s="229">
        <v>0</v>
      </c>
      <c r="O1942" s="229">
        <v>0</v>
      </c>
      <c r="P1942" s="26">
        <v>1</v>
      </c>
      <c r="Q1942" s="14">
        <v>6</v>
      </c>
      <c r="R1942" s="229">
        <v>0</v>
      </c>
      <c r="S1942" s="229">
        <v>9</v>
      </c>
      <c r="T1942" s="229">
        <v>0</v>
      </c>
      <c r="U1942" s="229">
        <v>0</v>
      </c>
      <c r="V1942" s="229">
        <v>8</v>
      </c>
      <c r="W1942" s="229">
        <v>98</v>
      </c>
      <c r="X1942" s="229">
        <v>0</v>
      </c>
      <c r="Y1942" s="229">
        <v>0</v>
      </c>
      <c r="Z1942" s="229">
        <v>0</v>
      </c>
      <c r="AA1942" s="229">
        <v>115</v>
      </c>
      <c r="AB1942" s="229">
        <v>0</v>
      </c>
      <c r="AC1942" s="12">
        <v>1</v>
      </c>
      <c r="AD1942" s="14">
        <v>1</v>
      </c>
      <c r="AE1942" s="14">
        <v>0</v>
      </c>
      <c r="AF1942" s="26">
        <v>0</v>
      </c>
      <c r="AG1942" s="12"/>
      <c r="AH1942" s="14">
        <v>0</v>
      </c>
      <c r="AI1942" s="209">
        <v>79.78699920629937</v>
      </c>
      <c r="AJ1942" s="3"/>
      <c r="AK1942" s="3"/>
      <c r="AL1942" s="3"/>
      <c r="AM1942" s="3"/>
      <c r="AN1942" s="3"/>
      <c r="AO1942" s="40"/>
      <c r="AP1942" s="209">
        <v>80.31761590149307</v>
      </c>
      <c r="AQ1942" s="3">
        <v>80.015074525529812</v>
      </c>
      <c r="AR1942" s="40"/>
      <c r="AS1942" s="238"/>
    </row>
    <row r="1943" spans="1:45" s="229" customFormat="1">
      <c r="A1943" s="83" t="s">
        <v>324</v>
      </c>
      <c r="B1943" s="390">
        <v>22.331666666666667</v>
      </c>
      <c r="C1943" s="229" t="s">
        <v>767</v>
      </c>
      <c r="D1943" s="229" t="s">
        <v>673</v>
      </c>
      <c r="F1943" s="229">
        <v>690</v>
      </c>
      <c r="G1943" s="40">
        <f>F1943/210</f>
        <v>3.2857142857142856</v>
      </c>
      <c r="H1943" s="14">
        <v>0</v>
      </c>
      <c r="I1943" s="229">
        <v>0</v>
      </c>
      <c r="J1943" s="229">
        <v>1</v>
      </c>
      <c r="K1943" s="26">
        <v>0</v>
      </c>
      <c r="L1943" s="14">
        <v>0</v>
      </c>
      <c r="M1943" s="229">
        <v>0</v>
      </c>
      <c r="N1943" s="229">
        <v>0</v>
      </c>
      <c r="O1943" s="229">
        <v>1</v>
      </c>
      <c r="P1943" s="26">
        <v>1</v>
      </c>
      <c r="Q1943" s="14">
        <v>15</v>
      </c>
      <c r="R1943" s="229">
        <v>0</v>
      </c>
      <c r="S1943" s="229">
        <v>10</v>
      </c>
      <c r="T1943" s="229">
        <v>0</v>
      </c>
      <c r="U1943" s="229">
        <v>0</v>
      </c>
      <c r="V1943" s="229">
        <v>5</v>
      </c>
      <c r="W1943" s="229">
        <v>33</v>
      </c>
      <c r="X1943" s="229">
        <v>0</v>
      </c>
      <c r="Y1943" s="229">
        <v>0</v>
      </c>
      <c r="Z1943" s="229">
        <v>0</v>
      </c>
      <c r="AA1943" s="229">
        <v>131</v>
      </c>
      <c r="AB1943" s="229">
        <v>0</v>
      </c>
      <c r="AC1943" s="12">
        <v>1</v>
      </c>
      <c r="AD1943" s="14">
        <v>1</v>
      </c>
      <c r="AE1943" s="14">
        <v>0</v>
      </c>
      <c r="AF1943" s="26">
        <v>0</v>
      </c>
      <c r="AG1943" s="12">
        <v>54</v>
      </c>
      <c r="AH1943" s="14">
        <v>0</v>
      </c>
      <c r="AI1943" s="209"/>
      <c r="AJ1943" s="3"/>
      <c r="AK1943" s="3"/>
      <c r="AL1943" s="3"/>
      <c r="AM1943" s="3"/>
      <c r="AN1943" s="3"/>
      <c r="AO1943" s="40"/>
      <c r="AP1943" s="209"/>
      <c r="AQ1943" s="3"/>
      <c r="AR1943" s="40"/>
      <c r="AS1943" s="238"/>
    </row>
    <row r="1944" spans="1:45" s="229" customFormat="1" ht="17" thickBot="1">
      <c r="A1944" s="84" t="s">
        <v>324</v>
      </c>
      <c r="B1944" s="388">
        <v>22.331666666666667</v>
      </c>
      <c r="C1944" s="36" t="s">
        <v>767</v>
      </c>
      <c r="D1944" s="36" t="s">
        <v>674</v>
      </c>
      <c r="E1944" s="36"/>
      <c r="F1944" s="36">
        <v>414</v>
      </c>
      <c r="G1944" s="48">
        <f>F1944/284</f>
        <v>1.4577464788732395</v>
      </c>
      <c r="H1944" s="34">
        <v>1</v>
      </c>
      <c r="I1944" s="36">
        <v>0</v>
      </c>
      <c r="J1944" s="36">
        <v>0</v>
      </c>
      <c r="K1944" s="35">
        <v>0</v>
      </c>
      <c r="L1944" s="34">
        <v>0</v>
      </c>
      <c r="M1944" s="36">
        <v>0</v>
      </c>
      <c r="N1944" s="36">
        <v>0</v>
      </c>
      <c r="O1944" s="36">
        <v>1</v>
      </c>
      <c r="P1944" s="35">
        <v>1</v>
      </c>
      <c r="Q1944" s="34">
        <v>5</v>
      </c>
      <c r="R1944" s="36">
        <v>0</v>
      </c>
      <c r="S1944" s="36">
        <v>0</v>
      </c>
      <c r="T1944" s="36">
        <v>0</v>
      </c>
      <c r="U1944" s="36">
        <v>0</v>
      </c>
      <c r="V1944" s="36">
        <v>16</v>
      </c>
      <c r="W1944" s="36">
        <v>64</v>
      </c>
      <c r="X1944" s="36">
        <v>0</v>
      </c>
      <c r="Y1944" s="36">
        <v>0</v>
      </c>
      <c r="Z1944" s="36">
        <v>0</v>
      </c>
      <c r="AA1944" s="36">
        <v>0</v>
      </c>
      <c r="AB1944" s="36">
        <v>0</v>
      </c>
      <c r="AC1944" s="33">
        <v>1</v>
      </c>
      <c r="AD1944" s="34">
        <v>1</v>
      </c>
      <c r="AE1944" s="34">
        <v>0</v>
      </c>
      <c r="AF1944" s="35">
        <v>0</v>
      </c>
      <c r="AG1944" s="33">
        <v>28</v>
      </c>
      <c r="AH1944" s="34">
        <v>0</v>
      </c>
      <c r="AI1944" s="210"/>
      <c r="AJ1944" s="51"/>
      <c r="AK1944" s="51"/>
      <c r="AL1944" s="51"/>
      <c r="AM1944" s="51"/>
      <c r="AN1944" s="51"/>
      <c r="AO1944" s="48"/>
      <c r="AP1944" s="210"/>
      <c r="AQ1944" s="51"/>
      <c r="AR1944" s="48"/>
      <c r="AS1944" s="239"/>
    </row>
    <row r="1945" spans="1:45" s="229" customFormat="1">
      <c r="A1945" s="87" t="s">
        <v>324</v>
      </c>
      <c r="B1945" s="389">
        <v>16.225000000000001</v>
      </c>
      <c r="C1945" s="229" t="s">
        <v>768</v>
      </c>
      <c r="D1945" s="229" t="s">
        <v>423</v>
      </c>
      <c r="E1945" s="229" t="s">
        <v>0</v>
      </c>
      <c r="F1945" s="229">
        <v>325</v>
      </c>
      <c r="G1945" s="40">
        <f>F1945/219</f>
        <v>1.4840182648401827</v>
      </c>
      <c r="H1945" s="14">
        <v>0</v>
      </c>
      <c r="I1945" s="229">
        <v>0</v>
      </c>
      <c r="J1945" s="229">
        <v>0</v>
      </c>
      <c r="K1945" s="26">
        <v>1</v>
      </c>
      <c r="L1945" s="14">
        <v>0</v>
      </c>
      <c r="M1945" s="229">
        <v>0</v>
      </c>
      <c r="N1945" s="229">
        <v>0</v>
      </c>
      <c r="O1945" s="229">
        <v>0</v>
      </c>
      <c r="P1945" s="26">
        <v>0</v>
      </c>
      <c r="Q1945" s="14">
        <v>0</v>
      </c>
      <c r="R1945" s="229">
        <v>0</v>
      </c>
      <c r="S1945" s="229">
        <v>0</v>
      </c>
      <c r="T1945" s="229">
        <v>0</v>
      </c>
      <c r="U1945" s="229">
        <v>0</v>
      </c>
      <c r="V1945" s="229">
        <v>0</v>
      </c>
      <c r="W1945" s="229">
        <v>0</v>
      </c>
      <c r="X1945" s="229">
        <v>0</v>
      </c>
      <c r="Y1945" s="229">
        <v>0</v>
      </c>
      <c r="Z1945" s="229">
        <v>0</v>
      </c>
      <c r="AA1945" s="229">
        <v>0</v>
      </c>
      <c r="AB1945" s="229">
        <v>0</v>
      </c>
      <c r="AC1945" s="12">
        <v>1</v>
      </c>
      <c r="AD1945" s="14">
        <v>2</v>
      </c>
      <c r="AE1945" s="14">
        <v>168</v>
      </c>
      <c r="AF1945" s="26">
        <v>342</v>
      </c>
      <c r="AG1945" s="12">
        <v>81</v>
      </c>
      <c r="AH1945" s="14">
        <v>1</v>
      </c>
      <c r="AI1945" s="209"/>
      <c r="AJ1945" s="3"/>
      <c r="AK1945" s="3"/>
      <c r="AL1945" s="3"/>
      <c r="AM1945" s="3"/>
      <c r="AN1945" s="3"/>
      <c r="AO1945" s="40"/>
      <c r="AP1945" s="209"/>
      <c r="AQ1945" s="3"/>
      <c r="AR1945" s="40"/>
      <c r="AS1945" s="238"/>
    </row>
    <row r="1946" spans="1:45" s="229" customFormat="1">
      <c r="A1946" s="42" t="s">
        <v>324</v>
      </c>
      <c r="B1946" s="390">
        <v>16.225000000000001</v>
      </c>
      <c r="C1946" s="229" t="s">
        <v>768</v>
      </c>
      <c r="D1946" s="229" t="s">
        <v>423</v>
      </c>
      <c r="E1946" s="229" t="s">
        <v>1</v>
      </c>
      <c r="F1946" s="229">
        <v>313</v>
      </c>
      <c r="G1946" s="40">
        <f>F1946/195</f>
        <v>1.6051282051282052</v>
      </c>
      <c r="H1946" s="14">
        <v>0</v>
      </c>
      <c r="I1946" s="229">
        <v>0</v>
      </c>
      <c r="J1946" s="229">
        <v>0</v>
      </c>
      <c r="K1946" s="26">
        <v>1</v>
      </c>
      <c r="L1946" s="14">
        <v>0</v>
      </c>
      <c r="M1946" s="229">
        <v>0</v>
      </c>
      <c r="N1946" s="229">
        <v>0</v>
      </c>
      <c r="O1946" s="229">
        <v>0</v>
      </c>
      <c r="P1946" s="26">
        <v>0</v>
      </c>
      <c r="Q1946" s="14">
        <v>0</v>
      </c>
      <c r="R1946" s="229">
        <v>0</v>
      </c>
      <c r="S1946" s="229">
        <v>0</v>
      </c>
      <c r="T1946" s="229">
        <v>0</v>
      </c>
      <c r="U1946" s="229">
        <v>0</v>
      </c>
      <c r="V1946" s="229">
        <v>0</v>
      </c>
      <c r="W1946" s="229">
        <v>0</v>
      </c>
      <c r="X1946" s="229">
        <v>0</v>
      </c>
      <c r="Y1946" s="229">
        <v>0</v>
      </c>
      <c r="Z1946" s="229">
        <v>0</v>
      </c>
      <c r="AA1946" s="229">
        <v>0</v>
      </c>
      <c r="AB1946" s="229">
        <v>0</v>
      </c>
      <c r="AC1946" s="12">
        <v>1</v>
      </c>
      <c r="AD1946" s="14">
        <v>2</v>
      </c>
      <c r="AE1946" s="14">
        <v>194</v>
      </c>
      <c r="AF1946" s="26">
        <v>233</v>
      </c>
      <c r="AG1946" s="12">
        <v>81</v>
      </c>
      <c r="AH1946" s="14">
        <v>1</v>
      </c>
      <c r="AI1946" s="209"/>
      <c r="AJ1946" s="3"/>
      <c r="AK1946" s="3"/>
      <c r="AL1946" s="3"/>
      <c r="AM1946" s="3"/>
      <c r="AN1946" s="3"/>
      <c r="AO1946" s="40"/>
      <c r="AP1946" s="209"/>
      <c r="AQ1946" s="3"/>
      <c r="AR1946" s="40"/>
      <c r="AS1946" s="238"/>
    </row>
    <row r="1947" spans="1:45" s="229" customFormat="1">
      <c r="A1947" s="42" t="s">
        <v>324</v>
      </c>
      <c r="B1947" s="390">
        <v>16.225000000000001</v>
      </c>
      <c r="C1947" s="229" t="s">
        <v>768</v>
      </c>
      <c r="D1947" s="229" t="s">
        <v>423</v>
      </c>
      <c r="E1947" s="229" t="s">
        <v>2</v>
      </c>
      <c r="F1947" s="229">
        <v>650</v>
      </c>
      <c r="G1947" s="40">
        <f>F1947/171</f>
        <v>3.801169590643275</v>
      </c>
      <c r="H1947" s="14">
        <v>0</v>
      </c>
      <c r="I1947" s="229">
        <v>0</v>
      </c>
      <c r="J1947" s="229">
        <v>0</v>
      </c>
      <c r="K1947" s="26">
        <v>1</v>
      </c>
      <c r="L1947" s="14">
        <v>0</v>
      </c>
      <c r="M1947" s="229">
        <v>0</v>
      </c>
      <c r="N1947" s="229">
        <v>0</v>
      </c>
      <c r="O1947" s="229">
        <v>0</v>
      </c>
      <c r="P1947" s="26">
        <v>0</v>
      </c>
      <c r="Q1947" s="14">
        <v>0</v>
      </c>
      <c r="R1947" s="229">
        <v>0</v>
      </c>
      <c r="S1947" s="229">
        <v>0</v>
      </c>
      <c r="T1947" s="229">
        <v>0</v>
      </c>
      <c r="U1947" s="229">
        <v>0</v>
      </c>
      <c r="V1947" s="229">
        <v>0</v>
      </c>
      <c r="W1947" s="229">
        <v>0</v>
      </c>
      <c r="X1947" s="229">
        <v>0</v>
      </c>
      <c r="Y1947" s="229">
        <v>0</v>
      </c>
      <c r="Z1947" s="229">
        <v>0</v>
      </c>
      <c r="AA1947" s="229">
        <v>0</v>
      </c>
      <c r="AB1947" s="229">
        <v>0</v>
      </c>
      <c r="AC1947" s="12">
        <v>1</v>
      </c>
      <c r="AD1947" s="14">
        <v>2</v>
      </c>
      <c r="AE1947" s="14">
        <v>249</v>
      </c>
      <c r="AF1947" s="26">
        <v>439</v>
      </c>
      <c r="AG1947" s="12">
        <v>81</v>
      </c>
      <c r="AH1947" s="14">
        <v>0</v>
      </c>
      <c r="AI1947" s="209"/>
      <c r="AJ1947" s="3"/>
      <c r="AK1947" s="3"/>
      <c r="AL1947" s="3"/>
      <c r="AM1947" s="3"/>
      <c r="AN1947" s="3"/>
      <c r="AO1947" s="40"/>
      <c r="AP1947" s="209"/>
      <c r="AQ1947" s="3"/>
      <c r="AR1947" s="40"/>
      <c r="AS1947" s="238"/>
    </row>
    <row r="1948" spans="1:45" s="229" customFormat="1">
      <c r="A1948" s="42" t="s">
        <v>324</v>
      </c>
      <c r="B1948" s="390">
        <v>16.225000000000001</v>
      </c>
      <c r="C1948" s="229" t="s">
        <v>768</v>
      </c>
      <c r="D1948" s="229" t="s">
        <v>622</v>
      </c>
      <c r="F1948" s="229">
        <v>584</v>
      </c>
      <c r="G1948" s="40">
        <f>F1948/364</f>
        <v>1.6043956043956045</v>
      </c>
      <c r="H1948" s="14">
        <v>1</v>
      </c>
      <c r="I1948" s="229">
        <v>0</v>
      </c>
      <c r="J1948" s="229">
        <v>0</v>
      </c>
      <c r="K1948" s="26">
        <v>0</v>
      </c>
      <c r="L1948" s="14">
        <v>0</v>
      </c>
      <c r="M1948" s="229">
        <v>0</v>
      </c>
      <c r="N1948" s="229">
        <v>0</v>
      </c>
      <c r="O1948" s="229">
        <v>0</v>
      </c>
      <c r="P1948" s="26">
        <v>0</v>
      </c>
      <c r="Q1948" s="14">
        <v>0</v>
      </c>
      <c r="R1948" s="229">
        <v>0</v>
      </c>
      <c r="S1948" s="229">
        <v>0</v>
      </c>
      <c r="T1948" s="229">
        <v>0</v>
      </c>
      <c r="U1948" s="229">
        <v>0</v>
      </c>
      <c r="V1948" s="229">
        <v>0</v>
      </c>
      <c r="W1948" s="229">
        <v>0</v>
      </c>
      <c r="X1948" s="229">
        <v>0</v>
      </c>
      <c r="Y1948" s="229">
        <v>0</v>
      </c>
      <c r="Z1948" s="229">
        <v>0</v>
      </c>
      <c r="AA1948" s="229">
        <v>0</v>
      </c>
      <c r="AB1948" s="229">
        <v>0</v>
      </c>
      <c r="AC1948" s="12">
        <v>1</v>
      </c>
      <c r="AD1948" s="14">
        <v>1</v>
      </c>
      <c r="AE1948" s="14">
        <v>0</v>
      </c>
      <c r="AF1948" s="26">
        <v>0</v>
      </c>
      <c r="AG1948" s="12">
        <v>134</v>
      </c>
      <c r="AH1948" s="14">
        <v>0</v>
      </c>
      <c r="AI1948" s="209">
        <v>85.353593740834611</v>
      </c>
      <c r="AJ1948" s="3"/>
      <c r="AK1948" s="3"/>
      <c r="AL1948" s="3"/>
      <c r="AM1948" s="3"/>
      <c r="AN1948" s="3"/>
      <c r="AO1948" s="40"/>
      <c r="AP1948" s="209">
        <v>85.35284943831283</v>
      </c>
      <c r="AQ1948" s="3"/>
      <c r="AR1948" s="40"/>
      <c r="AS1948" s="238"/>
    </row>
    <row r="1949" spans="1:45" s="229" customFormat="1">
      <c r="A1949" s="42" t="s">
        <v>324</v>
      </c>
      <c r="B1949" s="390">
        <v>16.225000000000001</v>
      </c>
      <c r="C1949" s="229" t="s">
        <v>768</v>
      </c>
      <c r="D1949" s="229" t="s">
        <v>620</v>
      </c>
      <c r="F1949" s="229">
        <v>598</v>
      </c>
      <c r="G1949" s="40">
        <f>F1949/338</f>
        <v>1.7692307692307692</v>
      </c>
      <c r="H1949" s="14">
        <v>1</v>
      </c>
      <c r="I1949" s="229">
        <v>0</v>
      </c>
      <c r="J1949" s="229">
        <v>0</v>
      </c>
      <c r="K1949" s="26">
        <v>0</v>
      </c>
      <c r="L1949" s="14">
        <v>0</v>
      </c>
      <c r="M1949" s="229">
        <v>0</v>
      </c>
      <c r="N1949" s="229">
        <v>0</v>
      </c>
      <c r="O1949" s="229">
        <v>0</v>
      </c>
      <c r="P1949" s="26">
        <v>0</v>
      </c>
      <c r="Q1949" s="14">
        <v>1</v>
      </c>
      <c r="R1949" s="229">
        <v>0</v>
      </c>
      <c r="S1949" s="229">
        <v>0</v>
      </c>
      <c r="T1949" s="229">
        <v>0</v>
      </c>
      <c r="U1949" s="229">
        <v>0</v>
      </c>
      <c r="V1949" s="229">
        <v>28</v>
      </c>
      <c r="W1949" s="229">
        <v>38</v>
      </c>
      <c r="X1949" s="229">
        <v>0</v>
      </c>
      <c r="Y1949" s="229">
        <v>0</v>
      </c>
      <c r="Z1949" s="229">
        <v>0</v>
      </c>
      <c r="AA1949" s="229">
        <v>0</v>
      </c>
      <c r="AB1949" s="229">
        <v>0</v>
      </c>
      <c r="AC1949" s="12">
        <v>1</v>
      </c>
      <c r="AD1949" s="14">
        <v>1</v>
      </c>
      <c r="AE1949" s="14">
        <v>0</v>
      </c>
      <c r="AF1949" s="26">
        <v>0</v>
      </c>
      <c r="AG1949" s="12">
        <v>79</v>
      </c>
      <c r="AH1949" s="14">
        <v>0</v>
      </c>
      <c r="AI1949" s="209"/>
      <c r="AJ1949" s="3"/>
      <c r="AK1949" s="3"/>
      <c r="AL1949" s="3"/>
      <c r="AM1949" s="3"/>
      <c r="AN1949" s="3"/>
      <c r="AO1949" s="40"/>
      <c r="AP1949" s="209"/>
      <c r="AQ1949" s="3"/>
      <c r="AR1949" s="40"/>
      <c r="AS1949" s="238"/>
    </row>
    <row r="1950" spans="1:45" s="229" customFormat="1">
      <c r="A1950" s="42" t="s">
        <v>324</v>
      </c>
      <c r="B1950" s="390">
        <v>16.225000000000001</v>
      </c>
      <c r="C1950" s="229" t="s">
        <v>768</v>
      </c>
      <c r="D1950" s="229" t="s">
        <v>629</v>
      </c>
      <c r="F1950" s="229">
        <v>360</v>
      </c>
      <c r="G1950" s="40">
        <f>F1950/307</f>
        <v>1.1726384364820848</v>
      </c>
      <c r="H1950" s="14">
        <v>1</v>
      </c>
      <c r="I1950" s="229">
        <v>0</v>
      </c>
      <c r="J1950" s="229">
        <v>0</v>
      </c>
      <c r="K1950" s="26">
        <v>0</v>
      </c>
      <c r="L1950" s="14">
        <v>0</v>
      </c>
      <c r="M1950" s="229">
        <v>0</v>
      </c>
      <c r="N1950" s="229">
        <v>0</v>
      </c>
      <c r="O1950" s="229">
        <v>0</v>
      </c>
      <c r="P1950" s="26">
        <v>0</v>
      </c>
      <c r="Q1950" s="14">
        <v>3</v>
      </c>
      <c r="R1950" s="229">
        <v>0</v>
      </c>
      <c r="S1950" s="229">
        <v>0</v>
      </c>
      <c r="T1950" s="229">
        <v>0</v>
      </c>
      <c r="U1950" s="229">
        <v>0</v>
      </c>
      <c r="V1950" s="229">
        <v>18</v>
      </c>
      <c r="W1950" s="229">
        <v>93</v>
      </c>
      <c r="X1950" s="229">
        <v>0</v>
      </c>
      <c r="Y1950" s="229">
        <v>0</v>
      </c>
      <c r="Z1950" s="229">
        <v>0</v>
      </c>
      <c r="AA1950" s="229">
        <v>35</v>
      </c>
      <c r="AB1950" s="229">
        <v>0</v>
      </c>
      <c r="AC1950" s="12">
        <v>1</v>
      </c>
      <c r="AD1950" s="14">
        <v>1</v>
      </c>
      <c r="AE1950" s="14">
        <v>0</v>
      </c>
      <c r="AF1950" s="26">
        <v>0</v>
      </c>
      <c r="AG1950" s="12">
        <v>66</v>
      </c>
      <c r="AH1950" s="14">
        <v>0</v>
      </c>
      <c r="AI1950" s="209"/>
      <c r="AJ1950" s="3"/>
      <c r="AK1950" s="3"/>
      <c r="AL1950" s="3"/>
      <c r="AM1950" s="3"/>
      <c r="AN1950" s="3"/>
      <c r="AO1950" s="40"/>
      <c r="AP1950" s="209"/>
      <c r="AQ1950" s="3"/>
      <c r="AR1950" s="40"/>
      <c r="AS1950" s="238"/>
    </row>
    <row r="1951" spans="1:45" s="229" customFormat="1">
      <c r="A1951" s="42" t="s">
        <v>324</v>
      </c>
      <c r="B1951" s="390">
        <v>16.225000000000001</v>
      </c>
      <c r="C1951" s="229" t="s">
        <v>768</v>
      </c>
      <c r="D1951" s="229" t="s">
        <v>634</v>
      </c>
      <c r="F1951" s="229">
        <v>252</v>
      </c>
      <c r="G1951" s="40">
        <f>F1951/171</f>
        <v>1.4736842105263157</v>
      </c>
      <c r="H1951" s="14">
        <v>0</v>
      </c>
      <c r="I1951" s="229">
        <v>0</v>
      </c>
      <c r="J1951" s="229">
        <v>1</v>
      </c>
      <c r="K1951" s="26">
        <v>0</v>
      </c>
      <c r="L1951" s="14">
        <v>0</v>
      </c>
      <c r="M1951" s="229">
        <v>0</v>
      </c>
      <c r="N1951" s="229">
        <v>1</v>
      </c>
      <c r="O1951" s="229">
        <v>0</v>
      </c>
      <c r="P1951" s="26">
        <v>1</v>
      </c>
      <c r="Q1951" s="14">
        <v>3</v>
      </c>
      <c r="R1951" s="229">
        <v>0</v>
      </c>
      <c r="S1951" s="229">
        <v>0</v>
      </c>
      <c r="T1951" s="229">
        <v>0</v>
      </c>
      <c r="U1951" s="229">
        <v>0</v>
      </c>
      <c r="V1951" s="229">
        <v>0</v>
      </c>
      <c r="W1951" s="229">
        <v>41</v>
      </c>
      <c r="X1951" s="229">
        <v>0</v>
      </c>
      <c r="Y1951" s="229">
        <v>0</v>
      </c>
      <c r="Z1951" s="229">
        <v>0</v>
      </c>
      <c r="AA1951" s="229">
        <v>0</v>
      </c>
      <c r="AB1951" s="229">
        <v>0</v>
      </c>
      <c r="AC1951" s="12">
        <v>1</v>
      </c>
      <c r="AD1951" s="14">
        <v>1</v>
      </c>
      <c r="AE1951" s="14">
        <v>0</v>
      </c>
      <c r="AF1951" s="26">
        <v>0</v>
      </c>
      <c r="AG1951" s="12">
        <v>52</v>
      </c>
      <c r="AH1951" s="14">
        <v>0</v>
      </c>
      <c r="AI1951" s="209"/>
      <c r="AJ1951" s="3"/>
      <c r="AK1951" s="3"/>
      <c r="AL1951" s="3"/>
      <c r="AM1951" s="3"/>
      <c r="AN1951" s="3"/>
      <c r="AO1951" s="40"/>
      <c r="AP1951" s="209"/>
      <c r="AQ1951" s="3"/>
      <c r="AR1951" s="40"/>
      <c r="AS1951" s="238"/>
    </row>
    <row r="1952" spans="1:45" s="229" customFormat="1">
      <c r="A1952" s="42" t="s">
        <v>324</v>
      </c>
      <c r="B1952" s="390">
        <v>16.225000000000001</v>
      </c>
      <c r="C1952" s="229" t="s">
        <v>768</v>
      </c>
      <c r="D1952" s="229" t="s">
        <v>625</v>
      </c>
      <c r="F1952" s="229">
        <v>617</v>
      </c>
      <c r="G1952" s="40">
        <f>F1952/423</f>
        <v>1.458628841607565</v>
      </c>
      <c r="H1952" s="14">
        <v>1</v>
      </c>
      <c r="I1952" s="229">
        <v>0</v>
      </c>
      <c r="J1952" s="229">
        <v>0</v>
      </c>
      <c r="K1952" s="26">
        <v>0</v>
      </c>
      <c r="L1952" s="14">
        <v>1</v>
      </c>
      <c r="M1952" s="229">
        <v>0</v>
      </c>
      <c r="N1952" s="229">
        <v>0</v>
      </c>
      <c r="O1952" s="229">
        <v>0</v>
      </c>
      <c r="P1952" s="26">
        <v>1</v>
      </c>
      <c r="Q1952" s="14">
        <v>2</v>
      </c>
      <c r="R1952" s="229">
        <v>0</v>
      </c>
      <c r="S1952" s="229">
        <v>0</v>
      </c>
      <c r="T1952" s="229">
        <v>0</v>
      </c>
      <c r="U1952" s="229">
        <v>0</v>
      </c>
      <c r="V1952" s="229">
        <v>0</v>
      </c>
      <c r="W1952" s="229">
        <v>146</v>
      </c>
      <c r="X1952" s="229">
        <v>0</v>
      </c>
      <c r="Y1952" s="229">
        <v>0</v>
      </c>
      <c r="Z1952" s="229">
        <v>0</v>
      </c>
      <c r="AA1952" s="229">
        <v>0</v>
      </c>
      <c r="AB1952" s="229">
        <v>0</v>
      </c>
      <c r="AC1952" s="12">
        <v>1</v>
      </c>
      <c r="AD1952" s="14">
        <v>1</v>
      </c>
      <c r="AE1952" s="14">
        <v>0</v>
      </c>
      <c r="AF1952" s="26">
        <v>0</v>
      </c>
      <c r="AG1952" s="12">
        <v>69</v>
      </c>
      <c r="AH1952" s="14">
        <v>0</v>
      </c>
      <c r="AI1952" s="209">
        <v>85.102654107855386</v>
      </c>
      <c r="AJ1952" s="3"/>
      <c r="AK1952" s="3"/>
      <c r="AL1952" s="3"/>
      <c r="AM1952" s="3"/>
      <c r="AN1952" s="3"/>
      <c r="AO1952" s="40"/>
      <c r="AP1952" s="209"/>
      <c r="AQ1952" s="3"/>
      <c r="AR1952" s="40"/>
      <c r="AS1952" s="238"/>
    </row>
    <row r="1953" spans="1:45" s="229" customFormat="1">
      <c r="A1953" s="42" t="s">
        <v>324</v>
      </c>
      <c r="B1953" s="390">
        <v>16.225000000000001</v>
      </c>
      <c r="C1953" s="229" t="s">
        <v>768</v>
      </c>
      <c r="D1953" s="229" t="s">
        <v>630</v>
      </c>
      <c r="F1953" s="229">
        <v>485</v>
      </c>
      <c r="G1953" s="40">
        <f>F1953/214</f>
        <v>2.2663551401869158</v>
      </c>
      <c r="H1953" s="14">
        <v>0</v>
      </c>
      <c r="I1953" s="229">
        <v>0</v>
      </c>
      <c r="J1953" s="229">
        <v>1</v>
      </c>
      <c r="K1953" s="26">
        <v>0</v>
      </c>
      <c r="L1953" s="14">
        <v>0</v>
      </c>
      <c r="M1953" s="229">
        <v>0</v>
      </c>
      <c r="N1953" s="229">
        <v>0</v>
      </c>
      <c r="O1953" s="229">
        <v>0</v>
      </c>
      <c r="P1953" s="26">
        <v>0</v>
      </c>
      <c r="Q1953" s="14">
        <v>0</v>
      </c>
      <c r="R1953" s="229">
        <v>0</v>
      </c>
      <c r="S1953" s="229">
        <v>0</v>
      </c>
      <c r="T1953" s="229">
        <v>0</v>
      </c>
      <c r="U1953" s="229">
        <v>0</v>
      </c>
      <c r="V1953" s="229">
        <v>0</v>
      </c>
      <c r="W1953" s="229">
        <v>0</v>
      </c>
      <c r="X1953" s="229">
        <v>0</v>
      </c>
      <c r="Y1953" s="229">
        <v>0</v>
      </c>
      <c r="Z1953" s="229">
        <v>0</v>
      </c>
      <c r="AA1953" s="229">
        <v>0</v>
      </c>
      <c r="AB1953" s="229">
        <v>0</v>
      </c>
      <c r="AC1953" s="12">
        <v>1</v>
      </c>
      <c r="AD1953" s="14">
        <v>1</v>
      </c>
      <c r="AE1953" s="14">
        <v>0</v>
      </c>
      <c r="AF1953" s="26">
        <v>0</v>
      </c>
      <c r="AG1953" s="12">
        <v>103</v>
      </c>
      <c r="AH1953" s="14">
        <v>0</v>
      </c>
      <c r="AI1953" s="209"/>
      <c r="AJ1953" s="3"/>
      <c r="AK1953" s="3"/>
      <c r="AL1953" s="3"/>
      <c r="AM1953" s="3"/>
      <c r="AN1953" s="3"/>
      <c r="AO1953" s="40"/>
      <c r="AP1953" s="209"/>
      <c r="AQ1953" s="3"/>
      <c r="AR1953" s="40"/>
      <c r="AS1953" s="238"/>
    </row>
    <row r="1954" spans="1:45" s="229" customFormat="1">
      <c r="A1954" s="42" t="s">
        <v>324</v>
      </c>
      <c r="B1954" s="390">
        <v>16.225000000000001</v>
      </c>
      <c r="C1954" s="229" t="s">
        <v>768</v>
      </c>
      <c r="D1954" s="229" t="s">
        <v>637</v>
      </c>
      <c r="F1954" s="229">
        <v>391</v>
      </c>
      <c r="G1954" s="40">
        <f>F1954/337</f>
        <v>1.1602373887240356</v>
      </c>
      <c r="H1954" s="14">
        <v>1</v>
      </c>
      <c r="I1954" s="229">
        <v>0</v>
      </c>
      <c r="J1954" s="229">
        <v>0</v>
      </c>
      <c r="K1954" s="26">
        <v>0</v>
      </c>
      <c r="L1954" s="14">
        <v>0</v>
      </c>
      <c r="M1954" s="229">
        <v>0</v>
      </c>
      <c r="N1954" s="229">
        <v>0</v>
      </c>
      <c r="O1954" s="229">
        <v>0</v>
      </c>
      <c r="P1954" s="26">
        <v>0</v>
      </c>
      <c r="Q1954" s="14">
        <v>5</v>
      </c>
      <c r="R1954" s="229">
        <v>0</v>
      </c>
      <c r="S1954" s="229">
        <v>0</v>
      </c>
      <c r="T1954" s="229">
        <v>0</v>
      </c>
      <c r="U1954" s="229">
        <v>0</v>
      </c>
      <c r="V1954" s="229">
        <v>8</v>
      </c>
      <c r="W1954" s="229">
        <v>65</v>
      </c>
      <c r="X1954" s="229">
        <v>0</v>
      </c>
      <c r="Y1954" s="229">
        <v>0</v>
      </c>
      <c r="Z1954" s="229">
        <v>0</v>
      </c>
      <c r="AA1954" s="229">
        <v>0</v>
      </c>
      <c r="AB1954" s="229">
        <v>1</v>
      </c>
      <c r="AC1954" s="12">
        <v>1</v>
      </c>
      <c r="AD1954" s="14">
        <v>1</v>
      </c>
      <c r="AE1954" s="14">
        <v>0</v>
      </c>
      <c r="AF1954" s="26">
        <v>0</v>
      </c>
      <c r="AG1954" s="12">
        <v>58</v>
      </c>
      <c r="AH1954" s="14">
        <v>0</v>
      </c>
      <c r="AI1954" s="209"/>
      <c r="AJ1954" s="3"/>
      <c r="AK1954" s="3"/>
      <c r="AL1954" s="3"/>
      <c r="AM1954" s="3"/>
      <c r="AN1954" s="3"/>
      <c r="AO1954" s="40"/>
      <c r="AP1954" s="209"/>
      <c r="AQ1954" s="3"/>
      <c r="AR1954" s="40"/>
      <c r="AS1954" s="238"/>
    </row>
    <row r="1955" spans="1:45" s="229" customFormat="1">
      <c r="A1955" s="42" t="s">
        <v>324</v>
      </c>
      <c r="B1955" s="390">
        <v>16.225000000000001</v>
      </c>
      <c r="C1955" s="229" t="s">
        <v>768</v>
      </c>
      <c r="D1955" s="229" t="s">
        <v>638</v>
      </c>
      <c r="F1955" s="229">
        <v>372</v>
      </c>
      <c r="G1955" s="40">
        <f>F1955/305</f>
        <v>1.2196721311475409</v>
      </c>
      <c r="H1955" s="14">
        <v>1</v>
      </c>
      <c r="I1955" s="229">
        <v>0</v>
      </c>
      <c r="J1955" s="229">
        <v>0</v>
      </c>
      <c r="K1955" s="26">
        <v>0</v>
      </c>
      <c r="L1955" s="14">
        <v>0</v>
      </c>
      <c r="M1955" s="229">
        <v>0</v>
      </c>
      <c r="N1955" s="229">
        <v>0</v>
      </c>
      <c r="O1955" s="229">
        <v>0</v>
      </c>
      <c r="P1955" s="26">
        <v>0</v>
      </c>
      <c r="Q1955" s="14">
        <v>1</v>
      </c>
      <c r="R1955" s="229">
        <v>0</v>
      </c>
      <c r="S1955" s="229">
        <v>0</v>
      </c>
      <c r="T1955" s="229">
        <v>0</v>
      </c>
      <c r="U1955" s="229">
        <v>0</v>
      </c>
      <c r="V1955" s="229">
        <v>0</v>
      </c>
      <c r="W1955" s="229">
        <v>50</v>
      </c>
      <c r="X1955" s="229">
        <v>0</v>
      </c>
      <c r="Y1955" s="229">
        <v>0</v>
      </c>
      <c r="Z1955" s="229">
        <v>0</v>
      </c>
      <c r="AA1955" s="229">
        <v>0</v>
      </c>
      <c r="AB1955" s="229">
        <v>0</v>
      </c>
      <c r="AC1955" s="12">
        <v>1</v>
      </c>
      <c r="AD1955" s="14">
        <v>1</v>
      </c>
      <c r="AE1955" s="14">
        <v>0</v>
      </c>
      <c r="AF1955" s="26">
        <v>0</v>
      </c>
      <c r="AG1955" s="12">
        <v>52</v>
      </c>
      <c r="AH1955" s="14">
        <v>0</v>
      </c>
      <c r="AI1955" s="209"/>
      <c r="AJ1955" s="3"/>
      <c r="AK1955" s="3"/>
      <c r="AL1955" s="3"/>
      <c r="AM1955" s="3"/>
      <c r="AN1955" s="3"/>
      <c r="AO1955" s="40"/>
      <c r="AP1955" s="209"/>
      <c r="AQ1955" s="3"/>
      <c r="AR1955" s="40"/>
      <c r="AS1955" s="238"/>
    </row>
    <row r="1956" spans="1:45" s="229" customFormat="1">
      <c r="A1956" s="42" t="s">
        <v>324</v>
      </c>
      <c r="B1956" s="390">
        <v>16.225000000000001</v>
      </c>
      <c r="C1956" s="229" t="s">
        <v>768</v>
      </c>
      <c r="D1956" s="229" t="s">
        <v>639</v>
      </c>
      <c r="E1956" s="229" t="s">
        <v>0</v>
      </c>
      <c r="F1956" s="229">
        <v>400</v>
      </c>
      <c r="G1956" s="40">
        <f>F1956/325</f>
        <v>1.2307692307692308</v>
      </c>
      <c r="H1956" s="14">
        <v>1</v>
      </c>
      <c r="I1956" s="229">
        <v>0</v>
      </c>
      <c r="J1956" s="229">
        <v>0</v>
      </c>
      <c r="K1956" s="26">
        <v>0</v>
      </c>
      <c r="L1956" s="14">
        <v>0</v>
      </c>
      <c r="M1956" s="229">
        <v>0</v>
      </c>
      <c r="N1956" s="229">
        <v>0</v>
      </c>
      <c r="O1956" s="229">
        <v>0</v>
      </c>
      <c r="P1956" s="26">
        <v>0</v>
      </c>
      <c r="Q1956" s="14">
        <v>1</v>
      </c>
      <c r="R1956" s="229">
        <v>0</v>
      </c>
      <c r="S1956" s="229">
        <v>0</v>
      </c>
      <c r="T1956" s="229">
        <v>0</v>
      </c>
      <c r="U1956" s="229">
        <v>0</v>
      </c>
      <c r="V1956" s="229">
        <v>0</v>
      </c>
      <c r="W1956" s="229">
        <v>17</v>
      </c>
      <c r="X1956" s="229">
        <v>0</v>
      </c>
      <c r="Y1956" s="229">
        <v>0</v>
      </c>
      <c r="Z1956" s="229">
        <v>0</v>
      </c>
      <c r="AA1956" s="229">
        <v>0</v>
      </c>
      <c r="AB1956" s="229">
        <v>1</v>
      </c>
      <c r="AC1956" s="12">
        <v>1</v>
      </c>
      <c r="AD1956" s="14">
        <v>1</v>
      </c>
      <c r="AE1956" s="14">
        <v>0</v>
      </c>
      <c r="AF1956" s="26">
        <v>0</v>
      </c>
      <c r="AG1956" s="12">
        <v>81</v>
      </c>
      <c r="AH1956" s="14">
        <v>0</v>
      </c>
      <c r="AI1956" s="209">
        <v>85.49542498986213</v>
      </c>
      <c r="AJ1956" s="3"/>
      <c r="AK1956" s="3"/>
      <c r="AL1956" s="3"/>
      <c r="AM1956" s="3"/>
      <c r="AN1956" s="3"/>
      <c r="AO1956" s="40"/>
      <c r="AP1956" s="209">
        <v>85.272215301377855</v>
      </c>
      <c r="AQ1956" s="3"/>
      <c r="AR1956" s="40"/>
      <c r="AS1956" s="238"/>
    </row>
    <row r="1957" spans="1:45" s="229" customFormat="1">
      <c r="A1957" s="42" t="s">
        <v>324</v>
      </c>
      <c r="B1957" s="390">
        <v>16.225000000000001</v>
      </c>
      <c r="C1957" s="229" t="s">
        <v>768</v>
      </c>
      <c r="D1957" s="229" t="s">
        <v>639</v>
      </c>
      <c r="E1957" s="229" t="s">
        <v>1</v>
      </c>
      <c r="F1957" s="229">
        <v>497</v>
      </c>
      <c r="G1957" s="40">
        <f>F1957/207</f>
        <v>2.4009661835748792</v>
      </c>
      <c r="H1957" s="14">
        <v>0</v>
      </c>
      <c r="I1957" s="229">
        <v>0</v>
      </c>
      <c r="J1957" s="229">
        <v>1</v>
      </c>
      <c r="K1957" s="26">
        <v>0</v>
      </c>
      <c r="L1957" s="14">
        <v>0</v>
      </c>
      <c r="M1957" s="229">
        <v>0</v>
      </c>
      <c r="N1957" s="229">
        <v>0</v>
      </c>
      <c r="O1957" s="229">
        <v>0</v>
      </c>
      <c r="P1957" s="26">
        <v>0</v>
      </c>
      <c r="Q1957" s="14">
        <v>0</v>
      </c>
      <c r="R1957" s="229">
        <v>0</v>
      </c>
      <c r="S1957" s="229">
        <v>0</v>
      </c>
      <c r="T1957" s="229">
        <v>0</v>
      </c>
      <c r="U1957" s="229">
        <v>0</v>
      </c>
      <c r="V1957" s="229">
        <v>0</v>
      </c>
      <c r="W1957" s="229">
        <v>0</v>
      </c>
      <c r="X1957" s="229">
        <v>0</v>
      </c>
      <c r="Y1957" s="229">
        <v>0</v>
      </c>
      <c r="Z1957" s="229">
        <v>0</v>
      </c>
      <c r="AA1957" s="229">
        <v>0</v>
      </c>
      <c r="AB1957" s="229">
        <v>0</v>
      </c>
      <c r="AC1957" s="12">
        <v>1</v>
      </c>
      <c r="AD1957" s="14">
        <v>1</v>
      </c>
      <c r="AE1957" s="14">
        <v>0</v>
      </c>
      <c r="AF1957" s="26">
        <v>0</v>
      </c>
      <c r="AG1957" s="12">
        <v>81</v>
      </c>
      <c r="AH1957" s="14">
        <v>0</v>
      </c>
      <c r="AI1957" s="209">
        <v>85.518780288831323</v>
      </c>
      <c r="AJ1957" s="3"/>
      <c r="AK1957" s="3"/>
      <c r="AL1957" s="3"/>
      <c r="AM1957" s="3"/>
      <c r="AN1957" s="3"/>
      <c r="AO1957" s="40"/>
      <c r="AP1957" s="209"/>
      <c r="AQ1957" s="3"/>
      <c r="AR1957" s="40"/>
      <c r="AS1957" s="238"/>
    </row>
    <row r="1958" spans="1:45" s="229" customFormat="1">
      <c r="A1958" s="42" t="s">
        <v>324</v>
      </c>
      <c r="B1958" s="390">
        <v>16.225000000000001</v>
      </c>
      <c r="C1958" s="229" t="s">
        <v>768</v>
      </c>
      <c r="D1958" s="229" t="s">
        <v>640</v>
      </c>
      <c r="F1958" s="229">
        <v>502</v>
      </c>
      <c r="G1958" s="40">
        <f>F1958/489</f>
        <v>1.0265848670756645</v>
      </c>
      <c r="H1958" s="14">
        <v>1</v>
      </c>
      <c r="I1958" s="229">
        <v>0</v>
      </c>
      <c r="J1958" s="229">
        <v>0</v>
      </c>
      <c r="K1958" s="26">
        <v>1</v>
      </c>
      <c r="L1958" s="14">
        <v>0</v>
      </c>
      <c r="M1958" s="229">
        <v>0</v>
      </c>
      <c r="N1958" s="229">
        <v>0</v>
      </c>
      <c r="O1958" s="229">
        <v>0</v>
      </c>
      <c r="P1958" s="26">
        <v>0</v>
      </c>
      <c r="Q1958" s="14">
        <v>0</v>
      </c>
      <c r="R1958" s="229">
        <v>0</v>
      </c>
      <c r="S1958" s="229">
        <v>0</v>
      </c>
      <c r="T1958" s="229">
        <v>0</v>
      </c>
      <c r="U1958" s="229">
        <v>0</v>
      </c>
      <c r="V1958" s="229">
        <v>0</v>
      </c>
      <c r="W1958" s="229">
        <v>0</v>
      </c>
      <c r="X1958" s="229">
        <v>0</v>
      </c>
      <c r="Y1958" s="229">
        <v>0</v>
      </c>
      <c r="Z1958" s="229">
        <v>0</v>
      </c>
      <c r="AA1958" s="229">
        <v>0</v>
      </c>
      <c r="AB1958" s="229">
        <v>0</v>
      </c>
      <c r="AC1958" s="12">
        <v>2</v>
      </c>
      <c r="AD1958" s="14">
        <v>2</v>
      </c>
      <c r="AE1958" s="14">
        <v>379</v>
      </c>
      <c r="AF1958" s="26">
        <v>451</v>
      </c>
      <c r="AG1958" s="12">
        <v>58</v>
      </c>
      <c r="AH1958" s="14">
        <v>0</v>
      </c>
      <c r="AI1958" s="209">
        <v>85.379215074048162</v>
      </c>
      <c r="AJ1958" s="3">
        <v>85.313217941166187</v>
      </c>
      <c r="AK1958" s="3"/>
      <c r="AL1958" s="3"/>
      <c r="AM1958" s="3"/>
      <c r="AN1958" s="3"/>
      <c r="AO1958" s="40"/>
      <c r="AP1958" s="209">
        <v>85.170571830978943</v>
      </c>
      <c r="AQ1958" s="3">
        <v>85.213844374143321</v>
      </c>
      <c r="AR1958" s="40"/>
      <c r="AS1958" s="238"/>
    </row>
    <row r="1959" spans="1:45" s="229" customFormat="1">
      <c r="A1959" s="42" t="s">
        <v>324</v>
      </c>
      <c r="B1959" s="390">
        <v>16.225000000000001</v>
      </c>
      <c r="C1959" s="229" t="s">
        <v>768</v>
      </c>
      <c r="D1959" s="229" t="s">
        <v>641</v>
      </c>
      <c r="F1959" s="229">
        <v>396</v>
      </c>
      <c r="G1959" s="40">
        <f>F1959/333</f>
        <v>1.1891891891891893</v>
      </c>
      <c r="H1959" s="14">
        <v>0</v>
      </c>
      <c r="I1959" s="229">
        <v>0</v>
      </c>
      <c r="J1959" s="229">
        <v>0</v>
      </c>
      <c r="K1959" s="26">
        <v>1</v>
      </c>
      <c r="L1959" s="14">
        <v>0</v>
      </c>
      <c r="M1959" s="229">
        <v>0</v>
      </c>
      <c r="N1959" s="229">
        <v>1</v>
      </c>
      <c r="O1959" s="229">
        <v>0</v>
      </c>
      <c r="P1959" s="26">
        <v>1</v>
      </c>
      <c r="Q1959" s="14">
        <v>0</v>
      </c>
      <c r="R1959" s="229">
        <v>0</v>
      </c>
      <c r="S1959" s="229">
        <v>0</v>
      </c>
      <c r="T1959" s="229">
        <v>0</v>
      </c>
      <c r="U1959" s="229">
        <v>0</v>
      </c>
      <c r="V1959" s="229">
        <v>0</v>
      </c>
      <c r="W1959" s="229">
        <v>0</v>
      </c>
      <c r="X1959" s="229">
        <v>0</v>
      </c>
      <c r="Y1959" s="229">
        <v>0</v>
      </c>
      <c r="Z1959" s="229">
        <v>0</v>
      </c>
      <c r="AA1959" s="229">
        <v>0</v>
      </c>
      <c r="AB1959" s="229">
        <v>0</v>
      </c>
      <c r="AC1959" s="12">
        <v>2</v>
      </c>
      <c r="AD1959" s="14">
        <v>2</v>
      </c>
      <c r="AE1959" s="14">
        <v>149</v>
      </c>
      <c r="AF1959" s="26">
        <v>396</v>
      </c>
      <c r="AG1959" s="12">
        <v>48</v>
      </c>
      <c r="AH1959" s="14">
        <v>1</v>
      </c>
      <c r="AI1959" s="209"/>
      <c r="AJ1959" s="3"/>
      <c r="AK1959" s="3"/>
      <c r="AL1959" s="3"/>
      <c r="AM1959" s="3"/>
      <c r="AN1959" s="3"/>
      <c r="AO1959" s="40"/>
      <c r="AP1959" s="209"/>
      <c r="AQ1959" s="3"/>
      <c r="AR1959" s="40"/>
      <c r="AS1959" s="238"/>
    </row>
    <row r="1960" spans="1:45" s="229" customFormat="1">
      <c r="A1960" s="42" t="s">
        <v>324</v>
      </c>
      <c r="B1960" s="390">
        <v>16.225000000000001</v>
      </c>
      <c r="C1960" s="229" t="s">
        <v>768</v>
      </c>
      <c r="D1960" s="229" t="s">
        <v>647</v>
      </c>
      <c r="F1960" s="229">
        <v>210</v>
      </c>
      <c r="G1960" s="40">
        <f>F1960/170</f>
        <v>1.2352941176470589</v>
      </c>
      <c r="H1960" s="14">
        <v>1</v>
      </c>
      <c r="I1960" s="229">
        <v>0</v>
      </c>
      <c r="J1960" s="229">
        <v>0</v>
      </c>
      <c r="K1960" s="26">
        <v>0</v>
      </c>
      <c r="L1960" s="14">
        <v>0</v>
      </c>
      <c r="M1960" s="229">
        <v>0</v>
      </c>
      <c r="N1960" s="229">
        <v>1</v>
      </c>
      <c r="O1960" s="229">
        <v>0</v>
      </c>
      <c r="P1960" s="26">
        <v>1</v>
      </c>
      <c r="Q1960" s="14">
        <v>1</v>
      </c>
      <c r="R1960" s="229">
        <v>0</v>
      </c>
      <c r="S1960" s="229">
        <v>0</v>
      </c>
      <c r="T1960" s="229">
        <v>0</v>
      </c>
      <c r="U1960" s="229">
        <v>0</v>
      </c>
      <c r="V1960" s="229">
        <v>0</v>
      </c>
      <c r="W1960" s="229">
        <v>24</v>
      </c>
      <c r="X1960" s="229">
        <v>0</v>
      </c>
      <c r="Y1960" s="229">
        <v>0</v>
      </c>
      <c r="Z1960" s="229">
        <v>0</v>
      </c>
      <c r="AA1960" s="229">
        <v>0</v>
      </c>
      <c r="AB1960" s="229">
        <v>0</v>
      </c>
      <c r="AC1960" s="12">
        <v>1</v>
      </c>
      <c r="AD1960" s="14">
        <v>1</v>
      </c>
      <c r="AE1960" s="14">
        <v>0</v>
      </c>
      <c r="AF1960" s="26">
        <v>0</v>
      </c>
      <c r="AG1960" s="12">
        <v>71</v>
      </c>
      <c r="AH1960" s="14">
        <v>1</v>
      </c>
      <c r="AI1960" s="209"/>
      <c r="AJ1960" s="3"/>
      <c r="AK1960" s="3"/>
      <c r="AL1960" s="3"/>
      <c r="AM1960" s="3"/>
      <c r="AN1960" s="3"/>
      <c r="AO1960" s="40"/>
      <c r="AP1960" s="209"/>
      <c r="AQ1960" s="3"/>
      <c r="AR1960" s="40"/>
      <c r="AS1960" s="238"/>
    </row>
    <row r="1961" spans="1:45" s="229" customFormat="1">
      <c r="A1961" s="42" t="s">
        <v>324</v>
      </c>
      <c r="B1961" s="390">
        <v>16.225000000000001</v>
      </c>
      <c r="C1961" s="229" t="s">
        <v>768</v>
      </c>
      <c r="D1961" s="229" t="s">
        <v>648</v>
      </c>
      <c r="F1961" s="229">
        <v>332</v>
      </c>
      <c r="G1961" s="40">
        <f>F1961/292</f>
        <v>1.1369863013698631</v>
      </c>
      <c r="H1961" s="14">
        <v>1</v>
      </c>
      <c r="I1961" s="229">
        <v>0</v>
      </c>
      <c r="J1961" s="229">
        <v>0</v>
      </c>
      <c r="K1961" s="26">
        <v>0</v>
      </c>
      <c r="L1961" s="14">
        <v>0</v>
      </c>
      <c r="M1961" s="229">
        <v>0</v>
      </c>
      <c r="N1961" s="229">
        <v>0</v>
      </c>
      <c r="O1961" s="229">
        <v>0</v>
      </c>
      <c r="P1961" s="26">
        <v>0</v>
      </c>
      <c r="Q1961" s="14">
        <v>1</v>
      </c>
      <c r="R1961" s="229">
        <v>0</v>
      </c>
      <c r="S1961" s="229">
        <v>0</v>
      </c>
      <c r="T1961" s="229">
        <v>0</v>
      </c>
      <c r="U1961" s="229">
        <v>0</v>
      </c>
      <c r="V1961" s="229">
        <v>0</v>
      </c>
      <c r="W1961" s="229">
        <v>28</v>
      </c>
      <c r="X1961" s="229">
        <v>0</v>
      </c>
      <c r="Y1961" s="229">
        <v>0</v>
      </c>
      <c r="Z1961" s="229">
        <v>0</v>
      </c>
      <c r="AA1961" s="229">
        <v>0</v>
      </c>
      <c r="AB1961" s="229">
        <v>1</v>
      </c>
      <c r="AC1961" s="12">
        <v>1</v>
      </c>
      <c r="AD1961" s="14">
        <v>1</v>
      </c>
      <c r="AE1961" s="14">
        <v>0</v>
      </c>
      <c r="AF1961" s="26">
        <v>0</v>
      </c>
      <c r="AG1961" s="12">
        <v>52</v>
      </c>
      <c r="AH1961" s="14">
        <v>0</v>
      </c>
      <c r="AI1961" s="209"/>
      <c r="AJ1961" s="3"/>
      <c r="AK1961" s="3"/>
      <c r="AL1961" s="3"/>
      <c r="AM1961" s="3"/>
      <c r="AN1961" s="3"/>
      <c r="AO1961" s="40"/>
      <c r="AP1961" s="209"/>
      <c r="AQ1961" s="3"/>
      <c r="AR1961" s="40"/>
      <c r="AS1961" s="238"/>
    </row>
    <row r="1962" spans="1:45" s="229" customFormat="1">
      <c r="A1962" s="42" t="s">
        <v>324</v>
      </c>
      <c r="B1962" s="390">
        <v>16.225000000000001</v>
      </c>
      <c r="C1962" s="229" t="s">
        <v>768</v>
      </c>
      <c r="D1962" s="229" t="s">
        <v>649</v>
      </c>
      <c r="F1962" s="229">
        <v>507</v>
      </c>
      <c r="G1962" s="40">
        <f>F1962/297</f>
        <v>1.707070707070707</v>
      </c>
      <c r="H1962" s="14">
        <v>0</v>
      </c>
      <c r="I1962" s="229">
        <v>0</v>
      </c>
      <c r="J1962" s="229">
        <v>1</v>
      </c>
      <c r="K1962" s="26">
        <v>0</v>
      </c>
      <c r="L1962" s="14">
        <v>0</v>
      </c>
      <c r="M1962" s="229">
        <v>0</v>
      </c>
      <c r="N1962" s="229">
        <v>0</v>
      </c>
      <c r="O1962" s="229">
        <v>0</v>
      </c>
      <c r="P1962" s="26">
        <v>0</v>
      </c>
      <c r="Q1962" s="14">
        <v>0</v>
      </c>
      <c r="R1962" s="229">
        <v>0</v>
      </c>
      <c r="S1962" s="229">
        <v>0</v>
      </c>
      <c r="T1962" s="229">
        <v>0</v>
      </c>
      <c r="U1962" s="229">
        <v>0</v>
      </c>
      <c r="V1962" s="229">
        <v>0</v>
      </c>
      <c r="W1962" s="229">
        <v>0</v>
      </c>
      <c r="X1962" s="229">
        <v>0</v>
      </c>
      <c r="Y1962" s="229">
        <v>0</v>
      </c>
      <c r="Z1962" s="229">
        <v>0</v>
      </c>
      <c r="AA1962" s="229">
        <v>0</v>
      </c>
      <c r="AB1962" s="229">
        <v>0</v>
      </c>
      <c r="AC1962" s="12">
        <v>1</v>
      </c>
      <c r="AD1962" s="14">
        <v>1</v>
      </c>
      <c r="AE1962" s="14">
        <v>0</v>
      </c>
      <c r="AF1962" s="26">
        <v>0</v>
      </c>
      <c r="AG1962" s="12">
        <v>35</v>
      </c>
      <c r="AH1962" s="14">
        <v>1</v>
      </c>
      <c r="AI1962" s="209">
        <v>85.284764539432558</v>
      </c>
      <c r="AJ1962" s="3"/>
      <c r="AK1962" s="3"/>
      <c r="AL1962" s="3"/>
      <c r="AM1962" s="3"/>
      <c r="AN1962" s="3"/>
      <c r="AO1962" s="40"/>
      <c r="AP1962" s="209">
        <v>85.32309353315118</v>
      </c>
      <c r="AQ1962" s="3"/>
      <c r="AR1962" s="40"/>
      <c r="AS1962" s="238"/>
    </row>
    <row r="1963" spans="1:45" s="229" customFormat="1">
      <c r="A1963" s="42" t="s">
        <v>324</v>
      </c>
      <c r="B1963" s="390">
        <v>16.225000000000001</v>
      </c>
      <c r="C1963" s="229" t="s">
        <v>768</v>
      </c>
      <c r="D1963" s="229" t="s">
        <v>669</v>
      </c>
      <c r="E1963" s="229" t="s">
        <v>0</v>
      </c>
      <c r="F1963" s="229">
        <v>626</v>
      </c>
      <c r="G1963" s="40">
        <f>F1963/520</f>
        <v>1.2038461538461538</v>
      </c>
      <c r="H1963" s="14">
        <v>0</v>
      </c>
      <c r="I1963" s="229">
        <v>0</v>
      </c>
      <c r="J1963" s="229">
        <v>0</v>
      </c>
      <c r="K1963" s="26">
        <v>1</v>
      </c>
      <c r="L1963" s="14">
        <v>0</v>
      </c>
      <c r="M1963" s="229">
        <v>0</v>
      </c>
      <c r="N1963" s="229">
        <v>1</v>
      </c>
      <c r="O1963" s="229">
        <v>0</v>
      </c>
      <c r="P1963" s="26">
        <v>1</v>
      </c>
      <c r="Q1963" s="14">
        <v>2</v>
      </c>
      <c r="R1963" s="229">
        <v>0</v>
      </c>
      <c r="S1963" s="229">
        <v>0</v>
      </c>
      <c r="T1963" s="229">
        <v>0</v>
      </c>
      <c r="U1963" s="229">
        <v>0</v>
      </c>
      <c r="V1963" s="229">
        <v>18</v>
      </c>
      <c r="W1963" s="229">
        <v>26</v>
      </c>
      <c r="X1963" s="229">
        <v>0</v>
      </c>
      <c r="Y1963" s="229">
        <v>0</v>
      </c>
      <c r="Z1963" s="229">
        <v>0</v>
      </c>
      <c r="AA1963" s="229">
        <v>0</v>
      </c>
      <c r="AB1963" s="229">
        <v>1</v>
      </c>
      <c r="AC1963" s="12">
        <v>2</v>
      </c>
      <c r="AD1963" s="14">
        <v>2</v>
      </c>
      <c r="AE1963" s="14">
        <v>361</v>
      </c>
      <c r="AF1963" s="26">
        <v>626</v>
      </c>
      <c r="AG1963" s="12">
        <v>87</v>
      </c>
      <c r="AH1963" s="14">
        <v>0</v>
      </c>
      <c r="AI1963" s="209"/>
      <c r="AJ1963" s="3"/>
      <c r="AK1963" s="3"/>
      <c r="AL1963" s="3"/>
      <c r="AM1963" s="3"/>
      <c r="AN1963" s="3"/>
      <c r="AO1963" s="40"/>
      <c r="AP1963" s="209"/>
      <c r="AQ1963" s="3"/>
      <c r="AR1963" s="40"/>
      <c r="AS1963" s="238"/>
    </row>
    <row r="1964" spans="1:45" s="229" customFormat="1">
      <c r="A1964" s="42" t="s">
        <v>324</v>
      </c>
      <c r="B1964" s="390">
        <v>16.225000000000001</v>
      </c>
      <c r="C1964" s="229" t="s">
        <v>768</v>
      </c>
      <c r="D1964" s="229" t="s">
        <v>669</v>
      </c>
      <c r="E1964" s="229" t="s">
        <v>1</v>
      </c>
      <c r="F1964" s="229">
        <v>627</v>
      </c>
      <c r="G1964" s="40">
        <f>F1964/447</f>
        <v>1.4026845637583893</v>
      </c>
      <c r="H1964" s="14">
        <v>0</v>
      </c>
      <c r="I1964" s="229">
        <v>0</v>
      </c>
      <c r="J1964" s="229">
        <v>1</v>
      </c>
      <c r="K1964" s="26">
        <v>1</v>
      </c>
      <c r="L1964" s="14">
        <v>0</v>
      </c>
      <c r="M1964" s="229">
        <v>0</v>
      </c>
      <c r="N1964" s="229">
        <v>1</v>
      </c>
      <c r="O1964" s="229">
        <v>0</v>
      </c>
      <c r="P1964" s="26">
        <v>1</v>
      </c>
      <c r="Q1964" s="14">
        <v>5</v>
      </c>
      <c r="R1964" s="229">
        <v>0</v>
      </c>
      <c r="S1964" s="229">
        <v>15</v>
      </c>
      <c r="T1964" s="229">
        <v>0</v>
      </c>
      <c r="U1964" s="229">
        <v>0</v>
      </c>
      <c r="V1964" s="229">
        <v>0</v>
      </c>
      <c r="W1964" s="229">
        <v>104</v>
      </c>
      <c r="X1964" s="229">
        <v>0</v>
      </c>
      <c r="Y1964" s="229">
        <v>0</v>
      </c>
      <c r="Z1964" s="229">
        <v>0</v>
      </c>
      <c r="AA1964" s="229">
        <v>0</v>
      </c>
      <c r="AB1964" s="229">
        <v>1</v>
      </c>
      <c r="AC1964" s="12">
        <v>2</v>
      </c>
      <c r="AD1964" s="14">
        <v>2</v>
      </c>
      <c r="AE1964" s="14">
        <v>238</v>
      </c>
      <c r="AF1964" s="26">
        <v>627</v>
      </c>
      <c r="AG1964" s="12">
        <v>87</v>
      </c>
      <c r="AH1964" s="14">
        <v>0</v>
      </c>
      <c r="AI1964" s="209"/>
      <c r="AJ1964" s="3"/>
      <c r="AK1964" s="3"/>
      <c r="AL1964" s="3"/>
      <c r="AM1964" s="3"/>
      <c r="AN1964" s="3"/>
      <c r="AO1964" s="40"/>
      <c r="AP1964" s="209"/>
      <c r="AQ1964" s="3"/>
      <c r="AR1964" s="40"/>
      <c r="AS1964" s="238"/>
    </row>
    <row r="1965" spans="1:45" s="229" customFormat="1">
      <c r="A1965" s="42" t="s">
        <v>324</v>
      </c>
      <c r="B1965" s="390">
        <v>16.225000000000001</v>
      </c>
      <c r="C1965" s="229" t="s">
        <v>768</v>
      </c>
      <c r="D1965" s="229" t="s">
        <v>670</v>
      </c>
      <c r="F1965" s="229">
        <v>480</v>
      </c>
      <c r="G1965" s="40">
        <f>F1965/267</f>
        <v>1.797752808988764</v>
      </c>
      <c r="H1965" s="14">
        <v>0</v>
      </c>
      <c r="I1965" s="229">
        <v>0</v>
      </c>
      <c r="J1965" s="229">
        <v>0</v>
      </c>
      <c r="K1965" s="26">
        <v>1</v>
      </c>
      <c r="L1965" s="14">
        <v>0</v>
      </c>
      <c r="M1965" s="229">
        <v>0</v>
      </c>
      <c r="N1965" s="229">
        <v>0</v>
      </c>
      <c r="O1965" s="229">
        <v>0</v>
      </c>
      <c r="P1965" s="26">
        <v>0</v>
      </c>
      <c r="Q1965" s="14">
        <v>0</v>
      </c>
      <c r="R1965" s="229">
        <v>0</v>
      </c>
      <c r="S1965" s="229">
        <v>0</v>
      </c>
      <c r="T1965" s="229">
        <v>0</v>
      </c>
      <c r="U1965" s="229">
        <v>0</v>
      </c>
      <c r="V1965" s="229">
        <v>0</v>
      </c>
      <c r="W1965" s="229">
        <v>0</v>
      </c>
      <c r="X1965" s="229">
        <v>0</v>
      </c>
      <c r="Y1965" s="229">
        <v>0</v>
      </c>
      <c r="Z1965" s="229">
        <v>0</v>
      </c>
      <c r="AA1965" s="229">
        <v>0</v>
      </c>
      <c r="AB1965" s="229">
        <v>0</v>
      </c>
      <c r="AC1965" s="12">
        <v>1</v>
      </c>
      <c r="AD1965" s="14">
        <v>1</v>
      </c>
      <c r="AE1965" s="14">
        <v>0</v>
      </c>
      <c r="AF1965" s="26">
        <v>0</v>
      </c>
      <c r="AG1965" s="12">
        <v>990</v>
      </c>
      <c r="AH1965" s="14">
        <v>0</v>
      </c>
      <c r="AI1965" s="209"/>
      <c r="AJ1965" s="3"/>
      <c r="AK1965" s="3"/>
      <c r="AL1965" s="3"/>
      <c r="AM1965" s="3"/>
      <c r="AN1965" s="3"/>
      <c r="AO1965" s="40"/>
      <c r="AP1965" s="209"/>
      <c r="AQ1965" s="3"/>
      <c r="AR1965" s="40"/>
      <c r="AS1965" s="238"/>
    </row>
    <row r="1966" spans="1:45" s="229" customFormat="1">
      <c r="A1966" s="42" t="s">
        <v>324</v>
      </c>
      <c r="B1966" s="390">
        <v>16.225000000000001</v>
      </c>
      <c r="C1966" s="229" t="s">
        <v>768</v>
      </c>
      <c r="D1966" s="229" t="s">
        <v>671</v>
      </c>
      <c r="F1966" s="229">
        <v>869</v>
      </c>
      <c r="G1966" s="40">
        <f>F1966/722</f>
        <v>1.2036011080332409</v>
      </c>
      <c r="H1966" s="14">
        <v>0</v>
      </c>
      <c r="I1966" s="229">
        <v>0</v>
      </c>
      <c r="J1966" s="229">
        <v>1</v>
      </c>
      <c r="K1966" s="26">
        <v>0</v>
      </c>
      <c r="L1966" s="14">
        <v>0</v>
      </c>
      <c r="M1966" s="229">
        <v>0</v>
      </c>
      <c r="N1966" s="229">
        <v>0</v>
      </c>
      <c r="O1966" s="229">
        <v>0</v>
      </c>
      <c r="P1966" s="26">
        <v>0</v>
      </c>
      <c r="Q1966" s="14">
        <v>5</v>
      </c>
      <c r="R1966" s="229">
        <v>0</v>
      </c>
      <c r="S1966" s="229">
        <v>22</v>
      </c>
      <c r="T1966" s="229">
        <v>0</v>
      </c>
      <c r="U1966" s="229">
        <v>0</v>
      </c>
      <c r="V1966" s="229">
        <v>10</v>
      </c>
      <c r="W1966" s="229">
        <v>56</v>
      </c>
      <c r="X1966" s="229">
        <v>0</v>
      </c>
      <c r="Y1966" s="229">
        <v>0</v>
      </c>
      <c r="Z1966" s="229">
        <v>84</v>
      </c>
      <c r="AA1966" s="229">
        <v>177</v>
      </c>
      <c r="AB1966" s="229">
        <v>0</v>
      </c>
      <c r="AC1966" s="12">
        <v>1</v>
      </c>
      <c r="AD1966" s="14">
        <v>1</v>
      </c>
      <c r="AE1966" s="14">
        <v>0</v>
      </c>
      <c r="AF1966" s="26">
        <v>0</v>
      </c>
      <c r="AG1966" s="12" t="s">
        <v>331</v>
      </c>
      <c r="AH1966" s="14">
        <v>1</v>
      </c>
      <c r="AI1966" s="209">
        <v>85.197773237386542</v>
      </c>
      <c r="AJ1966" s="3"/>
      <c r="AK1966" s="3"/>
      <c r="AL1966" s="3"/>
      <c r="AM1966" s="3"/>
      <c r="AN1966" s="3"/>
      <c r="AO1966" s="40"/>
      <c r="AP1966" s="209"/>
      <c r="AQ1966" s="3"/>
      <c r="AR1966" s="40"/>
      <c r="AS1966" s="238"/>
    </row>
    <row r="1967" spans="1:45" s="229" customFormat="1">
      <c r="A1967" s="42" t="s">
        <v>324</v>
      </c>
      <c r="B1967" s="390">
        <v>16.225000000000001</v>
      </c>
      <c r="C1967" s="229" t="s">
        <v>768</v>
      </c>
      <c r="D1967" s="229" t="s">
        <v>672</v>
      </c>
      <c r="E1967" s="229" t="s">
        <v>0</v>
      </c>
      <c r="F1967" s="229">
        <v>522</v>
      </c>
      <c r="G1967" s="40">
        <f>F1967/248</f>
        <v>2.1048387096774195</v>
      </c>
      <c r="H1967" s="14">
        <v>1</v>
      </c>
      <c r="I1967" s="229">
        <v>0</v>
      </c>
      <c r="J1967" s="229">
        <v>0</v>
      </c>
      <c r="K1967" s="26">
        <v>0</v>
      </c>
      <c r="L1967" s="14">
        <v>0</v>
      </c>
      <c r="M1967" s="229">
        <v>0</v>
      </c>
      <c r="N1967" s="229">
        <v>0</v>
      </c>
      <c r="O1967" s="229">
        <v>0</v>
      </c>
      <c r="P1967" s="26">
        <v>0</v>
      </c>
      <c r="Q1967" s="14">
        <v>5</v>
      </c>
      <c r="R1967" s="229">
        <v>0</v>
      </c>
      <c r="S1967" s="229">
        <v>0</v>
      </c>
      <c r="T1967" s="229">
        <v>0</v>
      </c>
      <c r="U1967" s="229">
        <v>0</v>
      </c>
      <c r="V1967" s="229">
        <v>57</v>
      </c>
      <c r="W1967" s="229">
        <v>77</v>
      </c>
      <c r="X1967" s="229">
        <v>0</v>
      </c>
      <c r="Y1967" s="229">
        <v>0</v>
      </c>
      <c r="Z1967" s="229">
        <v>0</v>
      </c>
      <c r="AA1967" s="229">
        <v>0</v>
      </c>
      <c r="AB1967" s="229">
        <v>1</v>
      </c>
      <c r="AC1967" s="12">
        <v>1</v>
      </c>
      <c r="AD1967" s="14">
        <v>1</v>
      </c>
      <c r="AE1967" s="14">
        <v>0</v>
      </c>
      <c r="AF1967" s="26">
        <v>0</v>
      </c>
      <c r="AG1967" s="12">
        <v>36</v>
      </c>
      <c r="AH1967" s="14">
        <v>0</v>
      </c>
      <c r="AI1967" s="209"/>
      <c r="AJ1967" s="3"/>
      <c r="AK1967" s="3"/>
      <c r="AL1967" s="3"/>
      <c r="AM1967" s="3"/>
      <c r="AN1967" s="3"/>
      <c r="AO1967" s="40"/>
      <c r="AP1967" s="209"/>
      <c r="AQ1967" s="3"/>
      <c r="AR1967" s="40"/>
      <c r="AS1967" s="238"/>
    </row>
    <row r="1968" spans="1:45" s="229" customFormat="1" ht="17" thickBot="1">
      <c r="A1968" s="55" t="s">
        <v>324</v>
      </c>
      <c r="B1968" s="388">
        <v>16.225000000000001</v>
      </c>
      <c r="C1968" s="229" t="s">
        <v>768</v>
      </c>
      <c r="D1968" s="229" t="s">
        <v>672</v>
      </c>
      <c r="E1968" s="229" t="s">
        <v>1</v>
      </c>
      <c r="F1968" s="229">
        <v>139</v>
      </c>
      <c r="G1968" s="40">
        <f>F1968/100</f>
        <v>1.39</v>
      </c>
      <c r="H1968" s="14">
        <v>0</v>
      </c>
      <c r="I1968" s="229">
        <v>0</v>
      </c>
      <c r="J1968" s="229">
        <v>0</v>
      </c>
      <c r="K1968" s="26">
        <v>1</v>
      </c>
      <c r="L1968" s="14">
        <v>0</v>
      </c>
      <c r="M1968" s="229">
        <v>0</v>
      </c>
      <c r="N1968" s="229">
        <v>0</v>
      </c>
      <c r="O1968" s="229">
        <v>0</v>
      </c>
      <c r="P1968" s="26">
        <v>0</v>
      </c>
      <c r="Q1968" s="14">
        <v>0</v>
      </c>
      <c r="R1968" s="229">
        <v>0</v>
      </c>
      <c r="S1968" s="229">
        <v>0</v>
      </c>
      <c r="T1968" s="229">
        <v>0</v>
      </c>
      <c r="U1968" s="229">
        <v>0</v>
      </c>
      <c r="V1968" s="229">
        <v>0</v>
      </c>
      <c r="W1968" s="229">
        <v>0</v>
      </c>
      <c r="X1968" s="229">
        <v>0</v>
      </c>
      <c r="Y1968" s="229">
        <v>0</v>
      </c>
      <c r="Z1968" s="229">
        <v>0</v>
      </c>
      <c r="AA1968" s="229">
        <v>0</v>
      </c>
      <c r="AB1968" s="229">
        <v>0</v>
      </c>
      <c r="AC1968" s="12">
        <v>1</v>
      </c>
      <c r="AD1968" s="14">
        <v>1</v>
      </c>
      <c r="AE1968" s="14">
        <v>0</v>
      </c>
      <c r="AF1968" s="26">
        <v>0</v>
      </c>
      <c r="AG1968" s="12">
        <v>36</v>
      </c>
      <c r="AH1968" s="14">
        <v>0</v>
      </c>
      <c r="AI1968" s="209"/>
      <c r="AJ1968" s="3"/>
      <c r="AK1968" s="3"/>
      <c r="AL1968" s="3"/>
      <c r="AM1968" s="3"/>
      <c r="AN1968" s="3"/>
      <c r="AO1968" s="40"/>
      <c r="AP1968" s="209"/>
      <c r="AQ1968" s="3"/>
      <c r="AR1968" s="40"/>
      <c r="AS1968" s="238"/>
    </row>
    <row r="1969" spans="1:45" s="229" customFormat="1">
      <c r="A1969" s="87" t="s">
        <v>324</v>
      </c>
      <c r="B1969" s="389">
        <v>16.225000000000001</v>
      </c>
      <c r="C1969" s="8" t="s">
        <v>769</v>
      </c>
      <c r="D1969" s="8" t="s">
        <v>423</v>
      </c>
      <c r="E1969" s="8"/>
      <c r="F1969" s="8">
        <v>500</v>
      </c>
      <c r="G1969" s="10">
        <f>F1969/471</f>
        <v>1.0615711252653928</v>
      </c>
      <c r="H1969" s="11">
        <v>0</v>
      </c>
      <c r="I1969" s="8">
        <v>0</v>
      </c>
      <c r="J1969" s="8">
        <v>1</v>
      </c>
      <c r="K1969" s="41">
        <v>0</v>
      </c>
      <c r="L1969" s="11">
        <v>0</v>
      </c>
      <c r="M1969" s="8">
        <v>0</v>
      </c>
      <c r="N1969" s="8">
        <v>0</v>
      </c>
      <c r="O1969" s="8">
        <v>0</v>
      </c>
      <c r="P1969" s="41">
        <v>0</v>
      </c>
      <c r="Q1969" s="11">
        <v>5</v>
      </c>
      <c r="R1969" s="8">
        <v>0</v>
      </c>
      <c r="S1969" s="8">
        <v>0</v>
      </c>
      <c r="T1969" s="8">
        <v>0</v>
      </c>
      <c r="U1969" s="8">
        <v>0</v>
      </c>
      <c r="V1969" s="8">
        <v>0</v>
      </c>
      <c r="W1969" s="8">
        <v>0</v>
      </c>
      <c r="X1969" s="8">
        <v>0</v>
      </c>
      <c r="Y1969" s="8">
        <v>0</v>
      </c>
      <c r="Z1969" s="8">
        <v>0</v>
      </c>
      <c r="AA1969" s="8">
        <v>91</v>
      </c>
      <c r="AB1969" s="8">
        <v>0</v>
      </c>
      <c r="AC1969" s="9">
        <v>1</v>
      </c>
      <c r="AD1969" s="11">
        <v>1</v>
      </c>
      <c r="AE1969" s="11">
        <v>0</v>
      </c>
      <c r="AF1969" s="41">
        <v>0</v>
      </c>
      <c r="AG1969" s="9">
        <v>61</v>
      </c>
      <c r="AH1969" s="11">
        <v>1</v>
      </c>
      <c r="AI1969" s="208"/>
      <c r="AJ1969" s="54"/>
      <c r="AK1969" s="54"/>
      <c r="AL1969" s="54"/>
      <c r="AM1969" s="54"/>
      <c r="AN1969" s="54"/>
      <c r="AO1969" s="10"/>
      <c r="AP1969" s="208"/>
      <c r="AQ1969" s="54"/>
      <c r="AR1969" s="10"/>
      <c r="AS1969" s="237"/>
    </row>
    <row r="1970" spans="1:45" s="229" customFormat="1">
      <c r="A1970" s="42" t="s">
        <v>324</v>
      </c>
      <c r="B1970" s="390">
        <v>16.225000000000001</v>
      </c>
      <c r="C1970" s="229" t="s">
        <v>769</v>
      </c>
      <c r="D1970" s="229" t="s">
        <v>620</v>
      </c>
      <c r="F1970" s="229">
        <v>499</v>
      </c>
      <c r="G1970" s="40">
        <f>F1970/292</f>
        <v>1.7089041095890412</v>
      </c>
      <c r="H1970" s="14">
        <v>0</v>
      </c>
      <c r="I1970" s="229">
        <v>0</v>
      </c>
      <c r="J1970" s="229">
        <v>0</v>
      </c>
      <c r="K1970" s="26">
        <v>1</v>
      </c>
      <c r="L1970" s="14">
        <v>0</v>
      </c>
      <c r="M1970" s="229">
        <v>0</v>
      </c>
      <c r="N1970" s="229">
        <v>0</v>
      </c>
      <c r="O1970" s="229">
        <v>0</v>
      </c>
      <c r="P1970" s="26">
        <v>0</v>
      </c>
      <c r="Q1970" s="14">
        <v>3</v>
      </c>
      <c r="R1970" s="229">
        <v>0</v>
      </c>
      <c r="S1970" s="229">
        <v>0</v>
      </c>
      <c r="T1970" s="229">
        <v>0</v>
      </c>
      <c r="U1970" s="229">
        <v>0</v>
      </c>
      <c r="V1970" s="229">
        <v>0</v>
      </c>
      <c r="W1970" s="229">
        <v>75</v>
      </c>
      <c r="X1970" s="229">
        <v>0</v>
      </c>
      <c r="Y1970" s="229">
        <v>0</v>
      </c>
      <c r="Z1970" s="229">
        <v>0</v>
      </c>
      <c r="AA1970" s="229">
        <v>0</v>
      </c>
      <c r="AB1970" s="229">
        <v>1</v>
      </c>
      <c r="AC1970" s="12">
        <v>2</v>
      </c>
      <c r="AD1970" s="14">
        <v>2</v>
      </c>
      <c r="AE1970" s="14">
        <v>69</v>
      </c>
      <c r="AF1970" s="26">
        <v>499</v>
      </c>
      <c r="AG1970" s="12">
        <v>69</v>
      </c>
      <c r="AH1970" s="14">
        <v>0</v>
      </c>
      <c r="AI1970" s="209"/>
      <c r="AJ1970" s="3"/>
      <c r="AK1970" s="3"/>
      <c r="AL1970" s="3"/>
      <c r="AM1970" s="3"/>
      <c r="AN1970" s="3"/>
      <c r="AO1970" s="40"/>
      <c r="AP1970" s="209"/>
      <c r="AQ1970" s="3"/>
      <c r="AR1970" s="40"/>
      <c r="AS1970" s="238"/>
    </row>
    <row r="1971" spans="1:45" s="229" customFormat="1">
      <c r="A1971" s="42" t="s">
        <v>324</v>
      </c>
      <c r="B1971" s="390">
        <v>16.225000000000001</v>
      </c>
      <c r="C1971" s="229" t="s">
        <v>769</v>
      </c>
      <c r="D1971" s="229" t="s">
        <v>629</v>
      </c>
      <c r="F1971" s="229">
        <v>490</v>
      </c>
      <c r="G1971" s="40">
        <f>F1971/378</f>
        <v>1.2962962962962963</v>
      </c>
      <c r="H1971" s="14">
        <v>0</v>
      </c>
      <c r="I1971" s="229">
        <v>0</v>
      </c>
      <c r="J1971" s="229">
        <v>1</v>
      </c>
      <c r="K1971" s="26">
        <v>0</v>
      </c>
      <c r="L1971" s="14">
        <v>0</v>
      </c>
      <c r="M1971" s="229">
        <v>0</v>
      </c>
      <c r="N1971" s="229">
        <v>0</v>
      </c>
      <c r="O1971" s="229">
        <v>0</v>
      </c>
      <c r="P1971" s="26">
        <v>0</v>
      </c>
      <c r="Q1971" s="14">
        <v>2</v>
      </c>
      <c r="R1971" s="229">
        <v>0</v>
      </c>
      <c r="S1971" s="229">
        <v>0</v>
      </c>
      <c r="T1971" s="229">
        <v>0</v>
      </c>
      <c r="U1971" s="229">
        <v>0</v>
      </c>
      <c r="V1971" s="229">
        <v>0</v>
      </c>
      <c r="W1971" s="229">
        <v>61</v>
      </c>
      <c r="X1971" s="229">
        <v>0</v>
      </c>
      <c r="Y1971" s="229">
        <v>0</v>
      </c>
      <c r="Z1971" s="229">
        <v>0</v>
      </c>
      <c r="AA1971" s="229">
        <v>0</v>
      </c>
      <c r="AB1971" s="229">
        <v>0</v>
      </c>
      <c r="AC1971" s="12">
        <v>1</v>
      </c>
      <c r="AD1971" s="14">
        <v>1</v>
      </c>
      <c r="AE1971" s="14">
        <v>0</v>
      </c>
      <c r="AF1971" s="26">
        <v>0</v>
      </c>
      <c r="AG1971" s="12">
        <v>64</v>
      </c>
      <c r="AH1971" s="14">
        <v>1</v>
      </c>
      <c r="AI1971" s="209"/>
      <c r="AJ1971" s="3"/>
      <c r="AK1971" s="3"/>
      <c r="AL1971" s="3"/>
      <c r="AM1971" s="3"/>
      <c r="AN1971" s="3"/>
      <c r="AO1971" s="40"/>
      <c r="AP1971" s="209"/>
      <c r="AQ1971" s="3"/>
      <c r="AR1971" s="40"/>
      <c r="AS1971" s="238"/>
    </row>
    <row r="1972" spans="1:45" s="229" customFormat="1">
      <c r="A1972" s="42" t="s">
        <v>324</v>
      </c>
      <c r="B1972" s="390">
        <v>16.225000000000001</v>
      </c>
      <c r="C1972" s="229" t="s">
        <v>769</v>
      </c>
      <c r="D1972" s="229" t="s">
        <v>634</v>
      </c>
      <c r="F1972" s="229">
        <v>301</v>
      </c>
      <c r="G1972" s="40">
        <f>F1972/296</f>
        <v>1.0168918918918919</v>
      </c>
      <c r="H1972" s="14">
        <v>1</v>
      </c>
      <c r="I1972" s="229">
        <v>0</v>
      </c>
      <c r="J1972" s="229">
        <v>0</v>
      </c>
      <c r="K1972" s="26">
        <v>0</v>
      </c>
      <c r="L1972" s="14">
        <v>0</v>
      </c>
      <c r="M1972" s="229">
        <v>0</v>
      </c>
      <c r="N1972" s="229">
        <v>0</v>
      </c>
      <c r="O1972" s="229">
        <v>0</v>
      </c>
      <c r="P1972" s="26">
        <v>0</v>
      </c>
      <c r="Q1972" s="14">
        <v>5</v>
      </c>
      <c r="R1972" s="229">
        <v>0</v>
      </c>
      <c r="S1972" s="229">
        <v>0</v>
      </c>
      <c r="T1972" s="229">
        <v>0</v>
      </c>
      <c r="U1972" s="229">
        <v>0</v>
      </c>
      <c r="V1972" s="229">
        <v>0</v>
      </c>
      <c r="W1972" s="229">
        <v>87</v>
      </c>
      <c r="X1972" s="229">
        <v>0</v>
      </c>
      <c r="Y1972" s="229">
        <v>0</v>
      </c>
      <c r="Z1972" s="229">
        <v>0</v>
      </c>
      <c r="AA1972" s="229">
        <v>0</v>
      </c>
      <c r="AB1972" s="229">
        <v>1</v>
      </c>
      <c r="AC1972" s="12">
        <v>1</v>
      </c>
      <c r="AD1972" s="14">
        <v>1</v>
      </c>
      <c r="AE1972" s="14">
        <v>0</v>
      </c>
      <c r="AF1972" s="26">
        <v>0</v>
      </c>
      <c r="AG1972" s="12">
        <v>52</v>
      </c>
      <c r="AH1972" s="14">
        <v>0</v>
      </c>
      <c r="AI1972" s="209">
        <v>85.606556086300998</v>
      </c>
      <c r="AJ1972" s="3"/>
      <c r="AK1972" s="3"/>
      <c r="AL1972" s="3"/>
      <c r="AM1972" s="3"/>
      <c r="AN1972" s="3"/>
      <c r="AO1972" s="40"/>
      <c r="AP1972" s="209">
        <v>85.215703332119418</v>
      </c>
      <c r="AQ1972" s="3"/>
      <c r="AR1972" s="40"/>
      <c r="AS1972" s="238"/>
    </row>
    <row r="1973" spans="1:45" s="229" customFormat="1">
      <c r="A1973" s="42" t="s">
        <v>324</v>
      </c>
      <c r="B1973" s="390">
        <v>16.225000000000001</v>
      </c>
      <c r="C1973" s="229" t="s">
        <v>769</v>
      </c>
      <c r="D1973" s="229" t="s">
        <v>625</v>
      </c>
      <c r="F1973" s="229">
        <v>1054</v>
      </c>
      <c r="G1973" s="40">
        <f>F1973/750</f>
        <v>1.4053333333333333</v>
      </c>
      <c r="H1973" s="14">
        <v>0</v>
      </c>
      <c r="I1973" s="229">
        <v>0</v>
      </c>
      <c r="J1973" s="229">
        <v>1</v>
      </c>
      <c r="K1973" s="26">
        <v>0</v>
      </c>
      <c r="L1973" s="14">
        <v>0</v>
      </c>
      <c r="M1973" s="229">
        <v>0</v>
      </c>
      <c r="N1973" s="229">
        <v>0</v>
      </c>
      <c r="O1973" s="229">
        <v>0</v>
      </c>
      <c r="P1973" s="26">
        <v>0</v>
      </c>
      <c r="Q1973" s="14">
        <v>3</v>
      </c>
      <c r="R1973" s="229">
        <v>0</v>
      </c>
      <c r="S1973" s="229">
        <v>0</v>
      </c>
      <c r="T1973" s="229">
        <v>0</v>
      </c>
      <c r="U1973" s="229">
        <v>0</v>
      </c>
      <c r="V1973" s="229">
        <v>12</v>
      </c>
      <c r="W1973" s="229">
        <v>105</v>
      </c>
      <c r="X1973" s="229">
        <v>0</v>
      </c>
      <c r="Y1973" s="229">
        <v>0</v>
      </c>
      <c r="Z1973" s="229">
        <v>0</v>
      </c>
      <c r="AA1973" s="229">
        <v>121</v>
      </c>
      <c r="AB1973" s="229">
        <v>1</v>
      </c>
      <c r="AC1973" s="12">
        <v>1</v>
      </c>
      <c r="AD1973" s="14">
        <v>1</v>
      </c>
      <c r="AE1973" s="14">
        <v>0</v>
      </c>
      <c r="AF1973" s="26">
        <v>0</v>
      </c>
      <c r="AG1973" s="12">
        <v>79</v>
      </c>
      <c r="AH1973" s="14">
        <v>0</v>
      </c>
      <c r="AI1973" s="209"/>
      <c r="AJ1973" s="3"/>
      <c r="AK1973" s="3"/>
      <c r="AL1973" s="3"/>
      <c r="AM1973" s="3"/>
      <c r="AN1973" s="3"/>
      <c r="AO1973" s="40"/>
      <c r="AP1973" s="209"/>
      <c r="AQ1973" s="3"/>
      <c r="AR1973" s="40"/>
      <c r="AS1973" s="238"/>
    </row>
    <row r="1974" spans="1:45" s="229" customFormat="1">
      <c r="A1974" s="42" t="s">
        <v>324</v>
      </c>
      <c r="B1974" s="390">
        <v>16.225000000000001</v>
      </c>
      <c r="C1974" s="229" t="s">
        <v>769</v>
      </c>
      <c r="D1974" s="229" t="s">
        <v>630</v>
      </c>
      <c r="E1974" s="229" t="s">
        <v>0</v>
      </c>
      <c r="F1974" s="229">
        <v>346</v>
      </c>
      <c r="G1974" s="40">
        <f>F1974/252</f>
        <v>1.373015873015873</v>
      </c>
      <c r="H1974" s="14">
        <v>1</v>
      </c>
      <c r="I1974" s="229">
        <v>0</v>
      </c>
      <c r="J1974" s="229">
        <v>0</v>
      </c>
      <c r="K1974" s="26">
        <v>0</v>
      </c>
      <c r="L1974" s="14">
        <v>0</v>
      </c>
      <c r="M1974" s="229">
        <v>0</v>
      </c>
      <c r="N1974" s="229">
        <v>0</v>
      </c>
      <c r="O1974" s="229">
        <v>0</v>
      </c>
      <c r="P1974" s="26">
        <v>0</v>
      </c>
      <c r="Q1974" s="14">
        <v>0</v>
      </c>
      <c r="R1974" s="229">
        <v>0</v>
      </c>
      <c r="S1974" s="229">
        <v>0</v>
      </c>
      <c r="T1974" s="229">
        <v>0</v>
      </c>
      <c r="U1974" s="229">
        <v>0</v>
      </c>
      <c r="V1974" s="229">
        <v>0</v>
      </c>
      <c r="W1974" s="229">
        <v>0</v>
      </c>
      <c r="X1974" s="229">
        <v>0</v>
      </c>
      <c r="Y1974" s="229">
        <v>0</v>
      </c>
      <c r="Z1974" s="229">
        <v>0</v>
      </c>
      <c r="AA1974" s="229">
        <v>0</v>
      </c>
      <c r="AB1974" s="229">
        <v>0</v>
      </c>
      <c r="AC1974" s="12">
        <v>1</v>
      </c>
      <c r="AD1974" s="14">
        <v>1</v>
      </c>
      <c r="AE1974" s="14">
        <v>0</v>
      </c>
      <c r="AF1974" s="26">
        <v>0</v>
      </c>
      <c r="AG1974" s="12">
        <v>103</v>
      </c>
      <c r="AH1974" s="14">
        <v>0</v>
      </c>
      <c r="AI1974" s="209"/>
      <c r="AJ1974" s="3"/>
      <c r="AK1974" s="3"/>
      <c r="AL1974" s="3"/>
      <c r="AM1974" s="3"/>
      <c r="AN1974" s="3"/>
      <c r="AO1974" s="40"/>
      <c r="AP1974" s="209"/>
      <c r="AQ1974" s="3"/>
      <c r="AR1974" s="40"/>
      <c r="AS1974" s="238"/>
    </row>
    <row r="1975" spans="1:45" s="229" customFormat="1">
      <c r="A1975" s="42" t="s">
        <v>324</v>
      </c>
      <c r="B1975" s="390">
        <v>16.225000000000001</v>
      </c>
      <c r="C1975" s="229" t="s">
        <v>769</v>
      </c>
      <c r="D1975" s="229" t="s">
        <v>630</v>
      </c>
      <c r="E1975" s="229" t="s">
        <v>1</v>
      </c>
      <c r="F1975" s="229">
        <v>546</v>
      </c>
      <c r="G1975" s="40">
        <f>F1975/366</f>
        <v>1.4918032786885247</v>
      </c>
      <c r="H1975" s="14">
        <v>0</v>
      </c>
      <c r="I1975" s="229">
        <v>0</v>
      </c>
      <c r="J1975" s="229">
        <v>0</v>
      </c>
      <c r="K1975" s="26">
        <v>1</v>
      </c>
      <c r="L1975" s="14">
        <v>0</v>
      </c>
      <c r="M1975" s="229">
        <v>0</v>
      </c>
      <c r="N1975" s="229">
        <v>1</v>
      </c>
      <c r="O1975" s="229">
        <v>0</v>
      </c>
      <c r="P1975" s="26">
        <v>1</v>
      </c>
      <c r="Q1975" s="14">
        <v>0</v>
      </c>
      <c r="R1975" s="229">
        <v>0</v>
      </c>
      <c r="S1975" s="229">
        <v>0</v>
      </c>
      <c r="T1975" s="229">
        <v>0</v>
      </c>
      <c r="U1975" s="229">
        <v>0</v>
      </c>
      <c r="V1975" s="229">
        <v>0</v>
      </c>
      <c r="W1975" s="229">
        <v>0</v>
      </c>
      <c r="X1975" s="229">
        <v>0</v>
      </c>
      <c r="Y1975" s="229">
        <v>0</v>
      </c>
      <c r="Z1975" s="229">
        <v>0</v>
      </c>
      <c r="AA1975" s="229">
        <v>0</v>
      </c>
      <c r="AB1975" s="229">
        <v>0</v>
      </c>
      <c r="AC1975" s="12">
        <v>1</v>
      </c>
      <c r="AD1975" s="14">
        <v>1</v>
      </c>
      <c r="AE1975" s="14">
        <v>0</v>
      </c>
      <c r="AF1975" s="26">
        <v>0</v>
      </c>
      <c r="AG1975" s="12">
        <v>103</v>
      </c>
      <c r="AH1975" s="14">
        <v>1</v>
      </c>
      <c r="AI1975" s="209">
        <v>85.69318293876546</v>
      </c>
      <c r="AJ1975" s="3"/>
      <c r="AK1975" s="3"/>
      <c r="AL1975" s="3"/>
      <c r="AM1975" s="3"/>
      <c r="AN1975" s="3"/>
      <c r="AO1975" s="40"/>
      <c r="AP1975" s="209">
        <v>84.963563007243607</v>
      </c>
      <c r="AQ1975" s="3"/>
      <c r="AR1975" s="40"/>
      <c r="AS1975" s="238"/>
    </row>
    <row r="1976" spans="1:45" s="229" customFormat="1">
      <c r="A1976" s="42" t="s">
        <v>324</v>
      </c>
      <c r="B1976" s="390">
        <v>16.225000000000001</v>
      </c>
      <c r="C1976" s="229" t="s">
        <v>769</v>
      </c>
      <c r="D1976" s="229" t="s">
        <v>637</v>
      </c>
      <c r="E1976" s="229" t="s">
        <v>0</v>
      </c>
      <c r="F1976" s="229">
        <v>212</v>
      </c>
      <c r="G1976" s="40">
        <f>F1976/119</f>
        <v>1.7815126050420169</v>
      </c>
      <c r="H1976" s="14">
        <v>1</v>
      </c>
      <c r="I1976" s="229">
        <v>0</v>
      </c>
      <c r="J1976" s="229">
        <v>0</v>
      </c>
      <c r="K1976" s="26">
        <v>0</v>
      </c>
      <c r="L1976" s="14">
        <v>0</v>
      </c>
      <c r="M1976" s="229">
        <v>0</v>
      </c>
      <c r="N1976" s="229">
        <v>0</v>
      </c>
      <c r="O1976" s="229">
        <v>0</v>
      </c>
      <c r="P1976" s="26">
        <v>0</v>
      </c>
      <c r="Q1976" s="14">
        <v>2</v>
      </c>
      <c r="R1976" s="229">
        <v>0</v>
      </c>
      <c r="S1976" s="229">
        <v>0</v>
      </c>
      <c r="T1976" s="229">
        <v>13</v>
      </c>
      <c r="U1976" s="229">
        <v>16</v>
      </c>
      <c r="V1976" s="229">
        <v>0</v>
      </c>
      <c r="W1976" s="229">
        <v>10</v>
      </c>
      <c r="X1976" s="229">
        <v>0</v>
      </c>
      <c r="Y1976" s="229">
        <v>0</v>
      </c>
      <c r="Z1976" s="229">
        <v>0</v>
      </c>
      <c r="AA1976" s="229">
        <v>0</v>
      </c>
      <c r="AB1976" s="229">
        <v>1</v>
      </c>
      <c r="AC1976" s="12">
        <v>1</v>
      </c>
      <c r="AD1976" s="14">
        <v>1</v>
      </c>
      <c r="AE1976" s="14">
        <v>0</v>
      </c>
      <c r="AF1976" s="26">
        <v>0</v>
      </c>
      <c r="AG1976" s="12">
        <v>85</v>
      </c>
      <c r="AH1976" s="14">
        <v>0</v>
      </c>
      <c r="AI1976" s="209"/>
      <c r="AJ1976" s="3"/>
      <c r="AK1976" s="3"/>
      <c r="AL1976" s="3"/>
      <c r="AM1976" s="3"/>
      <c r="AN1976" s="3"/>
      <c r="AO1976" s="40"/>
      <c r="AP1976" s="209"/>
      <c r="AQ1976" s="3"/>
      <c r="AR1976" s="40"/>
      <c r="AS1976" s="238"/>
    </row>
    <row r="1977" spans="1:45" s="229" customFormat="1">
      <c r="A1977" s="42" t="s">
        <v>324</v>
      </c>
      <c r="B1977" s="390">
        <v>16.225000000000001</v>
      </c>
      <c r="C1977" s="229" t="s">
        <v>769</v>
      </c>
      <c r="D1977" s="229" t="s">
        <v>637</v>
      </c>
      <c r="E1977" s="229" t="s">
        <v>1</v>
      </c>
      <c r="F1977" s="229">
        <v>281</v>
      </c>
      <c r="G1977" s="40">
        <f>F1977/230</f>
        <v>1.2217391304347827</v>
      </c>
      <c r="H1977" s="14">
        <v>1</v>
      </c>
      <c r="I1977" s="229">
        <v>0</v>
      </c>
      <c r="J1977" s="229">
        <v>0</v>
      </c>
      <c r="K1977" s="26">
        <v>0</v>
      </c>
      <c r="L1977" s="14">
        <v>0</v>
      </c>
      <c r="M1977" s="229">
        <v>0</v>
      </c>
      <c r="N1977" s="229">
        <v>0</v>
      </c>
      <c r="O1977" s="229">
        <v>0</v>
      </c>
      <c r="P1977" s="26">
        <v>0</v>
      </c>
      <c r="Q1977" s="14">
        <v>0</v>
      </c>
      <c r="R1977" s="229">
        <v>0</v>
      </c>
      <c r="S1977" s="229">
        <v>0</v>
      </c>
      <c r="T1977" s="229">
        <v>0</v>
      </c>
      <c r="U1977" s="229">
        <v>0</v>
      </c>
      <c r="V1977" s="229">
        <v>0</v>
      </c>
      <c r="W1977" s="229">
        <v>0</v>
      </c>
      <c r="X1977" s="229">
        <v>0</v>
      </c>
      <c r="Y1977" s="229">
        <v>0</v>
      </c>
      <c r="Z1977" s="229">
        <v>0</v>
      </c>
      <c r="AA1977" s="229">
        <v>0</v>
      </c>
      <c r="AB1977" s="229">
        <v>0</v>
      </c>
      <c r="AC1977" s="12">
        <v>1</v>
      </c>
      <c r="AD1977" s="14">
        <v>1</v>
      </c>
      <c r="AE1977" s="14">
        <v>0</v>
      </c>
      <c r="AF1977" s="26">
        <v>0</v>
      </c>
      <c r="AG1977" s="12">
        <v>85</v>
      </c>
      <c r="AH1977" s="14">
        <v>0</v>
      </c>
      <c r="AI1977" s="209">
        <v>85.582224477626994</v>
      </c>
      <c r="AJ1977" s="3"/>
      <c r="AK1977" s="3"/>
      <c r="AL1977" s="3"/>
      <c r="AM1977" s="3"/>
      <c r="AN1977" s="3"/>
      <c r="AO1977" s="40"/>
      <c r="AP1977" s="209">
        <v>85.549749916614786</v>
      </c>
      <c r="AQ1977" s="3"/>
      <c r="AR1977" s="40"/>
      <c r="AS1977" s="238"/>
    </row>
    <row r="1978" spans="1:45" s="229" customFormat="1">
      <c r="A1978" s="42" t="s">
        <v>324</v>
      </c>
      <c r="B1978" s="390">
        <v>16.225000000000001</v>
      </c>
      <c r="C1978" s="229" t="s">
        <v>769</v>
      </c>
      <c r="D1978" s="229" t="s">
        <v>638</v>
      </c>
      <c r="F1978" s="229">
        <v>635</v>
      </c>
      <c r="G1978" s="40">
        <f>F1978/532</f>
        <v>1.1936090225563909</v>
      </c>
      <c r="H1978" s="14">
        <v>0</v>
      </c>
      <c r="I1978" s="229">
        <v>0</v>
      </c>
      <c r="J1978" s="229">
        <v>0</v>
      </c>
      <c r="K1978" s="26">
        <v>1</v>
      </c>
      <c r="L1978" s="14">
        <v>0</v>
      </c>
      <c r="M1978" s="229">
        <v>0</v>
      </c>
      <c r="N1978" s="229">
        <v>0</v>
      </c>
      <c r="O1978" s="229">
        <v>0</v>
      </c>
      <c r="P1978" s="26">
        <v>0</v>
      </c>
      <c r="Q1978" s="14">
        <v>1</v>
      </c>
      <c r="R1978" s="229">
        <v>0</v>
      </c>
      <c r="S1978" s="229">
        <v>0</v>
      </c>
      <c r="T1978" s="229">
        <v>0</v>
      </c>
      <c r="U1978" s="229">
        <v>0</v>
      </c>
      <c r="V1978" s="229">
        <v>0</v>
      </c>
      <c r="W1978" s="229">
        <v>7</v>
      </c>
      <c r="X1978" s="229">
        <v>0</v>
      </c>
      <c r="Y1978" s="229">
        <v>0</v>
      </c>
      <c r="Z1978" s="229">
        <v>0</v>
      </c>
      <c r="AA1978" s="229">
        <v>0</v>
      </c>
      <c r="AB1978" s="229">
        <v>0</v>
      </c>
      <c r="AC1978" s="12">
        <v>2</v>
      </c>
      <c r="AD1978" s="14">
        <v>2</v>
      </c>
      <c r="AE1978" s="14">
        <v>260</v>
      </c>
      <c r="AF1978" s="26">
        <v>635</v>
      </c>
      <c r="AG1978" s="12">
        <v>73</v>
      </c>
      <c r="AH1978" s="14">
        <v>1</v>
      </c>
      <c r="AI1978" s="209"/>
      <c r="AJ1978" s="3"/>
      <c r="AK1978" s="3"/>
      <c r="AL1978" s="3"/>
      <c r="AM1978" s="3"/>
      <c r="AN1978" s="3"/>
      <c r="AO1978" s="40"/>
      <c r="AP1978" s="209"/>
      <c r="AQ1978" s="3"/>
      <c r="AR1978" s="40"/>
      <c r="AS1978" s="238"/>
    </row>
    <row r="1979" spans="1:45" s="229" customFormat="1">
      <c r="A1979" s="42" t="s">
        <v>324</v>
      </c>
      <c r="B1979" s="390">
        <v>16.225000000000001</v>
      </c>
      <c r="C1979" s="229" t="s">
        <v>769</v>
      </c>
      <c r="D1979" s="229" t="s">
        <v>639</v>
      </c>
      <c r="F1979" s="229">
        <v>591</v>
      </c>
      <c r="G1979" s="40">
        <f>F1979/501</f>
        <v>1.1796407185628743</v>
      </c>
      <c r="H1979" s="14">
        <v>0</v>
      </c>
      <c r="I1979" s="229">
        <v>0</v>
      </c>
      <c r="J1979" s="229">
        <v>1</v>
      </c>
      <c r="K1979" s="26">
        <v>0</v>
      </c>
      <c r="L1979" s="14">
        <v>0</v>
      </c>
      <c r="M1979" s="229">
        <v>0</v>
      </c>
      <c r="N1979" s="229">
        <v>0</v>
      </c>
      <c r="O1979" s="229">
        <v>1</v>
      </c>
      <c r="P1979" s="26">
        <v>1</v>
      </c>
      <c r="Q1979" s="14">
        <v>1</v>
      </c>
      <c r="R1979" s="229">
        <v>0</v>
      </c>
      <c r="S1979" s="229">
        <v>0</v>
      </c>
      <c r="T1979" s="229">
        <v>0</v>
      </c>
      <c r="U1979" s="229">
        <v>0</v>
      </c>
      <c r="V1979" s="229">
        <v>14</v>
      </c>
      <c r="W1979" s="229">
        <v>27</v>
      </c>
      <c r="X1979" s="229">
        <v>0</v>
      </c>
      <c r="Y1979" s="229">
        <v>0</v>
      </c>
      <c r="Z1979" s="229">
        <v>0</v>
      </c>
      <c r="AA1979" s="229">
        <v>0</v>
      </c>
      <c r="AB1979" s="229">
        <v>1</v>
      </c>
      <c r="AC1979" s="12">
        <v>1</v>
      </c>
      <c r="AD1979" s="14">
        <v>1</v>
      </c>
      <c r="AE1979" s="14">
        <v>0</v>
      </c>
      <c r="AF1979" s="26">
        <v>0</v>
      </c>
      <c r="AG1979" s="12">
        <v>70</v>
      </c>
      <c r="AH1979" s="14">
        <v>1</v>
      </c>
      <c r="AI1979" s="209">
        <v>84.998431411541247</v>
      </c>
      <c r="AJ1979" s="3"/>
      <c r="AK1979" s="3"/>
      <c r="AL1979" s="3"/>
      <c r="AM1979" s="3"/>
      <c r="AN1979" s="3"/>
      <c r="AO1979" s="40"/>
      <c r="AP1979" s="209">
        <v>85.424395124265502</v>
      </c>
      <c r="AQ1979" s="3"/>
      <c r="AR1979" s="40"/>
      <c r="AS1979" s="238"/>
    </row>
    <row r="1980" spans="1:45" s="229" customFormat="1">
      <c r="A1980" s="42" t="s">
        <v>324</v>
      </c>
      <c r="B1980" s="390">
        <v>16.225000000000001</v>
      </c>
      <c r="C1980" s="229" t="s">
        <v>769</v>
      </c>
      <c r="D1980" s="229" t="s">
        <v>640</v>
      </c>
      <c r="F1980" s="229">
        <v>734</v>
      </c>
      <c r="G1980" s="40">
        <f>F1980/556</f>
        <v>1.3201438848920863</v>
      </c>
      <c r="H1980" s="14">
        <v>0</v>
      </c>
      <c r="I1980" s="229">
        <v>0</v>
      </c>
      <c r="J1980" s="229">
        <v>1</v>
      </c>
      <c r="K1980" s="26">
        <v>0</v>
      </c>
      <c r="L1980" s="14">
        <v>0</v>
      </c>
      <c r="M1980" s="229">
        <v>0</v>
      </c>
      <c r="N1980" s="229">
        <v>0</v>
      </c>
      <c r="O1980" s="229">
        <v>0</v>
      </c>
      <c r="P1980" s="26">
        <v>0</v>
      </c>
      <c r="Q1980" s="14">
        <v>5</v>
      </c>
      <c r="R1980" s="229">
        <v>0</v>
      </c>
      <c r="S1980" s="229">
        <v>29</v>
      </c>
      <c r="T1980" s="229">
        <v>0</v>
      </c>
      <c r="U1980" s="229">
        <v>0</v>
      </c>
      <c r="V1980" s="229">
        <v>0</v>
      </c>
      <c r="W1980" s="229">
        <v>198</v>
      </c>
      <c r="X1980" s="229">
        <v>0</v>
      </c>
      <c r="Y1980" s="229">
        <v>0</v>
      </c>
      <c r="Z1980" s="229">
        <v>0</v>
      </c>
      <c r="AA1980" s="229">
        <v>0</v>
      </c>
      <c r="AB1980" s="229">
        <v>1</v>
      </c>
      <c r="AC1980" s="12">
        <v>1</v>
      </c>
      <c r="AD1980" s="14">
        <v>1</v>
      </c>
      <c r="AE1980" s="14">
        <v>0</v>
      </c>
      <c r="AF1980" s="26">
        <v>0</v>
      </c>
      <c r="AG1980" s="12">
        <v>105</v>
      </c>
      <c r="AH1980" s="14">
        <v>1</v>
      </c>
      <c r="AI1980" s="209"/>
      <c r="AJ1980" s="3"/>
      <c r="AK1980" s="3"/>
      <c r="AL1980" s="3"/>
      <c r="AM1980" s="3"/>
      <c r="AN1980" s="3"/>
      <c r="AO1980" s="40"/>
      <c r="AP1980" s="209"/>
      <c r="AQ1980" s="3"/>
      <c r="AR1980" s="40"/>
      <c r="AS1980" s="238"/>
    </row>
    <row r="1981" spans="1:45" s="229" customFormat="1">
      <c r="A1981" s="42" t="s">
        <v>324</v>
      </c>
      <c r="B1981" s="390">
        <v>16.225000000000001</v>
      </c>
      <c r="C1981" s="229" t="s">
        <v>769</v>
      </c>
      <c r="D1981" s="229" t="s">
        <v>641</v>
      </c>
      <c r="F1981" s="229">
        <v>635</v>
      </c>
      <c r="G1981" s="40">
        <f>F1981/466</f>
        <v>1.3626609442060085</v>
      </c>
      <c r="H1981" s="14">
        <v>1</v>
      </c>
      <c r="I1981" s="229">
        <v>0</v>
      </c>
      <c r="J1981" s="229">
        <v>0</v>
      </c>
      <c r="K1981" s="26">
        <v>0</v>
      </c>
      <c r="L1981" s="14">
        <v>0</v>
      </c>
      <c r="M1981" s="229">
        <v>0</v>
      </c>
      <c r="N1981" s="229">
        <v>0</v>
      </c>
      <c r="O1981" s="229">
        <v>1</v>
      </c>
      <c r="P1981" s="26">
        <v>1</v>
      </c>
      <c r="Q1981" s="14">
        <v>2</v>
      </c>
      <c r="R1981" s="229">
        <v>0</v>
      </c>
      <c r="S1981" s="229">
        <v>0</v>
      </c>
      <c r="T1981" s="229">
        <v>0</v>
      </c>
      <c r="U1981" s="229">
        <v>0</v>
      </c>
      <c r="V1981" s="229">
        <v>91</v>
      </c>
      <c r="W1981" s="229">
        <v>98</v>
      </c>
      <c r="X1981" s="229">
        <v>0</v>
      </c>
      <c r="Y1981" s="229">
        <v>0</v>
      </c>
      <c r="Z1981" s="229">
        <v>0</v>
      </c>
      <c r="AA1981" s="229">
        <v>0</v>
      </c>
      <c r="AB1981" s="229">
        <v>1</v>
      </c>
      <c r="AC1981" s="12">
        <v>1</v>
      </c>
      <c r="AD1981" s="14">
        <v>1</v>
      </c>
      <c r="AE1981" s="14">
        <v>0</v>
      </c>
      <c r="AF1981" s="26">
        <v>0</v>
      </c>
      <c r="AG1981" s="12">
        <v>60</v>
      </c>
      <c r="AH1981" s="14">
        <v>0</v>
      </c>
      <c r="AI1981" s="209"/>
      <c r="AJ1981" s="3"/>
      <c r="AK1981" s="3"/>
      <c r="AL1981" s="3"/>
      <c r="AM1981" s="3"/>
      <c r="AN1981" s="3"/>
      <c r="AO1981" s="40"/>
      <c r="AP1981" s="209">
        <v>85.491478059946004</v>
      </c>
      <c r="AQ1981" s="3"/>
      <c r="AR1981" s="40"/>
      <c r="AS1981" s="238"/>
    </row>
    <row r="1982" spans="1:45" s="229" customFormat="1">
      <c r="A1982" s="42" t="s">
        <v>324</v>
      </c>
      <c r="B1982" s="390">
        <v>16.225000000000001</v>
      </c>
      <c r="C1982" s="229" t="s">
        <v>769</v>
      </c>
      <c r="D1982" s="229" t="s">
        <v>647</v>
      </c>
      <c r="F1982" s="229">
        <v>368</v>
      </c>
      <c r="G1982" s="40">
        <f>F1982/134</f>
        <v>2.7462686567164178</v>
      </c>
      <c r="H1982" s="14">
        <v>1</v>
      </c>
      <c r="I1982" s="229">
        <v>0</v>
      </c>
      <c r="J1982" s="229">
        <v>0</v>
      </c>
      <c r="K1982" s="26">
        <v>0</v>
      </c>
      <c r="L1982" s="14">
        <v>0</v>
      </c>
      <c r="M1982" s="229">
        <v>0</v>
      </c>
      <c r="N1982" s="229">
        <v>0</v>
      </c>
      <c r="O1982" s="229">
        <v>1</v>
      </c>
      <c r="P1982" s="26">
        <v>1</v>
      </c>
      <c r="Q1982" s="14">
        <v>0</v>
      </c>
      <c r="R1982" s="229">
        <v>0</v>
      </c>
      <c r="S1982" s="229">
        <v>0</v>
      </c>
      <c r="T1982" s="229">
        <v>0</v>
      </c>
      <c r="U1982" s="229">
        <v>0</v>
      </c>
      <c r="V1982" s="229">
        <v>0</v>
      </c>
      <c r="W1982" s="229">
        <v>0</v>
      </c>
      <c r="X1982" s="229">
        <v>0</v>
      </c>
      <c r="Y1982" s="229">
        <v>0</v>
      </c>
      <c r="Z1982" s="229">
        <v>0</v>
      </c>
      <c r="AA1982" s="229">
        <v>0</v>
      </c>
      <c r="AB1982" s="229">
        <v>0</v>
      </c>
      <c r="AC1982" s="12">
        <v>1</v>
      </c>
      <c r="AD1982" s="14">
        <v>1</v>
      </c>
      <c r="AE1982" s="14">
        <v>0</v>
      </c>
      <c r="AF1982" s="26">
        <v>0</v>
      </c>
      <c r="AG1982" s="12">
        <v>57</v>
      </c>
      <c r="AH1982" s="14">
        <v>0</v>
      </c>
      <c r="AI1982" s="209"/>
      <c r="AJ1982" s="3"/>
      <c r="AK1982" s="3"/>
      <c r="AL1982" s="3"/>
      <c r="AM1982" s="3"/>
      <c r="AN1982" s="3"/>
      <c r="AO1982" s="40"/>
      <c r="AP1982" s="209"/>
      <c r="AQ1982" s="3"/>
      <c r="AR1982" s="40"/>
      <c r="AS1982" s="238"/>
    </row>
    <row r="1983" spans="1:45" s="229" customFormat="1">
      <c r="A1983" s="42" t="s">
        <v>324</v>
      </c>
      <c r="B1983" s="390">
        <v>16.225000000000001</v>
      </c>
      <c r="C1983" s="229" t="s">
        <v>769</v>
      </c>
      <c r="D1983" s="229" t="s">
        <v>648</v>
      </c>
      <c r="F1983" s="229">
        <v>456</v>
      </c>
      <c r="G1983" s="40">
        <f>F1983/276</f>
        <v>1.6521739130434783</v>
      </c>
      <c r="H1983" s="14">
        <v>0</v>
      </c>
      <c r="I1983" s="229">
        <v>0</v>
      </c>
      <c r="J1983" s="229">
        <v>0</v>
      </c>
      <c r="K1983" s="26">
        <v>1</v>
      </c>
      <c r="L1983" s="14">
        <v>0</v>
      </c>
      <c r="M1983" s="229">
        <v>0</v>
      </c>
      <c r="N1983" s="229">
        <v>1</v>
      </c>
      <c r="O1983" s="229">
        <v>0</v>
      </c>
      <c r="P1983" s="26">
        <v>1</v>
      </c>
      <c r="Q1983" s="14">
        <v>1</v>
      </c>
      <c r="R1983" s="229">
        <v>0</v>
      </c>
      <c r="S1983" s="229">
        <v>0</v>
      </c>
      <c r="T1983" s="229">
        <v>0</v>
      </c>
      <c r="U1983" s="229">
        <v>0</v>
      </c>
      <c r="V1983" s="229">
        <v>0</v>
      </c>
      <c r="W1983" s="229">
        <v>40</v>
      </c>
      <c r="X1983" s="229">
        <v>0</v>
      </c>
      <c r="Y1983" s="229">
        <v>0</v>
      </c>
      <c r="Z1983" s="229">
        <v>0</v>
      </c>
      <c r="AA1983" s="229">
        <v>0</v>
      </c>
      <c r="AB1983" s="229">
        <v>1</v>
      </c>
      <c r="AC1983" s="12">
        <v>2</v>
      </c>
      <c r="AD1983" s="14">
        <v>3</v>
      </c>
      <c r="AE1983" s="14">
        <v>181</v>
      </c>
      <c r="AF1983" s="26">
        <v>398</v>
      </c>
      <c r="AG1983" s="12">
        <v>78</v>
      </c>
      <c r="AH1983" s="14">
        <v>1</v>
      </c>
      <c r="AI1983" s="209"/>
      <c r="AJ1983" s="3"/>
      <c r="AK1983" s="3"/>
      <c r="AL1983" s="3"/>
      <c r="AM1983" s="3"/>
      <c r="AN1983" s="3"/>
      <c r="AO1983" s="40"/>
      <c r="AP1983" s="209"/>
      <c r="AQ1983" s="3"/>
      <c r="AR1983" s="40"/>
      <c r="AS1983" s="238"/>
    </row>
    <row r="1984" spans="1:45" s="229" customFormat="1" ht="17" thickBot="1">
      <c r="A1984" s="55" t="s">
        <v>324</v>
      </c>
      <c r="B1984" s="388">
        <v>16.225000000000001</v>
      </c>
      <c r="C1984" s="36" t="s">
        <v>769</v>
      </c>
      <c r="D1984" s="36" t="s">
        <v>649</v>
      </c>
      <c r="E1984" s="36"/>
      <c r="F1984" s="36">
        <v>312</v>
      </c>
      <c r="G1984" s="48">
        <f>F1984/223</f>
        <v>1.399103139013453</v>
      </c>
      <c r="H1984" s="34">
        <v>1</v>
      </c>
      <c r="I1984" s="36">
        <v>0</v>
      </c>
      <c r="J1984" s="36">
        <v>0</v>
      </c>
      <c r="K1984" s="35">
        <v>0</v>
      </c>
      <c r="L1984" s="34">
        <v>0</v>
      </c>
      <c r="M1984" s="36">
        <v>0</v>
      </c>
      <c r="N1984" s="36">
        <v>0</v>
      </c>
      <c r="O1984" s="36">
        <v>0</v>
      </c>
      <c r="P1984" s="35">
        <v>0</v>
      </c>
      <c r="Q1984" s="34">
        <v>0</v>
      </c>
      <c r="R1984" s="36">
        <v>0</v>
      </c>
      <c r="S1984" s="36">
        <v>0</v>
      </c>
      <c r="T1984" s="36">
        <v>0</v>
      </c>
      <c r="U1984" s="36">
        <v>0</v>
      </c>
      <c r="V1984" s="36">
        <v>0</v>
      </c>
      <c r="W1984" s="36">
        <v>0</v>
      </c>
      <c r="X1984" s="36">
        <v>0</v>
      </c>
      <c r="Y1984" s="36">
        <v>0</v>
      </c>
      <c r="Z1984" s="36">
        <v>0</v>
      </c>
      <c r="AA1984" s="36">
        <v>0</v>
      </c>
      <c r="AB1984" s="36">
        <v>0</v>
      </c>
      <c r="AC1984" s="33">
        <v>1</v>
      </c>
      <c r="AD1984" s="34">
        <v>1</v>
      </c>
      <c r="AE1984" s="34">
        <v>0</v>
      </c>
      <c r="AF1984" s="35">
        <v>0</v>
      </c>
      <c r="AG1984" s="33">
        <v>51</v>
      </c>
      <c r="AH1984" s="34">
        <v>0</v>
      </c>
      <c r="AI1984" s="210"/>
      <c r="AJ1984" s="51"/>
      <c r="AK1984" s="51"/>
      <c r="AL1984" s="51"/>
      <c r="AM1984" s="51"/>
      <c r="AN1984" s="51"/>
      <c r="AO1984" s="48"/>
      <c r="AP1984" s="210"/>
      <c r="AQ1984" s="51"/>
      <c r="AR1984" s="48"/>
      <c r="AS1984" s="239"/>
    </row>
    <row r="1985" spans="1:45" s="229" customFormat="1">
      <c r="A1985" s="42" t="s">
        <v>324</v>
      </c>
      <c r="B1985" s="390">
        <v>19.445</v>
      </c>
      <c r="C1985" s="229" t="s">
        <v>770</v>
      </c>
      <c r="D1985" s="229" t="s">
        <v>423</v>
      </c>
      <c r="F1985" s="229">
        <v>750</v>
      </c>
      <c r="G1985" s="40">
        <f>F1985/704</f>
        <v>1.0653409090909092</v>
      </c>
      <c r="H1985" s="14">
        <v>0</v>
      </c>
      <c r="I1985" s="229">
        <v>0</v>
      </c>
      <c r="J1985" s="229">
        <v>0</v>
      </c>
      <c r="K1985" s="26">
        <v>1</v>
      </c>
      <c r="L1985" s="14">
        <v>0</v>
      </c>
      <c r="M1985" s="229">
        <v>0</v>
      </c>
      <c r="N1985" s="229">
        <v>1</v>
      </c>
      <c r="O1985" s="229">
        <v>0</v>
      </c>
      <c r="P1985" s="26">
        <v>1</v>
      </c>
      <c r="Q1985" s="14">
        <v>0</v>
      </c>
      <c r="R1985" s="229">
        <v>0</v>
      </c>
      <c r="S1985" s="229">
        <v>0</v>
      </c>
      <c r="T1985" s="229">
        <v>0</v>
      </c>
      <c r="U1985" s="229">
        <v>0</v>
      </c>
      <c r="V1985" s="229">
        <v>0</v>
      </c>
      <c r="W1985" s="229">
        <v>0</v>
      </c>
      <c r="X1985" s="229">
        <v>0</v>
      </c>
      <c r="Y1985" s="229">
        <v>0</v>
      </c>
      <c r="Z1985" s="229">
        <v>0</v>
      </c>
      <c r="AA1985" s="229">
        <v>0</v>
      </c>
      <c r="AB1985" s="229">
        <v>0</v>
      </c>
      <c r="AC1985" s="12">
        <v>2</v>
      </c>
      <c r="AD1985" s="14">
        <v>2</v>
      </c>
      <c r="AE1985" s="14">
        <v>324</v>
      </c>
      <c r="AF1985" s="26">
        <v>604</v>
      </c>
      <c r="AG1985" s="12">
        <v>122</v>
      </c>
      <c r="AH1985" s="14">
        <v>1</v>
      </c>
      <c r="AI1985" s="209">
        <v>89.344031694592474</v>
      </c>
      <c r="AJ1985" s="3">
        <v>88.853093841173745</v>
      </c>
      <c r="AK1985" s="3"/>
      <c r="AL1985" s="3"/>
      <c r="AM1985" s="3"/>
      <c r="AN1985" s="3"/>
      <c r="AO1985" s="40"/>
      <c r="AP1985" s="209">
        <v>87.378402103326792</v>
      </c>
      <c r="AQ1985" s="3">
        <v>87.168185682301441</v>
      </c>
      <c r="AR1985" s="40"/>
      <c r="AS1985" s="238"/>
    </row>
    <row r="1986" spans="1:45" s="229" customFormat="1">
      <c r="A1986" s="42" t="s">
        <v>324</v>
      </c>
      <c r="B1986" s="390">
        <v>19.445</v>
      </c>
      <c r="C1986" s="229" t="s">
        <v>770</v>
      </c>
      <c r="D1986" s="229" t="s">
        <v>622</v>
      </c>
      <c r="F1986" s="229">
        <v>600</v>
      </c>
      <c r="G1986" s="40">
        <f>F1986/282</f>
        <v>2.1276595744680851</v>
      </c>
      <c r="H1986" s="14">
        <v>0</v>
      </c>
      <c r="I1986" s="229">
        <v>0</v>
      </c>
      <c r="J1986" s="229">
        <v>0</v>
      </c>
      <c r="K1986" s="26">
        <v>1</v>
      </c>
      <c r="L1986" s="14">
        <v>1</v>
      </c>
      <c r="M1986" s="229">
        <v>0</v>
      </c>
      <c r="N1986" s="229">
        <v>0</v>
      </c>
      <c r="O1986" s="229">
        <v>0</v>
      </c>
      <c r="P1986" s="26">
        <v>1</v>
      </c>
      <c r="Q1986" s="14">
        <v>2</v>
      </c>
      <c r="R1986" s="229">
        <v>0</v>
      </c>
      <c r="S1986" s="229">
        <v>15</v>
      </c>
      <c r="T1986" s="229">
        <v>0</v>
      </c>
      <c r="U1986" s="229">
        <v>0</v>
      </c>
      <c r="V1986" s="229">
        <v>12</v>
      </c>
      <c r="W1986" s="229">
        <v>30</v>
      </c>
      <c r="X1986" s="229">
        <v>0</v>
      </c>
      <c r="Y1986" s="229">
        <v>0</v>
      </c>
      <c r="Z1986" s="229">
        <v>0</v>
      </c>
      <c r="AA1986" s="229">
        <v>0</v>
      </c>
      <c r="AB1986" s="229">
        <v>1</v>
      </c>
      <c r="AC1986" s="12">
        <v>1</v>
      </c>
      <c r="AD1986" s="14">
        <v>1</v>
      </c>
      <c r="AE1986" s="14">
        <v>0</v>
      </c>
      <c r="AF1986" s="26">
        <v>0</v>
      </c>
      <c r="AG1986" s="12">
        <v>91</v>
      </c>
      <c r="AH1986" s="14">
        <v>0</v>
      </c>
      <c r="AI1986" s="209">
        <v>87.636505984773009</v>
      </c>
      <c r="AJ1986" s="3"/>
      <c r="AK1986" s="3"/>
      <c r="AL1986" s="3"/>
      <c r="AM1986" s="3"/>
      <c r="AN1986" s="3"/>
      <c r="AO1986" s="40"/>
      <c r="AP1986" s="209">
        <v>86.6030202874921</v>
      </c>
      <c r="AQ1986" s="3"/>
      <c r="AR1986" s="40"/>
      <c r="AS1986" s="238"/>
    </row>
    <row r="1987" spans="1:45" s="229" customFormat="1">
      <c r="A1987" s="42" t="s">
        <v>324</v>
      </c>
      <c r="B1987" s="390">
        <v>19.445</v>
      </c>
      <c r="C1987" s="229" t="s">
        <v>770</v>
      </c>
      <c r="D1987" s="229" t="s">
        <v>620</v>
      </c>
      <c r="F1987" s="229">
        <v>414</v>
      </c>
      <c r="G1987" s="40">
        <f>F1987/267</f>
        <v>1.550561797752809</v>
      </c>
      <c r="H1987" s="14">
        <v>0</v>
      </c>
      <c r="I1987" s="229">
        <v>0</v>
      </c>
      <c r="J1987" s="229">
        <v>0</v>
      </c>
      <c r="K1987" s="26">
        <v>1</v>
      </c>
      <c r="L1987" s="14">
        <v>0</v>
      </c>
      <c r="M1987" s="229">
        <v>0</v>
      </c>
      <c r="N1987" s="229">
        <v>1</v>
      </c>
      <c r="O1987" s="229">
        <v>0</v>
      </c>
      <c r="P1987" s="26">
        <v>1</v>
      </c>
      <c r="Q1987" s="14">
        <v>0</v>
      </c>
      <c r="R1987" s="229">
        <v>0</v>
      </c>
      <c r="S1987" s="229">
        <v>0</v>
      </c>
      <c r="T1987" s="229">
        <v>0</v>
      </c>
      <c r="U1987" s="229">
        <v>0</v>
      </c>
      <c r="V1987" s="229">
        <v>0</v>
      </c>
      <c r="W1987" s="229">
        <v>0</v>
      </c>
      <c r="X1987" s="229">
        <v>0</v>
      </c>
      <c r="Y1987" s="229">
        <v>0</v>
      </c>
      <c r="Z1987" s="229">
        <v>0</v>
      </c>
      <c r="AA1987" s="229">
        <v>0</v>
      </c>
      <c r="AB1987" s="229">
        <v>0</v>
      </c>
      <c r="AC1987" s="12">
        <v>2</v>
      </c>
      <c r="AD1987" s="14">
        <v>4</v>
      </c>
      <c r="AE1987" s="14">
        <v>76</v>
      </c>
      <c r="AF1987" s="26">
        <v>326</v>
      </c>
      <c r="AG1987" s="12">
        <v>92</v>
      </c>
      <c r="AH1987" s="14">
        <v>0</v>
      </c>
      <c r="AI1987" s="209">
        <v>87.348577812616213</v>
      </c>
      <c r="AJ1987" s="3"/>
      <c r="AK1987" s="3"/>
      <c r="AL1987" s="3"/>
      <c r="AM1987" s="3"/>
      <c r="AN1987" s="3"/>
      <c r="AO1987" s="40"/>
      <c r="AP1987" s="209"/>
      <c r="AQ1987" s="3"/>
      <c r="AR1987" s="40"/>
      <c r="AS1987" s="238"/>
    </row>
    <row r="1988" spans="1:45" s="229" customFormat="1">
      <c r="A1988" s="42" t="s">
        <v>324</v>
      </c>
      <c r="B1988" s="390">
        <v>19.445</v>
      </c>
      <c r="C1988" s="229" t="s">
        <v>770</v>
      </c>
      <c r="D1988" s="229" t="s">
        <v>629</v>
      </c>
      <c r="F1988" s="229">
        <v>638</v>
      </c>
      <c r="G1988" s="40">
        <f>F1988/322</f>
        <v>1.9813664596273293</v>
      </c>
      <c r="H1988" s="14">
        <v>0</v>
      </c>
      <c r="I1988" s="229">
        <v>0</v>
      </c>
      <c r="J1988" s="229">
        <v>0</v>
      </c>
      <c r="K1988" s="26">
        <v>1</v>
      </c>
      <c r="L1988" s="14">
        <v>1</v>
      </c>
      <c r="M1988" s="229">
        <v>0</v>
      </c>
      <c r="N1988" s="229">
        <v>0</v>
      </c>
      <c r="O1988" s="229">
        <v>0</v>
      </c>
      <c r="P1988" s="26">
        <v>1</v>
      </c>
      <c r="Q1988" s="14">
        <v>1</v>
      </c>
      <c r="R1988" s="229">
        <v>0</v>
      </c>
      <c r="S1988" s="229">
        <v>0</v>
      </c>
      <c r="T1988" s="229">
        <v>0</v>
      </c>
      <c r="U1988" s="229">
        <v>0</v>
      </c>
      <c r="V1988" s="229">
        <v>0</v>
      </c>
      <c r="W1988" s="229">
        <v>12</v>
      </c>
      <c r="X1988" s="229">
        <v>0</v>
      </c>
      <c r="Y1988" s="229">
        <v>0</v>
      </c>
      <c r="Z1988" s="229">
        <v>0</v>
      </c>
      <c r="AA1988" s="229">
        <v>0</v>
      </c>
      <c r="AB1988" s="229">
        <v>0</v>
      </c>
      <c r="AC1988" s="12">
        <v>1</v>
      </c>
      <c r="AD1988" s="14">
        <v>1</v>
      </c>
      <c r="AE1988" s="14">
        <v>0</v>
      </c>
      <c r="AF1988" s="26">
        <v>0</v>
      </c>
      <c r="AG1988" s="12">
        <v>84</v>
      </c>
      <c r="AH1988" s="14">
        <v>0</v>
      </c>
      <c r="AI1988" s="209"/>
      <c r="AJ1988" s="3"/>
      <c r="AK1988" s="3"/>
      <c r="AL1988" s="3"/>
      <c r="AM1988" s="3"/>
      <c r="AN1988" s="3"/>
      <c r="AO1988" s="40"/>
      <c r="AP1988" s="209"/>
      <c r="AQ1988" s="3"/>
      <c r="AR1988" s="40"/>
      <c r="AS1988" s="238"/>
    </row>
    <row r="1989" spans="1:45" s="229" customFormat="1">
      <c r="A1989" s="42" t="s">
        <v>324</v>
      </c>
      <c r="B1989" s="390">
        <v>19.445</v>
      </c>
      <c r="C1989" s="229" t="s">
        <v>770</v>
      </c>
      <c r="D1989" s="229" t="s">
        <v>771</v>
      </c>
      <c r="E1989" s="229" t="s">
        <v>0</v>
      </c>
      <c r="F1989" s="229">
        <v>1409</v>
      </c>
      <c r="G1989" s="40">
        <f>F1989/1048</f>
        <v>1.3444656488549618</v>
      </c>
      <c r="H1989" s="14">
        <v>0</v>
      </c>
      <c r="I1989" s="229">
        <v>0</v>
      </c>
      <c r="J1989" s="229">
        <v>0</v>
      </c>
      <c r="K1989" s="26">
        <v>1</v>
      </c>
      <c r="L1989" s="14">
        <v>0</v>
      </c>
      <c r="M1989" s="229">
        <v>0</v>
      </c>
      <c r="N1989" s="229">
        <v>0</v>
      </c>
      <c r="O1989" s="229">
        <v>1</v>
      </c>
      <c r="P1989" s="26">
        <v>1</v>
      </c>
      <c r="Q1989" s="14">
        <v>5</v>
      </c>
      <c r="R1989" s="229">
        <v>9</v>
      </c>
      <c r="S1989" s="229">
        <v>43</v>
      </c>
      <c r="T1989" s="229">
        <v>0</v>
      </c>
      <c r="U1989" s="229">
        <v>0</v>
      </c>
      <c r="V1989" s="229">
        <v>17</v>
      </c>
      <c r="W1989" s="229">
        <v>293</v>
      </c>
      <c r="X1989" s="229">
        <v>0</v>
      </c>
      <c r="Y1989" s="229">
        <v>0</v>
      </c>
      <c r="Z1989" s="229">
        <v>0</v>
      </c>
      <c r="AA1989" s="229">
        <v>0</v>
      </c>
      <c r="AB1989" s="229">
        <v>1</v>
      </c>
      <c r="AC1989" s="12">
        <v>1</v>
      </c>
      <c r="AD1989" s="14">
        <v>1</v>
      </c>
      <c r="AE1989" s="14">
        <v>0</v>
      </c>
      <c r="AF1989" s="26">
        <v>0</v>
      </c>
      <c r="AG1989" s="12">
        <v>110</v>
      </c>
      <c r="AH1989" s="14">
        <v>0</v>
      </c>
      <c r="AI1989" s="209"/>
      <c r="AJ1989" s="3"/>
      <c r="AK1989" s="3"/>
      <c r="AL1989" s="3"/>
      <c r="AM1989" s="3"/>
      <c r="AN1989" s="3"/>
      <c r="AO1989" s="40"/>
      <c r="AP1989" s="209"/>
      <c r="AQ1989" s="3"/>
      <c r="AR1989" s="40"/>
      <c r="AS1989" s="238"/>
    </row>
    <row r="1990" spans="1:45" s="229" customFormat="1" ht="17" thickBot="1">
      <c r="A1990" s="55" t="s">
        <v>324</v>
      </c>
      <c r="B1990" s="388">
        <v>19.445</v>
      </c>
      <c r="C1990" s="229" t="s">
        <v>770</v>
      </c>
      <c r="D1990" s="229" t="s">
        <v>771</v>
      </c>
      <c r="E1990" s="229" t="s">
        <v>1</v>
      </c>
      <c r="F1990" s="229">
        <v>930</v>
      </c>
      <c r="G1990" s="40">
        <f>F1990/661</f>
        <v>1.4069591527987897</v>
      </c>
      <c r="H1990" s="14">
        <v>0</v>
      </c>
      <c r="I1990" s="229">
        <v>0</v>
      </c>
      <c r="J1990" s="229">
        <v>0</v>
      </c>
      <c r="K1990" s="26">
        <v>1</v>
      </c>
      <c r="L1990" s="14">
        <v>1</v>
      </c>
      <c r="M1990" s="229">
        <v>0</v>
      </c>
      <c r="N1990" s="229">
        <v>0</v>
      </c>
      <c r="O1990" s="229">
        <v>0</v>
      </c>
      <c r="P1990" s="26">
        <v>1</v>
      </c>
      <c r="Q1990" s="14">
        <v>2</v>
      </c>
      <c r="R1990" s="229">
        <v>0</v>
      </c>
      <c r="S1990" s="229">
        <v>15</v>
      </c>
      <c r="T1990" s="229">
        <v>0</v>
      </c>
      <c r="U1990" s="229">
        <v>0</v>
      </c>
      <c r="V1990" s="229">
        <v>17</v>
      </c>
      <c r="W1990" s="229">
        <v>118</v>
      </c>
      <c r="X1990" s="229">
        <v>0</v>
      </c>
      <c r="Y1990" s="229">
        <v>0</v>
      </c>
      <c r="Z1990" s="229">
        <v>0</v>
      </c>
      <c r="AA1990" s="229">
        <v>0</v>
      </c>
      <c r="AB1990" s="229">
        <v>0</v>
      </c>
      <c r="AC1990" s="12">
        <v>1</v>
      </c>
      <c r="AD1990" s="14">
        <v>1</v>
      </c>
      <c r="AE1990" s="14">
        <v>0</v>
      </c>
      <c r="AF1990" s="26">
        <v>0</v>
      </c>
      <c r="AG1990" s="12">
        <v>110</v>
      </c>
      <c r="AH1990" s="14">
        <v>0</v>
      </c>
      <c r="AI1990" s="209"/>
      <c r="AJ1990" s="3"/>
      <c r="AK1990" s="3"/>
      <c r="AL1990" s="3"/>
      <c r="AM1990" s="3"/>
      <c r="AN1990" s="3"/>
      <c r="AO1990" s="40"/>
      <c r="AP1990" s="209"/>
      <c r="AQ1990" s="3"/>
      <c r="AR1990" s="40"/>
      <c r="AS1990" s="238"/>
    </row>
    <row r="1991" spans="1:45" s="229" customFormat="1" ht="17" thickBot="1">
      <c r="A1991" s="88" t="s">
        <v>324</v>
      </c>
      <c r="B1991" s="387">
        <v>20.265000000000001</v>
      </c>
      <c r="C1991" s="30" t="s">
        <v>424</v>
      </c>
      <c r="D1991" s="30" t="s">
        <v>423</v>
      </c>
      <c r="E1991" s="30"/>
      <c r="F1991" s="30">
        <v>724</v>
      </c>
      <c r="G1991" s="45">
        <f>F1991/475</f>
        <v>1.5242105263157895</v>
      </c>
      <c r="H1991" s="28">
        <v>0</v>
      </c>
      <c r="I1991" s="30">
        <v>0</v>
      </c>
      <c r="J1991" s="30">
        <v>0</v>
      </c>
      <c r="K1991" s="29">
        <v>1</v>
      </c>
      <c r="L1991" s="28">
        <v>0</v>
      </c>
      <c r="M1991" s="30">
        <v>0</v>
      </c>
      <c r="N1991" s="30">
        <v>0</v>
      </c>
      <c r="O1991" s="30">
        <v>0</v>
      </c>
      <c r="P1991" s="29">
        <v>0</v>
      </c>
      <c r="Q1991" s="28">
        <v>2</v>
      </c>
      <c r="R1991" s="30">
        <v>0</v>
      </c>
      <c r="S1991" s="30">
        <v>0</v>
      </c>
      <c r="T1991" s="30">
        <v>0</v>
      </c>
      <c r="U1991" s="30">
        <v>0</v>
      </c>
      <c r="V1991" s="30">
        <v>0</v>
      </c>
      <c r="W1991" s="30">
        <v>132</v>
      </c>
      <c r="X1991" s="30">
        <v>0</v>
      </c>
      <c r="Y1991" s="30">
        <v>0</v>
      </c>
      <c r="Z1991" s="30">
        <v>0</v>
      </c>
      <c r="AA1991" s="30">
        <v>0</v>
      </c>
      <c r="AB1991" s="30">
        <v>0</v>
      </c>
      <c r="AC1991" s="27">
        <v>2</v>
      </c>
      <c r="AD1991" s="28">
        <v>3</v>
      </c>
      <c r="AE1991" s="28">
        <v>192</v>
      </c>
      <c r="AF1991" s="29">
        <v>487</v>
      </c>
      <c r="AG1991" s="27">
        <v>123</v>
      </c>
      <c r="AH1991" s="28">
        <v>0</v>
      </c>
      <c r="AI1991" s="211"/>
      <c r="AJ1991" s="77"/>
      <c r="AK1991" s="77"/>
      <c r="AL1991" s="77"/>
      <c r="AM1991" s="77"/>
      <c r="AN1991" s="77"/>
      <c r="AO1991" s="45"/>
      <c r="AP1991" s="211"/>
      <c r="AQ1991" s="77"/>
      <c r="AR1991" s="45"/>
      <c r="AS1991" s="236"/>
    </row>
    <row r="1992" spans="1:45" s="229" customFormat="1">
      <c r="A1992" s="87" t="s">
        <v>324</v>
      </c>
      <c r="B1992" s="389">
        <v>20.265000000000001</v>
      </c>
      <c r="C1992" s="229" t="s">
        <v>312</v>
      </c>
      <c r="D1992" s="229" t="s">
        <v>423</v>
      </c>
      <c r="F1992" s="229">
        <v>211</v>
      </c>
      <c r="G1992" s="40">
        <f>F1992/161</f>
        <v>1.31055900621118</v>
      </c>
      <c r="H1992" s="14">
        <v>0</v>
      </c>
      <c r="I1992" s="229">
        <v>0</v>
      </c>
      <c r="J1992" s="229">
        <v>0</v>
      </c>
      <c r="K1992" s="26">
        <v>1</v>
      </c>
      <c r="L1992" s="14">
        <v>0</v>
      </c>
      <c r="M1992" s="229">
        <v>0</v>
      </c>
      <c r="N1992" s="229">
        <v>0</v>
      </c>
      <c r="O1992" s="229">
        <v>0</v>
      </c>
      <c r="P1992" s="26">
        <v>0</v>
      </c>
      <c r="Q1992" s="14">
        <v>0</v>
      </c>
      <c r="R1992" s="229">
        <v>0</v>
      </c>
      <c r="S1992" s="229">
        <v>0</v>
      </c>
      <c r="T1992" s="229">
        <v>0</v>
      </c>
      <c r="U1992" s="229">
        <v>0</v>
      </c>
      <c r="V1992" s="229">
        <v>0</v>
      </c>
      <c r="W1992" s="229">
        <v>0</v>
      </c>
      <c r="X1992" s="229">
        <v>0</v>
      </c>
      <c r="Y1992" s="229">
        <v>0</v>
      </c>
      <c r="Z1992" s="229">
        <v>0</v>
      </c>
      <c r="AA1992" s="229">
        <v>0</v>
      </c>
      <c r="AB1992" s="229">
        <v>0</v>
      </c>
      <c r="AC1992" s="12">
        <v>2</v>
      </c>
      <c r="AD1992" s="14">
        <v>2</v>
      </c>
      <c r="AE1992" s="14">
        <v>157</v>
      </c>
      <c r="AF1992" s="26">
        <v>160</v>
      </c>
      <c r="AG1992" s="12">
        <v>71</v>
      </c>
      <c r="AH1992" s="14">
        <v>0</v>
      </c>
      <c r="AI1992" s="209"/>
      <c r="AJ1992" s="3"/>
      <c r="AK1992" s="3"/>
      <c r="AL1992" s="3"/>
      <c r="AM1992" s="3"/>
      <c r="AN1992" s="3"/>
      <c r="AO1992" s="40"/>
      <c r="AP1992" s="209"/>
      <c r="AQ1992" s="3"/>
      <c r="AR1992" s="40"/>
      <c r="AS1992" s="238"/>
    </row>
    <row r="1993" spans="1:45" s="229" customFormat="1">
      <c r="A1993" s="42" t="s">
        <v>324</v>
      </c>
      <c r="B1993" s="390">
        <v>20.265000000000001</v>
      </c>
      <c r="C1993" s="229" t="s">
        <v>312</v>
      </c>
      <c r="D1993" s="229" t="s">
        <v>622</v>
      </c>
      <c r="F1993" s="229">
        <v>1222</v>
      </c>
      <c r="G1993" s="40">
        <f>F1993/591</f>
        <v>2.0676818950930627</v>
      </c>
      <c r="H1993" s="14">
        <v>0</v>
      </c>
      <c r="I1993" s="229">
        <v>0</v>
      </c>
      <c r="J1993" s="229">
        <v>1</v>
      </c>
      <c r="K1993" s="26">
        <v>0</v>
      </c>
      <c r="L1993" s="14">
        <v>0</v>
      </c>
      <c r="M1993" s="229">
        <v>0</v>
      </c>
      <c r="N1993" s="229">
        <v>1</v>
      </c>
      <c r="O1993" s="229">
        <v>0</v>
      </c>
      <c r="P1993" s="26">
        <v>1</v>
      </c>
      <c r="Q1993" s="14">
        <v>0</v>
      </c>
      <c r="R1993" s="229">
        <v>0</v>
      </c>
      <c r="S1993" s="229">
        <v>0</v>
      </c>
      <c r="T1993" s="229">
        <v>0</v>
      </c>
      <c r="U1993" s="229">
        <v>0</v>
      </c>
      <c r="V1993" s="229">
        <v>0</v>
      </c>
      <c r="W1993" s="229">
        <v>0</v>
      </c>
      <c r="X1993" s="229">
        <v>0</v>
      </c>
      <c r="Y1993" s="229">
        <v>0</v>
      </c>
      <c r="Z1993" s="229">
        <v>0</v>
      </c>
      <c r="AA1993" s="229">
        <v>0</v>
      </c>
      <c r="AB1993" s="229">
        <v>0</v>
      </c>
      <c r="AC1993" s="12">
        <v>1</v>
      </c>
      <c r="AD1993" s="14">
        <v>1</v>
      </c>
      <c r="AE1993" s="14">
        <v>0</v>
      </c>
      <c r="AF1993" s="26">
        <v>0</v>
      </c>
      <c r="AG1993" s="12">
        <v>104</v>
      </c>
      <c r="AH1993" s="14">
        <v>0</v>
      </c>
      <c r="AI1993" s="209">
        <v>88.908408465502816</v>
      </c>
      <c r="AJ1993" s="3"/>
      <c r="AK1993" s="3"/>
      <c r="AL1993" s="3"/>
      <c r="AM1993" s="3"/>
      <c r="AN1993" s="3"/>
      <c r="AO1993" s="40"/>
      <c r="AP1993" s="209">
        <v>88.333115623614603</v>
      </c>
      <c r="AQ1993" s="3"/>
      <c r="AR1993" s="40"/>
      <c r="AS1993" s="238"/>
    </row>
    <row r="1994" spans="1:45" s="229" customFormat="1">
      <c r="A1994" s="42" t="s">
        <v>324</v>
      </c>
      <c r="B1994" s="390">
        <v>20.265000000000001</v>
      </c>
      <c r="C1994" s="229" t="s">
        <v>312</v>
      </c>
      <c r="D1994" s="229" t="s">
        <v>620</v>
      </c>
      <c r="E1994" s="229" t="s">
        <v>0</v>
      </c>
      <c r="F1994" s="229">
        <v>166</v>
      </c>
      <c r="G1994" s="40">
        <f>F1994/80</f>
        <v>2.0750000000000002</v>
      </c>
      <c r="H1994" s="14">
        <v>0</v>
      </c>
      <c r="I1994" s="229">
        <v>0</v>
      </c>
      <c r="J1994" s="229">
        <v>0</v>
      </c>
      <c r="K1994" s="26">
        <v>1</v>
      </c>
      <c r="L1994" s="14">
        <v>0</v>
      </c>
      <c r="M1994" s="229">
        <v>0</v>
      </c>
      <c r="N1994" s="229">
        <v>1</v>
      </c>
      <c r="O1994" s="229">
        <v>0</v>
      </c>
      <c r="P1994" s="26">
        <v>1</v>
      </c>
      <c r="Q1994" s="14">
        <v>0</v>
      </c>
      <c r="R1994" s="229">
        <v>0</v>
      </c>
      <c r="S1994" s="229">
        <v>0</v>
      </c>
      <c r="T1994" s="229">
        <v>0</v>
      </c>
      <c r="U1994" s="229">
        <v>0</v>
      </c>
      <c r="V1994" s="229">
        <v>0</v>
      </c>
      <c r="W1994" s="229">
        <v>0</v>
      </c>
      <c r="X1994" s="229">
        <v>0</v>
      </c>
      <c r="Y1994" s="229">
        <v>0</v>
      </c>
      <c r="Z1994" s="229">
        <v>0</v>
      </c>
      <c r="AA1994" s="229">
        <v>0</v>
      </c>
      <c r="AB1994" s="229">
        <v>0</v>
      </c>
      <c r="AC1994" s="12">
        <v>1</v>
      </c>
      <c r="AD1994" s="14">
        <v>1</v>
      </c>
      <c r="AE1994" s="14">
        <v>0</v>
      </c>
      <c r="AF1994" s="26">
        <v>0</v>
      </c>
      <c r="AG1994" s="12">
        <v>106</v>
      </c>
      <c r="AH1994" s="14">
        <v>0</v>
      </c>
      <c r="AI1994" s="209"/>
      <c r="AJ1994" s="3"/>
      <c r="AK1994" s="3"/>
      <c r="AL1994" s="3"/>
      <c r="AM1994" s="3"/>
      <c r="AN1994" s="3"/>
      <c r="AO1994" s="40"/>
      <c r="AP1994" s="209"/>
      <c r="AQ1994" s="3"/>
      <c r="AR1994" s="40"/>
      <c r="AS1994" s="238"/>
    </row>
    <row r="1995" spans="1:45" s="229" customFormat="1">
      <c r="A1995" s="42" t="s">
        <v>324</v>
      </c>
      <c r="B1995" s="390">
        <v>20.265000000000001</v>
      </c>
      <c r="C1995" s="229" t="s">
        <v>312</v>
      </c>
      <c r="D1995" s="229" t="s">
        <v>620</v>
      </c>
      <c r="E1995" s="229" t="s">
        <v>1</v>
      </c>
      <c r="F1995" s="229">
        <v>215</v>
      </c>
      <c r="G1995" s="40">
        <f>F1995/148</f>
        <v>1.4527027027027026</v>
      </c>
      <c r="H1995" s="14">
        <v>0</v>
      </c>
      <c r="I1995" s="229">
        <v>0</v>
      </c>
      <c r="J1995" s="229">
        <v>0</v>
      </c>
      <c r="K1995" s="26">
        <v>1</v>
      </c>
      <c r="L1995" s="14">
        <v>0</v>
      </c>
      <c r="M1995" s="229">
        <v>0</v>
      </c>
      <c r="N1995" s="229">
        <v>1</v>
      </c>
      <c r="O1995" s="229">
        <v>0</v>
      </c>
      <c r="P1995" s="26">
        <v>1</v>
      </c>
      <c r="Q1995" s="14">
        <v>0</v>
      </c>
      <c r="R1995" s="229">
        <v>0</v>
      </c>
      <c r="S1995" s="229">
        <v>0</v>
      </c>
      <c r="T1995" s="229">
        <v>0</v>
      </c>
      <c r="U1995" s="229">
        <v>0</v>
      </c>
      <c r="V1995" s="229">
        <v>0</v>
      </c>
      <c r="W1995" s="229">
        <v>0</v>
      </c>
      <c r="X1995" s="229">
        <v>0</v>
      </c>
      <c r="Y1995" s="229">
        <v>0</v>
      </c>
      <c r="Z1995" s="229">
        <v>0</v>
      </c>
      <c r="AA1995" s="229">
        <v>0</v>
      </c>
      <c r="AB1995" s="229">
        <v>0</v>
      </c>
      <c r="AC1995" s="12">
        <v>1</v>
      </c>
      <c r="AD1995" s="14">
        <v>1</v>
      </c>
      <c r="AE1995" s="14">
        <v>0</v>
      </c>
      <c r="AF1995" s="26">
        <v>0</v>
      </c>
      <c r="AG1995" s="12">
        <v>106</v>
      </c>
      <c r="AH1995" s="14">
        <v>1</v>
      </c>
      <c r="AI1995" s="209"/>
      <c r="AJ1995" s="3"/>
      <c r="AK1995" s="3"/>
      <c r="AL1995" s="3"/>
      <c r="AM1995" s="3"/>
      <c r="AN1995" s="3"/>
      <c r="AO1995" s="40"/>
      <c r="AP1995" s="209"/>
      <c r="AQ1995" s="3"/>
      <c r="AR1995" s="40"/>
      <c r="AS1995" s="238"/>
    </row>
    <row r="1996" spans="1:45" s="229" customFormat="1">
      <c r="A1996" s="42" t="s">
        <v>324</v>
      </c>
      <c r="B1996" s="390">
        <v>20.265000000000001</v>
      </c>
      <c r="C1996" s="229" t="s">
        <v>312</v>
      </c>
      <c r="D1996" s="229" t="s">
        <v>629</v>
      </c>
      <c r="F1996" s="229">
        <v>573</v>
      </c>
      <c r="G1996" s="40">
        <f>F1996/379</f>
        <v>1.5118733509234827</v>
      </c>
      <c r="H1996" s="14">
        <v>0</v>
      </c>
      <c r="I1996" s="229">
        <v>0</v>
      </c>
      <c r="J1996" s="229">
        <v>0</v>
      </c>
      <c r="K1996" s="26">
        <v>1</v>
      </c>
      <c r="L1996" s="14">
        <v>0</v>
      </c>
      <c r="M1996" s="229">
        <v>0</v>
      </c>
      <c r="N1996" s="229">
        <v>0</v>
      </c>
      <c r="O1996" s="229">
        <v>0</v>
      </c>
      <c r="P1996" s="26">
        <v>0</v>
      </c>
      <c r="Q1996" s="14">
        <v>0</v>
      </c>
      <c r="R1996" s="229">
        <v>0</v>
      </c>
      <c r="S1996" s="229">
        <v>0</v>
      </c>
      <c r="T1996" s="229">
        <v>0</v>
      </c>
      <c r="U1996" s="229">
        <v>0</v>
      </c>
      <c r="V1996" s="229">
        <v>0</v>
      </c>
      <c r="W1996" s="229">
        <v>0</v>
      </c>
      <c r="X1996" s="229">
        <v>0</v>
      </c>
      <c r="Y1996" s="229">
        <v>0</v>
      </c>
      <c r="Z1996" s="229">
        <v>0</v>
      </c>
      <c r="AA1996" s="229">
        <v>0</v>
      </c>
      <c r="AB1996" s="229">
        <v>0</v>
      </c>
      <c r="AC1996" s="12">
        <v>2</v>
      </c>
      <c r="AD1996" s="14">
        <v>3</v>
      </c>
      <c r="AE1996" s="14">
        <v>131</v>
      </c>
      <c r="AF1996" s="26">
        <v>573</v>
      </c>
      <c r="AG1996" s="12">
        <v>93</v>
      </c>
      <c r="AH1996" s="14">
        <v>0</v>
      </c>
      <c r="AI1996" s="209"/>
      <c r="AJ1996" s="3"/>
      <c r="AK1996" s="3"/>
      <c r="AL1996" s="3"/>
      <c r="AM1996" s="3"/>
      <c r="AN1996" s="3"/>
      <c r="AO1996" s="40"/>
      <c r="AP1996" s="209"/>
      <c r="AQ1996" s="3"/>
      <c r="AR1996" s="40"/>
      <c r="AS1996" s="238"/>
    </row>
    <row r="1997" spans="1:45" s="229" customFormat="1">
      <c r="A1997" s="42" t="s">
        <v>324</v>
      </c>
      <c r="B1997" s="390">
        <v>20.265000000000001</v>
      </c>
      <c r="C1997" s="229" t="s">
        <v>312</v>
      </c>
      <c r="D1997" s="229" t="s">
        <v>634</v>
      </c>
      <c r="F1997" s="229">
        <v>936</v>
      </c>
      <c r="G1997" s="40">
        <f>F1997/647</f>
        <v>1.4466769706336939</v>
      </c>
      <c r="H1997" s="14">
        <v>1</v>
      </c>
      <c r="I1997" s="229">
        <v>0</v>
      </c>
      <c r="J1997" s="229">
        <v>0</v>
      </c>
      <c r="K1997" s="26">
        <v>0</v>
      </c>
      <c r="L1997" s="14">
        <v>0</v>
      </c>
      <c r="M1997" s="229">
        <v>0</v>
      </c>
      <c r="N1997" s="229">
        <v>0</v>
      </c>
      <c r="O1997" s="229">
        <v>1</v>
      </c>
      <c r="P1997" s="26">
        <v>1</v>
      </c>
      <c r="Q1997" s="14">
        <v>0</v>
      </c>
      <c r="R1997" s="229">
        <v>0</v>
      </c>
      <c r="S1997" s="229">
        <v>0</v>
      </c>
      <c r="T1997" s="229">
        <v>0</v>
      </c>
      <c r="U1997" s="229">
        <v>0</v>
      </c>
      <c r="V1997" s="229">
        <v>0</v>
      </c>
      <c r="W1997" s="229">
        <v>0</v>
      </c>
      <c r="X1997" s="229">
        <v>0</v>
      </c>
      <c r="Y1997" s="229">
        <v>0</v>
      </c>
      <c r="Z1997" s="229">
        <v>0</v>
      </c>
      <c r="AA1997" s="229">
        <v>0</v>
      </c>
      <c r="AB1997" s="229">
        <v>0</v>
      </c>
      <c r="AC1997" s="12">
        <v>1</v>
      </c>
      <c r="AD1997" s="14">
        <v>1</v>
      </c>
      <c r="AE1997" s="14">
        <v>0</v>
      </c>
      <c r="AF1997" s="26">
        <v>0</v>
      </c>
      <c r="AG1997" s="12">
        <v>98</v>
      </c>
      <c r="AH1997" s="14">
        <v>0</v>
      </c>
      <c r="AI1997" s="209">
        <v>87.686709649575988</v>
      </c>
      <c r="AJ1997" s="3"/>
      <c r="AK1997" s="3"/>
      <c r="AL1997" s="3"/>
      <c r="AM1997" s="3"/>
      <c r="AN1997" s="3"/>
      <c r="AO1997" s="40"/>
      <c r="AP1997" s="209">
        <v>88.889962606630036</v>
      </c>
      <c r="AQ1997" s="3"/>
      <c r="AR1997" s="40"/>
      <c r="AS1997" s="238"/>
    </row>
    <row r="1998" spans="1:45" s="229" customFormat="1">
      <c r="A1998" s="42" t="s">
        <v>324</v>
      </c>
      <c r="B1998" s="390">
        <v>20.265000000000001</v>
      </c>
      <c r="C1998" s="229" t="s">
        <v>312</v>
      </c>
      <c r="D1998" s="229" t="s">
        <v>625</v>
      </c>
      <c r="F1998" s="229">
        <v>764</v>
      </c>
      <c r="G1998" s="40">
        <f>F1998/436</f>
        <v>1.7522935779816513</v>
      </c>
      <c r="H1998" s="14">
        <v>1</v>
      </c>
      <c r="I1998" s="229">
        <v>0</v>
      </c>
      <c r="J1998" s="229">
        <v>0</v>
      </c>
      <c r="K1998" s="26">
        <v>1</v>
      </c>
      <c r="L1998" s="14">
        <v>0</v>
      </c>
      <c r="M1998" s="229">
        <v>0</v>
      </c>
      <c r="N1998" s="229">
        <v>1</v>
      </c>
      <c r="O1998" s="229">
        <v>0</v>
      </c>
      <c r="P1998" s="26">
        <v>1</v>
      </c>
      <c r="Q1998" s="14">
        <v>0</v>
      </c>
      <c r="R1998" s="229">
        <v>0</v>
      </c>
      <c r="S1998" s="229">
        <v>0</v>
      </c>
      <c r="T1998" s="229">
        <v>0</v>
      </c>
      <c r="U1998" s="229">
        <v>0</v>
      </c>
      <c r="V1998" s="229">
        <v>0</v>
      </c>
      <c r="W1998" s="229">
        <v>0</v>
      </c>
      <c r="X1998" s="229">
        <v>0</v>
      </c>
      <c r="Y1998" s="229">
        <v>0</v>
      </c>
      <c r="Z1998" s="229">
        <v>0</v>
      </c>
      <c r="AA1998" s="229">
        <v>0</v>
      </c>
      <c r="AB1998" s="229">
        <v>0</v>
      </c>
      <c r="AC1998" s="12">
        <v>2</v>
      </c>
      <c r="AD1998" s="14">
        <v>4</v>
      </c>
      <c r="AE1998" s="14">
        <v>156</v>
      </c>
      <c r="AF1998" s="26">
        <v>351</v>
      </c>
      <c r="AG1998" s="12">
        <v>94</v>
      </c>
      <c r="AH1998" s="14">
        <v>1</v>
      </c>
      <c r="AI1998" s="209"/>
      <c r="AJ1998" s="3"/>
      <c r="AK1998" s="3"/>
      <c r="AL1998" s="3"/>
      <c r="AM1998" s="3"/>
      <c r="AN1998" s="3"/>
      <c r="AO1998" s="40"/>
      <c r="AP1998" s="209"/>
      <c r="AQ1998" s="3"/>
      <c r="AR1998" s="40"/>
      <c r="AS1998" s="238"/>
    </row>
    <row r="1999" spans="1:45" s="229" customFormat="1" ht="17" customHeight="1">
      <c r="A1999" s="42" t="s">
        <v>324</v>
      </c>
      <c r="B1999" s="390">
        <v>20.265000000000001</v>
      </c>
      <c r="C1999" s="229" t="s">
        <v>312</v>
      </c>
      <c r="D1999" s="229" t="s">
        <v>630</v>
      </c>
      <c r="F1999" s="229">
        <v>721</v>
      </c>
      <c r="G1999" s="40">
        <f>F1999/327</f>
        <v>2.2048929663608563</v>
      </c>
      <c r="H1999" s="14">
        <v>0</v>
      </c>
      <c r="I1999" s="229">
        <v>0</v>
      </c>
      <c r="J1999" s="229">
        <v>0</v>
      </c>
      <c r="K1999" s="26">
        <v>1</v>
      </c>
      <c r="L1999" s="14">
        <v>0</v>
      </c>
      <c r="M1999" s="229">
        <v>0</v>
      </c>
      <c r="N1999" s="229">
        <v>1</v>
      </c>
      <c r="O1999" s="229">
        <v>0</v>
      </c>
      <c r="P1999" s="26">
        <v>1</v>
      </c>
      <c r="Q1999" s="14">
        <v>1</v>
      </c>
      <c r="R1999" s="229">
        <v>0</v>
      </c>
      <c r="S1999" s="229">
        <v>0</v>
      </c>
      <c r="T1999" s="229">
        <v>0</v>
      </c>
      <c r="U1999" s="229">
        <v>0</v>
      </c>
      <c r="V1999" s="229">
        <v>0</v>
      </c>
      <c r="W1999" s="229">
        <v>32</v>
      </c>
      <c r="X1999" s="229">
        <v>0</v>
      </c>
      <c r="Y1999" s="229">
        <v>0</v>
      </c>
      <c r="Z1999" s="229">
        <v>0</v>
      </c>
      <c r="AA1999" s="229">
        <v>0</v>
      </c>
      <c r="AB1999" s="229">
        <v>0</v>
      </c>
      <c r="AC1999" s="12">
        <v>1</v>
      </c>
      <c r="AD1999" s="14">
        <v>1</v>
      </c>
      <c r="AE1999" s="14">
        <v>0</v>
      </c>
      <c r="AF1999" s="26">
        <v>0</v>
      </c>
      <c r="AG1999" s="12">
        <v>94</v>
      </c>
      <c r="AH1999" s="14">
        <v>0</v>
      </c>
      <c r="AI1999" s="209">
        <v>89.432976704957156</v>
      </c>
      <c r="AJ1999" s="3"/>
      <c r="AK1999" s="3"/>
      <c r="AL1999" s="3"/>
      <c r="AM1999" s="3"/>
      <c r="AN1999" s="3"/>
      <c r="AO1999" s="40"/>
      <c r="AP1999" s="209">
        <v>88.321263234507327</v>
      </c>
      <c r="AQ1999" s="3"/>
      <c r="AR1999" s="40"/>
      <c r="AS1999" s="238"/>
    </row>
    <row r="2000" spans="1:45" s="229" customFormat="1" ht="17" thickBot="1">
      <c r="A2000" s="55" t="s">
        <v>324</v>
      </c>
      <c r="B2000" s="388">
        <v>20.265000000000001</v>
      </c>
      <c r="C2000" s="229" t="s">
        <v>312</v>
      </c>
      <c r="D2000" s="229" t="s">
        <v>639</v>
      </c>
      <c r="F2000" s="229">
        <v>491</v>
      </c>
      <c r="G2000" s="40">
        <f>F2000/262</f>
        <v>1.8740458015267176</v>
      </c>
      <c r="H2000" s="14">
        <v>0</v>
      </c>
      <c r="I2000" s="229">
        <v>0</v>
      </c>
      <c r="J2000" s="229">
        <v>0</v>
      </c>
      <c r="K2000" s="26">
        <v>1</v>
      </c>
      <c r="L2000" s="14">
        <v>0</v>
      </c>
      <c r="M2000" s="229">
        <v>0</v>
      </c>
      <c r="N2000" s="229">
        <v>0</v>
      </c>
      <c r="O2000" s="229">
        <v>0</v>
      </c>
      <c r="P2000" s="26">
        <v>0</v>
      </c>
      <c r="Q2000" s="14">
        <v>0</v>
      </c>
      <c r="R2000" s="229">
        <v>0</v>
      </c>
      <c r="S2000" s="229">
        <v>0</v>
      </c>
      <c r="T2000" s="229">
        <v>0</v>
      </c>
      <c r="U2000" s="229">
        <v>0</v>
      </c>
      <c r="V2000" s="229">
        <v>0</v>
      </c>
      <c r="W2000" s="229">
        <v>0</v>
      </c>
      <c r="X2000" s="229">
        <v>0</v>
      </c>
      <c r="Y2000" s="229">
        <v>0</v>
      </c>
      <c r="Z2000" s="229">
        <v>0</v>
      </c>
      <c r="AA2000" s="229">
        <v>0</v>
      </c>
      <c r="AB2000" s="229">
        <v>0</v>
      </c>
      <c r="AC2000" s="12">
        <v>2</v>
      </c>
      <c r="AD2000" s="14">
        <v>2</v>
      </c>
      <c r="AE2000" s="14">
        <v>278</v>
      </c>
      <c r="AF2000" s="26">
        <v>286</v>
      </c>
      <c r="AG2000" s="12">
        <v>110</v>
      </c>
      <c r="AH2000" s="14">
        <v>0</v>
      </c>
      <c r="AI2000" s="209"/>
      <c r="AJ2000" s="3"/>
      <c r="AK2000" s="3"/>
      <c r="AL2000" s="3"/>
      <c r="AM2000" s="3"/>
      <c r="AN2000" s="3"/>
      <c r="AO2000" s="40"/>
      <c r="AP2000" s="209"/>
      <c r="AQ2000" s="3"/>
      <c r="AR2000" s="40"/>
      <c r="AS2000" s="238"/>
    </row>
    <row r="2001" spans="1:45" s="229" customFormat="1">
      <c r="A2001" s="42" t="s">
        <v>324</v>
      </c>
      <c r="B2001" s="384">
        <v>18.020499999999998</v>
      </c>
      <c r="C2001" s="8" t="s">
        <v>772</v>
      </c>
      <c r="D2001" s="8" t="s">
        <v>423</v>
      </c>
      <c r="E2001" s="8" t="s">
        <v>0</v>
      </c>
      <c r="F2001" s="8">
        <v>233</v>
      </c>
      <c r="G2001" s="10">
        <f>F2001/152</f>
        <v>1.5328947368421053</v>
      </c>
      <c r="H2001" s="11">
        <v>0</v>
      </c>
      <c r="I2001" s="8">
        <v>0</v>
      </c>
      <c r="J2001" s="8">
        <v>1</v>
      </c>
      <c r="K2001" s="41">
        <v>0</v>
      </c>
      <c r="L2001" s="11">
        <v>0</v>
      </c>
      <c r="M2001" s="8">
        <v>0</v>
      </c>
      <c r="N2001" s="8">
        <v>0</v>
      </c>
      <c r="O2001" s="8">
        <v>0</v>
      </c>
      <c r="P2001" s="41">
        <v>0</v>
      </c>
      <c r="Q2001" s="11">
        <v>5</v>
      </c>
      <c r="R2001" s="8">
        <v>0</v>
      </c>
      <c r="S2001" s="8">
        <v>0</v>
      </c>
      <c r="T2001" s="8">
        <v>0</v>
      </c>
      <c r="U2001" s="8">
        <v>0</v>
      </c>
      <c r="V2001" s="8">
        <v>0</v>
      </c>
      <c r="W2001" s="8">
        <v>0</v>
      </c>
      <c r="X2001" s="8">
        <v>0</v>
      </c>
      <c r="Y2001" s="8">
        <v>0</v>
      </c>
      <c r="Z2001" s="8">
        <v>0</v>
      </c>
      <c r="AA2001" s="8">
        <v>46</v>
      </c>
      <c r="AB2001" s="8">
        <v>0</v>
      </c>
      <c r="AC2001" s="9">
        <v>1</v>
      </c>
      <c r="AD2001" s="11">
        <v>1</v>
      </c>
      <c r="AE2001" s="11">
        <v>0</v>
      </c>
      <c r="AF2001" s="41">
        <v>0</v>
      </c>
      <c r="AG2001" s="9">
        <v>152</v>
      </c>
      <c r="AH2001" s="11">
        <v>0</v>
      </c>
      <c r="AI2001" s="208"/>
      <c r="AJ2001" s="54"/>
      <c r="AK2001" s="54"/>
      <c r="AL2001" s="54"/>
      <c r="AM2001" s="54"/>
      <c r="AN2001" s="54"/>
      <c r="AO2001" s="10"/>
      <c r="AP2001" s="208"/>
      <c r="AQ2001" s="54"/>
      <c r="AR2001" s="10"/>
      <c r="AS2001" s="237"/>
    </row>
    <row r="2002" spans="1:45" s="229" customFormat="1">
      <c r="A2002" s="42" t="s">
        <v>324</v>
      </c>
      <c r="B2002" s="386">
        <v>18.020499999999998</v>
      </c>
      <c r="C2002" s="229" t="s">
        <v>772</v>
      </c>
      <c r="D2002" s="229" t="s">
        <v>423</v>
      </c>
      <c r="E2002" s="229" t="s">
        <v>1</v>
      </c>
      <c r="F2002" s="229">
        <v>245</v>
      </c>
      <c r="G2002" s="40">
        <f>F2002/101</f>
        <v>2.4257425742574257</v>
      </c>
      <c r="H2002" s="14">
        <v>1</v>
      </c>
      <c r="I2002" s="229">
        <v>0</v>
      </c>
      <c r="J2002" s="229">
        <v>0</v>
      </c>
      <c r="K2002" s="26">
        <v>0</v>
      </c>
      <c r="L2002" s="14">
        <v>0</v>
      </c>
      <c r="M2002" s="229">
        <v>0</v>
      </c>
      <c r="N2002" s="229">
        <v>0</v>
      </c>
      <c r="O2002" s="229">
        <v>0</v>
      </c>
      <c r="P2002" s="26">
        <v>0</v>
      </c>
      <c r="Q2002" s="14">
        <v>5</v>
      </c>
      <c r="R2002" s="229">
        <v>0</v>
      </c>
      <c r="S2002" s="229">
        <v>0</v>
      </c>
      <c r="T2002" s="229">
        <v>0</v>
      </c>
      <c r="U2002" s="229">
        <v>0</v>
      </c>
      <c r="V2002" s="229">
        <v>18</v>
      </c>
      <c r="W2002" s="229">
        <v>55</v>
      </c>
      <c r="X2002" s="229">
        <v>0</v>
      </c>
      <c r="Y2002" s="229">
        <v>0</v>
      </c>
      <c r="Z2002" s="229">
        <v>0</v>
      </c>
      <c r="AA2002" s="229">
        <v>0</v>
      </c>
      <c r="AB2002" s="229">
        <v>0</v>
      </c>
      <c r="AC2002" s="12">
        <v>1</v>
      </c>
      <c r="AD2002" s="14">
        <v>1</v>
      </c>
      <c r="AE2002" s="14">
        <v>0</v>
      </c>
      <c r="AF2002" s="26">
        <v>0</v>
      </c>
      <c r="AG2002" s="12">
        <v>152</v>
      </c>
      <c r="AH2002" s="14">
        <v>1</v>
      </c>
      <c r="AI2002" s="209"/>
      <c r="AJ2002" s="3"/>
      <c r="AK2002" s="3"/>
      <c r="AL2002" s="3"/>
      <c r="AM2002" s="3"/>
      <c r="AN2002" s="3"/>
      <c r="AO2002" s="40"/>
      <c r="AP2002" s="209"/>
      <c r="AQ2002" s="3"/>
      <c r="AR2002" s="40"/>
      <c r="AS2002" s="238"/>
    </row>
    <row r="2003" spans="1:45" s="229" customFormat="1">
      <c r="A2003" s="42" t="s">
        <v>324</v>
      </c>
      <c r="B2003" s="386">
        <v>18.020499999999998</v>
      </c>
      <c r="C2003" s="229" t="s">
        <v>772</v>
      </c>
      <c r="D2003" s="229" t="s">
        <v>423</v>
      </c>
      <c r="E2003" s="229" t="s">
        <v>2</v>
      </c>
      <c r="F2003" s="229">
        <v>440</v>
      </c>
      <c r="G2003" s="40">
        <f>F2003/253</f>
        <v>1.7391304347826086</v>
      </c>
      <c r="H2003" s="14">
        <v>1</v>
      </c>
      <c r="I2003" s="229">
        <v>0</v>
      </c>
      <c r="J2003" s="229">
        <v>0</v>
      </c>
      <c r="K2003" s="26">
        <v>1</v>
      </c>
      <c r="L2003" s="14">
        <v>0</v>
      </c>
      <c r="M2003" s="229">
        <v>0</v>
      </c>
      <c r="N2003" s="229">
        <v>0</v>
      </c>
      <c r="O2003" s="229">
        <v>0</v>
      </c>
      <c r="P2003" s="26">
        <v>0</v>
      </c>
      <c r="Q2003" s="14">
        <v>10</v>
      </c>
      <c r="R2003" s="229">
        <v>0</v>
      </c>
      <c r="S2003" s="229">
        <v>0</v>
      </c>
      <c r="T2003" s="229">
        <v>0</v>
      </c>
      <c r="U2003" s="229">
        <v>0</v>
      </c>
      <c r="V2003" s="229">
        <v>18</v>
      </c>
      <c r="W2003" s="229">
        <v>55</v>
      </c>
      <c r="X2003" s="229">
        <v>0</v>
      </c>
      <c r="Y2003" s="229">
        <v>0</v>
      </c>
      <c r="Z2003" s="229">
        <v>0</v>
      </c>
      <c r="AA2003" s="229">
        <v>0</v>
      </c>
      <c r="AB2003" s="229">
        <v>0</v>
      </c>
      <c r="AC2003" s="12">
        <v>2</v>
      </c>
      <c r="AD2003" s="14">
        <v>4</v>
      </c>
      <c r="AE2003" s="14">
        <v>52</v>
      </c>
      <c r="AF2003" s="26">
        <v>224</v>
      </c>
      <c r="AG2003" s="12">
        <v>152</v>
      </c>
      <c r="AH2003" s="14">
        <v>1</v>
      </c>
      <c r="AI2003" s="209"/>
      <c r="AJ2003" s="3"/>
      <c r="AK2003" s="3"/>
      <c r="AL2003" s="3"/>
      <c r="AM2003" s="3"/>
      <c r="AN2003" s="3"/>
      <c r="AO2003" s="40"/>
      <c r="AP2003" s="209"/>
      <c r="AQ2003" s="3"/>
      <c r="AR2003" s="40"/>
      <c r="AS2003" s="238"/>
    </row>
    <row r="2004" spans="1:45" s="229" customFormat="1">
      <c r="A2004" s="42" t="s">
        <v>324</v>
      </c>
      <c r="B2004" s="386">
        <v>18.020499999999998</v>
      </c>
      <c r="C2004" s="229" t="s">
        <v>772</v>
      </c>
      <c r="D2004" s="229" t="s">
        <v>423</v>
      </c>
      <c r="E2004" s="229" t="s">
        <v>3</v>
      </c>
      <c r="F2004" s="229">
        <v>808</v>
      </c>
      <c r="G2004" s="40">
        <f>F2004/458</f>
        <v>1.7641921397379912</v>
      </c>
      <c r="H2004" s="14">
        <v>0</v>
      </c>
      <c r="I2004" s="229">
        <v>0</v>
      </c>
      <c r="J2004" s="229">
        <v>0</v>
      </c>
      <c r="K2004" s="26">
        <v>1</v>
      </c>
      <c r="L2004" s="14">
        <v>0</v>
      </c>
      <c r="M2004" s="229">
        <v>0</v>
      </c>
      <c r="N2004" s="229">
        <v>0</v>
      </c>
      <c r="O2004" s="229">
        <v>0</v>
      </c>
      <c r="P2004" s="26">
        <v>0</v>
      </c>
      <c r="Q2004" s="14">
        <v>5</v>
      </c>
      <c r="R2004" s="229">
        <v>0</v>
      </c>
      <c r="S2004" s="229">
        <v>9</v>
      </c>
      <c r="T2004" s="229">
        <v>0</v>
      </c>
      <c r="U2004" s="229">
        <v>0</v>
      </c>
      <c r="V2004" s="229">
        <v>0</v>
      </c>
      <c r="W2004" s="229">
        <v>0</v>
      </c>
      <c r="X2004" s="229">
        <v>0</v>
      </c>
      <c r="Y2004" s="229">
        <v>0</v>
      </c>
      <c r="Z2004" s="229">
        <v>78</v>
      </c>
      <c r="AA2004" s="229">
        <v>87</v>
      </c>
      <c r="AB2004" s="229">
        <v>0</v>
      </c>
      <c r="AC2004" s="12">
        <v>2</v>
      </c>
      <c r="AD2004" s="14">
        <v>7</v>
      </c>
      <c r="AE2004" s="14">
        <v>92</v>
      </c>
      <c r="AF2004" s="26">
        <v>352</v>
      </c>
      <c r="AG2004" s="12">
        <v>152</v>
      </c>
      <c r="AH2004" s="14">
        <v>1</v>
      </c>
      <c r="AI2004" s="209"/>
      <c r="AJ2004" s="3"/>
      <c r="AK2004" s="3"/>
      <c r="AL2004" s="3"/>
      <c r="AM2004" s="3"/>
      <c r="AN2004" s="3"/>
      <c r="AO2004" s="40"/>
      <c r="AP2004" s="209"/>
      <c r="AQ2004" s="3"/>
      <c r="AR2004" s="40"/>
      <c r="AS2004" s="238"/>
    </row>
    <row r="2005" spans="1:45" s="229" customFormat="1">
      <c r="A2005" s="42" t="s">
        <v>324</v>
      </c>
      <c r="B2005" s="386">
        <v>18.020499999999998</v>
      </c>
      <c r="C2005" s="229" t="s">
        <v>772</v>
      </c>
      <c r="D2005" s="229" t="s">
        <v>622</v>
      </c>
      <c r="E2005" s="229" t="s">
        <v>0</v>
      </c>
      <c r="F2005" s="229">
        <v>138</v>
      </c>
      <c r="G2005" s="40">
        <f>F2005/88</f>
        <v>1.5681818181818181</v>
      </c>
      <c r="H2005" s="14">
        <v>0</v>
      </c>
      <c r="I2005" s="229">
        <v>0</v>
      </c>
      <c r="J2005" s="229">
        <v>1</v>
      </c>
      <c r="K2005" s="26">
        <v>0</v>
      </c>
      <c r="L2005" s="14">
        <v>0</v>
      </c>
      <c r="M2005" s="229">
        <v>0</v>
      </c>
      <c r="N2005" s="229">
        <v>0</v>
      </c>
      <c r="O2005" s="229">
        <v>0</v>
      </c>
      <c r="P2005" s="26">
        <v>0</v>
      </c>
      <c r="Q2005" s="14">
        <v>0</v>
      </c>
      <c r="R2005" s="229">
        <v>0</v>
      </c>
      <c r="S2005" s="229">
        <v>0</v>
      </c>
      <c r="T2005" s="229">
        <v>0</v>
      </c>
      <c r="U2005" s="229">
        <v>0</v>
      </c>
      <c r="V2005" s="229">
        <v>0</v>
      </c>
      <c r="W2005" s="229">
        <v>0</v>
      </c>
      <c r="X2005" s="229">
        <v>0</v>
      </c>
      <c r="Y2005" s="229">
        <v>0</v>
      </c>
      <c r="Z2005" s="229">
        <v>0</v>
      </c>
      <c r="AA2005" s="229">
        <v>0</v>
      </c>
      <c r="AB2005" s="229">
        <v>0</v>
      </c>
      <c r="AC2005" s="12">
        <v>1</v>
      </c>
      <c r="AD2005" s="14">
        <v>1</v>
      </c>
      <c r="AE2005" s="14">
        <v>0</v>
      </c>
      <c r="AF2005" s="26">
        <v>0</v>
      </c>
      <c r="AG2005" s="12">
        <v>132</v>
      </c>
      <c r="AH2005" s="14">
        <v>0</v>
      </c>
      <c r="AI2005" s="209"/>
      <c r="AJ2005" s="3"/>
      <c r="AK2005" s="3"/>
      <c r="AL2005" s="3"/>
      <c r="AM2005" s="3"/>
      <c r="AN2005" s="3"/>
      <c r="AO2005" s="40"/>
      <c r="AP2005" s="209"/>
      <c r="AQ2005" s="3"/>
      <c r="AR2005" s="40"/>
      <c r="AS2005" s="238"/>
    </row>
    <row r="2006" spans="1:45" s="229" customFormat="1">
      <c r="A2006" s="42" t="s">
        <v>324</v>
      </c>
      <c r="B2006" s="386">
        <v>18.020499999999998</v>
      </c>
      <c r="C2006" s="229" t="s">
        <v>772</v>
      </c>
      <c r="D2006" s="229" t="s">
        <v>622</v>
      </c>
      <c r="E2006" s="229" t="s">
        <v>1</v>
      </c>
      <c r="F2006" s="229">
        <v>249</v>
      </c>
      <c r="G2006" s="40">
        <f>F2006/215</f>
        <v>1.1581395348837209</v>
      </c>
      <c r="H2006" s="14">
        <v>0</v>
      </c>
      <c r="I2006" s="229">
        <v>0</v>
      </c>
      <c r="J2006" s="229">
        <v>1</v>
      </c>
      <c r="K2006" s="26">
        <v>0</v>
      </c>
      <c r="L2006" s="14">
        <v>0</v>
      </c>
      <c r="M2006" s="229">
        <v>0</v>
      </c>
      <c r="N2006" s="229">
        <v>0</v>
      </c>
      <c r="O2006" s="229">
        <v>0</v>
      </c>
      <c r="P2006" s="26">
        <v>0</v>
      </c>
      <c r="Q2006" s="14">
        <v>10</v>
      </c>
      <c r="R2006" s="229">
        <v>0</v>
      </c>
      <c r="S2006" s="229">
        <v>0</v>
      </c>
      <c r="T2006" s="229">
        <v>0</v>
      </c>
      <c r="U2006" s="229">
        <v>0</v>
      </c>
      <c r="V2006" s="229">
        <v>62</v>
      </c>
      <c r="W2006" s="229">
        <v>97</v>
      </c>
      <c r="X2006" s="229">
        <v>0</v>
      </c>
      <c r="Y2006" s="229">
        <v>0</v>
      </c>
      <c r="Z2006" s="229">
        <v>0</v>
      </c>
      <c r="AA2006" s="229">
        <v>0</v>
      </c>
      <c r="AB2006" s="229">
        <v>0</v>
      </c>
      <c r="AC2006" s="12">
        <v>1</v>
      </c>
      <c r="AD2006" s="14">
        <v>1</v>
      </c>
      <c r="AE2006" s="14">
        <v>0</v>
      </c>
      <c r="AF2006" s="26">
        <v>0</v>
      </c>
      <c r="AG2006" s="12">
        <v>132</v>
      </c>
      <c r="AH2006" s="14">
        <v>0</v>
      </c>
      <c r="AI2006" s="209"/>
      <c r="AJ2006" s="3"/>
      <c r="AK2006" s="3"/>
      <c r="AL2006" s="3"/>
      <c r="AM2006" s="3"/>
      <c r="AN2006" s="3"/>
      <c r="AO2006" s="40"/>
      <c r="AP2006" s="209"/>
      <c r="AQ2006" s="3"/>
      <c r="AR2006" s="40"/>
      <c r="AS2006" s="238"/>
    </row>
    <row r="2007" spans="1:45" s="229" customFormat="1">
      <c r="A2007" s="42" t="s">
        <v>324</v>
      </c>
      <c r="B2007" s="386">
        <v>18.020499999999998</v>
      </c>
      <c r="C2007" s="229" t="s">
        <v>772</v>
      </c>
      <c r="D2007" s="229" t="s">
        <v>622</v>
      </c>
      <c r="E2007" s="229" t="s">
        <v>2</v>
      </c>
      <c r="F2007" s="229">
        <v>249</v>
      </c>
      <c r="G2007" s="40">
        <f>F2007/168</f>
        <v>1.4821428571428572</v>
      </c>
      <c r="H2007" s="14">
        <v>0</v>
      </c>
      <c r="I2007" s="229">
        <v>0</v>
      </c>
      <c r="J2007" s="229">
        <v>1</v>
      </c>
      <c r="K2007" s="26">
        <v>0</v>
      </c>
      <c r="L2007" s="14">
        <v>0</v>
      </c>
      <c r="M2007" s="229">
        <v>0</v>
      </c>
      <c r="N2007" s="229">
        <v>0</v>
      </c>
      <c r="O2007" s="229">
        <v>0</v>
      </c>
      <c r="P2007" s="26">
        <v>0</v>
      </c>
      <c r="Q2007" s="14">
        <v>2</v>
      </c>
      <c r="R2007" s="229">
        <v>0</v>
      </c>
      <c r="S2007" s="229">
        <v>0</v>
      </c>
      <c r="T2007" s="229">
        <v>0</v>
      </c>
      <c r="U2007" s="229">
        <v>0</v>
      </c>
      <c r="V2007" s="229">
        <v>18</v>
      </c>
      <c r="W2007" s="229">
        <v>32</v>
      </c>
      <c r="X2007" s="229">
        <v>0</v>
      </c>
      <c r="Y2007" s="229">
        <v>0</v>
      </c>
      <c r="Z2007" s="229">
        <v>0</v>
      </c>
      <c r="AA2007" s="229">
        <v>0</v>
      </c>
      <c r="AB2007" s="229">
        <v>0</v>
      </c>
      <c r="AC2007" s="12">
        <v>2</v>
      </c>
      <c r="AD2007" s="14">
        <v>2</v>
      </c>
      <c r="AE2007" s="14">
        <v>144</v>
      </c>
      <c r="AF2007" s="26">
        <v>163</v>
      </c>
      <c r="AG2007" s="12">
        <v>132</v>
      </c>
      <c r="AH2007" s="14">
        <v>0</v>
      </c>
      <c r="AI2007" s="209"/>
      <c r="AJ2007" s="3"/>
      <c r="AK2007" s="3"/>
      <c r="AL2007" s="3"/>
      <c r="AM2007" s="3"/>
      <c r="AN2007" s="3"/>
      <c r="AO2007" s="40"/>
      <c r="AP2007" s="209"/>
      <c r="AQ2007" s="3"/>
      <c r="AR2007" s="40"/>
      <c r="AS2007" s="238"/>
    </row>
    <row r="2008" spans="1:45" s="229" customFormat="1">
      <c r="A2008" s="42" t="s">
        <v>324</v>
      </c>
      <c r="B2008" s="386">
        <v>18.020499999999998</v>
      </c>
      <c r="C2008" s="229" t="s">
        <v>772</v>
      </c>
      <c r="D2008" s="229" t="s">
        <v>620</v>
      </c>
      <c r="E2008" s="229" t="s">
        <v>0</v>
      </c>
      <c r="F2008" s="229">
        <v>169</v>
      </c>
      <c r="G2008" s="40">
        <f>F2008/157</f>
        <v>1.0764331210191083</v>
      </c>
      <c r="H2008" s="14">
        <v>0</v>
      </c>
      <c r="I2008" s="229">
        <v>0</v>
      </c>
      <c r="J2008" s="229">
        <v>1</v>
      </c>
      <c r="K2008" s="26">
        <v>0</v>
      </c>
      <c r="L2008" s="14">
        <v>0</v>
      </c>
      <c r="M2008" s="229">
        <v>0</v>
      </c>
      <c r="N2008" s="229">
        <v>0</v>
      </c>
      <c r="O2008" s="229">
        <v>0</v>
      </c>
      <c r="P2008" s="26">
        <v>0</v>
      </c>
      <c r="Q2008" s="14">
        <v>0</v>
      </c>
      <c r="R2008" s="229">
        <v>0</v>
      </c>
      <c r="S2008" s="229">
        <v>0</v>
      </c>
      <c r="T2008" s="229">
        <v>0</v>
      </c>
      <c r="U2008" s="229">
        <v>0</v>
      </c>
      <c r="V2008" s="229">
        <v>0</v>
      </c>
      <c r="W2008" s="229">
        <v>0</v>
      </c>
      <c r="X2008" s="229">
        <v>0</v>
      </c>
      <c r="Y2008" s="229">
        <v>0</v>
      </c>
      <c r="Z2008" s="229">
        <v>0</v>
      </c>
      <c r="AA2008" s="229">
        <v>0</v>
      </c>
      <c r="AB2008" s="229">
        <v>0</v>
      </c>
      <c r="AC2008" s="12">
        <v>1</v>
      </c>
      <c r="AD2008" s="14">
        <v>1</v>
      </c>
      <c r="AE2008" s="14">
        <v>0</v>
      </c>
      <c r="AF2008" s="26">
        <v>0</v>
      </c>
      <c r="AG2008" s="12">
        <v>157</v>
      </c>
      <c r="AH2008" s="14">
        <v>0</v>
      </c>
      <c r="AI2008" s="209"/>
      <c r="AJ2008" s="3"/>
      <c r="AK2008" s="3"/>
      <c r="AL2008" s="3"/>
      <c r="AM2008" s="3"/>
      <c r="AN2008" s="3"/>
      <c r="AO2008" s="40"/>
      <c r="AP2008" s="209"/>
      <c r="AQ2008" s="3"/>
      <c r="AR2008" s="40"/>
      <c r="AS2008" s="238"/>
    </row>
    <row r="2009" spans="1:45" s="229" customFormat="1">
      <c r="A2009" s="42" t="s">
        <v>324</v>
      </c>
      <c r="B2009" s="386">
        <v>18.020499999999998</v>
      </c>
      <c r="C2009" s="229" t="s">
        <v>772</v>
      </c>
      <c r="D2009" s="229" t="s">
        <v>620</v>
      </c>
      <c r="E2009" s="229" t="s">
        <v>1</v>
      </c>
      <c r="F2009" s="229">
        <v>412</v>
      </c>
      <c r="G2009" s="40">
        <f>F2009/312</f>
        <v>1.3205128205128205</v>
      </c>
      <c r="H2009" s="14">
        <v>0</v>
      </c>
      <c r="I2009" s="229">
        <v>0</v>
      </c>
      <c r="J2009" s="229">
        <v>1</v>
      </c>
      <c r="K2009" s="26">
        <v>1</v>
      </c>
      <c r="L2009" s="14">
        <v>0</v>
      </c>
      <c r="M2009" s="229">
        <v>0</v>
      </c>
      <c r="N2009" s="229">
        <v>0</v>
      </c>
      <c r="O2009" s="229">
        <v>0</v>
      </c>
      <c r="P2009" s="26">
        <v>0</v>
      </c>
      <c r="Q2009" s="14">
        <v>2</v>
      </c>
      <c r="R2009" s="229">
        <v>9</v>
      </c>
      <c r="S2009" s="229">
        <v>24</v>
      </c>
      <c r="T2009" s="229">
        <v>0</v>
      </c>
      <c r="U2009" s="229">
        <v>0</v>
      </c>
      <c r="V2009" s="229">
        <v>0</v>
      </c>
      <c r="W2009" s="229">
        <v>36</v>
      </c>
      <c r="X2009" s="229">
        <v>0</v>
      </c>
      <c r="Y2009" s="229">
        <v>0</v>
      </c>
      <c r="Z2009" s="229">
        <v>0</v>
      </c>
      <c r="AA2009" s="229">
        <v>0</v>
      </c>
      <c r="AB2009" s="229">
        <v>0</v>
      </c>
      <c r="AC2009" s="12">
        <v>2</v>
      </c>
      <c r="AD2009" s="14">
        <v>6</v>
      </c>
      <c r="AE2009" s="14">
        <v>78</v>
      </c>
      <c r="AF2009" s="26">
        <v>275</v>
      </c>
      <c r="AG2009" s="12">
        <v>157</v>
      </c>
      <c r="AH2009" s="14">
        <v>0</v>
      </c>
      <c r="AI2009" s="209"/>
      <c r="AJ2009" s="3"/>
      <c r="AK2009" s="3"/>
      <c r="AL2009" s="3"/>
      <c r="AM2009" s="3"/>
      <c r="AN2009" s="3"/>
      <c r="AO2009" s="40"/>
      <c r="AP2009" s="209"/>
      <c r="AQ2009" s="3"/>
      <c r="AR2009" s="40"/>
      <c r="AS2009" s="238"/>
    </row>
    <row r="2010" spans="1:45" s="229" customFormat="1">
      <c r="A2010" s="42" t="s">
        <v>324</v>
      </c>
      <c r="B2010" s="386">
        <v>18.020499999999998</v>
      </c>
      <c r="C2010" s="229" t="s">
        <v>772</v>
      </c>
      <c r="D2010" s="229" t="s">
        <v>629</v>
      </c>
      <c r="E2010" s="229" t="s">
        <v>0</v>
      </c>
      <c r="F2010" s="229">
        <v>224</v>
      </c>
      <c r="G2010" s="40">
        <f>F2010/145</f>
        <v>1.5448275862068965</v>
      </c>
      <c r="H2010" s="14">
        <v>0</v>
      </c>
      <c r="I2010" s="229">
        <v>0</v>
      </c>
      <c r="J2010" s="229">
        <v>1</v>
      </c>
      <c r="K2010" s="26">
        <v>1</v>
      </c>
      <c r="L2010" s="14">
        <v>0</v>
      </c>
      <c r="M2010" s="229">
        <v>0</v>
      </c>
      <c r="N2010" s="229">
        <v>1</v>
      </c>
      <c r="O2010" s="229">
        <v>0</v>
      </c>
      <c r="P2010" s="26">
        <v>1</v>
      </c>
      <c r="Q2010" s="14">
        <v>5</v>
      </c>
      <c r="R2010" s="229">
        <v>0</v>
      </c>
      <c r="S2010" s="229">
        <v>0</v>
      </c>
      <c r="T2010" s="229">
        <v>0</v>
      </c>
      <c r="U2010" s="229">
        <v>0</v>
      </c>
      <c r="V2010" s="229">
        <v>30</v>
      </c>
      <c r="W2010" s="229">
        <v>88</v>
      </c>
      <c r="X2010" s="229">
        <v>0</v>
      </c>
      <c r="Y2010" s="229">
        <v>0</v>
      </c>
      <c r="Z2010" s="229">
        <v>0</v>
      </c>
      <c r="AA2010" s="229">
        <v>0</v>
      </c>
      <c r="AB2010" s="229">
        <v>0</v>
      </c>
      <c r="AC2010" s="12">
        <v>2</v>
      </c>
      <c r="AD2010" s="14">
        <v>3</v>
      </c>
      <c r="AE2010" s="14">
        <v>37</v>
      </c>
      <c r="AF2010" s="26">
        <v>181</v>
      </c>
      <c r="AG2010" s="12">
        <v>100</v>
      </c>
      <c r="AH2010" s="14">
        <v>0</v>
      </c>
      <c r="AI2010" s="209"/>
      <c r="AJ2010" s="3"/>
      <c r="AK2010" s="3"/>
      <c r="AL2010" s="3"/>
      <c r="AM2010" s="3"/>
      <c r="AN2010" s="3"/>
      <c r="AO2010" s="40"/>
      <c r="AP2010" s="209"/>
      <c r="AQ2010" s="3"/>
      <c r="AR2010" s="40"/>
      <c r="AS2010" s="238"/>
    </row>
    <row r="2011" spans="1:45" s="229" customFormat="1">
      <c r="A2011" s="42" t="s">
        <v>324</v>
      </c>
      <c r="B2011" s="386">
        <v>18.020499999999998</v>
      </c>
      <c r="C2011" s="229" t="s">
        <v>772</v>
      </c>
      <c r="D2011" s="229" t="s">
        <v>629</v>
      </c>
      <c r="E2011" s="229" t="s">
        <v>1</v>
      </c>
      <c r="F2011" s="229">
        <v>269</v>
      </c>
      <c r="G2011" s="40">
        <f>F2011/166</f>
        <v>1.6204819277108433</v>
      </c>
      <c r="H2011" s="14">
        <v>0</v>
      </c>
      <c r="I2011" s="229">
        <v>0</v>
      </c>
      <c r="J2011" s="229">
        <v>1</v>
      </c>
      <c r="K2011" s="26">
        <v>1</v>
      </c>
      <c r="L2011" s="14">
        <v>0</v>
      </c>
      <c r="M2011" s="229">
        <v>0</v>
      </c>
      <c r="N2011" s="229">
        <v>1</v>
      </c>
      <c r="O2011" s="229">
        <v>0</v>
      </c>
      <c r="P2011" s="26">
        <v>1</v>
      </c>
      <c r="Q2011" s="14">
        <v>1</v>
      </c>
      <c r="R2011" s="229">
        <v>0</v>
      </c>
      <c r="S2011" s="229">
        <v>0</v>
      </c>
      <c r="T2011" s="229">
        <v>0</v>
      </c>
      <c r="U2011" s="229">
        <v>0</v>
      </c>
      <c r="V2011" s="229">
        <v>0</v>
      </c>
      <c r="W2011" s="229">
        <v>15</v>
      </c>
      <c r="X2011" s="229">
        <v>0</v>
      </c>
      <c r="Y2011" s="229">
        <v>0</v>
      </c>
      <c r="Z2011" s="229">
        <v>0</v>
      </c>
      <c r="AA2011" s="229">
        <v>0</v>
      </c>
      <c r="AB2011" s="229">
        <v>0</v>
      </c>
      <c r="AC2011" s="12">
        <v>2</v>
      </c>
      <c r="AD2011" s="14">
        <v>3</v>
      </c>
      <c r="AE2011" s="14">
        <v>86</v>
      </c>
      <c r="AF2011" s="26">
        <v>149</v>
      </c>
      <c r="AG2011" s="12">
        <v>100</v>
      </c>
      <c r="AH2011" s="14">
        <v>0</v>
      </c>
      <c r="AI2011" s="209"/>
      <c r="AJ2011" s="3"/>
      <c r="AK2011" s="3"/>
      <c r="AL2011" s="3"/>
      <c r="AM2011" s="3"/>
      <c r="AN2011" s="3"/>
      <c r="AO2011" s="40"/>
      <c r="AP2011" s="209"/>
      <c r="AQ2011" s="3"/>
      <c r="AR2011" s="40"/>
      <c r="AS2011" s="238"/>
    </row>
    <row r="2012" spans="1:45" s="229" customFormat="1">
      <c r="A2012" s="42" t="s">
        <v>324</v>
      </c>
      <c r="B2012" s="386">
        <v>18.020499999999998</v>
      </c>
      <c r="C2012" s="229" t="s">
        <v>772</v>
      </c>
      <c r="D2012" s="229" t="s">
        <v>634</v>
      </c>
      <c r="F2012" s="229">
        <v>590</v>
      </c>
      <c r="G2012" s="40">
        <f>F2012/263</f>
        <v>2.2433460076045626</v>
      </c>
      <c r="H2012" s="14">
        <v>0</v>
      </c>
      <c r="I2012" s="229">
        <v>0</v>
      </c>
      <c r="J2012" s="229">
        <v>0</v>
      </c>
      <c r="K2012" s="26">
        <v>1</v>
      </c>
      <c r="L2012" s="14">
        <v>0</v>
      </c>
      <c r="M2012" s="229">
        <v>0</v>
      </c>
      <c r="N2012" s="229">
        <v>1</v>
      </c>
      <c r="O2012" s="229">
        <v>0</v>
      </c>
      <c r="P2012" s="26">
        <v>1</v>
      </c>
      <c r="Q2012" s="14">
        <v>2</v>
      </c>
      <c r="R2012" s="229">
        <v>0</v>
      </c>
      <c r="S2012" s="229">
        <v>0</v>
      </c>
      <c r="T2012" s="229">
        <v>0</v>
      </c>
      <c r="U2012" s="229">
        <v>0</v>
      </c>
      <c r="V2012" s="229">
        <v>0</v>
      </c>
      <c r="W2012" s="229">
        <v>0</v>
      </c>
      <c r="X2012" s="229">
        <v>0</v>
      </c>
      <c r="Y2012" s="229">
        <v>0</v>
      </c>
      <c r="Z2012" s="229">
        <v>0</v>
      </c>
      <c r="AA2012" s="229">
        <v>63</v>
      </c>
      <c r="AB2012" s="229">
        <v>0</v>
      </c>
      <c r="AC2012" s="12">
        <v>2</v>
      </c>
      <c r="AD2012" s="14">
        <v>2</v>
      </c>
      <c r="AE2012" s="14">
        <v>250</v>
      </c>
      <c r="AF2012" s="26">
        <v>400</v>
      </c>
      <c r="AG2012" s="12">
        <v>137</v>
      </c>
      <c r="AH2012" s="14">
        <v>0</v>
      </c>
      <c r="AI2012" s="209">
        <v>87.37534375968059</v>
      </c>
      <c r="AJ2012" s="3">
        <v>86.924649203025865</v>
      </c>
      <c r="AK2012" s="3"/>
      <c r="AL2012" s="3"/>
      <c r="AM2012" s="3"/>
      <c r="AN2012" s="3"/>
      <c r="AO2012" s="40"/>
      <c r="AP2012" s="209">
        <v>86.236656328928774</v>
      </c>
      <c r="AQ2012" s="3">
        <v>86.762829162193455</v>
      </c>
      <c r="AR2012" s="40"/>
      <c r="AS2012" s="238"/>
    </row>
    <row r="2013" spans="1:45" s="229" customFormat="1">
      <c r="A2013" s="42" t="s">
        <v>324</v>
      </c>
      <c r="B2013" s="386">
        <v>18.020499999999998</v>
      </c>
      <c r="C2013" s="229" t="s">
        <v>772</v>
      </c>
      <c r="D2013" s="229" t="s">
        <v>625</v>
      </c>
      <c r="F2013" s="229">
        <v>589</v>
      </c>
      <c r="G2013" s="40">
        <f>F2013/557</f>
        <v>1.0574506283662477</v>
      </c>
      <c r="H2013" s="14">
        <v>0</v>
      </c>
      <c r="I2013" s="229">
        <v>0</v>
      </c>
      <c r="J2013" s="229">
        <v>1</v>
      </c>
      <c r="K2013" s="26">
        <v>0</v>
      </c>
      <c r="L2013" s="14">
        <v>0</v>
      </c>
      <c r="M2013" s="229">
        <v>0</v>
      </c>
      <c r="N2013" s="229">
        <v>0</v>
      </c>
      <c r="O2013" s="229">
        <v>1</v>
      </c>
      <c r="P2013" s="26">
        <v>1</v>
      </c>
      <c r="Q2013" s="14">
        <v>30</v>
      </c>
      <c r="R2013" s="229">
        <v>0</v>
      </c>
      <c r="S2013" s="229">
        <v>0</v>
      </c>
      <c r="T2013" s="229">
        <v>0</v>
      </c>
      <c r="U2013" s="229">
        <v>0</v>
      </c>
      <c r="V2013" s="229">
        <v>16</v>
      </c>
      <c r="W2013" s="229">
        <v>70</v>
      </c>
      <c r="X2013" s="229">
        <v>0</v>
      </c>
      <c r="Y2013" s="229">
        <v>0</v>
      </c>
      <c r="Z2013" s="229">
        <v>0</v>
      </c>
      <c r="AA2013" s="229">
        <v>290</v>
      </c>
      <c r="AB2013" s="229">
        <v>0</v>
      </c>
      <c r="AC2013" s="12">
        <v>1</v>
      </c>
      <c r="AD2013" s="14">
        <v>1</v>
      </c>
      <c r="AE2013" s="14">
        <v>0</v>
      </c>
      <c r="AF2013" s="26">
        <v>0</v>
      </c>
      <c r="AG2013" s="12">
        <v>121</v>
      </c>
      <c r="AH2013" s="14">
        <v>0</v>
      </c>
      <c r="AI2013" s="209"/>
      <c r="AJ2013" s="3"/>
      <c r="AK2013" s="3"/>
      <c r="AL2013" s="3"/>
      <c r="AM2013" s="3"/>
      <c r="AN2013" s="3"/>
      <c r="AO2013" s="40"/>
      <c r="AP2013" s="209"/>
      <c r="AQ2013" s="3"/>
      <c r="AR2013" s="40"/>
      <c r="AS2013" s="238"/>
    </row>
    <row r="2014" spans="1:45" s="229" customFormat="1">
      <c r="A2014" s="42" t="s">
        <v>324</v>
      </c>
      <c r="B2014" s="386">
        <v>18.020499999999998</v>
      </c>
      <c r="C2014" s="229" t="s">
        <v>772</v>
      </c>
      <c r="D2014" s="229" t="s">
        <v>630</v>
      </c>
      <c r="E2014" s="229" t="s">
        <v>0</v>
      </c>
      <c r="F2014" s="229">
        <v>343</v>
      </c>
      <c r="G2014" s="40">
        <f>F2014/171</f>
        <v>2.0058479532163744</v>
      </c>
      <c r="H2014" s="14">
        <v>0</v>
      </c>
      <c r="I2014" s="229">
        <v>0</v>
      </c>
      <c r="J2014" s="229">
        <v>1</v>
      </c>
      <c r="K2014" s="26">
        <v>0</v>
      </c>
      <c r="L2014" s="14">
        <v>0</v>
      </c>
      <c r="M2014" s="229">
        <v>0</v>
      </c>
      <c r="N2014" s="229">
        <v>0</v>
      </c>
      <c r="O2014" s="229">
        <v>0</v>
      </c>
      <c r="P2014" s="26">
        <v>0</v>
      </c>
      <c r="Q2014" s="14">
        <v>2</v>
      </c>
      <c r="R2014" s="229">
        <v>0</v>
      </c>
      <c r="S2014" s="229">
        <v>29</v>
      </c>
      <c r="T2014" s="229">
        <v>0</v>
      </c>
      <c r="U2014" s="229">
        <v>0</v>
      </c>
      <c r="V2014" s="229">
        <v>0</v>
      </c>
      <c r="W2014" s="229">
        <v>0</v>
      </c>
      <c r="X2014" s="229">
        <v>0</v>
      </c>
      <c r="Y2014" s="229">
        <v>0</v>
      </c>
      <c r="Z2014" s="229">
        <v>0</v>
      </c>
      <c r="AA2014" s="229">
        <v>0</v>
      </c>
      <c r="AB2014" s="229">
        <v>0</v>
      </c>
      <c r="AC2014" s="12">
        <v>1</v>
      </c>
      <c r="AD2014" s="14">
        <v>1</v>
      </c>
      <c r="AE2014" s="14">
        <v>0</v>
      </c>
      <c r="AF2014" s="26">
        <v>0</v>
      </c>
      <c r="AG2014" s="12">
        <v>130</v>
      </c>
      <c r="AH2014" s="14">
        <v>1</v>
      </c>
      <c r="AI2014" s="209"/>
      <c r="AJ2014" s="3"/>
      <c r="AK2014" s="3"/>
      <c r="AL2014" s="3"/>
      <c r="AM2014" s="3"/>
      <c r="AN2014" s="3"/>
      <c r="AO2014" s="40"/>
      <c r="AP2014" s="209"/>
      <c r="AQ2014" s="3"/>
      <c r="AR2014" s="40"/>
      <c r="AS2014" s="238"/>
    </row>
    <row r="2015" spans="1:45" s="229" customFormat="1">
      <c r="A2015" s="42" t="s">
        <v>324</v>
      </c>
      <c r="B2015" s="386">
        <v>18.020499999999998</v>
      </c>
      <c r="C2015" s="229" t="s">
        <v>772</v>
      </c>
      <c r="D2015" s="229" t="s">
        <v>630</v>
      </c>
      <c r="E2015" s="229" t="s">
        <v>1</v>
      </c>
      <c r="F2015" s="229">
        <v>200</v>
      </c>
      <c r="G2015" s="40">
        <f>F2015/193</f>
        <v>1.0362694300518134</v>
      </c>
      <c r="H2015" s="14">
        <v>1</v>
      </c>
      <c r="I2015" s="229">
        <v>0</v>
      </c>
      <c r="J2015" s="229">
        <v>0</v>
      </c>
      <c r="K2015" s="26">
        <v>0</v>
      </c>
      <c r="L2015" s="14">
        <v>0</v>
      </c>
      <c r="M2015" s="229">
        <v>0</v>
      </c>
      <c r="N2015" s="229">
        <v>0</v>
      </c>
      <c r="O2015" s="229">
        <v>0</v>
      </c>
      <c r="P2015" s="26">
        <v>0</v>
      </c>
      <c r="Q2015" s="14">
        <v>1</v>
      </c>
      <c r="R2015" s="229">
        <v>0</v>
      </c>
      <c r="S2015" s="229">
        <v>16</v>
      </c>
      <c r="T2015" s="229">
        <v>0</v>
      </c>
      <c r="U2015" s="229">
        <v>0</v>
      </c>
      <c r="V2015" s="229">
        <v>0</v>
      </c>
      <c r="W2015" s="229">
        <v>0</v>
      </c>
      <c r="X2015" s="229">
        <v>0</v>
      </c>
      <c r="Y2015" s="229">
        <v>0</v>
      </c>
      <c r="Z2015" s="229">
        <v>0</v>
      </c>
      <c r="AA2015" s="229">
        <v>0</v>
      </c>
      <c r="AB2015" s="229">
        <v>0</v>
      </c>
      <c r="AC2015" s="12">
        <v>1</v>
      </c>
      <c r="AD2015" s="14">
        <v>1</v>
      </c>
      <c r="AE2015" s="14">
        <v>0</v>
      </c>
      <c r="AF2015" s="26">
        <v>0</v>
      </c>
      <c r="AG2015" s="12">
        <v>130</v>
      </c>
      <c r="AH2015" s="14">
        <v>0</v>
      </c>
      <c r="AI2015" s="209"/>
      <c r="AJ2015" s="3"/>
      <c r="AK2015" s="3"/>
      <c r="AL2015" s="3"/>
      <c r="AM2015" s="3"/>
      <c r="AN2015" s="3"/>
      <c r="AO2015" s="40"/>
      <c r="AP2015" s="209"/>
      <c r="AQ2015" s="3"/>
      <c r="AR2015" s="40"/>
      <c r="AS2015" s="238"/>
    </row>
    <row r="2016" spans="1:45" s="229" customFormat="1">
      <c r="A2016" s="42" t="s">
        <v>324</v>
      </c>
      <c r="B2016" s="386">
        <v>18.020499999999998</v>
      </c>
      <c r="C2016" s="229" t="s">
        <v>772</v>
      </c>
      <c r="D2016" s="229" t="s">
        <v>630</v>
      </c>
      <c r="E2016" s="229" t="s">
        <v>2</v>
      </c>
      <c r="F2016" s="229">
        <v>391</v>
      </c>
      <c r="G2016" s="40">
        <f>F2016/152</f>
        <v>2.5723684210526314</v>
      </c>
      <c r="H2016" s="14">
        <v>0</v>
      </c>
      <c r="I2016" s="229">
        <v>0</v>
      </c>
      <c r="J2016" s="229">
        <v>1</v>
      </c>
      <c r="K2016" s="26">
        <v>1</v>
      </c>
      <c r="L2016" s="14">
        <v>0</v>
      </c>
      <c r="M2016" s="229">
        <v>0</v>
      </c>
      <c r="N2016" s="229">
        <v>0</v>
      </c>
      <c r="O2016" s="229">
        <v>0</v>
      </c>
      <c r="P2016" s="26">
        <v>0</v>
      </c>
      <c r="Q2016" s="14">
        <v>5</v>
      </c>
      <c r="R2016" s="229">
        <v>0</v>
      </c>
      <c r="S2016" s="229">
        <v>0</v>
      </c>
      <c r="T2016" s="229">
        <v>0</v>
      </c>
      <c r="U2016" s="229">
        <v>0</v>
      </c>
      <c r="V2016" s="229">
        <v>12</v>
      </c>
      <c r="W2016" s="229">
        <v>32</v>
      </c>
      <c r="X2016" s="229">
        <v>0</v>
      </c>
      <c r="Y2016" s="229">
        <v>0</v>
      </c>
      <c r="Z2016" s="229">
        <v>0</v>
      </c>
      <c r="AA2016" s="229">
        <v>0</v>
      </c>
      <c r="AB2016" s="229">
        <v>0</v>
      </c>
      <c r="AC2016" s="12">
        <v>2</v>
      </c>
      <c r="AD2016" s="14">
        <v>6</v>
      </c>
      <c r="AE2016" s="14">
        <v>52</v>
      </c>
      <c r="AF2016" s="26">
        <v>174</v>
      </c>
      <c r="AG2016" s="12">
        <v>130</v>
      </c>
      <c r="AH2016" s="14">
        <v>1</v>
      </c>
      <c r="AI2016" s="209"/>
      <c r="AJ2016" s="3"/>
      <c r="AK2016" s="3"/>
      <c r="AL2016" s="3"/>
      <c r="AM2016" s="3"/>
      <c r="AN2016" s="3"/>
      <c r="AO2016" s="40"/>
      <c r="AP2016" s="209"/>
      <c r="AQ2016" s="3"/>
      <c r="AR2016" s="40"/>
      <c r="AS2016" s="238"/>
    </row>
    <row r="2017" spans="1:45" s="229" customFormat="1">
      <c r="A2017" s="42" t="s">
        <v>324</v>
      </c>
      <c r="B2017" s="386">
        <v>18.020499999999998</v>
      </c>
      <c r="C2017" s="229" t="s">
        <v>772</v>
      </c>
      <c r="D2017" s="229" t="s">
        <v>630</v>
      </c>
      <c r="E2017" s="229" t="s">
        <v>3</v>
      </c>
      <c r="F2017" s="229">
        <v>274</v>
      </c>
      <c r="G2017" s="40">
        <f>F2017/181</f>
        <v>1.5138121546961325</v>
      </c>
      <c r="H2017" s="14">
        <v>0</v>
      </c>
      <c r="I2017" s="229">
        <v>0</v>
      </c>
      <c r="J2017" s="229">
        <v>1</v>
      </c>
      <c r="K2017" s="26">
        <v>0</v>
      </c>
      <c r="L2017" s="14">
        <v>0</v>
      </c>
      <c r="M2017" s="229">
        <v>0</v>
      </c>
      <c r="N2017" s="229">
        <v>0</v>
      </c>
      <c r="O2017" s="229">
        <v>0</v>
      </c>
      <c r="P2017" s="26">
        <v>0</v>
      </c>
      <c r="Q2017" s="14">
        <v>0</v>
      </c>
      <c r="R2017" s="229">
        <v>0</v>
      </c>
      <c r="S2017" s="229">
        <v>0</v>
      </c>
      <c r="T2017" s="229">
        <v>0</v>
      </c>
      <c r="U2017" s="229">
        <v>0</v>
      </c>
      <c r="V2017" s="229">
        <v>0</v>
      </c>
      <c r="W2017" s="229">
        <v>0</v>
      </c>
      <c r="X2017" s="229">
        <v>0</v>
      </c>
      <c r="Y2017" s="229">
        <v>0</v>
      </c>
      <c r="Z2017" s="229">
        <v>0</v>
      </c>
      <c r="AA2017" s="229">
        <v>0</v>
      </c>
      <c r="AB2017" s="229">
        <v>0</v>
      </c>
      <c r="AC2017" s="12">
        <v>1</v>
      </c>
      <c r="AD2017" s="14">
        <v>1</v>
      </c>
      <c r="AE2017" s="14">
        <v>0</v>
      </c>
      <c r="AF2017" s="26">
        <v>0</v>
      </c>
      <c r="AG2017" s="12">
        <v>130</v>
      </c>
      <c r="AH2017" s="14">
        <v>0</v>
      </c>
      <c r="AI2017" s="209"/>
      <c r="AJ2017" s="3"/>
      <c r="AK2017" s="3"/>
      <c r="AL2017" s="3"/>
      <c r="AM2017" s="3"/>
      <c r="AN2017" s="3"/>
      <c r="AO2017" s="40"/>
      <c r="AP2017" s="209"/>
      <c r="AQ2017" s="3"/>
      <c r="AR2017" s="40"/>
      <c r="AS2017" s="238"/>
    </row>
    <row r="2018" spans="1:45" s="229" customFormat="1">
      <c r="A2018" s="42" t="s">
        <v>324</v>
      </c>
      <c r="B2018" s="386">
        <v>18.020499999999998</v>
      </c>
      <c r="C2018" s="229" t="s">
        <v>772</v>
      </c>
      <c r="D2018" s="229" t="s">
        <v>637</v>
      </c>
      <c r="F2018" s="229">
        <v>510</v>
      </c>
      <c r="G2018" s="40">
        <f>F2018/251</f>
        <v>2.0318725099601593</v>
      </c>
      <c r="H2018" s="14">
        <v>0</v>
      </c>
      <c r="I2018" s="229">
        <v>0</v>
      </c>
      <c r="J2018" s="229">
        <v>1</v>
      </c>
      <c r="K2018" s="26">
        <v>1</v>
      </c>
      <c r="L2018" s="14">
        <v>0</v>
      </c>
      <c r="M2018" s="229">
        <v>0</v>
      </c>
      <c r="N2018" s="229">
        <v>1</v>
      </c>
      <c r="O2018" s="229">
        <v>0</v>
      </c>
      <c r="P2018" s="26">
        <v>1</v>
      </c>
      <c r="Q2018" s="14">
        <v>0</v>
      </c>
      <c r="R2018" s="229">
        <v>0</v>
      </c>
      <c r="S2018" s="229">
        <v>0</v>
      </c>
      <c r="T2018" s="229">
        <v>0</v>
      </c>
      <c r="U2018" s="229">
        <v>0</v>
      </c>
      <c r="V2018" s="229">
        <v>0</v>
      </c>
      <c r="W2018" s="229">
        <v>0</v>
      </c>
      <c r="X2018" s="229">
        <v>0</v>
      </c>
      <c r="Y2018" s="229">
        <v>0</v>
      </c>
      <c r="Z2018" s="229">
        <v>0</v>
      </c>
      <c r="AA2018" s="229">
        <v>0</v>
      </c>
      <c r="AB2018" s="229">
        <v>0</v>
      </c>
      <c r="AC2018" s="12">
        <v>2</v>
      </c>
      <c r="AD2018" s="14">
        <v>2</v>
      </c>
      <c r="AE2018" s="14">
        <v>151</v>
      </c>
      <c r="AF2018" s="26">
        <v>473</v>
      </c>
      <c r="AG2018" s="12">
        <v>95</v>
      </c>
      <c r="AH2018" s="14">
        <v>0</v>
      </c>
      <c r="AI2018" s="209"/>
      <c r="AJ2018" s="3"/>
      <c r="AK2018" s="3"/>
      <c r="AL2018" s="3"/>
      <c r="AM2018" s="3"/>
      <c r="AN2018" s="3"/>
      <c r="AO2018" s="40"/>
      <c r="AP2018" s="209"/>
      <c r="AQ2018" s="3"/>
      <c r="AR2018" s="40"/>
      <c r="AS2018" s="238"/>
    </row>
    <row r="2019" spans="1:45" s="229" customFormat="1">
      <c r="A2019" s="42" t="s">
        <v>324</v>
      </c>
      <c r="B2019" s="386">
        <v>18.020499999999998</v>
      </c>
      <c r="C2019" s="229" t="s">
        <v>772</v>
      </c>
      <c r="D2019" s="229" t="s">
        <v>638</v>
      </c>
      <c r="E2019" s="229" t="s">
        <v>0</v>
      </c>
      <c r="F2019" s="229">
        <v>691</v>
      </c>
      <c r="G2019" s="40">
        <f>F2019/264</f>
        <v>2.6174242424242422</v>
      </c>
      <c r="H2019" s="14">
        <v>0</v>
      </c>
      <c r="I2019" s="229">
        <v>0</v>
      </c>
      <c r="J2019" s="229">
        <v>0</v>
      </c>
      <c r="K2019" s="26">
        <v>1</v>
      </c>
      <c r="L2019" s="14">
        <v>0</v>
      </c>
      <c r="M2019" s="229">
        <v>0</v>
      </c>
      <c r="N2019" s="229">
        <v>1</v>
      </c>
      <c r="O2019" s="229">
        <v>0</v>
      </c>
      <c r="P2019" s="26">
        <v>1</v>
      </c>
      <c r="Q2019" s="14">
        <v>10</v>
      </c>
      <c r="R2019" s="229">
        <v>0</v>
      </c>
      <c r="S2019" s="229">
        <v>0</v>
      </c>
      <c r="T2019" s="229">
        <v>0</v>
      </c>
      <c r="U2019" s="229">
        <v>0</v>
      </c>
      <c r="V2019" s="229">
        <v>67</v>
      </c>
      <c r="W2019" s="229">
        <v>124</v>
      </c>
      <c r="X2019" s="229">
        <v>0</v>
      </c>
      <c r="Y2019" s="229">
        <v>0</v>
      </c>
      <c r="Z2019" s="229">
        <v>0</v>
      </c>
      <c r="AA2019" s="229">
        <v>0</v>
      </c>
      <c r="AB2019" s="229">
        <v>0</v>
      </c>
      <c r="AC2019" s="12">
        <v>1</v>
      </c>
      <c r="AD2019" s="14">
        <v>1</v>
      </c>
      <c r="AE2019" s="14">
        <v>0</v>
      </c>
      <c r="AF2019" s="26">
        <v>0</v>
      </c>
      <c r="AG2019" s="12">
        <v>151</v>
      </c>
      <c r="AH2019" s="14">
        <v>0</v>
      </c>
      <c r="AI2019" s="209"/>
      <c r="AJ2019" s="3"/>
      <c r="AK2019" s="3"/>
      <c r="AL2019" s="3"/>
      <c r="AM2019" s="3"/>
      <c r="AN2019" s="3"/>
      <c r="AO2019" s="40"/>
      <c r="AP2019" s="209"/>
      <c r="AQ2019" s="3"/>
      <c r="AR2019" s="40"/>
      <c r="AS2019" s="238"/>
    </row>
    <row r="2020" spans="1:45" s="229" customFormat="1">
      <c r="A2020" s="42" t="s">
        <v>324</v>
      </c>
      <c r="B2020" s="386">
        <v>18.020499999999998</v>
      </c>
      <c r="C2020" s="229" t="s">
        <v>772</v>
      </c>
      <c r="D2020" s="229" t="s">
        <v>638</v>
      </c>
      <c r="E2020" s="229" t="s">
        <v>1</v>
      </c>
      <c r="F2020" s="229">
        <v>425</v>
      </c>
      <c r="G2020" s="40">
        <f>F2020/248</f>
        <v>1.7137096774193548</v>
      </c>
      <c r="H2020" s="14">
        <v>0</v>
      </c>
      <c r="I2020" s="229">
        <v>0</v>
      </c>
      <c r="J2020" s="229">
        <v>0</v>
      </c>
      <c r="K2020" s="26">
        <v>1</v>
      </c>
      <c r="L2020" s="14">
        <v>0</v>
      </c>
      <c r="M2020" s="229">
        <v>0</v>
      </c>
      <c r="N2020" s="229">
        <v>1</v>
      </c>
      <c r="O2020" s="229">
        <v>0</v>
      </c>
      <c r="P2020" s="26">
        <v>1</v>
      </c>
      <c r="Q2020" s="14">
        <v>0</v>
      </c>
      <c r="R2020" s="229">
        <v>0</v>
      </c>
      <c r="S2020" s="229">
        <v>0</v>
      </c>
      <c r="T2020" s="229">
        <v>0</v>
      </c>
      <c r="U2020" s="229">
        <v>0</v>
      </c>
      <c r="V2020" s="229">
        <v>0</v>
      </c>
      <c r="W2020" s="229">
        <v>0</v>
      </c>
      <c r="X2020" s="229">
        <v>0</v>
      </c>
      <c r="Y2020" s="229">
        <v>0</v>
      </c>
      <c r="Z2020" s="229">
        <v>0</v>
      </c>
      <c r="AA2020" s="229">
        <v>0</v>
      </c>
      <c r="AB2020" s="229">
        <v>0</v>
      </c>
      <c r="AC2020" s="12">
        <v>2</v>
      </c>
      <c r="AD2020" s="14">
        <v>4</v>
      </c>
      <c r="AE2020" s="14">
        <v>143</v>
      </c>
      <c r="AF2020" s="26">
        <v>258</v>
      </c>
      <c r="AG2020" s="12">
        <v>151</v>
      </c>
      <c r="AH2020" s="14">
        <v>0</v>
      </c>
      <c r="AI2020" s="209"/>
      <c r="AJ2020" s="3"/>
      <c r="AK2020" s="3"/>
      <c r="AL2020" s="3"/>
      <c r="AM2020" s="3"/>
      <c r="AN2020" s="3"/>
      <c r="AO2020" s="40"/>
      <c r="AP2020" s="209"/>
      <c r="AQ2020" s="3"/>
      <c r="AR2020" s="40"/>
      <c r="AS2020" s="238"/>
    </row>
    <row r="2021" spans="1:45" s="229" customFormat="1">
      <c r="A2021" s="42" t="s">
        <v>324</v>
      </c>
      <c r="B2021" s="386">
        <v>18.020499999999998</v>
      </c>
      <c r="C2021" s="229" t="s">
        <v>772</v>
      </c>
      <c r="D2021" s="229" t="s">
        <v>639</v>
      </c>
      <c r="E2021" s="229" t="s">
        <v>0</v>
      </c>
      <c r="F2021" s="229">
        <v>202</v>
      </c>
      <c r="G2021" s="40">
        <f>F2021/172</f>
        <v>1.1744186046511629</v>
      </c>
      <c r="H2021" s="14">
        <v>0</v>
      </c>
      <c r="I2021" s="229">
        <v>0</v>
      </c>
      <c r="J2021" s="229">
        <v>0</v>
      </c>
      <c r="K2021" s="26">
        <v>1</v>
      </c>
      <c r="L2021" s="14">
        <v>0</v>
      </c>
      <c r="M2021" s="229">
        <v>0</v>
      </c>
      <c r="N2021" s="229">
        <v>0</v>
      </c>
      <c r="O2021" s="229">
        <v>0</v>
      </c>
      <c r="P2021" s="26">
        <v>0</v>
      </c>
      <c r="Q2021" s="14">
        <v>2</v>
      </c>
      <c r="R2021" s="229">
        <v>0</v>
      </c>
      <c r="S2021" s="229">
        <v>23</v>
      </c>
      <c r="T2021" s="229">
        <v>0</v>
      </c>
      <c r="U2021" s="229">
        <v>0</v>
      </c>
      <c r="V2021" s="229">
        <v>0</v>
      </c>
      <c r="W2021" s="229">
        <v>0</v>
      </c>
      <c r="X2021" s="229">
        <v>0</v>
      </c>
      <c r="Y2021" s="229">
        <v>0</v>
      </c>
      <c r="Z2021" s="229">
        <v>0</v>
      </c>
      <c r="AA2021" s="229">
        <v>0</v>
      </c>
      <c r="AB2021" s="229">
        <v>0</v>
      </c>
      <c r="AC2021" s="12">
        <v>1</v>
      </c>
      <c r="AD2021" s="14">
        <v>1</v>
      </c>
      <c r="AE2021" s="14">
        <v>0</v>
      </c>
      <c r="AF2021" s="26">
        <v>0</v>
      </c>
      <c r="AG2021" s="12">
        <v>119</v>
      </c>
      <c r="AH2021" s="14">
        <v>0</v>
      </c>
      <c r="AI2021" s="209"/>
      <c r="AJ2021" s="3"/>
      <c r="AK2021" s="3"/>
      <c r="AL2021" s="3"/>
      <c r="AM2021" s="3"/>
      <c r="AN2021" s="3"/>
      <c r="AO2021" s="40"/>
      <c r="AP2021" s="209"/>
      <c r="AQ2021" s="3"/>
      <c r="AR2021" s="40"/>
      <c r="AS2021" s="238"/>
    </row>
    <row r="2022" spans="1:45" s="229" customFormat="1">
      <c r="A2022" s="42" t="s">
        <v>324</v>
      </c>
      <c r="B2022" s="386">
        <v>18.020499999999998</v>
      </c>
      <c r="C2022" s="229" t="s">
        <v>772</v>
      </c>
      <c r="D2022" s="229" t="s">
        <v>639</v>
      </c>
      <c r="E2022" s="229" t="s">
        <v>1</v>
      </c>
      <c r="F2022" s="229">
        <v>231</v>
      </c>
      <c r="G2022" s="40">
        <f>F2022/166</f>
        <v>1.3915662650602409</v>
      </c>
      <c r="H2022" s="14">
        <v>0</v>
      </c>
      <c r="I2022" s="229">
        <v>0</v>
      </c>
      <c r="J2022" s="229">
        <v>1</v>
      </c>
      <c r="K2022" s="26">
        <v>0</v>
      </c>
      <c r="L2022" s="14">
        <v>0</v>
      </c>
      <c r="M2022" s="229">
        <v>0</v>
      </c>
      <c r="N2022" s="229">
        <v>0</v>
      </c>
      <c r="O2022" s="229">
        <v>0</v>
      </c>
      <c r="P2022" s="26">
        <v>0</v>
      </c>
      <c r="Q2022" s="14">
        <v>5</v>
      </c>
      <c r="R2022" s="229">
        <v>0</v>
      </c>
      <c r="S2022" s="229">
        <v>0</v>
      </c>
      <c r="T2022" s="229">
        <v>0</v>
      </c>
      <c r="U2022" s="229">
        <v>0</v>
      </c>
      <c r="V2022" s="229">
        <v>16</v>
      </c>
      <c r="W2022" s="229">
        <v>33</v>
      </c>
      <c r="X2022" s="229">
        <v>0</v>
      </c>
      <c r="Y2022" s="229">
        <v>0</v>
      </c>
      <c r="Z2022" s="229">
        <v>0</v>
      </c>
      <c r="AA2022" s="229">
        <v>0</v>
      </c>
      <c r="AB2022" s="229">
        <v>0</v>
      </c>
      <c r="AC2022" s="12">
        <v>1</v>
      </c>
      <c r="AD2022" s="14">
        <v>1</v>
      </c>
      <c r="AE2022" s="14">
        <v>0</v>
      </c>
      <c r="AF2022" s="26">
        <v>0</v>
      </c>
      <c r="AG2022" s="12">
        <v>119</v>
      </c>
      <c r="AH2022" s="14">
        <v>0</v>
      </c>
      <c r="AI2022" s="209"/>
      <c r="AJ2022" s="3"/>
      <c r="AK2022" s="3"/>
      <c r="AL2022" s="3"/>
      <c r="AM2022" s="3"/>
      <c r="AN2022" s="3"/>
      <c r="AO2022" s="40"/>
      <c r="AP2022" s="209"/>
      <c r="AQ2022" s="3"/>
      <c r="AR2022" s="40"/>
      <c r="AS2022" s="238"/>
    </row>
    <row r="2023" spans="1:45" s="229" customFormat="1">
      <c r="A2023" s="42" t="s">
        <v>324</v>
      </c>
      <c r="B2023" s="386">
        <v>18.020499999999998</v>
      </c>
      <c r="C2023" s="229" t="s">
        <v>772</v>
      </c>
      <c r="D2023" s="229" t="s">
        <v>639</v>
      </c>
      <c r="E2023" s="229" t="s">
        <v>2</v>
      </c>
      <c r="F2023" s="229">
        <v>323</v>
      </c>
      <c r="G2023" s="40">
        <f>F2023/153</f>
        <v>2.1111111111111112</v>
      </c>
      <c r="H2023" s="14">
        <v>0</v>
      </c>
      <c r="I2023" s="229">
        <v>0</v>
      </c>
      <c r="J2023" s="229">
        <v>1</v>
      </c>
      <c r="K2023" s="26">
        <v>1</v>
      </c>
      <c r="L2023" s="14">
        <v>0</v>
      </c>
      <c r="M2023" s="229">
        <v>0</v>
      </c>
      <c r="N2023" s="229">
        <v>0</v>
      </c>
      <c r="O2023" s="229">
        <v>0</v>
      </c>
      <c r="P2023" s="26">
        <v>0</v>
      </c>
      <c r="Q2023" s="14">
        <v>5</v>
      </c>
      <c r="R2023" s="229">
        <v>0</v>
      </c>
      <c r="S2023" s="229">
        <v>0</v>
      </c>
      <c r="T2023" s="229">
        <v>0</v>
      </c>
      <c r="U2023" s="229">
        <v>0</v>
      </c>
      <c r="V2023" s="229">
        <v>5</v>
      </c>
      <c r="W2023" s="229">
        <v>20</v>
      </c>
      <c r="X2023" s="229">
        <v>0</v>
      </c>
      <c r="Y2023" s="229">
        <v>0</v>
      </c>
      <c r="Z2023" s="229">
        <v>0</v>
      </c>
      <c r="AA2023" s="229">
        <v>0</v>
      </c>
      <c r="AB2023" s="229">
        <v>0</v>
      </c>
      <c r="AC2023" s="12">
        <v>2</v>
      </c>
      <c r="AD2023" s="14">
        <v>6</v>
      </c>
      <c r="AE2023" s="14">
        <v>43</v>
      </c>
      <c r="AF2023" s="26">
        <v>182</v>
      </c>
      <c r="AG2023" s="12">
        <v>119</v>
      </c>
      <c r="AH2023" s="14">
        <v>1</v>
      </c>
      <c r="AI2023" s="209"/>
      <c r="AJ2023" s="3"/>
      <c r="AK2023" s="3"/>
      <c r="AL2023" s="3"/>
      <c r="AM2023" s="3"/>
      <c r="AN2023" s="3"/>
      <c r="AO2023" s="40"/>
      <c r="AP2023" s="209"/>
      <c r="AQ2023" s="3"/>
      <c r="AR2023" s="40"/>
      <c r="AS2023" s="238"/>
    </row>
    <row r="2024" spans="1:45" s="229" customFormat="1" ht="17" customHeight="1">
      <c r="A2024" s="42" t="s">
        <v>324</v>
      </c>
      <c r="B2024" s="386">
        <v>18.020499999999998</v>
      </c>
      <c r="C2024" s="229" t="s">
        <v>772</v>
      </c>
      <c r="D2024" s="229" t="s">
        <v>640</v>
      </c>
      <c r="E2024" s="229" t="s">
        <v>0</v>
      </c>
      <c r="F2024" s="229">
        <v>265</v>
      </c>
      <c r="G2024" s="40">
        <f>F2024/114</f>
        <v>2.3245614035087718</v>
      </c>
      <c r="H2024" s="14">
        <v>1</v>
      </c>
      <c r="I2024" s="229">
        <v>0</v>
      </c>
      <c r="J2024" s="229">
        <v>0</v>
      </c>
      <c r="K2024" s="26">
        <v>0</v>
      </c>
      <c r="L2024" s="14">
        <v>0</v>
      </c>
      <c r="M2024" s="229">
        <v>0</v>
      </c>
      <c r="N2024" s="229">
        <v>0</v>
      </c>
      <c r="O2024" s="229">
        <v>0</v>
      </c>
      <c r="P2024" s="26">
        <v>0</v>
      </c>
      <c r="Q2024" s="14">
        <v>0</v>
      </c>
      <c r="R2024" s="229">
        <v>0</v>
      </c>
      <c r="S2024" s="229">
        <v>0</v>
      </c>
      <c r="T2024" s="229">
        <v>0</v>
      </c>
      <c r="U2024" s="229">
        <v>0</v>
      </c>
      <c r="V2024" s="229">
        <v>0</v>
      </c>
      <c r="W2024" s="229">
        <v>0</v>
      </c>
      <c r="X2024" s="229">
        <v>0</v>
      </c>
      <c r="Y2024" s="229">
        <v>0</v>
      </c>
      <c r="Z2024" s="229">
        <v>0</v>
      </c>
      <c r="AA2024" s="229">
        <v>0</v>
      </c>
      <c r="AB2024" s="229">
        <v>0</v>
      </c>
      <c r="AC2024" s="12">
        <v>1</v>
      </c>
      <c r="AD2024" s="14">
        <v>1</v>
      </c>
      <c r="AE2024" s="14">
        <v>0</v>
      </c>
      <c r="AF2024" s="26">
        <v>0</v>
      </c>
      <c r="AG2024" s="12">
        <v>138</v>
      </c>
      <c r="AH2024" s="14">
        <v>0</v>
      </c>
      <c r="AI2024" s="209">
        <v>86.859976313998303</v>
      </c>
      <c r="AJ2024" s="3"/>
      <c r="AK2024" s="3"/>
      <c r="AL2024" s="3"/>
      <c r="AM2024" s="3"/>
      <c r="AN2024" s="3"/>
      <c r="AO2024" s="40"/>
      <c r="AP2024" s="209">
        <v>86.276654750138889</v>
      </c>
      <c r="AQ2024" s="3"/>
      <c r="AR2024" s="40"/>
      <c r="AS2024" s="238"/>
    </row>
    <row r="2025" spans="1:45" s="229" customFormat="1">
      <c r="A2025" s="42" t="s">
        <v>324</v>
      </c>
      <c r="B2025" s="386">
        <v>18.020499999999998</v>
      </c>
      <c r="C2025" s="229" t="s">
        <v>772</v>
      </c>
      <c r="D2025" s="229" t="s">
        <v>640</v>
      </c>
      <c r="E2025" s="229" t="s">
        <v>1</v>
      </c>
      <c r="F2025" s="229">
        <v>415</v>
      </c>
      <c r="G2025" s="40">
        <f>F2025/189</f>
        <v>2.1957671957671958</v>
      </c>
      <c r="H2025" s="14">
        <v>1</v>
      </c>
      <c r="I2025" s="229">
        <v>0</v>
      </c>
      <c r="J2025" s="229">
        <v>1</v>
      </c>
      <c r="K2025" s="26">
        <v>0</v>
      </c>
      <c r="L2025" s="14">
        <v>0</v>
      </c>
      <c r="M2025" s="229">
        <v>0</v>
      </c>
      <c r="N2025" s="229">
        <v>0</v>
      </c>
      <c r="O2025" s="229">
        <v>0</v>
      </c>
      <c r="P2025" s="26">
        <v>0</v>
      </c>
      <c r="Q2025" s="14">
        <v>0</v>
      </c>
      <c r="R2025" s="229">
        <v>0</v>
      </c>
      <c r="S2025" s="229">
        <v>0</v>
      </c>
      <c r="T2025" s="229">
        <v>0</v>
      </c>
      <c r="U2025" s="229">
        <v>0</v>
      </c>
      <c r="V2025" s="229">
        <v>0</v>
      </c>
      <c r="W2025" s="229">
        <v>0</v>
      </c>
      <c r="X2025" s="229">
        <v>0</v>
      </c>
      <c r="Y2025" s="229">
        <v>0</v>
      </c>
      <c r="Z2025" s="229">
        <v>0</v>
      </c>
      <c r="AA2025" s="229">
        <v>0</v>
      </c>
      <c r="AB2025" s="229">
        <v>0</v>
      </c>
      <c r="AC2025" s="12">
        <v>2</v>
      </c>
      <c r="AD2025" s="14">
        <v>3</v>
      </c>
      <c r="AE2025" s="14">
        <v>137</v>
      </c>
      <c r="AF2025" s="26">
        <v>209</v>
      </c>
      <c r="AG2025" s="12">
        <v>138</v>
      </c>
      <c r="AH2025" s="14"/>
      <c r="AI2025" s="209"/>
      <c r="AJ2025" s="3"/>
      <c r="AK2025" s="3"/>
      <c r="AL2025" s="3"/>
      <c r="AM2025" s="3"/>
      <c r="AN2025" s="3"/>
      <c r="AO2025" s="40"/>
      <c r="AP2025" s="209"/>
      <c r="AQ2025" s="3"/>
      <c r="AR2025" s="40"/>
      <c r="AS2025" s="238"/>
    </row>
    <row r="2026" spans="1:45" s="229" customFormat="1">
      <c r="A2026" s="42" t="s">
        <v>324</v>
      </c>
      <c r="B2026" s="386">
        <v>18.020499999999998</v>
      </c>
      <c r="C2026" s="229" t="s">
        <v>772</v>
      </c>
      <c r="D2026" s="229" t="s">
        <v>640</v>
      </c>
      <c r="E2026" s="229" t="s">
        <v>2</v>
      </c>
      <c r="F2026" s="229">
        <v>235</v>
      </c>
      <c r="G2026" s="40">
        <f>F2026/223</f>
        <v>1.053811659192825</v>
      </c>
      <c r="H2026" s="14">
        <v>0</v>
      </c>
      <c r="I2026" s="229">
        <v>0</v>
      </c>
      <c r="J2026" s="229">
        <v>1</v>
      </c>
      <c r="K2026" s="26">
        <v>0</v>
      </c>
      <c r="L2026" s="14">
        <v>0</v>
      </c>
      <c r="M2026" s="229">
        <v>0</v>
      </c>
      <c r="N2026" s="229">
        <v>0</v>
      </c>
      <c r="O2026" s="229">
        <v>0</v>
      </c>
      <c r="P2026" s="26">
        <v>0</v>
      </c>
      <c r="Q2026" s="14">
        <v>2</v>
      </c>
      <c r="R2026" s="229">
        <v>0</v>
      </c>
      <c r="S2026" s="229">
        <v>0</v>
      </c>
      <c r="T2026" s="229">
        <v>0</v>
      </c>
      <c r="U2026" s="229">
        <v>0</v>
      </c>
      <c r="V2026" s="229">
        <v>0</v>
      </c>
      <c r="W2026" s="229">
        <v>35</v>
      </c>
      <c r="X2026" s="229">
        <v>0</v>
      </c>
      <c r="Y2026" s="229">
        <v>0</v>
      </c>
      <c r="Z2026" s="229">
        <v>0</v>
      </c>
      <c r="AA2026" s="229">
        <v>0</v>
      </c>
      <c r="AB2026" s="229">
        <v>0</v>
      </c>
      <c r="AC2026" s="12">
        <v>1</v>
      </c>
      <c r="AD2026" s="14">
        <v>1</v>
      </c>
      <c r="AE2026" s="14">
        <v>0</v>
      </c>
      <c r="AF2026" s="26">
        <v>0</v>
      </c>
      <c r="AG2026" s="12">
        <v>138</v>
      </c>
      <c r="AH2026" s="14">
        <v>0</v>
      </c>
      <c r="AI2026" s="209">
        <v>86.672067155579313</v>
      </c>
      <c r="AJ2026" s="3"/>
      <c r="AK2026" s="3"/>
      <c r="AL2026" s="3"/>
      <c r="AM2026" s="3"/>
      <c r="AN2026" s="3"/>
      <c r="AO2026" s="40"/>
      <c r="AP2026" s="209">
        <v>86.218399382203003</v>
      </c>
      <c r="AQ2026" s="3"/>
      <c r="AR2026" s="40"/>
      <c r="AS2026" s="238"/>
    </row>
    <row r="2027" spans="1:45" s="229" customFormat="1">
      <c r="A2027" s="42" t="s">
        <v>324</v>
      </c>
      <c r="B2027" s="386">
        <v>18.020499999999998</v>
      </c>
      <c r="C2027" s="229" t="s">
        <v>772</v>
      </c>
      <c r="D2027" s="229" t="s">
        <v>640</v>
      </c>
      <c r="E2027" s="229" t="s">
        <v>3</v>
      </c>
      <c r="F2027" s="229">
        <v>195</v>
      </c>
      <c r="G2027" s="40">
        <f>F2027/129</f>
        <v>1.5116279069767442</v>
      </c>
      <c r="H2027" s="14">
        <v>1</v>
      </c>
      <c r="I2027" s="229">
        <v>0</v>
      </c>
      <c r="J2027" s="229">
        <v>0</v>
      </c>
      <c r="K2027" s="26">
        <v>0</v>
      </c>
      <c r="L2027" s="14">
        <v>0</v>
      </c>
      <c r="M2027" s="229">
        <v>0</v>
      </c>
      <c r="N2027" s="229">
        <v>0</v>
      </c>
      <c r="O2027" s="229">
        <v>0</v>
      </c>
      <c r="P2027" s="26">
        <v>0</v>
      </c>
      <c r="Q2027" s="14">
        <v>15</v>
      </c>
      <c r="R2027" s="229">
        <v>0</v>
      </c>
      <c r="S2027" s="229">
        <v>0</v>
      </c>
      <c r="T2027" s="229">
        <v>0</v>
      </c>
      <c r="U2027" s="229">
        <v>0</v>
      </c>
      <c r="V2027" s="229">
        <v>0</v>
      </c>
      <c r="W2027" s="229">
        <v>34</v>
      </c>
      <c r="X2027" s="229">
        <v>0</v>
      </c>
      <c r="Y2027" s="229">
        <v>0</v>
      </c>
      <c r="Z2027" s="229">
        <v>0</v>
      </c>
      <c r="AA2027" s="229">
        <v>0</v>
      </c>
      <c r="AB2027" s="229">
        <v>0</v>
      </c>
      <c r="AC2027" s="12">
        <v>1</v>
      </c>
      <c r="AD2027" s="14">
        <v>1</v>
      </c>
      <c r="AE2027" s="14">
        <v>0</v>
      </c>
      <c r="AF2027" s="26">
        <v>0</v>
      </c>
      <c r="AG2027" s="12">
        <v>138</v>
      </c>
      <c r="AH2027" s="14">
        <v>0</v>
      </c>
      <c r="AI2027" s="209"/>
      <c r="AJ2027" s="3"/>
      <c r="AK2027" s="3"/>
      <c r="AL2027" s="3"/>
      <c r="AM2027" s="3"/>
      <c r="AN2027" s="3"/>
      <c r="AO2027" s="40"/>
      <c r="AP2027" s="209"/>
      <c r="AQ2027" s="3"/>
      <c r="AR2027" s="40"/>
      <c r="AS2027" s="238"/>
    </row>
    <row r="2028" spans="1:45" s="229" customFormat="1">
      <c r="A2028" s="42" t="s">
        <v>324</v>
      </c>
      <c r="B2028" s="386">
        <v>18.020499999999998</v>
      </c>
      <c r="C2028" s="229" t="s">
        <v>772</v>
      </c>
      <c r="D2028" s="229" t="s">
        <v>641</v>
      </c>
      <c r="E2028" s="229" t="s">
        <v>0</v>
      </c>
      <c r="F2028" s="229">
        <v>524</v>
      </c>
      <c r="G2028" s="40">
        <f>F2028/168</f>
        <v>3.1190476190476191</v>
      </c>
      <c r="H2028" s="14">
        <v>0</v>
      </c>
      <c r="I2028" s="229">
        <v>0</v>
      </c>
      <c r="J2028" s="229">
        <v>1</v>
      </c>
      <c r="K2028" s="26">
        <v>1</v>
      </c>
      <c r="L2028" s="14">
        <v>0</v>
      </c>
      <c r="M2028" s="229">
        <v>0</v>
      </c>
      <c r="N2028" s="229">
        <v>1</v>
      </c>
      <c r="O2028" s="229">
        <v>0</v>
      </c>
      <c r="P2028" s="26">
        <v>1</v>
      </c>
      <c r="Q2028" s="14">
        <v>5</v>
      </c>
      <c r="R2028" s="229">
        <v>11</v>
      </c>
      <c r="S2028" s="229">
        <v>36</v>
      </c>
      <c r="T2028" s="229">
        <v>0</v>
      </c>
      <c r="U2028" s="229">
        <v>0</v>
      </c>
      <c r="V2028" s="229">
        <v>12</v>
      </c>
      <c r="W2028" s="229">
        <v>31</v>
      </c>
      <c r="X2028" s="229">
        <v>0</v>
      </c>
      <c r="Y2028" s="229">
        <v>0</v>
      </c>
      <c r="Z2028" s="229">
        <v>0</v>
      </c>
      <c r="AA2028" s="229">
        <v>0</v>
      </c>
      <c r="AB2028" s="229">
        <v>0</v>
      </c>
      <c r="AC2028" s="12">
        <v>2</v>
      </c>
      <c r="AD2028" s="14">
        <v>3</v>
      </c>
      <c r="AE2028" s="14">
        <v>35</v>
      </c>
      <c r="AF2028" s="26">
        <v>273</v>
      </c>
      <c r="AG2028" s="12">
        <v>124</v>
      </c>
      <c r="AH2028" s="14">
        <v>0</v>
      </c>
      <c r="AI2028" s="209"/>
      <c r="AJ2028" s="3"/>
      <c r="AK2028" s="3"/>
      <c r="AL2028" s="3"/>
      <c r="AM2028" s="3"/>
      <c r="AN2028" s="3"/>
      <c r="AO2028" s="40"/>
      <c r="AP2028" s="209"/>
      <c r="AQ2028" s="3"/>
      <c r="AR2028" s="40"/>
      <c r="AS2028" s="238"/>
    </row>
    <row r="2029" spans="1:45" s="229" customFormat="1">
      <c r="A2029" s="42" t="s">
        <v>324</v>
      </c>
      <c r="B2029" s="386">
        <v>18.020499999999998</v>
      </c>
      <c r="C2029" s="229" t="s">
        <v>772</v>
      </c>
      <c r="D2029" s="229" t="s">
        <v>641</v>
      </c>
      <c r="E2029" s="229" t="s">
        <v>1</v>
      </c>
      <c r="F2029" s="229">
        <v>143</v>
      </c>
      <c r="G2029" s="40">
        <f>F2029/103</f>
        <v>1.3883495145631068</v>
      </c>
      <c r="H2029" s="14">
        <v>0</v>
      </c>
      <c r="I2029" s="229">
        <v>0</v>
      </c>
      <c r="J2029" s="229">
        <v>1</v>
      </c>
      <c r="K2029" s="26">
        <v>0</v>
      </c>
      <c r="L2029" s="14">
        <v>0</v>
      </c>
      <c r="M2029" s="229">
        <v>0</v>
      </c>
      <c r="N2029" s="229">
        <v>1</v>
      </c>
      <c r="O2029" s="229">
        <v>0</v>
      </c>
      <c r="P2029" s="26">
        <v>1</v>
      </c>
      <c r="Q2029" s="14">
        <v>0</v>
      </c>
      <c r="R2029" s="229">
        <v>0</v>
      </c>
      <c r="S2029" s="229">
        <v>0</v>
      </c>
      <c r="T2029" s="229">
        <v>0</v>
      </c>
      <c r="U2029" s="229">
        <v>0</v>
      </c>
      <c r="V2029" s="229">
        <v>0</v>
      </c>
      <c r="W2029" s="229">
        <v>0</v>
      </c>
      <c r="X2029" s="229">
        <v>0</v>
      </c>
      <c r="Y2029" s="229">
        <v>0</v>
      </c>
      <c r="Z2029" s="229">
        <v>0</v>
      </c>
      <c r="AA2029" s="229">
        <v>0</v>
      </c>
      <c r="AB2029" s="229">
        <v>0</v>
      </c>
      <c r="AC2029" s="12">
        <v>1</v>
      </c>
      <c r="AD2029" s="14">
        <v>1</v>
      </c>
      <c r="AE2029" s="14">
        <v>0</v>
      </c>
      <c r="AF2029" s="26">
        <v>0</v>
      </c>
      <c r="AG2029" s="12">
        <v>124</v>
      </c>
      <c r="AH2029" s="14">
        <v>1</v>
      </c>
      <c r="AI2029" s="209"/>
      <c r="AJ2029" s="3"/>
      <c r="AK2029" s="3"/>
      <c r="AL2029" s="3"/>
      <c r="AM2029" s="3"/>
      <c r="AN2029" s="3"/>
      <c r="AO2029" s="40"/>
      <c r="AP2029" s="209"/>
      <c r="AQ2029" s="3"/>
      <c r="AR2029" s="40"/>
      <c r="AS2029" s="238"/>
    </row>
    <row r="2030" spans="1:45" s="229" customFormat="1">
      <c r="A2030" s="42" t="s">
        <v>324</v>
      </c>
      <c r="B2030" s="386">
        <v>18.020499999999998</v>
      </c>
      <c r="C2030" s="229" t="s">
        <v>772</v>
      </c>
      <c r="D2030" s="229" t="s">
        <v>641</v>
      </c>
      <c r="E2030" s="229" t="s">
        <v>2</v>
      </c>
      <c r="F2030" s="229">
        <v>294</v>
      </c>
      <c r="G2030" s="40">
        <f>F2030/262</f>
        <v>1.1221374045801527</v>
      </c>
      <c r="H2030" s="14">
        <v>0</v>
      </c>
      <c r="I2030" s="229">
        <v>0</v>
      </c>
      <c r="J2030" s="229">
        <v>0</v>
      </c>
      <c r="K2030" s="26">
        <v>1</v>
      </c>
      <c r="L2030" s="14">
        <v>0</v>
      </c>
      <c r="M2030" s="229">
        <v>0</v>
      </c>
      <c r="N2030" s="229">
        <v>1</v>
      </c>
      <c r="O2030" s="229">
        <v>0</v>
      </c>
      <c r="P2030" s="26">
        <v>1</v>
      </c>
      <c r="Q2030" s="14">
        <v>0</v>
      </c>
      <c r="R2030" s="229">
        <v>0</v>
      </c>
      <c r="S2030" s="229">
        <v>0</v>
      </c>
      <c r="T2030" s="229">
        <v>0</v>
      </c>
      <c r="U2030" s="229">
        <v>0</v>
      </c>
      <c r="V2030" s="229">
        <v>0</v>
      </c>
      <c r="W2030" s="229">
        <v>0</v>
      </c>
      <c r="X2030" s="229">
        <v>0</v>
      </c>
      <c r="Y2030" s="229">
        <v>0</v>
      </c>
      <c r="Z2030" s="229">
        <v>0</v>
      </c>
      <c r="AA2030" s="229">
        <v>0</v>
      </c>
      <c r="AB2030" s="229">
        <v>0</v>
      </c>
      <c r="AC2030" s="12">
        <v>2</v>
      </c>
      <c r="AD2030" s="14">
        <v>2</v>
      </c>
      <c r="AE2030" s="14">
        <v>125</v>
      </c>
      <c r="AF2030" s="26">
        <v>286</v>
      </c>
      <c r="AG2030" s="12">
        <v>124</v>
      </c>
      <c r="AH2030" s="14">
        <v>1</v>
      </c>
      <c r="AI2030" s="209"/>
      <c r="AJ2030" s="3"/>
      <c r="AK2030" s="3"/>
      <c r="AL2030" s="3"/>
      <c r="AM2030" s="3"/>
      <c r="AN2030" s="3"/>
      <c r="AO2030" s="40"/>
      <c r="AP2030" s="209"/>
      <c r="AQ2030" s="3"/>
      <c r="AR2030" s="40"/>
      <c r="AS2030" s="238"/>
    </row>
    <row r="2031" spans="1:45" s="229" customFormat="1">
      <c r="A2031" s="42" t="s">
        <v>324</v>
      </c>
      <c r="B2031" s="386">
        <v>18.020499999999998</v>
      </c>
      <c r="C2031" s="229" t="s">
        <v>772</v>
      </c>
      <c r="D2031" s="229" t="s">
        <v>647</v>
      </c>
      <c r="E2031" s="229" t="s">
        <v>0</v>
      </c>
      <c r="F2031" s="229">
        <v>479</v>
      </c>
      <c r="G2031" s="40">
        <f>F2031/270</f>
        <v>1.7740740740740741</v>
      </c>
      <c r="H2031" s="14">
        <v>1</v>
      </c>
      <c r="I2031" s="229">
        <v>0</v>
      </c>
      <c r="J2031" s="229">
        <v>1</v>
      </c>
      <c r="K2031" s="26">
        <v>0</v>
      </c>
      <c r="L2031" s="14">
        <v>0</v>
      </c>
      <c r="M2031" s="229">
        <v>0</v>
      </c>
      <c r="N2031" s="229">
        <v>0</v>
      </c>
      <c r="O2031" s="229">
        <v>0</v>
      </c>
      <c r="P2031" s="26">
        <v>0</v>
      </c>
      <c r="Q2031" s="14">
        <v>5</v>
      </c>
      <c r="R2031" s="229">
        <v>15</v>
      </c>
      <c r="S2031" s="229">
        <v>38</v>
      </c>
      <c r="T2031" s="229">
        <v>0</v>
      </c>
      <c r="U2031" s="229">
        <v>0</v>
      </c>
      <c r="V2031" s="229">
        <v>13</v>
      </c>
      <c r="W2031" s="229">
        <v>32</v>
      </c>
      <c r="X2031" s="229">
        <v>0</v>
      </c>
      <c r="Y2031" s="229">
        <v>0</v>
      </c>
      <c r="Z2031" s="229">
        <v>0</v>
      </c>
      <c r="AA2031" s="229">
        <v>0</v>
      </c>
      <c r="AB2031" s="229">
        <v>0</v>
      </c>
      <c r="AC2031" s="12">
        <v>2</v>
      </c>
      <c r="AD2031" s="14">
        <v>2</v>
      </c>
      <c r="AE2031" s="14">
        <v>244</v>
      </c>
      <c r="AF2031" s="26">
        <v>497</v>
      </c>
      <c r="AG2031" s="12">
        <v>101</v>
      </c>
      <c r="AH2031" s="14">
        <v>0</v>
      </c>
      <c r="AI2031" s="209"/>
      <c r="AJ2031" s="3"/>
      <c r="AK2031" s="3"/>
      <c r="AL2031" s="3"/>
      <c r="AM2031" s="3"/>
      <c r="AN2031" s="3"/>
      <c r="AO2031" s="40"/>
      <c r="AP2031" s="209"/>
      <c r="AQ2031" s="3"/>
      <c r="AR2031" s="40"/>
      <c r="AS2031" s="238"/>
    </row>
    <row r="2032" spans="1:45" s="229" customFormat="1">
      <c r="A2032" s="42" t="s">
        <v>324</v>
      </c>
      <c r="B2032" s="386">
        <v>18.020499999999998</v>
      </c>
      <c r="C2032" s="229" t="s">
        <v>772</v>
      </c>
      <c r="D2032" s="229" t="s">
        <v>647</v>
      </c>
      <c r="E2032" s="229" t="s">
        <v>1</v>
      </c>
      <c r="F2032" s="229">
        <v>305</v>
      </c>
      <c r="G2032" s="40">
        <f>F2032/270</f>
        <v>1.1296296296296295</v>
      </c>
      <c r="H2032" s="14">
        <v>0</v>
      </c>
      <c r="I2032" s="229">
        <v>0</v>
      </c>
      <c r="J2032" s="229">
        <v>0</v>
      </c>
      <c r="K2032" s="26">
        <v>1</v>
      </c>
      <c r="L2032" s="14">
        <v>0</v>
      </c>
      <c r="M2032" s="229">
        <v>0</v>
      </c>
      <c r="N2032" s="229">
        <v>0</v>
      </c>
      <c r="O2032" s="229">
        <v>0</v>
      </c>
      <c r="P2032" s="26">
        <v>0</v>
      </c>
      <c r="Q2032" s="14">
        <v>0</v>
      </c>
      <c r="R2032" s="229">
        <v>0</v>
      </c>
      <c r="S2032" s="229">
        <v>0</v>
      </c>
      <c r="T2032" s="229">
        <v>0</v>
      </c>
      <c r="U2032" s="229">
        <v>0</v>
      </c>
      <c r="V2032" s="229">
        <v>0</v>
      </c>
      <c r="W2032" s="229">
        <v>0</v>
      </c>
      <c r="X2032" s="229">
        <v>0</v>
      </c>
      <c r="Y2032" s="229">
        <v>0</v>
      </c>
      <c r="Z2032" s="229">
        <v>0</v>
      </c>
      <c r="AA2032" s="229">
        <v>0</v>
      </c>
      <c r="AB2032" s="229">
        <v>0</v>
      </c>
      <c r="AC2032" s="12">
        <v>2</v>
      </c>
      <c r="AD2032" s="14">
        <v>2</v>
      </c>
      <c r="AE2032" s="14">
        <v>256</v>
      </c>
      <c r="AF2032" s="26">
        <v>420</v>
      </c>
      <c r="AG2032" s="12">
        <v>101</v>
      </c>
      <c r="AH2032" s="14">
        <v>1</v>
      </c>
      <c r="AI2032" s="209"/>
      <c r="AJ2032" s="3"/>
      <c r="AK2032" s="3"/>
      <c r="AL2032" s="3"/>
      <c r="AM2032" s="3"/>
      <c r="AN2032" s="3"/>
      <c r="AO2032" s="40"/>
      <c r="AP2032" s="209"/>
      <c r="AQ2032" s="3"/>
      <c r="AR2032" s="40"/>
      <c r="AS2032" s="238"/>
    </row>
    <row r="2033" spans="1:45" s="229" customFormat="1">
      <c r="A2033" s="42" t="s">
        <v>324</v>
      </c>
      <c r="B2033" s="386">
        <v>18.020499999999998</v>
      </c>
      <c r="C2033" s="229" t="s">
        <v>772</v>
      </c>
      <c r="D2033" s="229" t="s">
        <v>647</v>
      </c>
      <c r="E2033" s="229" t="s">
        <v>2</v>
      </c>
      <c r="F2033" s="229">
        <v>686</v>
      </c>
      <c r="G2033" s="40">
        <f>F2033/246</f>
        <v>2.7886178861788617</v>
      </c>
      <c r="H2033" s="14">
        <v>1</v>
      </c>
      <c r="I2033" s="229">
        <v>0</v>
      </c>
      <c r="J2033" s="229">
        <v>1</v>
      </c>
      <c r="K2033" s="26">
        <v>0</v>
      </c>
      <c r="L2033" s="14">
        <v>0</v>
      </c>
      <c r="M2033" s="229">
        <v>0</v>
      </c>
      <c r="N2033" s="229">
        <v>0</v>
      </c>
      <c r="O2033" s="229">
        <v>0</v>
      </c>
      <c r="P2033" s="26">
        <v>0</v>
      </c>
      <c r="Q2033" s="14">
        <v>0</v>
      </c>
      <c r="R2033" s="229">
        <v>0</v>
      </c>
      <c r="S2033" s="229">
        <v>0</v>
      </c>
      <c r="T2033" s="229">
        <v>0</v>
      </c>
      <c r="U2033" s="229">
        <v>0</v>
      </c>
      <c r="V2033" s="229">
        <v>0</v>
      </c>
      <c r="W2033" s="229">
        <v>0</v>
      </c>
      <c r="X2033" s="229">
        <v>0</v>
      </c>
      <c r="Y2033" s="229">
        <v>0</v>
      </c>
      <c r="Z2033" s="229">
        <v>0</v>
      </c>
      <c r="AA2033" s="229">
        <v>0</v>
      </c>
      <c r="AB2033" s="229">
        <v>0</v>
      </c>
      <c r="AC2033" s="12">
        <v>2</v>
      </c>
      <c r="AD2033" s="14">
        <v>2</v>
      </c>
      <c r="AE2033" s="14">
        <v>278</v>
      </c>
      <c r="AF2033" s="26">
        <v>446</v>
      </c>
      <c r="AG2033" s="12">
        <v>101</v>
      </c>
      <c r="AH2033" s="14">
        <v>1</v>
      </c>
      <c r="AI2033" s="209"/>
      <c r="AJ2033" s="3"/>
      <c r="AK2033" s="3"/>
      <c r="AL2033" s="3"/>
      <c r="AM2033" s="3"/>
      <c r="AN2033" s="3"/>
      <c r="AO2033" s="40"/>
      <c r="AP2033" s="209"/>
      <c r="AQ2033" s="3"/>
      <c r="AR2033" s="40"/>
      <c r="AS2033" s="238"/>
    </row>
    <row r="2034" spans="1:45" s="229" customFormat="1">
      <c r="A2034" s="42" t="s">
        <v>324</v>
      </c>
      <c r="B2034" s="386">
        <v>18.020499999999998</v>
      </c>
      <c r="C2034" s="229" t="s">
        <v>772</v>
      </c>
      <c r="D2034" s="229" t="s">
        <v>648</v>
      </c>
      <c r="F2034" s="229">
        <v>694</v>
      </c>
      <c r="G2034" s="40">
        <f>F2034/314</f>
        <v>2.2101910828025479</v>
      </c>
      <c r="H2034" s="14">
        <v>0</v>
      </c>
      <c r="I2034" s="229">
        <v>0</v>
      </c>
      <c r="J2034" s="229">
        <v>1</v>
      </c>
      <c r="K2034" s="26">
        <v>1</v>
      </c>
      <c r="L2034" s="14">
        <v>0</v>
      </c>
      <c r="M2034" s="229">
        <v>0</v>
      </c>
      <c r="N2034" s="229">
        <v>1</v>
      </c>
      <c r="O2034" s="229">
        <v>0</v>
      </c>
      <c r="P2034" s="26">
        <v>1</v>
      </c>
      <c r="Q2034" s="14">
        <v>2</v>
      </c>
      <c r="R2034" s="229">
        <v>19</v>
      </c>
      <c r="S2034" s="229">
        <v>45</v>
      </c>
      <c r="T2034" s="229">
        <v>0</v>
      </c>
      <c r="U2034" s="229">
        <v>0</v>
      </c>
      <c r="V2034" s="229">
        <v>0</v>
      </c>
      <c r="W2034" s="229">
        <v>12</v>
      </c>
      <c r="X2034" s="229">
        <v>0</v>
      </c>
      <c r="Y2034" s="229">
        <v>0</v>
      </c>
      <c r="Z2034" s="229">
        <v>0</v>
      </c>
      <c r="AA2034" s="229">
        <v>0</v>
      </c>
      <c r="AB2034" s="229">
        <v>0</v>
      </c>
      <c r="AC2034" s="12">
        <v>2</v>
      </c>
      <c r="AD2034" s="14">
        <v>4</v>
      </c>
      <c r="AE2034" s="14">
        <v>157</v>
      </c>
      <c r="AF2034" s="26">
        <v>335</v>
      </c>
      <c r="AG2034" s="12">
        <v>98</v>
      </c>
      <c r="AH2034" s="14">
        <v>1</v>
      </c>
      <c r="AI2034" s="209"/>
      <c r="AJ2034" s="3"/>
      <c r="AK2034" s="3"/>
      <c r="AL2034" s="3"/>
      <c r="AM2034" s="3"/>
      <c r="AN2034" s="3"/>
      <c r="AO2034" s="40"/>
      <c r="AP2034" s="209"/>
      <c r="AQ2034" s="3"/>
      <c r="AR2034" s="40"/>
      <c r="AS2034" s="238"/>
    </row>
    <row r="2035" spans="1:45" s="229" customFormat="1" ht="17" thickBot="1">
      <c r="A2035" s="55" t="s">
        <v>324</v>
      </c>
      <c r="B2035" s="385">
        <v>18.020499999999998</v>
      </c>
      <c r="C2035" s="36" t="s">
        <v>772</v>
      </c>
      <c r="D2035" s="36" t="s">
        <v>669</v>
      </c>
      <c r="E2035" s="36"/>
      <c r="F2035" s="36">
        <v>474</v>
      </c>
      <c r="G2035" s="48">
        <f>F2035/313</f>
        <v>1.5143769968051117</v>
      </c>
      <c r="H2035" s="34">
        <v>0</v>
      </c>
      <c r="I2035" s="36">
        <v>0</v>
      </c>
      <c r="J2035" s="36">
        <v>1</v>
      </c>
      <c r="K2035" s="35">
        <v>0</v>
      </c>
      <c r="L2035" s="34">
        <v>0</v>
      </c>
      <c r="M2035" s="36">
        <v>0</v>
      </c>
      <c r="N2035" s="36">
        <v>1</v>
      </c>
      <c r="O2035" s="36">
        <v>0</v>
      </c>
      <c r="P2035" s="35">
        <v>1</v>
      </c>
      <c r="Q2035" s="34">
        <v>10</v>
      </c>
      <c r="R2035" s="36">
        <v>0</v>
      </c>
      <c r="S2035" s="36">
        <v>0</v>
      </c>
      <c r="T2035" s="36">
        <v>0</v>
      </c>
      <c r="U2035" s="36">
        <v>0</v>
      </c>
      <c r="V2035" s="36">
        <v>7</v>
      </c>
      <c r="W2035" s="36">
        <v>56</v>
      </c>
      <c r="X2035" s="36">
        <v>0</v>
      </c>
      <c r="Y2035" s="36">
        <v>0</v>
      </c>
      <c r="Z2035" s="36">
        <v>73</v>
      </c>
      <c r="AA2035" s="36">
        <v>77</v>
      </c>
      <c r="AB2035" s="36">
        <v>0</v>
      </c>
      <c r="AC2035" s="33">
        <v>1</v>
      </c>
      <c r="AD2035" s="34">
        <v>1</v>
      </c>
      <c r="AE2035" s="34">
        <v>0</v>
      </c>
      <c r="AF2035" s="35">
        <v>0</v>
      </c>
      <c r="AG2035" s="33">
        <v>158</v>
      </c>
      <c r="AH2035" s="34">
        <v>0</v>
      </c>
      <c r="AI2035" s="210"/>
      <c r="AJ2035" s="51"/>
      <c r="AK2035" s="51"/>
      <c r="AL2035" s="51"/>
      <c r="AM2035" s="51"/>
      <c r="AN2035" s="51"/>
      <c r="AO2035" s="48"/>
      <c r="AP2035" s="210"/>
      <c r="AQ2035" s="51"/>
      <c r="AR2035" s="48"/>
      <c r="AS2035" s="239"/>
    </row>
    <row r="2036" spans="1:45" s="229" customFormat="1">
      <c r="A2036" s="87" t="s">
        <v>324</v>
      </c>
      <c r="B2036" s="389">
        <v>18.29</v>
      </c>
      <c r="C2036" s="229" t="s">
        <v>315</v>
      </c>
      <c r="D2036" s="229" t="s">
        <v>423</v>
      </c>
      <c r="F2036" s="229">
        <v>626</v>
      </c>
      <c r="G2036" s="40">
        <f>F2036/310</f>
        <v>2.0193548387096776</v>
      </c>
      <c r="H2036" s="14">
        <v>0</v>
      </c>
      <c r="I2036" s="229">
        <v>0</v>
      </c>
      <c r="J2036" s="229">
        <v>0</v>
      </c>
      <c r="K2036" s="26">
        <v>1</v>
      </c>
      <c r="L2036" s="14">
        <v>1</v>
      </c>
      <c r="M2036" s="229">
        <v>0</v>
      </c>
      <c r="N2036" s="229">
        <v>1</v>
      </c>
      <c r="O2036" s="229">
        <v>0</v>
      </c>
      <c r="P2036" s="26">
        <v>2</v>
      </c>
      <c r="Q2036" s="14">
        <v>1</v>
      </c>
      <c r="R2036" s="229">
        <v>0</v>
      </c>
      <c r="S2036" s="229">
        <v>0</v>
      </c>
      <c r="T2036" s="229">
        <v>0</v>
      </c>
      <c r="U2036" s="229">
        <v>0</v>
      </c>
      <c r="V2036" s="229">
        <v>12</v>
      </c>
      <c r="W2036" s="229">
        <v>41</v>
      </c>
      <c r="X2036" s="229">
        <v>0</v>
      </c>
      <c r="Y2036" s="229">
        <v>9</v>
      </c>
      <c r="Z2036" s="229">
        <v>0</v>
      </c>
      <c r="AA2036" s="229">
        <v>0</v>
      </c>
      <c r="AB2036" s="229">
        <v>0</v>
      </c>
      <c r="AC2036" s="12">
        <v>2</v>
      </c>
      <c r="AD2036" s="14">
        <v>5</v>
      </c>
      <c r="AE2036" s="14">
        <v>101</v>
      </c>
      <c r="AF2036" s="26">
        <v>349</v>
      </c>
      <c r="AG2036" s="12">
        <v>67</v>
      </c>
      <c r="AH2036" s="14">
        <v>0</v>
      </c>
      <c r="AI2036" s="209"/>
      <c r="AJ2036" s="3"/>
      <c r="AK2036" s="3"/>
      <c r="AL2036" s="3"/>
      <c r="AM2036" s="3"/>
      <c r="AN2036" s="3"/>
      <c r="AO2036" s="40"/>
      <c r="AP2036" s="209"/>
      <c r="AQ2036" s="3"/>
      <c r="AR2036" s="40"/>
      <c r="AS2036" s="238"/>
    </row>
    <row r="2037" spans="1:45" s="229" customFormat="1">
      <c r="A2037" s="42" t="s">
        <v>324</v>
      </c>
      <c r="B2037" s="390">
        <v>18.29</v>
      </c>
      <c r="C2037" s="229" t="s">
        <v>315</v>
      </c>
      <c r="D2037" s="229" t="s">
        <v>622</v>
      </c>
      <c r="F2037" s="229">
        <v>628</v>
      </c>
      <c r="G2037" s="40">
        <v>302</v>
      </c>
      <c r="H2037" s="14">
        <v>0</v>
      </c>
      <c r="I2037" s="229">
        <v>0</v>
      </c>
      <c r="J2037" s="229">
        <v>0</v>
      </c>
      <c r="K2037" s="26">
        <v>1</v>
      </c>
      <c r="L2037" s="14">
        <v>0</v>
      </c>
      <c r="M2037" s="229">
        <v>0</v>
      </c>
      <c r="N2037" s="229">
        <v>1</v>
      </c>
      <c r="O2037" s="229">
        <v>0</v>
      </c>
      <c r="P2037" s="26">
        <v>1</v>
      </c>
      <c r="Q2037" s="14">
        <v>1</v>
      </c>
      <c r="R2037" s="229">
        <v>0</v>
      </c>
      <c r="S2037" s="229">
        <v>0</v>
      </c>
      <c r="T2037" s="229">
        <v>0</v>
      </c>
      <c r="U2037" s="229">
        <v>0</v>
      </c>
      <c r="V2037" s="229">
        <v>0</v>
      </c>
      <c r="W2037" s="229">
        <v>0</v>
      </c>
      <c r="X2037" s="229">
        <v>0</v>
      </c>
      <c r="Y2037" s="229">
        <v>0</v>
      </c>
      <c r="Z2037" s="229">
        <v>0</v>
      </c>
      <c r="AA2037" s="229">
        <v>34</v>
      </c>
      <c r="AB2037" s="229">
        <v>0</v>
      </c>
      <c r="AC2037" s="12">
        <v>2</v>
      </c>
      <c r="AD2037" s="14">
        <v>4</v>
      </c>
      <c r="AE2037" s="14">
        <v>82</v>
      </c>
      <c r="AF2037" s="26">
        <v>349</v>
      </c>
      <c r="AG2037" s="12">
        <v>94</v>
      </c>
      <c r="AH2037" s="14">
        <v>0</v>
      </c>
      <c r="AI2037" s="209">
        <v>87.836326867221246</v>
      </c>
      <c r="AJ2037" s="3">
        <v>87.830989321407088</v>
      </c>
      <c r="AK2037" s="3">
        <v>86.415756160944184</v>
      </c>
      <c r="AL2037" s="3"/>
      <c r="AM2037" s="3"/>
      <c r="AN2037" s="3"/>
      <c r="AO2037" s="40"/>
      <c r="AP2037" s="209">
        <v>86.645641874118425</v>
      </c>
      <c r="AQ2037" s="3">
        <v>87.052997974045212</v>
      </c>
      <c r="AR2037" s="40"/>
      <c r="AS2037" s="238"/>
    </row>
    <row r="2038" spans="1:45" s="229" customFormat="1">
      <c r="A2038" s="42" t="s">
        <v>324</v>
      </c>
      <c r="B2038" s="390">
        <v>18.29</v>
      </c>
      <c r="C2038" s="229" t="s">
        <v>315</v>
      </c>
      <c r="D2038" s="229" t="s">
        <v>620</v>
      </c>
      <c r="F2038" s="229">
        <v>456</v>
      </c>
      <c r="G2038" s="40">
        <f>F2038/439</f>
        <v>1.0387243735763099</v>
      </c>
      <c r="H2038" s="14">
        <v>0</v>
      </c>
      <c r="I2038" s="229">
        <v>0</v>
      </c>
      <c r="J2038" s="229">
        <v>0</v>
      </c>
      <c r="K2038" s="26">
        <v>1</v>
      </c>
      <c r="L2038" s="14">
        <v>1</v>
      </c>
      <c r="M2038" s="229">
        <v>0</v>
      </c>
      <c r="N2038" s="229">
        <v>0</v>
      </c>
      <c r="O2038" s="229">
        <v>0</v>
      </c>
      <c r="P2038" s="26">
        <v>1</v>
      </c>
      <c r="Q2038" s="14">
        <v>0</v>
      </c>
      <c r="R2038" s="229">
        <v>0</v>
      </c>
      <c r="S2038" s="229">
        <v>0</v>
      </c>
      <c r="T2038" s="229">
        <v>0</v>
      </c>
      <c r="U2038" s="229">
        <v>0</v>
      </c>
      <c r="V2038" s="229">
        <v>0</v>
      </c>
      <c r="W2038" s="229">
        <v>0</v>
      </c>
      <c r="X2038" s="229">
        <v>0</v>
      </c>
      <c r="Y2038" s="229">
        <v>0</v>
      </c>
      <c r="Z2038" s="229">
        <v>0</v>
      </c>
      <c r="AA2038" s="229">
        <v>0</v>
      </c>
      <c r="AB2038" s="229">
        <v>0</v>
      </c>
      <c r="AC2038" s="12">
        <v>2</v>
      </c>
      <c r="AD2038" s="14">
        <v>2</v>
      </c>
      <c r="AE2038" s="14">
        <v>257</v>
      </c>
      <c r="AF2038" s="26">
        <v>459</v>
      </c>
      <c r="AG2038" s="12">
        <v>79</v>
      </c>
      <c r="AH2038" s="14">
        <v>0</v>
      </c>
      <c r="AI2038" s="209"/>
      <c r="AJ2038" s="3"/>
      <c r="AK2038" s="3"/>
      <c r="AL2038" s="3"/>
      <c r="AM2038" s="3"/>
      <c r="AN2038" s="3"/>
      <c r="AO2038" s="40"/>
      <c r="AP2038" s="209"/>
      <c r="AQ2038" s="3"/>
      <c r="AR2038" s="40"/>
      <c r="AS2038" s="238"/>
    </row>
    <row r="2039" spans="1:45" s="229" customFormat="1">
      <c r="A2039" s="42" t="s">
        <v>324</v>
      </c>
      <c r="B2039" s="390">
        <v>18.29</v>
      </c>
      <c r="C2039" s="229" t="s">
        <v>315</v>
      </c>
      <c r="D2039" s="229" t="s">
        <v>629</v>
      </c>
      <c r="F2039" s="229">
        <v>770</v>
      </c>
      <c r="G2039" s="40">
        <f>F2039/537</f>
        <v>1.4338919925512104</v>
      </c>
      <c r="H2039" s="14">
        <v>0</v>
      </c>
      <c r="I2039" s="229">
        <v>0</v>
      </c>
      <c r="J2039" s="229">
        <v>0</v>
      </c>
      <c r="K2039" s="26">
        <v>1</v>
      </c>
      <c r="L2039" s="14">
        <v>0</v>
      </c>
      <c r="M2039" s="229">
        <v>0</v>
      </c>
      <c r="N2039" s="229">
        <v>1</v>
      </c>
      <c r="O2039" s="229">
        <v>0</v>
      </c>
      <c r="P2039" s="26">
        <v>1</v>
      </c>
      <c r="Q2039" s="14">
        <v>1</v>
      </c>
      <c r="R2039" s="229">
        <v>0</v>
      </c>
      <c r="S2039" s="229">
        <v>0</v>
      </c>
      <c r="T2039" s="229">
        <v>0</v>
      </c>
      <c r="U2039" s="229">
        <v>0</v>
      </c>
      <c r="V2039" s="229">
        <v>30</v>
      </c>
      <c r="W2039" s="229">
        <v>33</v>
      </c>
      <c r="X2039" s="229">
        <v>0</v>
      </c>
      <c r="Y2039" s="229">
        <v>0</v>
      </c>
      <c r="Z2039" s="229">
        <v>0</v>
      </c>
      <c r="AA2039" s="229">
        <v>0</v>
      </c>
      <c r="AB2039" s="229">
        <v>0</v>
      </c>
      <c r="AC2039" s="12">
        <v>2</v>
      </c>
      <c r="AD2039" s="14">
        <v>2</v>
      </c>
      <c r="AE2039" s="14">
        <v>518</v>
      </c>
      <c r="AF2039" s="26">
        <v>576</v>
      </c>
      <c r="AG2039" s="12">
        <v>84</v>
      </c>
      <c r="AH2039" s="14">
        <v>1</v>
      </c>
      <c r="AI2039" s="209"/>
      <c r="AJ2039" s="3"/>
      <c r="AK2039" s="3"/>
      <c r="AL2039" s="3"/>
      <c r="AM2039" s="3"/>
      <c r="AN2039" s="3"/>
      <c r="AO2039" s="40"/>
      <c r="AP2039" s="209"/>
      <c r="AQ2039" s="3"/>
      <c r="AR2039" s="40"/>
      <c r="AS2039" s="238"/>
    </row>
    <row r="2040" spans="1:45" s="229" customFormat="1">
      <c r="A2040" s="42" t="s">
        <v>324</v>
      </c>
      <c r="B2040" s="390">
        <v>18.29</v>
      </c>
      <c r="C2040" s="229" t="s">
        <v>315</v>
      </c>
      <c r="D2040" s="229" t="s">
        <v>634</v>
      </c>
      <c r="F2040" s="229">
        <v>412</v>
      </c>
      <c r="G2040" s="40">
        <f>F2040/273</f>
        <v>1.5091575091575091</v>
      </c>
      <c r="H2040" s="14">
        <v>0</v>
      </c>
      <c r="I2040" s="229">
        <v>0</v>
      </c>
      <c r="J2040" s="229">
        <v>0</v>
      </c>
      <c r="K2040" s="26">
        <v>1</v>
      </c>
      <c r="L2040" s="14">
        <v>0</v>
      </c>
      <c r="M2040" s="229">
        <v>0</v>
      </c>
      <c r="N2040" s="229">
        <v>1</v>
      </c>
      <c r="O2040" s="229">
        <v>0</v>
      </c>
      <c r="P2040" s="26">
        <v>1</v>
      </c>
      <c r="Q2040" s="14">
        <v>0</v>
      </c>
      <c r="R2040" s="229">
        <v>0</v>
      </c>
      <c r="S2040" s="229">
        <v>0</v>
      </c>
      <c r="T2040" s="229">
        <v>0</v>
      </c>
      <c r="U2040" s="229">
        <v>0</v>
      </c>
      <c r="V2040" s="229">
        <v>0</v>
      </c>
      <c r="W2040" s="229">
        <v>0</v>
      </c>
      <c r="X2040" s="229">
        <v>0</v>
      </c>
      <c r="Y2040" s="229">
        <v>0</v>
      </c>
      <c r="Z2040" s="229">
        <v>0</v>
      </c>
      <c r="AA2040" s="229">
        <v>0</v>
      </c>
      <c r="AB2040" s="229">
        <v>0</v>
      </c>
      <c r="AC2040" s="12">
        <v>2</v>
      </c>
      <c r="AD2040" s="14">
        <v>2</v>
      </c>
      <c r="AE2040" s="14">
        <v>289</v>
      </c>
      <c r="AF2040" s="26">
        <v>298</v>
      </c>
      <c r="AG2040" s="12">
        <v>71</v>
      </c>
      <c r="AH2040" s="14">
        <v>0</v>
      </c>
      <c r="AI2040" s="209">
        <v>87.32689508484151</v>
      </c>
      <c r="AJ2040" s="3"/>
      <c r="AK2040" s="3"/>
      <c r="AL2040" s="3"/>
      <c r="AM2040" s="3"/>
      <c r="AN2040" s="3"/>
      <c r="AO2040" s="40"/>
      <c r="AP2040" s="209">
        <v>85.345477042262075</v>
      </c>
      <c r="AQ2040" s="3"/>
      <c r="AR2040" s="40"/>
      <c r="AS2040" s="238"/>
    </row>
    <row r="2041" spans="1:45" s="229" customFormat="1">
      <c r="A2041" s="42" t="s">
        <v>324</v>
      </c>
      <c r="B2041" s="390">
        <v>18.29</v>
      </c>
      <c r="C2041" s="229" t="s">
        <v>315</v>
      </c>
      <c r="D2041" s="229" t="s">
        <v>625</v>
      </c>
      <c r="F2041" s="229">
        <v>336</v>
      </c>
      <c r="G2041" s="40">
        <f>F2041/222</f>
        <v>1.5135135135135136</v>
      </c>
      <c r="H2041" s="14">
        <v>0</v>
      </c>
      <c r="I2041" s="229">
        <v>0</v>
      </c>
      <c r="J2041" s="229">
        <v>0</v>
      </c>
      <c r="K2041" s="26">
        <v>1</v>
      </c>
      <c r="L2041" s="14">
        <v>0</v>
      </c>
      <c r="M2041" s="229">
        <v>0</v>
      </c>
      <c r="N2041" s="229">
        <v>0</v>
      </c>
      <c r="O2041" s="229">
        <v>1</v>
      </c>
      <c r="P2041" s="26">
        <v>1</v>
      </c>
      <c r="Q2041" s="14">
        <v>3</v>
      </c>
      <c r="R2041" s="229">
        <v>0</v>
      </c>
      <c r="S2041" s="229">
        <v>0</v>
      </c>
      <c r="T2041" s="229">
        <v>0</v>
      </c>
      <c r="U2041" s="229">
        <v>0</v>
      </c>
      <c r="V2041" s="229">
        <v>0</v>
      </c>
      <c r="W2041" s="229">
        <v>0</v>
      </c>
      <c r="X2041" s="229">
        <v>0</v>
      </c>
      <c r="Y2041" s="229">
        <v>0</v>
      </c>
      <c r="Z2041" s="229">
        <v>22</v>
      </c>
      <c r="AA2041" s="229">
        <v>41</v>
      </c>
      <c r="AB2041" s="229">
        <v>0</v>
      </c>
      <c r="AC2041" s="12">
        <v>1</v>
      </c>
      <c r="AD2041" s="14">
        <v>1</v>
      </c>
      <c r="AE2041" s="14">
        <v>0</v>
      </c>
      <c r="AF2041" s="26">
        <v>0</v>
      </c>
      <c r="AG2041" s="12">
        <v>78</v>
      </c>
      <c r="AH2041" s="14">
        <v>0</v>
      </c>
      <c r="AI2041" s="209">
        <v>83.681918742735121</v>
      </c>
      <c r="AJ2041" s="3"/>
      <c r="AK2041" s="3"/>
      <c r="AL2041" s="3"/>
      <c r="AM2041" s="3"/>
      <c r="AN2041" s="3"/>
      <c r="AO2041" s="40"/>
      <c r="AP2041" s="209">
        <v>85.854474596907664</v>
      </c>
      <c r="AQ2041" s="3"/>
      <c r="AR2041" s="40"/>
      <c r="AS2041" s="238"/>
    </row>
    <row r="2042" spans="1:45" s="229" customFormat="1">
      <c r="A2042" s="42" t="s">
        <v>324</v>
      </c>
      <c r="B2042" s="390">
        <v>18.29</v>
      </c>
      <c r="C2042" s="229" t="s">
        <v>315</v>
      </c>
      <c r="D2042" s="229" t="s">
        <v>630</v>
      </c>
      <c r="F2042" s="229">
        <v>386</v>
      </c>
      <c r="G2042" s="40">
        <f>F2042/207</f>
        <v>1.8647342995169083</v>
      </c>
      <c r="H2042" s="14">
        <v>0</v>
      </c>
      <c r="I2042" s="229">
        <v>0</v>
      </c>
      <c r="J2042" s="229">
        <v>1</v>
      </c>
      <c r="K2042" s="26">
        <v>1</v>
      </c>
      <c r="L2042" s="14">
        <v>0</v>
      </c>
      <c r="M2042" s="229">
        <v>0</v>
      </c>
      <c r="N2042" s="229">
        <v>1</v>
      </c>
      <c r="O2042" s="229">
        <v>0</v>
      </c>
      <c r="P2042" s="26">
        <v>1</v>
      </c>
      <c r="Q2042" s="14">
        <v>2</v>
      </c>
      <c r="R2042" s="229">
        <v>0</v>
      </c>
      <c r="S2042" s="229">
        <v>0</v>
      </c>
      <c r="T2042" s="229">
        <v>0</v>
      </c>
      <c r="U2042" s="229">
        <v>0</v>
      </c>
      <c r="V2042" s="229">
        <v>0</v>
      </c>
      <c r="W2042" s="229">
        <v>32</v>
      </c>
      <c r="X2042" s="229">
        <v>0</v>
      </c>
      <c r="Y2042" s="229">
        <v>0</v>
      </c>
      <c r="Z2042" s="229">
        <v>0</v>
      </c>
      <c r="AA2042" s="229">
        <v>0</v>
      </c>
      <c r="AB2042" s="229">
        <v>1</v>
      </c>
      <c r="AC2042" s="12">
        <v>2</v>
      </c>
      <c r="AD2042" s="14">
        <v>3</v>
      </c>
      <c r="AE2042" s="14">
        <v>122</v>
      </c>
      <c r="AF2042" s="26">
        <v>237</v>
      </c>
      <c r="AG2042" s="12">
        <v>117</v>
      </c>
      <c r="AH2042" s="14">
        <v>0</v>
      </c>
      <c r="AI2042" s="209"/>
      <c r="AJ2042" s="3"/>
      <c r="AK2042" s="3"/>
      <c r="AL2042" s="3"/>
      <c r="AM2042" s="3"/>
      <c r="AN2042" s="3"/>
      <c r="AO2042" s="40"/>
      <c r="AP2042" s="209"/>
      <c r="AQ2042" s="3"/>
      <c r="AR2042" s="40"/>
      <c r="AS2042" s="238"/>
    </row>
    <row r="2043" spans="1:45" s="229" customFormat="1" ht="17" thickBot="1">
      <c r="A2043" s="55" t="s">
        <v>324</v>
      </c>
      <c r="B2043" s="388">
        <v>18.29</v>
      </c>
      <c r="C2043" s="229" t="s">
        <v>315</v>
      </c>
      <c r="D2043" s="229" t="s">
        <v>637</v>
      </c>
      <c r="E2043" s="229" t="s">
        <v>0</v>
      </c>
      <c r="F2043" s="229">
        <v>302</v>
      </c>
      <c r="G2043" s="40">
        <f>F2043/120</f>
        <v>2.5166666666666666</v>
      </c>
      <c r="H2043" s="14">
        <v>0</v>
      </c>
      <c r="I2043" s="229">
        <v>0</v>
      </c>
      <c r="J2043" s="229">
        <v>0</v>
      </c>
      <c r="K2043" s="26">
        <v>1</v>
      </c>
      <c r="L2043" s="14">
        <v>1</v>
      </c>
      <c r="M2043" s="229">
        <v>0</v>
      </c>
      <c r="N2043" s="229">
        <v>0</v>
      </c>
      <c r="O2043" s="229">
        <v>0</v>
      </c>
      <c r="P2043" s="26">
        <v>1</v>
      </c>
      <c r="Q2043" s="14">
        <v>1</v>
      </c>
      <c r="R2043" s="229">
        <v>2</v>
      </c>
      <c r="S2043" s="229">
        <v>6</v>
      </c>
      <c r="T2043" s="229">
        <v>0</v>
      </c>
      <c r="U2043" s="229">
        <v>0</v>
      </c>
      <c r="V2043" s="229">
        <v>0</v>
      </c>
      <c r="W2043" s="229">
        <v>0</v>
      </c>
      <c r="X2043" s="229">
        <v>0</v>
      </c>
      <c r="Y2043" s="229">
        <v>0</v>
      </c>
      <c r="Z2043" s="229">
        <v>0</v>
      </c>
      <c r="AA2043" s="229">
        <v>0</v>
      </c>
      <c r="AB2043" s="229">
        <v>0</v>
      </c>
      <c r="AC2043" s="12">
        <v>1</v>
      </c>
      <c r="AD2043" s="14">
        <v>1</v>
      </c>
      <c r="AE2043" s="14">
        <v>0</v>
      </c>
      <c r="AF2043" s="26">
        <v>0</v>
      </c>
      <c r="AG2043" s="12">
        <v>83</v>
      </c>
      <c r="AH2043" s="14">
        <v>0</v>
      </c>
      <c r="AI2043" s="209"/>
      <c r="AJ2043" s="3"/>
      <c r="AK2043" s="3"/>
      <c r="AL2043" s="3"/>
      <c r="AM2043" s="3"/>
      <c r="AN2043" s="3"/>
      <c r="AO2043" s="40"/>
      <c r="AP2043" s="209"/>
      <c r="AQ2043" s="3"/>
      <c r="AR2043" s="40"/>
      <c r="AS2043" s="238"/>
    </row>
    <row r="2044" spans="1:45" s="229" customFormat="1" ht="17" thickBot="1">
      <c r="A2044" s="88" t="s">
        <v>324</v>
      </c>
      <c r="B2044" s="391">
        <v>17.836533333333332</v>
      </c>
      <c r="C2044" s="30" t="s">
        <v>307</v>
      </c>
      <c r="D2044" s="30" t="s">
        <v>423</v>
      </c>
      <c r="E2044" s="30"/>
      <c r="F2044" s="30">
        <v>254</v>
      </c>
      <c r="G2044" s="45">
        <f>F2044/220</f>
        <v>1.1545454545454545</v>
      </c>
      <c r="H2044" s="28">
        <v>0</v>
      </c>
      <c r="I2044" s="30">
        <v>0</v>
      </c>
      <c r="J2044" s="30">
        <v>1</v>
      </c>
      <c r="K2044" s="29">
        <v>0</v>
      </c>
      <c r="L2044" s="28">
        <v>0</v>
      </c>
      <c r="M2044" s="30">
        <v>0</v>
      </c>
      <c r="N2044" s="30">
        <v>0</v>
      </c>
      <c r="O2044" s="30">
        <v>1</v>
      </c>
      <c r="P2044" s="29">
        <v>1</v>
      </c>
      <c r="Q2044" s="28">
        <v>3</v>
      </c>
      <c r="R2044" s="30">
        <v>3</v>
      </c>
      <c r="S2044" s="30">
        <v>14</v>
      </c>
      <c r="T2044" s="30">
        <v>0</v>
      </c>
      <c r="U2044" s="30">
        <v>0</v>
      </c>
      <c r="V2044" s="30">
        <v>3</v>
      </c>
      <c r="W2044" s="30">
        <v>17</v>
      </c>
      <c r="X2044" s="30">
        <v>0</v>
      </c>
      <c r="Y2044" s="30">
        <v>0</v>
      </c>
      <c r="Z2044" s="30">
        <v>0</v>
      </c>
      <c r="AA2044" s="30">
        <v>29</v>
      </c>
      <c r="AB2044" s="30">
        <v>1</v>
      </c>
      <c r="AC2044" s="27">
        <v>1</v>
      </c>
      <c r="AD2044" s="28">
        <v>1</v>
      </c>
      <c r="AE2044" s="28">
        <v>0</v>
      </c>
      <c r="AF2044" s="29">
        <v>0</v>
      </c>
      <c r="AG2044" s="27">
        <v>67</v>
      </c>
      <c r="AH2044" s="28">
        <v>0</v>
      </c>
      <c r="AI2044" s="211"/>
      <c r="AJ2044" s="77"/>
      <c r="AK2044" s="77"/>
      <c r="AL2044" s="77"/>
      <c r="AM2044" s="77"/>
      <c r="AN2044" s="77"/>
      <c r="AO2044" s="45"/>
      <c r="AP2044" s="211"/>
      <c r="AQ2044" s="77"/>
      <c r="AR2044" s="45"/>
      <c r="AS2044" s="236"/>
    </row>
    <row r="2045" spans="1:45" s="229" customFormat="1">
      <c r="A2045" s="87" t="s">
        <v>324</v>
      </c>
      <c r="B2045" s="384">
        <v>17.836533333333332</v>
      </c>
      <c r="C2045" s="229" t="s">
        <v>306</v>
      </c>
      <c r="D2045" s="229" t="s">
        <v>423</v>
      </c>
      <c r="E2045" s="229" t="s">
        <v>0</v>
      </c>
      <c r="F2045" s="229">
        <v>134</v>
      </c>
      <c r="G2045" s="40">
        <f>F2045/67</f>
        <v>2</v>
      </c>
      <c r="H2045" s="14">
        <v>1</v>
      </c>
      <c r="I2045" s="229">
        <v>0</v>
      </c>
      <c r="J2045" s="229">
        <v>0</v>
      </c>
      <c r="K2045" s="26">
        <v>0</v>
      </c>
      <c r="L2045" s="14">
        <v>0</v>
      </c>
      <c r="M2045" s="229">
        <v>0</v>
      </c>
      <c r="N2045" s="229">
        <v>0</v>
      </c>
      <c r="O2045" s="229">
        <v>1</v>
      </c>
      <c r="P2045" s="26">
        <v>1</v>
      </c>
      <c r="Q2045" s="14">
        <v>0</v>
      </c>
      <c r="R2045" s="229">
        <v>0</v>
      </c>
      <c r="S2045" s="229">
        <v>0</v>
      </c>
      <c r="T2045" s="229">
        <v>0</v>
      </c>
      <c r="U2045" s="229">
        <v>0</v>
      </c>
      <c r="V2045" s="229">
        <v>0</v>
      </c>
      <c r="W2045" s="229">
        <v>0</v>
      </c>
      <c r="X2045" s="229">
        <v>0</v>
      </c>
      <c r="Y2045" s="229">
        <v>0</v>
      </c>
      <c r="Z2045" s="229">
        <v>0</v>
      </c>
      <c r="AA2045" s="229">
        <v>0</v>
      </c>
      <c r="AB2045" s="229">
        <v>0</v>
      </c>
      <c r="AC2045" s="12">
        <v>1</v>
      </c>
      <c r="AD2045" s="14">
        <v>1</v>
      </c>
      <c r="AE2045" s="14">
        <v>0</v>
      </c>
      <c r="AF2045" s="26">
        <v>0</v>
      </c>
      <c r="AG2045" s="12">
        <v>38</v>
      </c>
      <c r="AH2045" s="14">
        <v>0</v>
      </c>
      <c r="AI2045" s="209"/>
      <c r="AJ2045" s="3"/>
      <c r="AK2045" s="3"/>
      <c r="AL2045" s="3"/>
      <c r="AM2045" s="3"/>
      <c r="AN2045" s="3"/>
      <c r="AO2045" s="40"/>
      <c r="AP2045" s="209"/>
      <c r="AQ2045" s="3"/>
      <c r="AR2045" s="40"/>
      <c r="AS2045" s="238"/>
    </row>
    <row r="2046" spans="1:45" s="229" customFormat="1">
      <c r="A2046" s="42" t="s">
        <v>324</v>
      </c>
      <c r="B2046" s="386">
        <v>17.836533333333332</v>
      </c>
      <c r="C2046" s="229" t="s">
        <v>306</v>
      </c>
      <c r="D2046" s="229" t="s">
        <v>423</v>
      </c>
      <c r="E2046" s="229" t="s">
        <v>1</v>
      </c>
      <c r="F2046" s="229">
        <v>113</v>
      </c>
      <c r="G2046" s="40">
        <f>F2046/53</f>
        <v>2.1320754716981134</v>
      </c>
      <c r="H2046" s="14">
        <v>1</v>
      </c>
      <c r="I2046" s="229">
        <v>0</v>
      </c>
      <c r="J2046" s="229">
        <v>0</v>
      </c>
      <c r="K2046" s="26">
        <v>0</v>
      </c>
      <c r="L2046" s="14">
        <v>0</v>
      </c>
      <c r="M2046" s="229">
        <v>0</v>
      </c>
      <c r="N2046" s="229">
        <v>0</v>
      </c>
      <c r="O2046" s="229">
        <v>0</v>
      </c>
      <c r="P2046" s="26">
        <v>0</v>
      </c>
      <c r="Q2046" s="14">
        <v>1</v>
      </c>
      <c r="R2046" s="229">
        <v>0</v>
      </c>
      <c r="S2046" s="229">
        <v>5</v>
      </c>
      <c r="T2046" s="229">
        <v>0</v>
      </c>
      <c r="U2046" s="229">
        <v>0</v>
      </c>
      <c r="V2046" s="229">
        <v>0</v>
      </c>
      <c r="W2046" s="229">
        <v>0</v>
      </c>
      <c r="X2046" s="229">
        <v>0</v>
      </c>
      <c r="Y2046" s="229">
        <v>0</v>
      </c>
      <c r="Z2046" s="229">
        <v>0</v>
      </c>
      <c r="AA2046" s="229">
        <v>0</v>
      </c>
      <c r="AB2046" s="229">
        <v>1</v>
      </c>
      <c r="AC2046" s="12">
        <v>1</v>
      </c>
      <c r="AD2046" s="14">
        <v>1</v>
      </c>
      <c r="AE2046" s="14">
        <v>0</v>
      </c>
      <c r="AF2046" s="26">
        <v>0</v>
      </c>
      <c r="AG2046" s="12">
        <v>38</v>
      </c>
      <c r="AH2046" s="14">
        <v>0</v>
      </c>
      <c r="AI2046" s="209"/>
      <c r="AJ2046" s="3"/>
      <c r="AK2046" s="3"/>
      <c r="AL2046" s="3"/>
      <c r="AM2046" s="3"/>
      <c r="AN2046" s="3"/>
      <c r="AO2046" s="40"/>
      <c r="AP2046" s="209"/>
      <c r="AQ2046" s="3"/>
      <c r="AR2046" s="40"/>
      <c r="AS2046" s="238"/>
    </row>
    <row r="2047" spans="1:45" s="229" customFormat="1">
      <c r="A2047" s="42" t="s">
        <v>324</v>
      </c>
      <c r="B2047" s="386">
        <v>17.836533333333332</v>
      </c>
      <c r="C2047" s="229" t="s">
        <v>306</v>
      </c>
      <c r="D2047" s="229" t="s">
        <v>622</v>
      </c>
      <c r="F2047" s="229">
        <v>142</v>
      </c>
      <c r="G2047" s="40">
        <f>F2047/103</f>
        <v>1.3786407766990292</v>
      </c>
      <c r="H2047" s="14">
        <v>1</v>
      </c>
      <c r="I2047" s="229">
        <v>0</v>
      </c>
      <c r="J2047" s="229">
        <v>0</v>
      </c>
      <c r="K2047" s="26">
        <v>1</v>
      </c>
      <c r="L2047" s="14">
        <v>0</v>
      </c>
      <c r="M2047" s="229">
        <v>0</v>
      </c>
      <c r="N2047" s="229">
        <v>0</v>
      </c>
      <c r="O2047" s="229">
        <v>0</v>
      </c>
      <c r="P2047" s="26">
        <v>0</v>
      </c>
      <c r="Q2047" s="14">
        <v>1</v>
      </c>
      <c r="R2047" s="229">
        <v>0</v>
      </c>
      <c r="S2047" s="229">
        <v>0</v>
      </c>
      <c r="T2047" s="229">
        <v>0</v>
      </c>
      <c r="U2047" s="229">
        <v>0</v>
      </c>
      <c r="V2047" s="229">
        <v>0</v>
      </c>
      <c r="W2047" s="229">
        <v>4</v>
      </c>
      <c r="X2047" s="229">
        <v>0</v>
      </c>
      <c r="Y2047" s="229">
        <v>0</v>
      </c>
      <c r="Z2047" s="229">
        <v>0</v>
      </c>
      <c r="AA2047" s="229">
        <v>0</v>
      </c>
      <c r="AB2047" s="229">
        <v>1</v>
      </c>
      <c r="AC2047" s="12">
        <v>2</v>
      </c>
      <c r="AD2047" s="14">
        <v>3</v>
      </c>
      <c r="AE2047" s="14">
        <v>44</v>
      </c>
      <c r="AF2047" s="26">
        <v>142</v>
      </c>
      <c r="AG2047" s="12">
        <v>32</v>
      </c>
      <c r="AH2047" s="14">
        <v>0</v>
      </c>
      <c r="AI2047" s="209"/>
      <c r="AJ2047" s="3"/>
      <c r="AK2047" s="3"/>
      <c r="AL2047" s="3"/>
      <c r="AM2047" s="3"/>
      <c r="AN2047" s="3"/>
      <c r="AO2047" s="40"/>
      <c r="AP2047" s="209"/>
      <c r="AQ2047" s="3"/>
      <c r="AR2047" s="40"/>
      <c r="AS2047" s="238"/>
    </row>
    <row r="2048" spans="1:45" s="229" customFormat="1">
      <c r="A2048" s="42" t="s">
        <v>324</v>
      </c>
      <c r="B2048" s="386">
        <v>17.836533333333332</v>
      </c>
      <c r="C2048" s="229" t="s">
        <v>306</v>
      </c>
      <c r="D2048" s="229" t="s">
        <v>620</v>
      </c>
      <c r="E2048" s="229" t="s">
        <v>0</v>
      </c>
      <c r="F2048" s="229">
        <v>171</v>
      </c>
      <c r="G2048" s="40">
        <f>F2048/122</f>
        <v>1.401639344262295</v>
      </c>
      <c r="H2048" s="14">
        <v>0</v>
      </c>
      <c r="I2048" s="229">
        <v>0</v>
      </c>
      <c r="J2048" s="229">
        <v>0</v>
      </c>
      <c r="K2048" s="26">
        <v>1</v>
      </c>
      <c r="L2048" s="14">
        <v>0</v>
      </c>
      <c r="M2048" s="229">
        <v>0</v>
      </c>
      <c r="N2048" s="229">
        <v>0</v>
      </c>
      <c r="O2048" s="229">
        <v>1</v>
      </c>
      <c r="P2048" s="26">
        <v>1</v>
      </c>
      <c r="Q2048" s="14">
        <v>1</v>
      </c>
      <c r="R2048" s="229">
        <v>0</v>
      </c>
      <c r="S2048" s="229">
        <v>0</v>
      </c>
      <c r="T2048" s="229">
        <v>0</v>
      </c>
      <c r="U2048" s="229">
        <v>0</v>
      </c>
      <c r="V2048" s="229">
        <v>5</v>
      </c>
      <c r="W2048" s="229">
        <v>7</v>
      </c>
      <c r="X2048" s="229">
        <v>0</v>
      </c>
      <c r="Y2048" s="229">
        <v>0</v>
      </c>
      <c r="Z2048" s="229">
        <v>0</v>
      </c>
      <c r="AA2048" s="229">
        <v>7</v>
      </c>
      <c r="AB2048" s="229">
        <v>1</v>
      </c>
      <c r="AC2048" s="12">
        <v>1</v>
      </c>
      <c r="AD2048" s="14">
        <v>1</v>
      </c>
      <c r="AE2048" s="14">
        <v>0</v>
      </c>
      <c r="AF2048" s="26">
        <v>0</v>
      </c>
      <c r="AG2048" s="12">
        <v>64</v>
      </c>
      <c r="AH2048" s="14">
        <v>0</v>
      </c>
      <c r="AI2048" s="209"/>
      <c r="AJ2048" s="3"/>
      <c r="AK2048" s="3"/>
      <c r="AL2048" s="3"/>
      <c r="AM2048" s="3"/>
      <c r="AN2048" s="3"/>
      <c r="AO2048" s="40"/>
      <c r="AP2048" s="209"/>
      <c r="AQ2048" s="3"/>
      <c r="AR2048" s="40"/>
      <c r="AS2048" s="238"/>
    </row>
    <row r="2049" spans="1:45" s="229" customFormat="1">
      <c r="A2049" s="42" t="s">
        <v>324</v>
      </c>
      <c r="B2049" s="386">
        <v>17.836533333333332</v>
      </c>
      <c r="C2049" s="229" t="s">
        <v>306</v>
      </c>
      <c r="D2049" s="229" t="s">
        <v>620</v>
      </c>
      <c r="E2049" s="229" t="s">
        <v>1</v>
      </c>
      <c r="F2049" s="229">
        <v>92</v>
      </c>
      <c r="G2049" s="40">
        <f>F2049/42</f>
        <v>2.1904761904761907</v>
      </c>
      <c r="H2049" s="14">
        <v>0</v>
      </c>
      <c r="I2049" s="229">
        <v>0</v>
      </c>
      <c r="J2049" s="229">
        <v>0</v>
      </c>
      <c r="K2049" s="26">
        <v>1</v>
      </c>
      <c r="L2049" s="14">
        <v>0</v>
      </c>
      <c r="M2049" s="229">
        <v>0</v>
      </c>
      <c r="N2049" s="229">
        <v>0</v>
      </c>
      <c r="O2049" s="229">
        <v>0</v>
      </c>
      <c r="P2049" s="26">
        <v>0</v>
      </c>
      <c r="Q2049" s="14">
        <v>1</v>
      </c>
      <c r="R2049" s="229">
        <v>0</v>
      </c>
      <c r="S2049" s="229">
        <v>2</v>
      </c>
      <c r="T2049" s="229">
        <v>0</v>
      </c>
      <c r="U2049" s="229">
        <v>0</v>
      </c>
      <c r="V2049" s="229">
        <v>0</v>
      </c>
      <c r="W2049" s="229">
        <v>0</v>
      </c>
      <c r="X2049" s="229">
        <v>0</v>
      </c>
      <c r="Y2049" s="229">
        <v>0</v>
      </c>
      <c r="Z2049" s="229">
        <v>0</v>
      </c>
      <c r="AA2049" s="229">
        <v>0</v>
      </c>
      <c r="AB2049" s="229">
        <v>1</v>
      </c>
      <c r="AC2049" s="12">
        <v>1</v>
      </c>
      <c r="AD2049" s="14">
        <v>1</v>
      </c>
      <c r="AE2049" s="14">
        <v>0</v>
      </c>
      <c r="AF2049" s="26">
        <v>0</v>
      </c>
      <c r="AG2049" s="12">
        <v>64</v>
      </c>
      <c r="AH2049" s="14">
        <v>0</v>
      </c>
      <c r="AI2049" s="209"/>
      <c r="AJ2049" s="3"/>
      <c r="AK2049" s="3"/>
      <c r="AL2049" s="3"/>
      <c r="AM2049" s="3"/>
      <c r="AN2049" s="3"/>
      <c r="AO2049" s="40"/>
      <c r="AP2049" s="209"/>
      <c r="AQ2049" s="3"/>
      <c r="AR2049" s="40"/>
      <c r="AS2049" s="238"/>
    </row>
    <row r="2050" spans="1:45" s="229" customFormat="1" ht="17" thickBot="1">
      <c r="A2050" s="55" t="s">
        <v>324</v>
      </c>
      <c r="B2050" s="385">
        <v>17.836533333333332</v>
      </c>
      <c r="C2050" s="229" t="s">
        <v>306</v>
      </c>
      <c r="D2050" s="229" t="s">
        <v>629</v>
      </c>
      <c r="F2050" s="229">
        <v>51</v>
      </c>
      <c r="G2050" s="40">
        <f>F2050/43</f>
        <v>1.1860465116279071</v>
      </c>
      <c r="H2050" s="14">
        <v>1</v>
      </c>
      <c r="I2050" s="229">
        <v>0</v>
      </c>
      <c r="J2050" s="229">
        <v>0</v>
      </c>
      <c r="K2050" s="26">
        <v>0</v>
      </c>
      <c r="L2050" s="14">
        <v>0</v>
      </c>
      <c r="M2050" s="229">
        <v>0</v>
      </c>
      <c r="N2050" s="229">
        <v>0</v>
      </c>
      <c r="O2050" s="229">
        <v>0</v>
      </c>
      <c r="P2050" s="26">
        <v>0</v>
      </c>
      <c r="Q2050" s="14">
        <v>0</v>
      </c>
      <c r="R2050" s="229">
        <v>0</v>
      </c>
      <c r="S2050" s="229">
        <v>0</v>
      </c>
      <c r="T2050" s="229">
        <v>0</v>
      </c>
      <c r="U2050" s="229">
        <v>0</v>
      </c>
      <c r="V2050" s="229">
        <v>0</v>
      </c>
      <c r="W2050" s="229">
        <v>0</v>
      </c>
      <c r="X2050" s="229">
        <v>0</v>
      </c>
      <c r="Y2050" s="229">
        <v>0</v>
      </c>
      <c r="Z2050" s="229">
        <v>0</v>
      </c>
      <c r="AA2050" s="229">
        <v>0</v>
      </c>
      <c r="AB2050" s="229">
        <v>0</v>
      </c>
      <c r="AC2050" s="12">
        <v>1</v>
      </c>
      <c r="AD2050" s="14">
        <v>1</v>
      </c>
      <c r="AE2050" s="14">
        <v>0</v>
      </c>
      <c r="AF2050" s="26">
        <v>0</v>
      </c>
      <c r="AG2050" s="12">
        <v>44</v>
      </c>
      <c r="AH2050" s="14">
        <v>0</v>
      </c>
      <c r="AI2050" s="209"/>
      <c r="AJ2050" s="3"/>
      <c r="AK2050" s="3"/>
      <c r="AL2050" s="3"/>
      <c r="AM2050" s="3"/>
      <c r="AN2050" s="3"/>
      <c r="AO2050" s="40"/>
      <c r="AP2050" s="209"/>
      <c r="AQ2050" s="3"/>
      <c r="AR2050" s="40"/>
      <c r="AS2050" s="238"/>
    </row>
    <row r="2051" spans="1:45" s="229" customFormat="1">
      <c r="A2051" s="87" t="s">
        <v>324</v>
      </c>
      <c r="B2051" s="384">
        <v>17.836533333333332</v>
      </c>
      <c r="C2051" s="8" t="s">
        <v>308</v>
      </c>
      <c r="D2051" s="8" t="s">
        <v>423</v>
      </c>
      <c r="E2051" s="8" t="s">
        <v>0</v>
      </c>
      <c r="F2051" s="8">
        <v>114</v>
      </c>
      <c r="G2051" s="10">
        <f>F2051/60</f>
        <v>1.9</v>
      </c>
      <c r="H2051" s="11">
        <v>0</v>
      </c>
      <c r="I2051" s="8">
        <v>0</v>
      </c>
      <c r="J2051" s="8">
        <v>0</v>
      </c>
      <c r="K2051" s="41">
        <v>1</v>
      </c>
      <c r="L2051" s="11">
        <v>0</v>
      </c>
      <c r="M2051" s="8">
        <v>0</v>
      </c>
      <c r="N2051" s="8">
        <v>0</v>
      </c>
      <c r="O2051" s="8">
        <v>0</v>
      </c>
      <c r="P2051" s="41">
        <v>0</v>
      </c>
      <c r="Q2051" s="11">
        <v>1</v>
      </c>
      <c r="R2051" s="8">
        <v>0</v>
      </c>
      <c r="S2051" s="8">
        <v>0</v>
      </c>
      <c r="T2051" s="8">
        <v>0</v>
      </c>
      <c r="U2051" s="8">
        <v>0</v>
      </c>
      <c r="V2051" s="8">
        <v>0</v>
      </c>
      <c r="W2051" s="8">
        <v>0</v>
      </c>
      <c r="X2051" s="8">
        <v>0</v>
      </c>
      <c r="Y2051" s="8">
        <v>11</v>
      </c>
      <c r="Z2051" s="8">
        <v>0</v>
      </c>
      <c r="AA2051" s="8">
        <v>0</v>
      </c>
      <c r="AB2051" s="8">
        <v>1</v>
      </c>
      <c r="AC2051" s="9">
        <v>2</v>
      </c>
      <c r="AD2051" s="11">
        <v>2</v>
      </c>
      <c r="AE2051" s="11">
        <v>72</v>
      </c>
      <c r="AF2051" s="41">
        <v>108</v>
      </c>
      <c r="AG2051" s="9">
        <v>112</v>
      </c>
      <c r="AH2051" s="11">
        <v>0</v>
      </c>
      <c r="AI2051" s="208"/>
      <c r="AJ2051" s="54"/>
      <c r="AK2051" s="54"/>
      <c r="AL2051" s="54"/>
      <c r="AM2051" s="54"/>
      <c r="AN2051" s="54"/>
      <c r="AO2051" s="10"/>
      <c r="AP2051" s="208"/>
      <c r="AQ2051" s="54"/>
      <c r="AR2051" s="10"/>
      <c r="AS2051" s="237"/>
    </row>
    <row r="2052" spans="1:45" s="229" customFormat="1">
      <c r="A2052" s="42" t="s">
        <v>324</v>
      </c>
      <c r="B2052" s="386">
        <v>17.836533333333332</v>
      </c>
      <c r="C2052" s="229" t="s">
        <v>308</v>
      </c>
      <c r="D2052" s="229" t="s">
        <v>423</v>
      </c>
      <c r="E2052" s="229" t="s">
        <v>1</v>
      </c>
      <c r="F2052" s="229">
        <v>169</v>
      </c>
      <c r="G2052" s="40">
        <f>F2052/91</f>
        <v>1.8571428571428572</v>
      </c>
      <c r="H2052" s="14">
        <v>0</v>
      </c>
      <c r="I2052" s="229">
        <v>0</v>
      </c>
      <c r="J2052" s="229">
        <v>0</v>
      </c>
      <c r="K2052" s="26">
        <v>1</v>
      </c>
      <c r="L2052" s="14">
        <v>0</v>
      </c>
      <c r="M2052" s="229">
        <v>0</v>
      </c>
      <c r="N2052" s="229">
        <v>0</v>
      </c>
      <c r="O2052" s="229">
        <v>0</v>
      </c>
      <c r="P2052" s="26">
        <v>0</v>
      </c>
      <c r="Q2052" s="14">
        <v>2</v>
      </c>
      <c r="R2052" s="229">
        <v>0</v>
      </c>
      <c r="S2052" s="229">
        <v>0</v>
      </c>
      <c r="T2052" s="229">
        <v>0</v>
      </c>
      <c r="U2052" s="229">
        <v>0</v>
      </c>
      <c r="V2052" s="229">
        <v>0</v>
      </c>
      <c r="W2052" s="229">
        <v>0</v>
      </c>
      <c r="X2052" s="229">
        <v>0</v>
      </c>
      <c r="Y2052" s="229">
        <v>21</v>
      </c>
      <c r="Z2052" s="229">
        <v>0</v>
      </c>
      <c r="AA2052" s="229">
        <v>0</v>
      </c>
      <c r="AB2052" s="229">
        <v>1</v>
      </c>
      <c r="AC2052" s="12">
        <v>2</v>
      </c>
      <c r="AD2052" s="14">
        <v>5</v>
      </c>
      <c r="AE2052" s="14">
        <v>18</v>
      </c>
      <c r="AF2052" s="26">
        <v>91</v>
      </c>
      <c r="AG2052" s="12">
        <v>112</v>
      </c>
      <c r="AH2052" s="14">
        <v>0</v>
      </c>
      <c r="AI2052" s="209"/>
      <c r="AJ2052" s="3"/>
      <c r="AK2052" s="3"/>
      <c r="AL2052" s="3"/>
      <c r="AM2052" s="3"/>
      <c r="AN2052" s="3"/>
      <c r="AO2052" s="40"/>
      <c r="AP2052" s="209"/>
      <c r="AQ2052" s="3"/>
      <c r="AR2052" s="40"/>
      <c r="AS2052" s="238"/>
    </row>
    <row r="2053" spans="1:45" s="229" customFormat="1">
      <c r="A2053" s="42" t="s">
        <v>324</v>
      </c>
      <c r="B2053" s="386">
        <v>17.836533333333332</v>
      </c>
      <c r="C2053" s="229" t="s">
        <v>308</v>
      </c>
      <c r="D2053" s="229" t="s">
        <v>423</v>
      </c>
      <c r="E2053" s="229" t="s">
        <v>2</v>
      </c>
      <c r="F2053" s="229">
        <v>86</v>
      </c>
      <c r="G2053" s="40">
        <f>F2053/43</f>
        <v>2</v>
      </c>
      <c r="H2053" s="14">
        <v>1</v>
      </c>
      <c r="I2053" s="229">
        <v>0</v>
      </c>
      <c r="J2053" s="229">
        <v>0</v>
      </c>
      <c r="K2053" s="26">
        <v>0</v>
      </c>
      <c r="L2053" s="14">
        <v>0</v>
      </c>
      <c r="M2053" s="229">
        <v>0</v>
      </c>
      <c r="N2053" s="229">
        <v>0</v>
      </c>
      <c r="O2053" s="229">
        <v>0</v>
      </c>
      <c r="P2053" s="26">
        <v>0</v>
      </c>
      <c r="Q2053" s="14">
        <v>0</v>
      </c>
      <c r="R2053" s="229">
        <v>0</v>
      </c>
      <c r="S2053" s="229">
        <v>0</v>
      </c>
      <c r="T2053" s="229">
        <v>0</v>
      </c>
      <c r="U2053" s="229">
        <v>0</v>
      </c>
      <c r="V2053" s="229">
        <v>0</v>
      </c>
      <c r="W2053" s="229">
        <v>0</v>
      </c>
      <c r="X2053" s="229">
        <v>0</v>
      </c>
      <c r="Y2053" s="229">
        <v>0</v>
      </c>
      <c r="Z2053" s="229">
        <v>0</v>
      </c>
      <c r="AA2053" s="229">
        <v>0</v>
      </c>
      <c r="AB2053" s="229">
        <v>0</v>
      </c>
      <c r="AC2053" s="12">
        <v>1</v>
      </c>
      <c r="AD2053" s="14">
        <v>1</v>
      </c>
      <c r="AE2053" s="14">
        <v>0</v>
      </c>
      <c r="AF2053" s="26">
        <v>0</v>
      </c>
      <c r="AG2053" s="12">
        <v>112</v>
      </c>
      <c r="AH2053" s="14">
        <v>0</v>
      </c>
      <c r="AI2053" s="209"/>
      <c r="AJ2053" s="3"/>
      <c r="AK2053" s="3"/>
      <c r="AL2053" s="3"/>
      <c r="AM2053" s="3"/>
      <c r="AN2053" s="3"/>
      <c r="AO2053" s="40"/>
      <c r="AP2053" s="209"/>
      <c r="AQ2053" s="3"/>
      <c r="AR2053" s="40"/>
      <c r="AS2053" s="238"/>
    </row>
    <row r="2054" spans="1:45" s="229" customFormat="1">
      <c r="A2054" s="42" t="s">
        <v>324</v>
      </c>
      <c r="B2054" s="386">
        <v>17.836533333333332</v>
      </c>
      <c r="C2054" s="229" t="s">
        <v>308</v>
      </c>
      <c r="D2054" s="229" t="s">
        <v>622</v>
      </c>
      <c r="E2054" s="229" t="s">
        <v>0</v>
      </c>
      <c r="F2054" s="229">
        <v>165</v>
      </c>
      <c r="G2054" s="40">
        <f>F2054/142</f>
        <v>1.1619718309859155</v>
      </c>
      <c r="H2054" s="14">
        <v>1</v>
      </c>
      <c r="I2054" s="229">
        <v>0</v>
      </c>
      <c r="J2054" s="229">
        <v>0</v>
      </c>
      <c r="K2054" s="26">
        <v>1</v>
      </c>
      <c r="L2054" s="14">
        <v>0</v>
      </c>
      <c r="M2054" s="229">
        <v>0</v>
      </c>
      <c r="N2054" s="229">
        <v>0</v>
      </c>
      <c r="O2054" s="229">
        <v>0</v>
      </c>
      <c r="P2054" s="26">
        <v>0</v>
      </c>
      <c r="Q2054" s="14">
        <v>0</v>
      </c>
      <c r="R2054" s="229">
        <v>0</v>
      </c>
      <c r="S2054" s="229">
        <v>0</v>
      </c>
      <c r="T2054" s="229">
        <v>0</v>
      </c>
      <c r="U2054" s="229">
        <v>0</v>
      </c>
      <c r="V2054" s="229">
        <v>0</v>
      </c>
      <c r="W2054" s="229">
        <v>0</v>
      </c>
      <c r="X2054" s="229">
        <v>0</v>
      </c>
      <c r="Y2054" s="229">
        <v>0</v>
      </c>
      <c r="Z2054" s="229">
        <v>0</v>
      </c>
      <c r="AA2054" s="229">
        <v>0</v>
      </c>
      <c r="AB2054" s="229">
        <v>0</v>
      </c>
      <c r="AC2054" s="12">
        <v>2</v>
      </c>
      <c r="AD2054" s="14">
        <v>2</v>
      </c>
      <c r="AE2054" s="14">
        <v>65</v>
      </c>
      <c r="AF2054" s="26">
        <v>100</v>
      </c>
      <c r="AG2054" s="12">
        <v>85</v>
      </c>
      <c r="AH2054" s="14">
        <v>0</v>
      </c>
      <c r="AI2054" s="209"/>
      <c r="AJ2054" s="3"/>
      <c r="AK2054" s="3"/>
      <c r="AL2054" s="3"/>
      <c r="AM2054" s="3"/>
      <c r="AN2054" s="3"/>
      <c r="AO2054" s="40"/>
      <c r="AP2054" s="209"/>
      <c r="AQ2054" s="3"/>
      <c r="AR2054" s="40"/>
      <c r="AS2054" s="238"/>
    </row>
    <row r="2055" spans="1:45" s="229" customFormat="1">
      <c r="A2055" s="42" t="s">
        <v>324</v>
      </c>
      <c r="B2055" s="386">
        <v>17.836533333333332</v>
      </c>
      <c r="C2055" s="229" t="s">
        <v>308</v>
      </c>
      <c r="D2055" s="229" t="s">
        <v>622</v>
      </c>
      <c r="E2055" s="229" t="s">
        <v>1</v>
      </c>
      <c r="F2055" s="229">
        <v>100</v>
      </c>
      <c r="G2055" s="40">
        <f>F2055/64</f>
        <v>1.5625</v>
      </c>
      <c r="H2055" s="14">
        <v>0</v>
      </c>
      <c r="I2055" s="229">
        <v>0</v>
      </c>
      <c r="J2055" s="229">
        <v>0</v>
      </c>
      <c r="K2055" s="26">
        <v>1</v>
      </c>
      <c r="L2055" s="14">
        <v>0</v>
      </c>
      <c r="M2055" s="229">
        <v>0</v>
      </c>
      <c r="N2055" s="229">
        <v>0</v>
      </c>
      <c r="O2055" s="229">
        <v>0</v>
      </c>
      <c r="P2055" s="26">
        <v>0</v>
      </c>
      <c r="Q2055" s="14">
        <v>0</v>
      </c>
      <c r="R2055" s="229">
        <v>0</v>
      </c>
      <c r="S2055" s="229">
        <v>0</v>
      </c>
      <c r="T2055" s="229">
        <v>0</v>
      </c>
      <c r="U2055" s="229">
        <v>0</v>
      </c>
      <c r="V2055" s="229">
        <v>0</v>
      </c>
      <c r="W2055" s="229">
        <v>0</v>
      </c>
      <c r="X2055" s="229">
        <v>0</v>
      </c>
      <c r="Y2055" s="229">
        <v>0</v>
      </c>
      <c r="Z2055" s="229">
        <v>0</v>
      </c>
      <c r="AA2055" s="229">
        <v>0</v>
      </c>
      <c r="AB2055" s="229">
        <v>0</v>
      </c>
      <c r="AC2055" s="12">
        <v>1</v>
      </c>
      <c r="AD2055" s="14">
        <v>1</v>
      </c>
      <c r="AE2055" s="14">
        <v>0</v>
      </c>
      <c r="AF2055" s="26">
        <v>0</v>
      </c>
      <c r="AG2055" s="12">
        <v>85</v>
      </c>
      <c r="AH2055" s="14">
        <v>0</v>
      </c>
      <c r="AI2055" s="209"/>
      <c r="AJ2055" s="3"/>
      <c r="AK2055" s="3"/>
      <c r="AL2055" s="3"/>
      <c r="AM2055" s="3"/>
      <c r="AN2055" s="3"/>
      <c r="AO2055" s="40"/>
      <c r="AP2055" s="209"/>
      <c r="AQ2055" s="3"/>
      <c r="AR2055" s="40"/>
      <c r="AS2055" s="238"/>
    </row>
    <row r="2056" spans="1:45" s="229" customFormat="1" ht="17" thickBot="1">
      <c r="A2056" s="55" t="s">
        <v>324</v>
      </c>
      <c r="B2056" s="385">
        <v>17.836533333333332</v>
      </c>
      <c r="C2056" s="36" t="s">
        <v>308</v>
      </c>
      <c r="D2056" s="36" t="s">
        <v>622</v>
      </c>
      <c r="E2056" s="36" t="s">
        <v>2</v>
      </c>
      <c r="F2056" s="36">
        <v>134</v>
      </c>
      <c r="G2056" s="48">
        <f>F2056/94</f>
        <v>1.425531914893617</v>
      </c>
      <c r="H2056" s="34">
        <v>1</v>
      </c>
      <c r="I2056" s="36">
        <v>0</v>
      </c>
      <c r="J2056" s="36">
        <v>0</v>
      </c>
      <c r="K2056" s="35">
        <v>0</v>
      </c>
      <c r="L2056" s="34">
        <v>0</v>
      </c>
      <c r="M2056" s="36">
        <v>0</v>
      </c>
      <c r="N2056" s="36">
        <v>0</v>
      </c>
      <c r="O2056" s="36">
        <v>1</v>
      </c>
      <c r="P2056" s="35">
        <v>1</v>
      </c>
      <c r="Q2056" s="34">
        <v>3</v>
      </c>
      <c r="R2056" s="36">
        <v>0</v>
      </c>
      <c r="S2056" s="36">
        <v>4</v>
      </c>
      <c r="T2056" s="36">
        <v>0</v>
      </c>
      <c r="U2056" s="36">
        <v>0</v>
      </c>
      <c r="V2056" s="36">
        <v>0</v>
      </c>
      <c r="W2056" s="36">
        <v>7</v>
      </c>
      <c r="X2056" s="36">
        <v>0</v>
      </c>
      <c r="Y2056" s="36">
        <v>0</v>
      </c>
      <c r="Z2056" s="36">
        <v>0</v>
      </c>
      <c r="AA2056" s="36">
        <v>0</v>
      </c>
      <c r="AB2056" s="36">
        <v>0</v>
      </c>
      <c r="AC2056" s="33">
        <v>1</v>
      </c>
      <c r="AD2056" s="34">
        <v>1</v>
      </c>
      <c r="AE2056" s="34">
        <v>0</v>
      </c>
      <c r="AF2056" s="35">
        <v>0</v>
      </c>
      <c r="AG2056" s="33">
        <v>85</v>
      </c>
      <c r="AH2056" s="34">
        <v>0</v>
      </c>
      <c r="AI2056" s="210"/>
      <c r="AJ2056" s="51"/>
      <c r="AK2056" s="51"/>
      <c r="AL2056" s="51"/>
      <c r="AM2056" s="51"/>
      <c r="AN2056" s="51"/>
      <c r="AO2056" s="48"/>
      <c r="AP2056" s="210"/>
      <c r="AQ2056" s="51"/>
      <c r="AR2056" s="48"/>
      <c r="AS2056" s="239"/>
    </row>
    <row r="2057" spans="1:45" s="229" customFormat="1">
      <c r="A2057" s="42" t="s">
        <v>324</v>
      </c>
      <c r="B2057" s="390">
        <v>20.454999999999998</v>
      </c>
      <c r="C2057" s="229" t="s">
        <v>318</v>
      </c>
      <c r="D2057" s="229" t="s">
        <v>423</v>
      </c>
      <c r="F2057" s="229">
        <v>1554</v>
      </c>
      <c r="G2057" s="40">
        <f>F2057/762</f>
        <v>2.0393700787401574</v>
      </c>
      <c r="H2057" s="14">
        <v>0</v>
      </c>
      <c r="I2057" s="229">
        <v>0</v>
      </c>
      <c r="J2057" s="229">
        <v>0</v>
      </c>
      <c r="K2057" s="26">
        <v>1</v>
      </c>
      <c r="L2057" s="14">
        <v>0</v>
      </c>
      <c r="M2057" s="229">
        <v>0</v>
      </c>
      <c r="N2057" s="229">
        <v>0</v>
      </c>
      <c r="O2057" s="229">
        <v>0</v>
      </c>
      <c r="P2057" s="26">
        <v>0</v>
      </c>
      <c r="Q2057" s="14">
        <v>1</v>
      </c>
      <c r="R2057" s="229">
        <v>0</v>
      </c>
      <c r="S2057" s="229">
        <v>0</v>
      </c>
      <c r="T2057" s="229">
        <v>0</v>
      </c>
      <c r="U2057" s="229">
        <v>0</v>
      </c>
      <c r="V2057" s="229">
        <v>0</v>
      </c>
      <c r="W2057" s="229">
        <v>36</v>
      </c>
      <c r="X2057" s="229">
        <v>0</v>
      </c>
      <c r="Y2057" s="229">
        <v>0</v>
      </c>
      <c r="Z2057" s="229">
        <v>0</v>
      </c>
      <c r="AA2057" s="229">
        <v>0</v>
      </c>
      <c r="AB2057" s="229">
        <v>1</v>
      </c>
      <c r="AC2057" s="12">
        <v>2</v>
      </c>
      <c r="AD2057" s="14">
        <v>11</v>
      </c>
      <c r="AE2057" s="14">
        <v>56</v>
      </c>
      <c r="AF2057" s="26">
        <v>628</v>
      </c>
      <c r="AG2057" s="12">
        <v>80</v>
      </c>
      <c r="AH2057" s="14">
        <v>0</v>
      </c>
      <c r="AI2057" s="209">
        <v>87.140202333715436</v>
      </c>
      <c r="AJ2057" s="3">
        <v>87.087386951377681</v>
      </c>
      <c r="AK2057" s="3">
        <v>86.745606683521444</v>
      </c>
      <c r="AL2057" s="3">
        <v>86.782783579017732</v>
      </c>
      <c r="AM2057" s="3">
        <v>86.908221766140173</v>
      </c>
      <c r="AN2057" s="3">
        <v>86.881620583973287</v>
      </c>
      <c r="AO2057" s="40">
        <v>86.819752504870593</v>
      </c>
      <c r="AP2057" s="209">
        <v>86.539744602362333</v>
      </c>
      <c r="AQ2057" s="3">
        <v>86.683404163381383</v>
      </c>
      <c r="AR2057" s="40"/>
      <c r="AS2057" s="238"/>
    </row>
    <row r="2058" spans="1:45" s="229" customFormat="1">
      <c r="A2058" s="42" t="s">
        <v>324</v>
      </c>
      <c r="B2058" s="390">
        <v>20.454999999999998</v>
      </c>
      <c r="C2058" s="229" t="s">
        <v>318</v>
      </c>
      <c r="D2058" s="229" t="s">
        <v>622</v>
      </c>
      <c r="E2058" s="229" t="s">
        <v>0</v>
      </c>
      <c r="F2058" s="229">
        <v>283</v>
      </c>
      <c r="G2058" s="40">
        <f>F2058/201</f>
        <v>1.407960199004975</v>
      </c>
      <c r="H2058" s="14">
        <v>0</v>
      </c>
      <c r="I2058" s="229">
        <v>0</v>
      </c>
      <c r="J2058" s="229">
        <v>0</v>
      </c>
      <c r="K2058" s="26">
        <v>1</v>
      </c>
      <c r="L2058" s="14">
        <v>0</v>
      </c>
      <c r="M2058" s="229">
        <v>0</v>
      </c>
      <c r="N2058" s="229">
        <v>0</v>
      </c>
      <c r="O2058" s="229">
        <v>0</v>
      </c>
      <c r="P2058" s="26">
        <v>0</v>
      </c>
      <c r="Q2058" s="14">
        <v>0</v>
      </c>
      <c r="R2058" s="229">
        <v>0</v>
      </c>
      <c r="S2058" s="229">
        <v>0</v>
      </c>
      <c r="T2058" s="229">
        <v>0</v>
      </c>
      <c r="U2058" s="229">
        <v>0</v>
      </c>
      <c r="V2058" s="229">
        <v>0</v>
      </c>
      <c r="W2058" s="229">
        <v>0</v>
      </c>
      <c r="X2058" s="229">
        <v>0</v>
      </c>
      <c r="Y2058" s="229">
        <v>0</v>
      </c>
      <c r="Z2058" s="229">
        <v>0</v>
      </c>
      <c r="AA2058" s="229">
        <v>0</v>
      </c>
      <c r="AB2058" s="229">
        <v>0</v>
      </c>
      <c r="AC2058" s="12">
        <v>2</v>
      </c>
      <c r="AD2058" s="14">
        <v>3</v>
      </c>
      <c r="AE2058" s="14">
        <v>93</v>
      </c>
      <c r="AF2058" s="26">
        <v>200</v>
      </c>
      <c r="AG2058" s="12">
        <v>56</v>
      </c>
      <c r="AH2058" s="14">
        <v>0</v>
      </c>
      <c r="AI2058" s="209"/>
      <c r="AJ2058" s="3"/>
      <c r="AK2058" s="3"/>
      <c r="AL2058" s="3"/>
      <c r="AM2058" s="3"/>
      <c r="AN2058" s="3"/>
      <c r="AO2058" s="40"/>
      <c r="AP2058" s="209"/>
      <c r="AQ2058" s="3"/>
      <c r="AR2058" s="40"/>
      <c r="AS2058" s="238"/>
    </row>
    <row r="2059" spans="1:45" s="229" customFormat="1" ht="17" thickBot="1">
      <c r="A2059" s="55" t="s">
        <v>324</v>
      </c>
      <c r="B2059" s="388">
        <v>20.454999999999998</v>
      </c>
      <c r="C2059" s="229" t="s">
        <v>318</v>
      </c>
      <c r="D2059" s="229" t="s">
        <v>622</v>
      </c>
      <c r="E2059" s="229" t="s">
        <v>1</v>
      </c>
      <c r="F2059" s="229">
        <v>53</v>
      </c>
      <c r="G2059" s="40">
        <f>F2059/39</f>
        <v>1.358974358974359</v>
      </c>
      <c r="H2059" s="14">
        <v>1</v>
      </c>
      <c r="I2059" s="229">
        <v>0</v>
      </c>
      <c r="J2059" s="229">
        <v>0</v>
      </c>
      <c r="K2059" s="26">
        <v>0</v>
      </c>
      <c r="L2059" s="14">
        <v>0</v>
      </c>
      <c r="M2059" s="229">
        <v>0</v>
      </c>
      <c r="N2059" s="229">
        <v>0</v>
      </c>
      <c r="O2059" s="229">
        <v>0</v>
      </c>
      <c r="P2059" s="26">
        <v>0</v>
      </c>
      <c r="Q2059" s="14">
        <v>0</v>
      </c>
      <c r="R2059" s="229">
        <v>0</v>
      </c>
      <c r="S2059" s="229">
        <v>0</v>
      </c>
      <c r="T2059" s="229">
        <v>0</v>
      </c>
      <c r="U2059" s="229">
        <v>0</v>
      </c>
      <c r="V2059" s="229">
        <v>0</v>
      </c>
      <c r="W2059" s="229">
        <v>0</v>
      </c>
      <c r="X2059" s="229">
        <v>0</v>
      </c>
      <c r="Y2059" s="229">
        <v>0</v>
      </c>
      <c r="Z2059" s="229">
        <v>0</v>
      </c>
      <c r="AA2059" s="229">
        <v>0</v>
      </c>
      <c r="AB2059" s="229">
        <v>0</v>
      </c>
      <c r="AC2059" s="12">
        <v>2</v>
      </c>
      <c r="AD2059" s="14">
        <v>2</v>
      </c>
      <c r="AE2059" s="14">
        <v>12</v>
      </c>
      <c r="AF2059" s="26">
        <v>53</v>
      </c>
      <c r="AG2059" s="12">
        <v>56</v>
      </c>
      <c r="AH2059" s="14">
        <v>0</v>
      </c>
      <c r="AI2059" s="209"/>
      <c r="AJ2059" s="3"/>
      <c r="AK2059" s="3"/>
      <c r="AL2059" s="3"/>
      <c r="AM2059" s="3"/>
      <c r="AN2059" s="3"/>
      <c r="AO2059" s="40"/>
      <c r="AP2059" s="209"/>
      <c r="AQ2059" s="3"/>
      <c r="AR2059" s="40"/>
      <c r="AS2059" s="238"/>
    </row>
    <row r="2060" spans="1:45" s="229" customFormat="1">
      <c r="A2060" s="87" t="s">
        <v>324</v>
      </c>
      <c r="B2060" s="389">
        <v>20.243333333333332</v>
      </c>
      <c r="C2060" s="8" t="s">
        <v>316</v>
      </c>
      <c r="D2060" s="8" t="s">
        <v>622</v>
      </c>
      <c r="E2060" s="8"/>
      <c r="F2060" s="8">
        <v>1982</v>
      </c>
      <c r="G2060" s="10">
        <f>F2060/1000</f>
        <v>1.982</v>
      </c>
      <c r="H2060" s="11">
        <v>0</v>
      </c>
      <c r="I2060" s="8">
        <v>1</v>
      </c>
      <c r="J2060" s="8">
        <v>0</v>
      </c>
      <c r="K2060" s="41">
        <v>0</v>
      </c>
      <c r="L2060" s="11">
        <v>0</v>
      </c>
      <c r="M2060" s="8">
        <v>0</v>
      </c>
      <c r="N2060" s="8">
        <v>1</v>
      </c>
      <c r="O2060" s="8">
        <v>0</v>
      </c>
      <c r="P2060" s="41">
        <v>1</v>
      </c>
      <c r="Q2060" s="11">
        <v>0</v>
      </c>
      <c r="R2060" s="8">
        <v>0</v>
      </c>
      <c r="S2060" s="8">
        <v>0</v>
      </c>
      <c r="T2060" s="8">
        <v>0</v>
      </c>
      <c r="U2060" s="8">
        <v>0</v>
      </c>
      <c r="V2060" s="8">
        <v>0</v>
      </c>
      <c r="W2060" s="8">
        <v>0</v>
      </c>
      <c r="X2060" s="8">
        <v>0</v>
      </c>
      <c r="Y2060" s="8">
        <v>0</v>
      </c>
      <c r="Z2060" s="8">
        <v>0</v>
      </c>
      <c r="AA2060" s="8">
        <v>0</v>
      </c>
      <c r="AB2060" s="8">
        <v>0</v>
      </c>
      <c r="AC2060" s="9">
        <v>1</v>
      </c>
      <c r="AD2060" s="11">
        <v>1</v>
      </c>
      <c r="AE2060" s="11">
        <v>0</v>
      </c>
      <c r="AF2060" s="41">
        <v>0</v>
      </c>
      <c r="AG2060" s="9">
        <v>115</v>
      </c>
      <c r="AH2060" s="11">
        <v>0</v>
      </c>
      <c r="AI2060" s="208">
        <v>90.359470333098315</v>
      </c>
      <c r="AJ2060" s="54"/>
      <c r="AK2060" s="54"/>
      <c r="AL2060" s="54"/>
      <c r="AM2060" s="54"/>
      <c r="AN2060" s="54"/>
      <c r="AO2060" s="10"/>
      <c r="AP2060" s="208">
        <v>82.020262323271851</v>
      </c>
      <c r="AQ2060" s="54"/>
      <c r="AR2060" s="10"/>
      <c r="AS2060" s="237"/>
    </row>
    <row r="2061" spans="1:45" s="229" customFormat="1">
      <c r="A2061" s="42" t="s">
        <v>324</v>
      </c>
      <c r="B2061" s="390">
        <v>20.243333333333332</v>
      </c>
      <c r="C2061" s="229" t="s">
        <v>316</v>
      </c>
      <c r="D2061" s="229" t="s">
        <v>620</v>
      </c>
      <c r="F2061" s="229">
        <v>2191</v>
      </c>
      <c r="G2061" s="40">
        <f>F2061/1556</f>
        <v>1.4080976863753214</v>
      </c>
      <c r="H2061" s="14">
        <v>1</v>
      </c>
      <c r="I2061" s="229">
        <v>0</v>
      </c>
      <c r="J2061" s="229">
        <v>0</v>
      </c>
      <c r="K2061" s="26">
        <v>1</v>
      </c>
      <c r="L2061" s="14">
        <v>0</v>
      </c>
      <c r="M2061" s="229">
        <v>0</v>
      </c>
      <c r="N2061" s="229">
        <v>1</v>
      </c>
      <c r="O2061" s="229">
        <v>0</v>
      </c>
      <c r="P2061" s="26">
        <v>1</v>
      </c>
      <c r="Q2061" s="14">
        <v>0</v>
      </c>
      <c r="R2061" s="229">
        <v>0</v>
      </c>
      <c r="S2061" s="229">
        <v>0</v>
      </c>
      <c r="T2061" s="229">
        <v>0</v>
      </c>
      <c r="U2061" s="229">
        <v>0</v>
      </c>
      <c r="V2061" s="229">
        <v>0</v>
      </c>
      <c r="W2061" s="229">
        <v>0</v>
      </c>
      <c r="X2061" s="229">
        <v>0</v>
      </c>
      <c r="Y2061" s="229">
        <v>0</v>
      </c>
      <c r="Z2061" s="229">
        <v>0</v>
      </c>
      <c r="AA2061" s="229">
        <v>0</v>
      </c>
      <c r="AB2061" s="229">
        <v>0</v>
      </c>
      <c r="AC2061" s="12">
        <v>2</v>
      </c>
      <c r="AD2061" s="14">
        <v>2</v>
      </c>
      <c r="AE2061" s="14">
        <v>1351</v>
      </c>
      <c r="AF2061" s="26">
        <v>2191</v>
      </c>
      <c r="AG2061" s="12">
        <v>150</v>
      </c>
      <c r="AH2061" s="14">
        <v>1</v>
      </c>
      <c r="AI2061" s="209">
        <v>90.028019443387691</v>
      </c>
      <c r="AJ2061" s="3"/>
      <c r="AK2061" s="3"/>
      <c r="AL2061" s="3"/>
      <c r="AM2061" s="3"/>
      <c r="AN2061" s="3"/>
      <c r="AO2061" s="40"/>
      <c r="AP2061" s="209">
        <v>85.277108335434917</v>
      </c>
      <c r="AQ2061" s="3"/>
      <c r="AR2061" s="40"/>
      <c r="AS2061" s="238"/>
    </row>
    <row r="2062" spans="1:45" s="229" customFormat="1">
      <c r="A2062" s="42" t="s">
        <v>324</v>
      </c>
      <c r="B2062" s="390">
        <v>20.243333333333332</v>
      </c>
      <c r="C2062" s="229" t="s">
        <v>316</v>
      </c>
      <c r="D2062" s="229" t="s">
        <v>629</v>
      </c>
      <c r="F2062" s="229">
        <v>1356</v>
      </c>
      <c r="G2062" s="40">
        <f>F2062/925</f>
        <v>1.4659459459459458</v>
      </c>
      <c r="H2062" s="14">
        <v>0</v>
      </c>
      <c r="I2062" s="229">
        <v>0</v>
      </c>
      <c r="J2062" s="229">
        <v>0</v>
      </c>
      <c r="K2062" s="26">
        <v>1</v>
      </c>
      <c r="L2062" s="14">
        <v>0</v>
      </c>
      <c r="M2062" s="229">
        <v>0</v>
      </c>
      <c r="N2062" s="229">
        <v>1</v>
      </c>
      <c r="O2062" s="229">
        <v>0</v>
      </c>
      <c r="P2062" s="26">
        <v>1</v>
      </c>
      <c r="Q2062" s="14">
        <v>0</v>
      </c>
      <c r="R2062" s="229">
        <v>0</v>
      </c>
      <c r="S2062" s="229">
        <v>0</v>
      </c>
      <c r="T2062" s="229">
        <v>0</v>
      </c>
      <c r="U2062" s="229">
        <v>0</v>
      </c>
      <c r="V2062" s="229">
        <v>0</v>
      </c>
      <c r="W2062" s="229">
        <v>0</v>
      </c>
      <c r="X2062" s="229">
        <v>0</v>
      </c>
      <c r="Y2062" s="229">
        <v>0</v>
      </c>
      <c r="Z2062" s="229">
        <v>0</v>
      </c>
      <c r="AA2062" s="229">
        <v>0</v>
      </c>
      <c r="AB2062" s="229">
        <v>0</v>
      </c>
      <c r="AC2062" s="12">
        <v>1</v>
      </c>
      <c r="AD2062" s="14">
        <v>1</v>
      </c>
      <c r="AE2062" s="14">
        <v>0</v>
      </c>
      <c r="AF2062" s="26">
        <v>0</v>
      </c>
      <c r="AG2062" s="12">
        <v>107</v>
      </c>
      <c r="AH2062" s="14">
        <v>1</v>
      </c>
      <c r="AI2062" s="209"/>
      <c r="AJ2062" s="3"/>
      <c r="AK2062" s="3"/>
      <c r="AL2062" s="3"/>
      <c r="AM2062" s="3"/>
      <c r="AN2062" s="3"/>
      <c r="AO2062" s="40"/>
      <c r="AP2062" s="209"/>
      <c r="AQ2062" s="3"/>
      <c r="AR2062" s="40"/>
      <c r="AS2062" s="238"/>
    </row>
    <row r="2063" spans="1:45" s="229" customFormat="1">
      <c r="A2063" s="42" t="s">
        <v>324</v>
      </c>
      <c r="B2063" s="390">
        <v>20.243333333333332</v>
      </c>
      <c r="C2063" s="229" t="s">
        <v>316</v>
      </c>
      <c r="D2063" s="229" t="s">
        <v>634</v>
      </c>
      <c r="F2063" s="229">
        <v>2423</v>
      </c>
      <c r="G2063" s="40">
        <f>F2063/1537</f>
        <v>1.5764476252439819</v>
      </c>
      <c r="H2063" s="14">
        <v>0</v>
      </c>
      <c r="I2063" s="229">
        <v>1</v>
      </c>
      <c r="J2063" s="229">
        <v>0</v>
      </c>
      <c r="K2063" s="26">
        <v>0</v>
      </c>
      <c r="L2063" s="14">
        <v>0</v>
      </c>
      <c r="M2063" s="229">
        <v>0</v>
      </c>
      <c r="N2063" s="229">
        <v>1</v>
      </c>
      <c r="O2063" s="229">
        <v>0</v>
      </c>
      <c r="P2063" s="26">
        <v>1</v>
      </c>
      <c r="Q2063" s="14">
        <v>2</v>
      </c>
      <c r="R2063" s="229">
        <v>0</v>
      </c>
      <c r="S2063" s="229">
        <v>0</v>
      </c>
      <c r="T2063" s="229">
        <v>0</v>
      </c>
      <c r="U2063" s="229">
        <v>0</v>
      </c>
      <c r="V2063" s="229">
        <v>0</v>
      </c>
      <c r="W2063" s="229">
        <v>0</v>
      </c>
      <c r="X2063" s="229">
        <v>0</v>
      </c>
      <c r="Y2063" s="229">
        <v>0</v>
      </c>
      <c r="Z2063" s="229">
        <v>64</v>
      </c>
      <c r="AA2063" s="229">
        <v>302</v>
      </c>
      <c r="AB2063" s="229">
        <v>0</v>
      </c>
      <c r="AC2063" s="12">
        <v>1</v>
      </c>
      <c r="AD2063" s="14">
        <v>1</v>
      </c>
      <c r="AE2063" s="14">
        <v>0</v>
      </c>
      <c r="AF2063" s="26">
        <v>0</v>
      </c>
      <c r="AG2063" s="12">
        <v>122</v>
      </c>
      <c r="AH2063" s="14">
        <v>1</v>
      </c>
      <c r="AI2063" s="209"/>
      <c r="AJ2063" s="3"/>
      <c r="AK2063" s="3"/>
      <c r="AL2063" s="3"/>
      <c r="AM2063" s="3"/>
      <c r="AN2063" s="3"/>
      <c r="AO2063" s="40"/>
      <c r="AP2063" s="209"/>
      <c r="AQ2063" s="3"/>
      <c r="AR2063" s="40"/>
      <c r="AS2063" s="238"/>
    </row>
    <row r="2064" spans="1:45" s="229" customFormat="1">
      <c r="A2064" s="42" t="s">
        <v>324</v>
      </c>
      <c r="B2064" s="390">
        <v>20.243333333333332</v>
      </c>
      <c r="C2064" s="229" t="s">
        <v>316</v>
      </c>
      <c r="D2064" s="229" t="s">
        <v>625</v>
      </c>
      <c r="F2064" s="229">
        <v>1036</v>
      </c>
      <c r="G2064" s="40">
        <f>F2064/753</f>
        <v>1.3758300132802126</v>
      </c>
      <c r="H2064" s="14">
        <v>0</v>
      </c>
      <c r="I2064" s="229">
        <v>0</v>
      </c>
      <c r="J2064" s="229">
        <v>0</v>
      </c>
      <c r="K2064" s="26">
        <v>1</v>
      </c>
      <c r="L2064" s="14">
        <v>0</v>
      </c>
      <c r="M2064" s="229">
        <v>0</v>
      </c>
      <c r="N2064" s="229">
        <v>1</v>
      </c>
      <c r="O2064" s="229">
        <v>0</v>
      </c>
      <c r="P2064" s="26">
        <v>1</v>
      </c>
      <c r="Q2064" s="14">
        <v>0</v>
      </c>
      <c r="R2064" s="229">
        <v>0</v>
      </c>
      <c r="S2064" s="229">
        <v>0</v>
      </c>
      <c r="T2064" s="229">
        <v>0</v>
      </c>
      <c r="U2064" s="229">
        <v>0</v>
      </c>
      <c r="V2064" s="229">
        <v>0</v>
      </c>
      <c r="W2064" s="229">
        <v>0</v>
      </c>
      <c r="X2064" s="229">
        <v>0</v>
      </c>
      <c r="Y2064" s="229">
        <v>0</v>
      </c>
      <c r="Z2064" s="229">
        <v>0</v>
      </c>
      <c r="AA2064" s="229">
        <v>0</v>
      </c>
      <c r="AB2064" s="229">
        <v>0</v>
      </c>
      <c r="AC2064" s="12">
        <v>1</v>
      </c>
      <c r="AD2064" s="14">
        <v>1</v>
      </c>
      <c r="AE2064" s="14">
        <v>0</v>
      </c>
      <c r="AF2064" s="26">
        <v>0</v>
      </c>
      <c r="AG2064" s="12">
        <v>103</v>
      </c>
      <c r="AH2064" s="14">
        <v>1</v>
      </c>
      <c r="AI2064" s="209"/>
      <c r="AJ2064" s="3"/>
      <c r="AK2064" s="3"/>
      <c r="AL2064" s="3"/>
      <c r="AM2064" s="3"/>
      <c r="AN2064" s="3"/>
      <c r="AO2064" s="40"/>
      <c r="AP2064" s="209"/>
      <c r="AQ2064" s="3"/>
      <c r="AR2064" s="40"/>
      <c r="AS2064" s="238"/>
    </row>
    <row r="2065" spans="1:45" s="229" customFormat="1">
      <c r="A2065" s="42" t="s">
        <v>324</v>
      </c>
      <c r="B2065" s="390">
        <v>20.243333333333332</v>
      </c>
      <c r="C2065" s="229" t="s">
        <v>316</v>
      </c>
      <c r="D2065" s="229" t="s">
        <v>630</v>
      </c>
      <c r="F2065" s="229">
        <v>1818</v>
      </c>
      <c r="G2065" s="40">
        <f>F2065/1276</f>
        <v>1.4247648902821317</v>
      </c>
      <c r="H2065" s="14">
        <v>1</v>
      </c>
      <c r="I2065" s="229">
        <v>0</v>
      </c>
      <c r="J2065" s="229">
        <v>0</v>
      </c>
      <c r="K2065" s="26">
        <v>0</v>
      </c>
      <c r="L2065" s="14">
        <v>0</v>
      </c>
      <c r="M2065" s="229">
        <v>0</v>
      </c>
      <c r="N2065" s="229">
        <v>1</v>
      </c>
      <c r="O2065" s="229">
        <v>0</v>
      </c>
      <c r="P2065" s="26">
        <v>1</v>
      </c>
      <c r="Q2065" s="14">
        <v>1</v>
      </c>
      <c r="R2065" s="229">
        <v>0</v>
      </c>
      <c r="S2065" s="229">
        <v>0</v>
      </c>
      <c r="T2065" s="229">
        <v>0</v>
      </c>
      <c r="U2065" s="229">
        <v>0</v>
      </c>
      <c r="V2065" s="229">
        <v>0</v>
      </c>
      <c r="W2065" s="229">
        <v>71</v>
      </c>
      <c r="X2065" s="229">
        <v>0</v>
      </c>
      <c r="Y2065" s="229">
        <v>0</v>
      </c>
      <c r="Z2065" s="229">
        <v>0</v>
      </c>
      <c r="AA2065" s="229">
        <v>0</v>
      </c>
      <c r="AB2065" s="229">
        <v>0</v>
      </c>
      <c r="AC2065" s="12">
        <v>1</v>
      </c>
      <c r="AD2065" s="14">
        <v>1</v>
      </c>
      <c r="AE2065" s="14">
        <v>0</v>
      </c>
      <c r="AF2065" s="26">
        <v>0</v>
      </c>
      <c r="AG2065" s="12">
        <v>113</v>
      </c>
      <c r="AH2065" s="14">
        <v>0</v>
      </c>
      <c r="AI2065" s="209">
        <v>89.973484670437813</v>
      </c>
      <c r="AJ2065" s="3"/>
      <c r="AK2065" s="3"/>
      <c r="AL2065" s="3"/>
      <c r="AM2065" s="3"/>
      <c r="AN2065" s="3"/>
      <c r="AO2065" s="40"/>
      <c r="AP2065" s="209">
        <v>83.537065764616301</v>
      </c>
      <c r="AQ2065" s="3"/>
      <c r="AR2065" s="40"/>
      <c r="AS2065" s="238"/>
    </row>
    <row r="2066" spans="1:45" s="229" customFormat="1">
      <c r="A2066" s="42" t="s">
        <v>324</v>
      </c>
      <c r="B2066" s="390">
        <v>20.243333333333332</v>
      </c>
      <c r="C2066" s="229" t="s">
        <v>316</v>
      </c>
      <c r="D2066" s="229" t="s">
        <v>637</v>
      </c>
      <c r="F2066" s="229">
        <v>2082</v>
      </c>
      <c r="G2066" s="40">
        <f>F2066/198</f>
        <v>10.515151515151516</v>
      </c>
      <c r="H2066" s="14">
        <v>1</v>
      </c>
      <c r="I2066" s="229">
        <v>0</v>
      </c>
      <c r="J2066" s="229">
        <v>0</v>
      </c>
      <c r="K2066" s="26">
        <v>0</v>
      </c>
      <c r="L2066" s="14">
        <v>0</v>
      </c>
      <c r="M2066" s="229">
        <v>0</v>
      </c>
      <c r="N2066" s="229">
        <v>1</v>
      </c>
      <c r="O2066" s="229">
        <v>0</v>
      </c>
      <c r="P2066" s="26">
        <v>1</v>
      </c>
      <c r="Q2066" s="14">
        <v>1</v>
      </c>
      <c r="R2066" s="229">
        <v>0</v>
      </c>
      <c r="S2066" s="229">
        <v>0</v>
      </c>
      <c r="T2066" s="229">
        <v>0</v>
      </c>
      <c r="U2066" s="229">
        <v>0</v>
      </c>
      <c r="V2066" s="229">
        <v>0</v>
      </c>
      <c r="W2066" s="229">
        <v>30</v>
      </c>
      <c r="X2066" s="229">
        <v>0</v>
      </c>
      <c r="Y2066" s="229">
        <v>0</v>
      </c>
      <c r="Z2066" s="229">
        <v>0</v>
      </c>
      <c r="AA2066" s="229">
        <v>0</v>
      </c>
      <c r="AB2066" s="229">
        <v>1</v>
      </c>
      <c r="AC2066" s="12">
        <v>1</v>
      </c>
      <c r="AD2066" s="14">
        <v>1</v>
      </c>
      <c r="AE2066" s="14">
        <v>0</v>
      </c>
      <c r="AF2066" s="26">
        <v>0</v>
      </c>
      <c r="AG2066" s="12">
        <v>120</v>
      </c>
      <c r="AH2066" s="14">
        <v>0</v>
      </c>
      <c r="AI2066" s="209"/>
      <c r="AJ2066" s="3"/>
      <c r="AK2066" s="3"/>
      <c r="AL2066" s="3"/>
      <c r="AM2066" s="3"/>
      <c r="AN2066" s="3"/>
      <c r="AO2066" s="40"/>
      <c r="AP2066" s="209"/>
      <c r="AQ2066" s="3"/>
      <c r="AR2066" s="40"/>
      <c r="AS2066" s="238"/>
    </row>
    <row r="2067" spans="1:45" s="229" customFormat="1">
      <c r="A2067" s="42" t="s">
        <v>324</v>
      </c>
      <c r="B2067" s="390">
        <v>20.243333333333332</v>
      </c>
      <c r="C2067" s="229" t="s">
        <v>316</v>
      </c>
      <c r="D2067" s="229" t="s">
        <v>638</v>
      </c>
      <c r="F2067" s="229">
        <v>2954</v>
      </c>
      <c r="G2067" s="40">
        <f>F2067/2219</f>
        <v>1.3312302839116719</v>
      </c>
      <c r="H2067" s="14">
        <v>1</v>
      </c>
      <c r="I2067" s="229">
        <v>0</v>
      </c>
      <c r="J2067" s="229">
        <v>0</v>
      </c>
      <c r="K2067" s="26">
        <v>0</v>
      </c>
      <c r="L2067" s="14">
        <v>0</v>
      </c>
      <c r="M2067" s="229">
        <v>0</v>
      </c>
      <c r="N2067" s="229">
        <v>1</v>
      </c>
      <c r="O2067" s="229">
        <v>0</v>
      </c>
      <c r="P2067" s="26">
        <v>1</v>
      </c>
      <c r="Q2067" s="14">
        <v>0</v>
      </c>
      <c r="R2067" s="229">
        <v>0</v>
      </c>
      <c r="S2067" s="229">
        <v>0</v>
      </c>
      <c r="T2067" s="229">
        <v>0</v>
      </c>
      <c r="U2067" s="229">
        <v>0</v>
      </c>
      <c r="V2067" s="229">
        <v>0</v>
      </c>
      <c r="W2067" s="229">
        <v>0</v>
      </c>
      <c r="X2067" s="229">
        <v>0</v>
      </c>
      <c r="Y2067" s="229">
        <v>0</v>
      </c>
      <c r="Z2067" s="229">
        <v>0</v>
      </c>
      <c r="AA2067" s="229">
        <v>0</v>
      </c>
      <c r="AB2067" s="229">
        <v>0</v>
      </c>
      <c r="AC2067" s="12">
        <v>2</v>
      </c>
      <c r="AD2067" s="14">
        <v>2</v>
      </c>
      <c r="AE2067" s="14">
        <v>942</v>
      </c>
      <c r="AF2067" s="26">
        <v>2417</v>
      </c>
      <c r="AG2067" s="12">
        <v>121</v>
      </c>
      <c r="AH2067" s="14">
        <v>1</v>
      </c>
      <c r="AI2067" s="209"/>
      <c r="AJ2067" s="3"/>
      <c r="AK2067" s="3"/>
      <c r="AL2067" s="3"/>
      <c r="AM2067" s="3"/>
      <c r="AN2067" s="3"/>
      <c r="AO2067" s="40"/>
      <c r="AP2067" s="209"/>
      <c r="AQ2067" s="3"/>
      <c r="AR2067" s="40"/>
      <c r="AS2067" s="238"/>
    </row>
    <row r="2068" spans="1:45" s="229" customFormat="1">
      <c r="A2068" s="42" t="s">
        <v>324</v>
      </c>
      <c r="B2068" s="390">
        <v>20.243333333333332</v>
      </c>
      <c r="C2068" s="229" t="s">
        <v>316</v>
      </c>
      <c r="D2068" s="229" t="s">
        <v>639</v>
      </c>
      <c r="F2068" s="229">
        <v>639</v>
      </c>
      <c r="G2068" s="40">
        <f>F2068/303</f>
        <v>2.108910891089109</v>
      </c>
      <c r="H2068" s="14">
        <v>0</v>
      </c>
      <c r="I2068" s="229">
        <v>0</v>
      </c>
      <c r="J2068" s="229">
        <v>1</v>
      </c>
      <c r="K2068" s="26">
        <v>0</v>
      </c>
      <c r="L2068" s="14">
        <v>0</v>
      </c>
      <c r="M2068" s="229">
        <v>0</v>
      </c>
      <c r="N2068" s="229">
        <v>1</v>
      </c>
      <c r="O2068" s="229">
        <v>0</v>
      </c>
      <c r="P2068" s="26">
        <v>1</v>
      </c>
      <c r="Q2068" s="14">
        <v>3</v>
      </c>
      <c r="R2068" s="229">
        <v>0</v>
      </c>
      <c r="S2068" s="229">
        <v>0</v>
      </c>
      <c r="T2068" s="229">
        <v>0</v>
      </c>
      <c r="U2068" s="229">
        <v>0</v>
      </c>
      <c r="V2068" s="229">
        <v>0</v>
      </c>
      <c r="W2068" s="229">
        <v>94</v>
      </c>
      <c r="X2068" s="229">
        <v>0</v>
      </c>
      <c r="Y2068" s="229">
        <v>0</v>
      </c>
      <c r="Z2068" s="229">
        <v>0</v>
      </c>
      <c r="AA2068" s="229">
        <v>93</v>
      </c>
      <c r="AB2068" s="229">
        <v>0</v>
      </c>
      <c r="AC2068" s="12">
        <v>1</v>
      </c>
      <c r="AD2068" s="14">
        <v>1</v>
      </c>
      <c r="AE2068" s="14">
        <v>0</v>
      </c>
      <c r="AF2068" s="26">
        <v>0</v>
      </c>
      <c r="AG2068" s="12">
        <v>105</v>
      </c>
      <c r="AH2068" s="14">
        <v>1</v>
      </c>
      <c r="AI2068" s="209">
        <v>89.606611495815287</v>
      </c>
      <c r="AJ2068" s="3"/>
      <c r="AK2068" s="3"/>
      <c r="AL2068" s="3"/>
      <c r="AM2068" s="3"/>
      <c r="AN2068" s="3"/>
      <c r="AO2068" s="40"/>
      <c r="AP2068" s="209">
        <v>83.723935448005932</v>
      </c>
      <c r="AQ2068" s="3"/>
      <c r="AR2068" s="40"/>
      <c r="AS2068" s="238"/>
    </row>
    <row r="2069" spans="1:45" s="229" customFormat="1">
      <c r="A2069" s="42" t="s">
        <v>324</v>
      </c>
      <c r="B2069" s="390">
        <v>20.243333333333332</v>
      </c>
      <c r="C2069" s="229" t="s">
        <v>316</v>
      </c>
      <c r="D2069" s="229" t="s">
        <v>640</v>
      </c>
      <c r="F2069" s="229">
        <v>2259</v>
      </c>
      <c r="G2069" s="40">
        <f>F2069/1788</f>
        <v>1.2634228187919463</v>
      </c>
      <c r="H2069" s="14">
        <v>0</v>
      </c>
      <c r="I2069" s="229">
        <v>0</v>
      </c>
      <c r="J2069" s="229">
        <v>0</v>
      </c>
      <c r="K2069" s="26">
        <v>1</v>
      </c>
      <c r="L2069" s="14">
        <v>0</v>
      </c>
      <c r="M2069" s="229">
        <v>0</v>
      </c>
      <c r="N2069" s="229">
        <v>1</v>
      </c>
      <c r="O2069" s="229">
        <v>0</v>
      </c>
      <c r="P2069" s="26">
        <v>1</v>
      </c>
      <c r="Q2069" s="14">
        <v>1</v>
      </c>
      <c r="R2069" s="229">
        <v>0</v>
      </c>
      <c r="S2069" s="229">
        <v>0</v>
      </c>
      <c r="T2069" s="229">
        <v>0</v>
      </c>
      <c r="U2069" s="229">
        <v>0</v>
      </c>
      <c r="V2069" s="229">
        <v>0</v>
      </c>
      <c r="W2069" s="229">
        <v>26</v>
      </c>
      <c r="X2069" s="229">
        <v>0</v>
      </c>
      <c r="Y2069" s="229">
        <v>0</v>
      </c>
      <c r="Z2069" s="229">
        <v>0</v>
      </c>
      <c r="AA2069" s="229">
        <v>17</v>
      </c>
      <c r="AB2069" s="229">
        <v>0</v>
      </c>
      <c r="AC2069" s="12">
        <v>1</v>
      </c>
      <c r="AD2069" s="14">
        <v>1</v>
      </c>
      <c r="AE2069" s="14">
        <v>0</v>
      </c>
      <c r="AF2069" s="26">
        <v>0</v>
      </c>
      <c r="AG2069" s="12">
        <v>94</v>
      </c>
      <c r="AH2069" s="14">
        <v>0</v>
      </c>
      <c r="AI2069" s="209"/>
      <c r="AJ2069" s="3"/>
      <c r="AK2069" s="3"/>
      <c r="AL2069" s="3"/>
      <c r="AM2069" s="3"/>
      <c r="AN2069" s="3"/>
      <c r="AO2069" s="40"/>
      <c r="AP2069" s="209"/>
      <c r="AQ2069" s="3"/>
      <c r="AR2069" s="40"/>
      <c r="AS2069" s="238"/>
    </row>
    <row r="2070" spans="1:45" s="229" customFormat="1">
      <c r="A2070" s="42" t="s">
        <v>324</v>
      </c>
      <c r="B2070" s="390">
        <v>20.243333333333332</v>
      </c>
      <c r="C2070" s="229" t="s">
        <v>316</v>
      </c>
      <c r="D2070" s="229" t="s">
        <v>641</v>
      </c>
      <c r="F2070" s="229">
        <v>840</v>
      </c>
      <c r="G2070" s="40">
        <f>F2070/699</f>
        <v>1.201716738197425</v>
      </c>
      <c r="H2070" s="14">
        <v>0</v>
      </c>
      <c r="I2070" s="229">
        <v>0</v>
      </c>
      <c r="J2070" s="229">
        <v>0</v>
      </c>
      <c r="K2070" s="26">
        <v>1</v>
      </c>
      <c r="L2070" s="14">
        <v>0</v>
      </c>
      <c r="M2070" s="229">
        <v>0</v>
      </c>
      <c r="N2070" s="229">
        <v>1</v>
      </c>
      <c r="O2070" s="229">
        <v>0</v>
      </c>
      <c r="P2070" s="26">
        <v>1</v>
      </c>
      <c r="Q2070" s="14">
        <v>0</v>
      </c>
      <c r="R2070" s="229">
        <v>0</v>
      </c>
      <c r="S2070" s="229">
        <v>0</v>
      </c>
      <c r="T2070" s="229">
        <v>0</v>
      </c>
      <c r="U2070" s="229">
        <v>0</v>
      </c>
      <c r="V2070" s="229">
        <v>0</v>
      </c>
      <c r="W2070" s="229">
        <v>0</v>
      </c>
      <c r="X2070" s="229">
        <v>0</v>
      </c>
      <c r="Y2070" s="229">
        <v>0</v>
      </c>
      <c r="Z2070" s="229">
        <v>0</v>
      </c>
      <c r="AA2070" s="229">
        <v>0</v>
      </c>
      <c r="AB2070" s="229">
        <v>0</v>
      </c>
      <c r="AC2070" s="12">
        <v>1</v>
      </c>
      <c r="AD2070" s="14">
        <v>1</v>
      </c>
      <c r="AE2070" s="14">
        <v>0</v>
      </c>
      <c r="AF2070" s="26">
        <v>0</v>
      </c>
      <c r="AG2070" s="12">
        <v>92</v>
      </c>
      <c r="AH2070" s="14">
        <v>0</v>
      </c>
      <c r="AI2070" s="209">
        <v>90.172370892653561</v>
      </c>
      <c r="AJ2070" s="3"/>
      <c r="AK2070" s="3"/>
      <c r="AL2070" s="3"/>
      <c r="AM2070" s="3"/>
      <c r="AN2070" s="3"/>
      <c r="AO2070" s="40"/>
      <c r="AP2070" s="209">
        <v>84.059956495946224</v>
      </c>
      <c r="AQ2070" s="3"/>
      <c r="AR2070" s="40"/>
      <c r="AS2070" s="238"/>
    </row>
    <row r="2071" spans="1:45" s="229" customFormat="1">
      <c r="A2071" s="42" t="s">
        <v>324</v>
      </c>
      <c r="B2071" s="390">
        <v>20.243333333333332</v>
      </c>
      <c r="C2071" s="229" t="s">
        <v>316</v>
      </c>
      <c r="D2071" s="229" t="s">
        <v>648</v>
      </c>
      <c r="F2071" s="229">
        <v>3430</v>
      </c>
      <c r="G2071" s="40">
        <f>F2071/1758</f>
        <v>1.9510807736063709</v>
      </c>
      <c r="H2071" s="14">
        <v>0</v>
      </c>
      <c r="I2071" s="229">
        <v>0</v>
      </c>
      <c r="J2071" s="229">
        <v>0</v>
      </c>
      <c r="K2071" s="26">
        <v>1</v>
      </c>
      <c r="L2071" s="14">
        <v>0</v>
      </c>
      <c r="M2071" s="229">
        <v>0</v>
      </c>
      <c r="N2071" s="229">
        <v>1</v>
      </c>
      <c r="O2071" s="229">
        <v>0</v>
      </c>
      <c r="P2071" s="26">
        <v>1</v>
      </c>
      <c r="Q2071" s="14">
        <v>0</v>
      </c>
      <c r="R2071" s="229">
        <v>0</v>
      </c>
      <c r="S2071" s="229">
        <v>0</v>
      </c>
      <c r="T2071" s="229">
        <v>0</v>
      </c>
      <c r="U2071" s="229">
        <v>0</v>
      </c>
      <c r="V2071" s="229">
        <v>0</v>
      </c>
      <c r="W2071" s="229">
        <v>0</v>
      </c>
      <c r="X2071" s="229">
        <v>0</v>
      </c>
      <c r="Y2071" s="229">
        <v>0</v>
      </c>
      <c r="Z2071" s="229">
        <v>0</v>
      </c>
      <c r="AA2071" s="229">
        <v>0</v>
      </c>
      <c r="AB2071" s="229">
        <v>0</v>
      </c>
      <c r="AC2071" s="12">
        <v>1</v>
      </c>
      <c r="AD2071" s="14">
        <v>1</v>
      </c>
      <c r="AE2071" s="14">
        <v>0</v>
      </c>
      <c r="AF2071" s="26">
        <v>0</v>
      </c>
      <c r="AG2071" s="12">
        <v>113</v>
      </c>
      <c r="AH2071" s="14">
        <v>1</v>
      </c>
      <c r="AI2071" s="209"/>
      <c r="AJ2071" s="3"/>
      <c r="AK2071" s="3"/>
      <c r="AL2071" s="3"/>
      <c r="AM2071" s="3"/>
      <c r="AN2071" s="3"/>
      <c r="AO2071" s="40"/>
      <c r="AP2071" s="209"/>
      <c r="AQ2071" s="3"/>
      <c r="AR2071" s="40"/>
      <c r="AS2071" s="238"/>
    </row>
    <row r="2072" spans="1:45" s="229" customFormat="1">
      <c r="A2072" s="42" t="s">
        <v>324</v>
      </c>
      <c r="B2072" s="390">
        <v>20.243333333333332</v>
      </c>
      <c r="C2072" s="229" t="s">
        <v>316</v>
      </c>
      <c r="D2072" s="229" t="s">
        <v>649</v>
      </c>
      <c r="F2072" s="229">
        <v>1822</v>
      </c>
      <c r="G2072" s="40">
        <f>F2072/1422</f>
        <v>1.2812939521800282</v>
      </c>
      <c r="H2072" s="14">
        <v>0</v>
      </c>
      <c r="I2072" s="229">
        <v>0</v>
      </c>
      <c r="J2072" s="229">
        <v>0</v>
      </c>
      <c r="K2072" s="26">
        <v>1</v>
      </c>
      <c r="L2072" s="14">
        <v>0</v>
      </c>
      <c r="M2072" s="229">
        <v>0</v>
      </c>
      <c r="N2072" s="229">
        <v>1</v>
      </c>
      <c r="O2072" s="229">
        <v>0</v>
      </c>
      <c r="P2072" s="26">
        <v>1</v>
      </c>
      <c r="Q2072" s="14">
        <v>0</v>
      </c>
      <c r="R2072" s="229">
        <v>0</v>
      </c>
      <c r="S2072" s="229">
        <v>0</v>
      </c>
      <c r="T2072" s="229">
        <v>0</v>
      </c>
      <c r="U2072" s="229">
        <v>0</v>
      </c>
      <c r="V2072" s="229">
        <v>0</v>
      </c>
      <c r="W2072" s="229">
        <v>0</v>
      </c>
      <c r="X2072" s="229">
        <v>0</v>
      </c>
      <c r="Y2072" s="229">
        <v>0</v>
      </c>
      <c r="Z2072" s="229">
        <v>0</v>
      </c>
      <c r="AA2072" s="229">
        <v>0</v>
      </c>
      <c r="AB2072" s="229">
        <v>0</v>
      </c>
      <c r="AC2072" s="12">
        <v>2</v>
      </c>
      <c r="AD2072" s="14">
        <v>2</v>
      </c>
      <c r="AE2072" s="14">
        <v>786</v>
      </c>
      <c r="AF2072" s="26">
        <v>1422</v>
      </c>
      <c r="AG2072" s="12">
        <v>115</v>
      </c>
      <c r="AH2072" s="14">
        <v>0</v>
      </c>
      <c r="AI2072" s="209"/>
      <c r="AJ2072" s="3"/>
      <c r="AK2072" s="3"/>
      <c r="AL2072" s="3"/>
      <c r="AM2072" s="3"/>
      <c r="AN2072" s="3"/>
      <c r="AO2072" s="40"/>
      <c r="AP2072" s="209"/>
      <c r="AQ2072" s="3"/>
      <c r="AR2072" s="40"/>
      <c r="AS2072" s="238"/>
    </row>
    <row r="2073" spans="1:45" s="229" customFormat="1">
      <c r="A2073" s="42" t="s">
        <v>324</v>
      </c>
      <c r="B2073" s="390">
        <v>20.243333333333332</v>
      </c>
      <c r="C2073" s="229" t="s">
        <v>316</v>
      </c>
      <c r="D2073" s="229" t="s">
        <v>669</v>
      </c>
      <c r="F2073" s="229">
        <v>1501</v>
      </c>
      <c r="G2073" s="40">
        <f>F2073/1265</f>
        <v>1.1865612648221344</v>
      </c>
      <c r="H2073" s="14">
        <v>0</v>
      </c>
      <c r="I2073" s="229">
        <v>1</v>
      </c>
      <c r="J2073" s="229">
        <v>0</v>
      </c>
      <c r="K2073" s="26">
        <v>0</v>
      </c>
      <c r="L2073" s="14">
        <v>0</v>
      </c>
      <c r="M2073" s="229">
        <v>0</v>
      </c>
      <c r="N2073" s="229">
        <v>1</v>
      </c>
      <c r="O2073" s="229">
        <v>0</v>
      </c>
      <c r="P2073" s="26">
        <v>1</v>
      </c>
      <c r="Q2073" s="14">
        <v>0</v>
      </c>
      <c r="R2073" s="229">
        <v>0</v>
      </c>
      <c r="S2073" s="229">
        <v>0</v>
      </c>
      <c r="T2073" s="229">
        <v>0</v>
      </c>
      <c r="U2073" s="229">
        <v>0</v>
      </c>
      <c r="V2073" s="229">
        <v>0</v>
      </c>
      <c r="W2073" s="229">
        <v>0</v>
      </c>
      <c r="X2073" s="229">
        <v>0</v>
      </c>
      <c r="Y2073" s="229">
        <v>0</v>
      </c>
      <c r="Z2073" s="229">
        <v>0</v>
      </c>
      <c r="AA2073" s="229">
        <v>0</v>
      </c>
      <c r="AB2073" s="229">
        <v>0</v>
      </c>
      <c r="AC2073" s="12">
        <v>1</v>
      </c>
      <c r="AD2073" s="14">
        <v>1</v>
      </c>
      <c r="AE2073" s="14">
        <v>0</v>
      </c>
      <c r="AF2073" s="26">
        <v>0</v>
      </c>
      <c r="AG2073" s="12">
        <v>137</v>
      </c>
      <c r="AH2073" s="14">
        <v>0</v>
      </c>
      <c r="AI2073" s="209">
        <v>90.235515482333739</v>
      </c>
      <c r="AJ2073" s="3"/>
      <c r="AK2073" s="3"/>
      <c r="AL2073" s="3"/>
      <c r="AM2073" s="3"/>
      <c r="AN2073" s="3"/>
      <c r="AO2073" s="40"/>
      <c r="AP2073" s="209">
        <v>84.608160620632731</v>
      </c>
      <c r="AQ2073" s="3"/>
      <c r="AR2073" s="40"/>
      <c r="AS2073" s="238"/>
    </row>
    <row r="2074" spans="1:45" s="229" customFormat="1">
      <c r="A2074" s="42" t="s">
        <v>324</v>
      </c>
      <c r="B2074" s="390">
        <v>20.243333333333332</v>
      </c>
      <c r="C2074" s="229" t="s">
        <v>316</v>
      </c>
      <c r="D2074" s="229" t="s">
        <v>670</v>
      </c>
      <c r="F2074" s="229">
        <v>710</v>
      </c>
      <c r="G2074" s="40">
        <f>F2074/488</f>
        <v>1.4549180327868851</v>
      </c>
      <c r="H2074" s="14">
        <v>0</v>
      </c>
      <c r="I2074" s="229">
        <v>0</v>
      </c>
      <c r="J2074" s="229">
        <v>0</v>
      </c>
      <c r="K2074" s="26">
        <v>1</v>
      </c>
      <c r="L2074" s="14">
        <v>0</v>
      </c>
      <c r="M2074" s="229">
        <v>0</v>
      </c>
      <c r="N2074" s="229">
        <v>1</v>
      </c>
      <c r="O2074" s="229">
        <v>0</v>
      </c>
      <c r="P2074" s="26">
        <v>1</v>
      </c>
      <c r="Q2074" s="14">
        <v>0</v>
      </c>
      <c r="R2074" s="229">
        <v>0</v>
      </c>
      <c r="S2074" s="229">
        <v>0</v>
      </c>
      <c r="T2074" s="229">
        <v>0</v>
      </c>
      <c r="U2074" s="229">
        <v>0</v>
      </c>
      <c r="V2074" s="229">
        <v>0</v>
      </c>
      <c r="W2074" s="229">
        <v>0</v>
      </c>
      <c r="X2074" s="229">
        <v>0</v>
      </c>
      <c r="Y2074" s="229">
        <v>0</v>
      </c>
      <c r="Z2074" s="229">
        <v>0</v>
      </c>
      <c r="AA2074" s="229">
        <v>0</v>
      </c>
      <c r="AB2074" s="229">
        <v>0</v>
      </c>
      <c r="AC2074" s="12">
        <v>2</v>
      </c>
      <c r="AD2074" s="14">
        <v>3</v>
      </c>
      <c r="AE2074" s="14">
        <v>115</v>
      </c>
      <c r="AF2074" s="26">
        <v>429</v>
      </c>
      <c r="AG2074" s="12">
        <v>83</v>
      </c>
      <c r="AH2074" s="14">
        <v>0</v>
      </c>
      <c r="AI2074" s="209"/>
      <c r="AJ2074" s="3"/>
      <c r="AK2074" s="3"/>
      <c r="AL2074" s="3"/>
      <c r="AM2074" s="3"/>
      <c r="AN2074" s="3"/>
      <c r="AO2074" s="40"/>
      <c r="AP2074" s="209"/>
      <c r="AQ2074" s="3"/>
      <c r="AR2074" s="40"/>
      <c r="AS2074" s="238"/>
    </row>
    <row r="2075" spans="1:45" s="229" customFormat="1">
      <c r="A2075" s="42" t="s">
        <v>324</v>
      </c>
      <c r="B2075" s="390">
        <v>20.243333333333332</v>
      </c>
      <c r="C2075" s="229" t="s">
        <v>316</v>
      </c>
      <c r="D2075" s="229" t="s">
        <v>671</v>
      </c>
      <c r="F2075" s="229">
        <v>3728</v>
      </c>
      <c r="G2075" s="40">
        <f>F2075/2466</f>
        <v>1.5117599351175994</v>
      </c>
      <c r="H2075" s="14">
        <v>0</v>
      </c>
      <c r="I2075" s="229">
        <v>1</v>
      </c>
      <c r="J2075" s="229">
        <v>0</v>
      </c>
      <c r="K2075" s="26">
        <v>0</v>
      </c>
      <c r="L2075" s="14">
        <v>0</v>
      </c>
      <c r="M2075" s="229">
        <v>0</v>
      </c>
      <c r="N2075" s="229">
        <v>0</v>
      </c>
      <c r="O2075" s="229">
        <v>0</v>
      </c>
      <c r="P2075" s="26">
        <v>0</v>
      </c>
      <c r="Q2075" s="14">
        <v>2</v>
      </c>
      <c r="R2075" s="229">
        <v>0</v>
      </c>
      <c r="S2075" s="229">
        <v>49</v>
      </c>
      <c r="T2075" s="229">
        <v>0</v>
      </c>
      <c r="U2075" s="229">
        <v>0</v>
      </c>
      <c r="V2075" s="229">
        <v>0</v>
      </c>
      <c r="W2075" s="229">
        <v>143</v>
      </c>
      <c r="X2075" s="229">
        <v>0</v>
      </c>
      <c r="Y2075" s="229">
        <v>0</v>
      </c>
      <c r="Z2075" s="229">
        <v>0</v>
      </c>
      <c r="AA2075" s="229">
        <v>458</v>
      </c>
      <c r="AB2075" s="229">
        <v>0</v>
      </c>
      <c r="AC2075" s="12">
        <v>1</v>
      </c>
      <c r="AD2075" s="14">
        <v>1</v>
      </c>
      <c r="AE2075" s="14">
        <v>0</v>
      </c>
      <c r="AF2075" s="26">
        <v>0</v>
      </c>
      <c r="AG2075" s="12">
        <v>115</v>
      </c>
      <c r="AH2075" s="14">
        <v>1</v>
      </c>
      <c r="AI2075" s="209"/>
      <c r="AJ2075" s="3"/>
      <c r="AK2075" s="3"/>
      <c r="AL2075" s="3"/>
      <c r="AM2075" s="3"/>
      <c r="AN2075" s="3"/>
      <c r="AO2075" s="40"/>
      <c r="AP2075" s="209"/>
      <c r="AQ2075" s="3"/>
      <c r="AR2075" s="40"/>
      <c r="AS2075" s="238"/>
    </row>
    <row r="2076" spans="1:45" s="229" customFormat="1">
      <c r="A2076" s="42" t="s">
        <v>324</v>
      </c>
      <c r="B2076" s="390">
        <v>20.243333333333332</v>
      </c>
      <c r="C2076" s="229" t="s">
        <v>316</v>
      </c>
      <c r="D2076" s="229" t="s">
        <v>672</v>
      </c>
      <c r="F2076" s="229">
        <v>4558</v>
      </c>
      <c r="G2076" s="40">
        <f>F2076/3451</f>
        <v>1.3207765864966676</v>
      </c>
      <c r="H2076" s="14">
        <v>0</v>
      </c>
      <c r="I2076" s="229">
        <v>0</v>
      </c>
      <c r="J2076" s="229">
        <v>0</v>
      </c>
      <c r="K2076" s="26">
        <v>1</v>
      </c>
      <c r="L2076" s="14">
        <v>0</v>
      </c>
      <c r="M2076" s="229">
        <v>0</v>
      </c>
      <c r="N2076" s="229">
        <v>1</v>
      </c>
      <c r="O2076" s="229">
        <v>0</v>
      </c>
      <c r="P2076" s="26">
        <v>1</v>
      </c>
      <c r="Q2076" s="14">
        <v>1</v>
      </c>
      <c r="R2076" s="229">
        <v>0</v>
      </c>
      <c r="S2076" s="229">
        <v>0</v>
      </c>
      <c r="T2076" s="229">
        <v>0</v>
      </c>
      <c r="U2076" s="229">
        <v>164</v>
      </c>
      <c r="V2076" s="229">
        <v>20</v>
      </c>
      <c r="W2076" s="229">
        <v>35</v>
      </c>
      <c r="X2076" s="229">
        <v>0</v>
      </c>
      <c r="Y2076" s="229">
        <v>0</v>
      </c>
      <c r="Z2076" s="229">
        <v>22</v>
      </c>
      <c r="AA2076" s="229">
        <v>113</v>
      </c>
      <c r="AB2076" s="229">
        <v>1</v>
      </c>
      <c r="AC2076" s="12">
        <v>1</v>
      </c>
      <c r="AD2076" s="14">
        <v>1</v>
      </c>
      <c r="AE2076" s="14">
        <v>9</v>
      </c>
      <c r="AF2076" s="26">
        <v>9</v>
      </c>
      <c r="AG2076" s="12">
        <v>117</v>
      </c>
      <c r="AH2076" s="14">
        <v>1</v>
      </c>
      <c r="AI2076" s="209">
        <v>90.016820412597198</v>
      </c>
      <c r="AJ2076" s="3"/>
      <c r="AK2076" s="3"/>
      <c r="AL2076" s="3"/>
      <c r="AM2076" s="3"/>
      <c r="AN2076" s="3"/>
      <c r="AO2076" s="40"/>
      <c r="AP2076" s="209">
        <v>83.517032375754411</v>
      </c>
      <c r="AQ2076" s="3"/>
      <c r="AR2076" s="40"/>
      <c r="AS2076" s="238"/>
    </row>
    <row r="2077" spans="1:45" s="229" customFormat="1" ht="17" thickBot="1">
      <c r="A2077" s="55" t="s">
        <v>324</v>
      </c>
      <c r="B2077" s="388">
        <v>20.243333333333332</v>
      </c>
      <c r="C2077" s="36" t="s">
        <v>316</v>
      </c>
      <c r="D2077" s="36" t="s">
        <v>673</v>
      </c>
      <c r="E2077" s="36"/>
      <c r="F2077" s="36">
        <v>4042</v>
      </c>
      <c r="G2077" s="48">
        <f>F2077/2710</f>
        <v>1.4915129151291513</v>
      </c>
      <c r="H2077" s="34">
        <v>0</v>
      </c>
      <c r="I2077" s="36">
        <v>0</v>
      </c>
      <c r="J2077" s="36">
        <v>0</v>
      </c>
      <c r="K2077" s="35">
        <v>1</v>
      </c>
      <c r="L2077" s="34">
        <v>0</v>
      </c>
      <c r="M2077" s="36">
        <v>0</v>
      </c>
      <c r="N2077" s="36">
        <v>1</v>
      </c>
      <c r="O2077" s="36">
        <v>0</v>
      </c>
      <c r="P2077" s="35">
        <v>1</v>
      </c>
      <c r="Q2077" s="34">
        <v>1</v>
      </c>
      <c r="R2077" s="36">
        <v>38</v>
      </c>
      <c r="S2077" s="36">
        <v>83</v>
      </c>
      <c r="T2077" s="36">
        <v>0</v>
      </c>
      <c r="U2077" s="36">
        <v>0</v>
      </c>
      <c r="V2077" s="36">
        <v>0</v>
      </c>
      <c r="W2077" s="36">
        <v>0</v>
      </c>
      <c r="X2077" s="36">
        <v>0</v>
      </c>
      <c r="Y2077" s="36">
        <v>0</v>
      </c>
      <c r="Z2077" s="36">
        <v>0</v>
      </c>
      <c r="AA2077" s="36">
        <v>0</v>
      </c>
      <c r="AB2077" s="36">
        <v>0</v>
      </c>
      <c r="AC2077" s="33">
        <v>1</v>
      </c>
      <c r="AD2077" s="34">
        <v>1</v>
      </c>
      <c r="AE2077" s="34">
        <v>0</v>
      </c>
      <c r="AF2077" s="35">
        <v>0</v>
      </c>
      <c r="AG2077" s="33">
        <v>115</v>
      </c>
      <c r="AH2077" s="34">
        <v>1</v>
      </c>
      <c r="AI2077" s="210"/>
      <c r="AJ2077" s="51"/>
      <c r="AK2077" s="51"/>
      <c r="AL2077" s="51"/>
      <c r="AM2077" s="51"/>
      <c r="AN2077" s="51"/>
      <c r="AO2077" s="48"/>
      <c r="AP2077" s="210"/>
      <c r="AQ2077" s="51"/>
      <c r="AR2077" s="48"/>
      <c r="AS2077" s="239"/>
    </row>
    <row r="2078" spans="1:45" s="229" customFormat="1">
      <c r="A2078" s="87" t="s">
        <v>324</v>
      </c>
      <c r="B2078" s="389">
        <v>20.243333333333332</v>
      </c>
      <c r="C2078" s="229" t="s">
        <v>317</v>
      </c>
      <c r="D2078" s="229" t="s">
        <v>423</v>
      </c>
      <c r="F2078" s="229">
        <v>1900</v>
      </c>
      <c r="G2078" s="40">
        <f>F2078/965</f>
        <v>1.9689119170984455</v>
      </c>
      <c r="H2078" s="14">
        <v>0</v>
      </c>
      <c r="I2078" s="229">
        <v>1</v>
      </c>
      <c r="J2078" s="229">
        <v>0</v>
      </c>
      <c r="K2078" s="26">
        <v>0</v>
      </c>
      <c r="L2078" s="14">
        <v>0</v>
      </c>
      <c r="M2078" s="229">
        <v>0</v>
      </c>
      <c r="N2078" s="229">
        <v>1</v>
      </c>
      <c r="O2078" s="229">
        <v>0</v>
      </c>
      <c r="P2078" s="26">
        <v>1</v>
      </c>
      <c r="Q2078" s="14">
        <v>1</v>
      </c>
      <c r="R2078" s="229">
        <v>0</v>
      </c>
      <c r="S2078" s="229">
        <v>0</v>
      </c>
      <c r="T2078" s="229">
        <v>0</v>
      </c>
      <c r="U2078" s="229">
        <v>0</v>
      </c>
      <c r="V2078" s="229">
        <v>0</v>
      </c>
      <c r="W2078" s="229">
        <v>36</v>
      </c>
      <c r="X2078" s="229">
        <v>0</v>
      </c>
      <c r="Y2078" s="229">
        <v>0</v>
      </c>
      <c r="Z2078" s="229">
        <v>0</v>
      </c>
      <c r="AA2078" s="229">
        <v>59</v>
      </c>
      <c r="AB2078" s="229">
        <v>0</v>
      </c>
      <c r="AC2078" s="12">
        <v>1</v>
      </c>
      <c r="AD2078" s="14">
        <v>1</v>
      </c>
      <c r="AE2078" s="14">
        <v>0</v>
      </c>
      <c r="AF2078" s="26">
        <v>0</v>
      </c>
      <c r="AG2078" s="12">
        <v>108</v>
      </c>
      <c r="AH2078" s="14">
        <v>0</v>
      </c>
      <c r="AI2078" s="209"/>
      <c r="AJ2078" s="3"/>
      <c r="AK2078" s="3"/>
      <c r="AL2078" s="3"/>
      <c r="AM2078" s="3"/>
      <c r="AN2078" s="3"/>
      <c r="AO2078" s="40"/>
      <c r="AP2078" s="209"/>
      <c r="AQ2078" s="3"/>
      <c r="AR2078" s="40"/>
      <c r="AS2078" s="238"/>
    </row>
    <row r="2079" spans="1:45" s="229" customFormat="1">
      <c r="A2079" s="42" t="s">
        <v>324</v>
      </c>
      <c r="B2079" s="390">
        <v>20.243333333333332</v>
      </c>
      <c r="C2079" s="229" t="s">
        <v>317</v>
      </c>
      <c r="D2079" s="229" t="s">
        <v>622</v>
      </c>
      <c r="F2079" s="229">
        <v>2426</v>
      </c>
      <c r="G2079" s="40">
        <f>F2079/1776</f>
        <v>1.3659909909909911</v>
      </c>
      <c r="H2079" s="14">
        <v>0</v>
      </c>
      <c r="I2079" s="229">
        <v>1</v>
      </c>
      <c r="J2079" s="229">
        <v>0</v>
      </c>
      <c r="K2079" s="26">
        <v>1</v>
      </c>
      <c r="L2079" s="14">
        <v>0</v>
      </c>
      <c r="M2079" s="229">
        <v>0</v>
      </c>
      <c r="N2079" s="229">
        <v>1</v>
      </c>
      <c r="O2079" s="229">
        <v>0</v>
      </c>
      <c r="P2079" s="26">
        <v>1</v>
      </c>
      <c r="Q2079" s="14">
        <v>0</v>
      </c>
      <c r="R2079" s="229">
        <v>0</v>
      </c>
      <c r="S2079" s="229">
        <v>0</v>
      </c>
      <c r="T2079" s="229">
        <v>0</v>
      </c>
      <c r="U2079" s="229">
        <v>0</v>
      </c>
      <c r="V2079" s="229">
        <v>0</v>
      </c>
      <c r="W2079" s="229">
        <v>0</v>
      </c>
      <c r="X2079" s="229">
        <v>0</v>
      </c>
      <c r="Y2079" s="229">
        <v>0</v>
      </c>
      <c r="Z2079" s="229">
        <v>0</v>
      </c>
      <c r="AA2079" s="229">
        <v>0</v>
      </c>
      <c r="AB2079" s="229">
        <v>0</v>
      </c>
      <c r="AC2079" s="12">
        <v>2</v>
      </c>
      <c r="AD2079" s="14">
        <v>4</v>
      </c>
      <c r="AE2079" s="14">
        <v>233</v>
      </c>
      <c r="AF2079" s="26">
        <v>2068</v>
      </c>
      <c r="AG2079" s="12">
        <v>123</v>
      </c>
      <c r="AH2079" s="14">
        <v>0</v>
      </c>
      <c r="AI2079" s="209"/>
      <c r="AJ2079" s="3"/>
      <c r="AK2079" s="3"/>
      <c r="AL2079" s="3"/>
      <c r="AM2079" s="3"/>
      <c r="AN2079" s="3"/>
      <c r="AO2079" s="40"/>
      <c r="AP2079" s="209"/>
      <c r="AQ2079" s="3"/>
      <c r="AR2079" s="40"/>
      <c r="AS2079" s="238"/>
    </row>
    <row r="2080" spans="1:45" s="229" customFormat="1">
      <c r="A2080" s="42" t="s">
        <v>324</v>
      </c>
      <c r="B2080" s="390">
        <v>20.243333333333332</v>
      </c>
      <c r="C2080" s="229" t="s">
        <v>317</v>
      </c>
      <c r="D2080" s="229" t="s">
        <v>620</v>
      </c>
      <c r="F2080" s="229">
        <v>1657</v>
      </c>
      <c r="G2080" s="40">
        <f>F2080/1263</f>
        <v>1.3119556611243073</v>
      </c>
      <c r="H2080" s="14">
        <v>0</v>
      </c>
      <c r="I2080" s="229">
        <v>1</v>
      </c>
      <c r="J2080" s="229">
        <v>0</v>
      </c>
      <c r="K2080" s="26">
        <v>0</v>
      </c>
      <c r="L2080" s="14">
        <v>0</v>
      </c>
      <c r="M2080" s="229">
        <v>0</v>
      </c>
      <c r="N2080" s="229">
        <v>1</v>
      </c>
      <c r="O2080" s="229">
        <v>0</v>
      </c>
      <c r="P2080" s="26">
        <v>1</v>
      </c>
      <c r="Q2080" s="14">
        <v>0</v>
      </c>
      <c r="R2080" s="229">
        <v>0</v>
      </c>
      <c r="S2080" s="229">
        <v>0</v>
      </c>
      <c r="T2080" s="229">
        <v>0</v>
      </c>
      <c r="U2080" s="229">
        <v>0</v>
      </c>
      <c r="V2080" s="229">
        <v>0</v>
      </c>
      <c r="W2080" s="229">
        <v>0</v>
      </c>
      <c r="X2080" s="229">
        <v>0</v>
      </c>
      <c r="Y2080" s="229">
        <v>0</v>
      </c>
      <c r="Z2080" s="229">
        <v>0</v>
      </c>
      <c r="AA2080" s="229">
        <v>0</v>
      </c>
      <c r="AB2080" s="229">
        <v>0</v>
      </c>
      <c r="AC2080" s="12">
        <v>1</v>
      </c>
      <c r="AD2080" s="14">
        <v>1</v>
      </c>
      <c r="AE2080" s="14">
        <v>0</v>
      </c>
      <c r="AF2080" s="26">
        <v>0</v>
      </c>
      <c r="AG2080" s="12">
        <v>131</v>
      </c>
      <c r="AH2080" s="14">
        <v>0</v>
      </c>
      <c r="AI2080" s="209">
        <v>89.997681810799378</v>
      </c>
      <c r="AJ2080" s="3"/>
      <c r="AK2080" s="3"/>
      <c r="AL2080" s="3"/>
      <c r="AM2080" s="3"/>
      <c r="AN2080" s="3"/>
      <c r="AO2080" s="40"/>
      <c r="AP2080" s="209">
        <v>82.466494732587506</v>
      </c>
      <c r="AQ2080" s="3">
        <v>83.562621884783965</v>
      </c>
      <c r="AR2080" s="40"/>
      <c r="AS2080" s="238"/>
    </row>
    <row r="2081" spans="1:45" s="229" customFormat="1">
      <c r="A2081" s="42" t="s">
        <v>324</v>
      </c>
      <c r="B2081" s="390">
        <v>20.243333333333332</v>
      </c>
      <c r="C2081" s="229" t="s">
        <v>317</v>
      </c>
      <c r="D2081" s="229" t="s">
        <v>629</v>
      </c>
      <c r="F2081" s="229">
        <v>3093</v>
      </c>
      <c r="G2081" s="40">
        <f>F2081/2496</f>
        <v>1.2391826923076923</v>
      </c>
      <c r="H2081" s="14">
        <v>0</v>
      </c>
      <c r="I2081" s="229">
        <v>0</v>
      </c>
      <c r="J2081" s="229">
        <v>0</v>
      </c>
      <c r="K2081" s="26">
        <v>1</v>
      </c>
      <c r="L2081" s="14">
        <v>0</v>
      </c>
      <c r="M2081" s="229">
        <v>0</v>
      </c>
      <c r="N2081" s="229">
        <v>1</v>
      </c>
      <c r="O2081" s="229">
        <v>0</v>
      </c>
      <c r="P2081" s="26">
        <v>1</v>
      </c>
      <c r="Q2081" s="14">
        <v>1</v>
      </c>
      <c r="R2081" s="229">
        <v>6</v>
      </c>
      <c r="S2081" s="229">
        <v>35</v>
      </c>
      <c r="T2081" s="229">
        <v>0</v>
      </c>
      <c r="U2081" s="229">
        <v>0</v>
      </c>
      <c r="V2081" s="229">
        <v>0</v>
      </c>
      <c r="W2081" s="229">
        <v>0</v>
      </c>
      <c r="X2081" s="229">
        <v>0</v>
      </c>
      <c r="Y2081" s="229">
        <v>0</v>
      </c>
      <c r="Z2081" s="229">
        <v>0</v>
      </c>
      <c r="AA2081" s="229">
        <v>283</v>
      </c>
      <c r="AB2081" s="229">
        <v>1</v>
      </c>
      <c r="AC2081" s="12">
        <v>1</v>
      </c>
      <c r="AD2081" s="14">
        <v>1</v>
      </c>
      <c r="AE2081" s="14">
        <v>0</v>
      </c>
      <c r="AF2081" s="26">
        <v>0</v>
      </c>
      <c r="AG2081" s="12">
        <v>134</v>
      </c>
      <c r="AH2081" s="14">
        <v>0</v>
      </c>
      <c r="AI2081" s="209"/>
      <c r="AJ2081" s="3"/>
      <c r="AK2081" s="3"/>
      <c r="AL2081" s="3"/>
      <c r="AM2081" s="3"/>
      <c r="AN2081" s="3"/>
      <c r="AO2081" s="40"/>
      <c r="AP2081" s="209"/>
      <c r="AQ2081" s="3"/>
      <c r="AR2081" s="40"/>
      <c r="AS2081" s="238"/>
    </row>
    <row r="2082" spans="1:45" s="229" customFormat="1">
      <c r="A2082" s="42" t="s">
        <v>324</v>
      </c>
      <c r="B2082" s="390">
        <v>20.243333333333332</v>
      </c>
      <c r="C2082" s="229" t="s">
        <v>317</v>
      </c>
      <c r="D2082" s="229" t="s">
        <v>634</v>
      </c>
      <c r="F2082" s="229">
        <v>3624</v>
      </c>
      <c r="G2082" s="40">
        <f>F2082/2881</f>
        <v>1.2578965636931621</v>
      </c>
      <c r="H2082" s="14">
        <v>0</v>
      </c>
      <c r="I2082" s="229">
        <v>1</v>
      </c>
      <c r="J2082" s="229">
        <v>0</v>
      </c>
      <c r="K2082" s="26">
        <v>0</v>
      </c>
      <c r="L2082" s="14">
        <v>0</v>
      </c>
      <c r="M2082" s="229">
        <v>0</v>
      </c>
      <c r="N2082" s="229">
        <v>1</v>
      </c>
      <c r="O2082" s="229">
        <v>0</v>
      </c>
      <c r="P2082" s="26">
        <v>1</v>
      </c>
      <c r="Q2082" s="14">
        <v>0</v>
      </c>
      <c r="R2082" s="229">
        <v>0</v>
      </c>
      <c r="S2082" s="229">
        <v>0</v>
      </c>
      <c r="T2082" s="229">
        <v>0</v>
      </c>
      <c r="U2082" s="229">
        <v>0</v>
      </c>
      <c r="V2082" s="229">
        <v>0</v>
      </c>
      <c r="W2082" s="229">
        <v>0</v>
      </c>
      <c r="X2082" s="229">
        <v>0</v>
      </c>
      <c r="Y2082" s="229">
        <v>0</v>
      </c>
      <c r="Z2082" s="229">
        <v>0</v>
      </c>
      <c r="AA2082" s="229">
        <v>0</v>
      </c>
      <c r="AB2082" s="229">
        <v>0</v>
      </c>
      <c r="AC2082" s="12">
        <v>1</v>
      </c>
      <c r="AD2082" s="14">
        <v>1</v>
      </c>
      <c r="AE2082" s="14">
        <v>0</v>
      </c>
      <c r="AF2082" s="26">
        <v>0</v>
      </c>
      <c r="AG2082" s="12">
        <v>130</v>
      </c>
      <c r="AH2082" s="14">
        <v>1</v>
      </c>
      <c r="AI2082" s="209"/>
      <c r="AJ2082" s="3"/>
      <c r="AK2082" s="3"/>
      <c r="AL2082" s="3"/>
      <c r="AM2082" s="3"/>
      <c r="AN2082" s="3"/>
      <c r="AO2082" s="40"/>
      <c r="AP2082" s="209"/>
      <c r="AQ2082" s="3"/>
      <c r="AR2082" s="40"/>
      <c r="AS2082" s="238"/>
    </row>
    <row r="2083" spans="1:45" s="229" customFormat="1">
      <c r="A2083" s="42" t="s">
        <v>324</v>
      </c>
      <c r="B2083" s="390">
        <v>20.243333333333332</v>
      </c>
      <c r="C2083" s="229" t="s">
        <v>317</v>
      </c>
      <c r="D2083" s="229" t="s">
        <v>625</v>
      </c>
      <c r="F2083" s="229">
        <v>6439</v>
      </c>
      <c r="G2083" s="40">
        <f>F2083/3487</f>
        <v>1.8465729853742472</v>
      </c>
      <c r="H2083" s="14">
        <v>0</v>
      </c>
      <c r="I2083" s="229">
        <v>0</v>
      </c>
      <c r="J2083" s="229">
        <v>0</v>
      </c>
      <c r="K2083" s="26">
        <v>1</v>
      </c>
      <c r="L2083" s="14">
        <v>0</v>
      </c>
      <c r="M2083" s="229">
        <v>1</v>
      </c>
      <c r="N2083" s="229">
        <v>1</v>
      </c>
      <c r="O2083" s="229">
        <v>0</v>
      </c>
      <c r="P2083" s="26">
        <v>2</v>
      </c>
      <c r="Q2083" s="14">
        <v>1</v>
      </c>
      <c r="R2083" s="229">
        <v>38</v>
      </c>
      <c r="S2083" s="229">
        <v>68</v>
      </c>
      <c r="T2083" s="229">
        <v>0</v>
      </c>
      <c r="U2083" s="229">
        <v>0</v>
      </c>
      <c r="V2083" s="229">
        <v>0</v>
      </c>
      <c r="W2083" s="229">
        <v>0</v>
      </c>
      <c r="X2083" s="229">
        <v>0</v>
      </c>
      <c r="Y2083" s="229">
        <v>0</v>
      </c>
      <c r="Z2083" s="229">
        <v>0</v>
      </c>
      <c r="AA2083" s="229">
        <v>0</v>
      </c>
      <c r="AB2083" s="229">
        <v>0</v>
      </c>
      <c r="AC2083" s="12">
        <v>2</v>
      </c>
      <c r="AD2083" s="14">
        <v>2</v>
      </c>
      <c r="AE2083" s="14">
        <v>2090</v>
      </c>
      <c r="AF2083" s="26">
        <v>4372</v>
      </c>
      <c r="AG2083" s="12">
        <v>131</v>
      </c>
      <c r="AH2083" s="14">
        <v>1</v>
      </c>
      <c r="AI2083" s="209">
        <v>90.131478339023857</v>
      </c>
      <c r="AJ2083" s="3">
        <v>90.021352439082875</v>
      </c>
      <c r="AK2083" s="3"/>
      <c r="AL2083" s="3"/>
      <c r="AM2083" s="3"/>
      <c r="AN2083" s="3"/>
      <c r="AO2083" s="40"/>
      <c r="AP2083" s="209">
        <v>84.168788287951102</v>
      </c>
      <c r="AQ2083" s="3">
        <v>83.710591936643766</v>
      </c>
      <c r="AR2083" s="40"/>
      <c r="AS2083" s="238"/>
    </row>
    <row r="2084" spans="1:45" s="229" customFormat="1">
      <c r="A2084" s="42" t="s">
        <v>324</v>
      </c>
      <c r="B2084" s="390">
        <v>20.243333333333332</v>
      </c>
      <c r="C2084" s="229" t="s">
        <v>317</v>
      </c>
      <c r="D2084" s="229" t="s">
        <v>630</v>
      </c>
      <c r="F2084" s="229">
        <v>980</v>
      </c>
      <c r="G2084" s="40">
        <f>F2084/847</f>
        <v>1.1570247933884297</v>
      </c>
      <c r="H2084" s="14">
        <v>0</v>
      </c>
      <c r="I2084" s="229">
        <v>1</v>
      </c>
      <c r="J2084" s="229">
        <v>0</v>
      </c>
      <c r="K2084" s="26">
        <v>0</v>
      </c>
      <c r="L2084" s="14">
        <v>0</v>
      </c>
      <c r="M2084" s="229">
        <v>0</v>
      </c>
      <c r="N2084" s="229">
        <v>1</v>
      </c>
      <c r="O2084" s="229">
        <v>0</v>
      </c>
      <c r="P2084" s="26">
        <v>1</v>
      </c>
      <c r="Q2084" s="14">
        <v>1</v>
      </c>
      <c r="R2084" s="229">
        <v>0</v>
      </c>
      <c r="S2084" s="229">
        <v>29</v>
      </c>
      <c r="T2084" s="229">
        <v>0</v>
      </c>
      <c r="U2084" s="229">
        <v>0</v>
      </c>
      <c r="V2084" s="229">
        <v>0</v>
      </c>
      <c r="W2084" s="229">
        <v>0</v>
      </c>
      <c r="X2084" s="229">
        <v>0</v>
      </c>
      <c r="Y2084" s="229">
        <v>0</v>
      </c>
      <c r="Z2084" s="229">
        <v>0</v>
      </c>
      <c r="AA2084" s="229">
        <v>0</v>
      </c>
      <c r="AB2084" s="229">
        <v>0</v>
      </c>
      <c r="AC2084" s="12">
        <v>1</v>
      </c>
      <c r="AD2084" s="14">
        <v>1</v>
      </c>
      <c r="AE2084" s="14">
        <v>0</v>
      </c>
      <c r="AF2084" s="26">
        <v>0</v>
      </c>
      <c r="AG2084" s="12">
        <v>146</v>
      </c>
      <c r="AH2084" s="14">
        <v>1</v>
      </c>
      <c r="AI2084" s="209"/>
      <c r="AJ2084" s="3"/>
      <c r="AK2084" s="3"/>
      <c r="AL2084" s="3"/>
      <c r="AM2084" s="3"/>
      <c r="AN2084" s="3"/>
      <c r="AO2084" s="40"/>
      <c r="AP2084" s="209"/>
      <c r="AQ2084" s="3"/>
      <c r="AR2084" s="40"/>
      <c r="AS2084" s="238"/>
    </row>
    <row r="2085" spans="1:45" s="229" customFormat="1">
      <c r="A2085" s="42" t="s">
        <v>324</v>
      </c>
      <c r="B2085" s="390">
        <v>20.243333333333332</v>
      </c>
      <c r="C2085" s="229" t="s">
        <v>317</v>
      </c>
      <c r="D2085" s="229" t="s">
        <v>637</v>
      </c>
      <c r="F2085" s="229">
        <v>1674</v>
      </c>
      <c r="G2085" s="40">
        <f>F2085/883</f>
        <v>1.8958097395243487</v>
      </c>
      <c r="H2085" s="14">
        <v>0</v>
      </c>
      <c r="I2085" s="229">
        <v>0</v>
      </c>
      <c r="J2085" s="229">
        <v>0</v>
      </c>
      <c r="K2085" s="26">
        <v>1</v>
      </c>
      <c r="L2085" s="14">
        <v>0</v>
      </c>
      <c r="M2085" s="229">
        <v>0</v>
      </c>
      <c r="N2085" s="229">
        <v>1</v>
      </c>
      <c r="O2085" s="229">
        <v>0</v>
      </c>
      <c r="P2085" s="26">
        <v>1</v>
      </c>
      <c r="Q2085" s="14">
        <v>1</v>
      </c>
      <c r="R2085" s="229">
        <v>0</v>
      </c>
      <c r="S2085" s="229">
        <v>13</v>
      </c>
      <c r="T2085" s="229">
        <v>20</v>
      </c>
      <c r="U2085" s="229">
        <v>26</v>
      </c>
      <c r="V2085" s="229">
        <v>0</v>
      </c>
      <c r="W2085" s="229">
        <v>0</v>
      </c>
      <c r="X2085" s="229">
        <v>0</v>
      </c>
      <c r="Y2085" s="229">
        <v>0</v>
      </c>
      <c r="Z2085" s="229">
        <v>0</v>
      </c>
      <c r="AA2085" s="229">
        <v>0</v>
      </c>
      <c r="AB2085" s="229">
        <v>1</v>
      </c>
      <c r="AC2085" s="12">
        <v>1</v>
      </c>
      <c r="AD2085" s="14">
        <v>1</v>
      </c>
      <c r="AE2085" s="14">
        <v>0</v>
      </c>
      <c r="AF2085" s="26">
        <v>0</v>
      </c>
      <c r="AG2085" s="12">
        <v>106</v>
      </c>
      <c r="AH2085" s="14">
        <v>0</v>
      </c>
      <c r="AI2085" s="209">
        <v>90.271721091707192</v>
      </c>
      <c r="AJ2085" s="3"/>
      <c r="AK2085" s="3"/>
      <c r="AL2085" s="3"/>
      <c r="AM2085" s="3"/>
      <c r="AN2085" s="3"/>
      <c r="AO2085" s="40"/>
      <c r="AP2085" s="209">
        <v>82.951730771876754</v>
      </c>
      <c r="AQ2085" s="3"/>
      <c r="AR2085" s="40"/>
      <c r="AS2085" s="238"/>
    </row>
    <row r="2086" spans="1:45" s="229" customFormat="1">
      <c r="A2086" s="42" t="s">
        <v>324</v>
      </c>
      <c r="B2086" s="390">
        <v>20.243333333333332</v>
      </c>
      <c r="C2086" s="229" t="s">
        <v>317</v>
      </c>
      <c r="D2086" s="229" t="s">
        <v>638</v>
      </c>
      <c r="F2086" s="229">
        <v>1821</v>
      </c>
      <c r="G2086" s="40">
        <f>F2086/1357</f>
        <v>1.341930729550479</v>
      </c>
      <c r="H2086" s="14">
        <v>0</v>
      </c>
      <c r="I2086" s="229">
        <v>0</v>
      </c>
      <c r="J2086" s="229">
        <v>0</v>
      </c>
      <c r="K2086" s="26">
        <v>1</v>
      </c>
      <c r="L2086" s="14">
        <v>0</v>
      </c>
      <c r="M2086" s="229">
        <v>0</v>
      </c>
      <c r="N2086" s="229">
        <v>1</v>
      </c>
      <c r="O2086" s="229">
        <v>1</v>
      </c>
      <c r="P2086" s="26">
        <v>2</v>
      </c>
      <c r="Q2086" s="14">
        <v>1</v>
      </c>
      <c r="R2086" s="229">
        <v>19</v>
      </c>
      <c r="S2086" s="229">
        <v>136</v>
      </c>
      <c r="T2086" s="229">
        <v>0</v>
      </c>
      <c r="U2086" s="229">
        <v>0</v>
      </c>
      <c r="V2086" s="229">
        <v>0</v>
      </c>
      <c r="W2086" s="229">
        <v>0</v>
      </c>
      <c r="X2086" s="229">
        <v>0</v>
      </c>
      <c r="Y2086" s="229">
        <v>0</v>
      </c>
      <c r="Z2086" s="229">
        <v>0</v>
      </c>
      <c r="AA2086" s="229">
        <v>0</v>
      </c>
      <c r="AB2086" s="229">
        <v>0</v>
      </c>
      <c r="AC2086" s="12">
        <v>2</v>
      </c>
      <c r="AD2086" s="14">
        <v>2</v>
      </c>
      <c r="AE2086" s="14">
        <v>1641</v>
      </c>
      <c r="AF2086" s="26">
        <v>1665</v>
      </c>
      <c r="AG2086" s="12">
        <v>118</v>
      </c>
      <c r="AH2086" s="14">
        <v>0</v>
      </c>
      <c r="AI2086" s="209"/>
      <c r="AJ2086" s="3"/>
      <c r="AK2086" s="3"/>
      <c r="AL2086" s="3"/>
      <c r="AM2086" s="3"/>
      <c r="AN2086" s="3"/>
      <c r="AO2086" s="40"/>
      <c r="AP2086" s="209"/>
      <c r="AQ2086" s="3"/>
      <c r="AR2086" s="40"/>
      <c r="AS2086" s="238"/>
    </row>
    <row r="2087" spans="1:45" s="229" customFormat="1">
      <c r="A2087" s="42" t="s">
        <v>324</v>
      </c>
      <c r="B2087" s="390">
        <v>20.243333333333332</v>
      </c>
      <c r="C2087" s="229" t="s">
        <v>317</v>
      </c>
      <c r="D2087" s="229" t="s">
        <v>639</v>
      </c>
      <c r="E2087" s="229" t="s">
        <v>0</v>
      </c>
      <c r="F2087" s="229">
        <v>2754</v>
      </c>
      <c r="G2087" s="40">
        <f>F2087/1234</f>
        <v>2.2317666126418154</v>
      </c>
      <c r="H2087" s="14">
        <v>0</v>
      </c>
      <c r="I2087" s="229">
        <v>1</v>
      </c>
      <c r="J2087" s="229">
        <v>0</v>
      </c>
      <c r="K2087" s="26">
        <v>0</v>
      </c>
      <c r="L2087" s="14">
        <v>0</v>
      </c>
      <c r="M2087" s="229">
        <v>1</v>
      </c>
      <c r="N2087" s="229">
        <v>0</v>
      </c>
      <c r="O2087" s="229">
        <v>0</v>
      </c>
      <c r="P2087" s="26">
        <v>1</v>
      </c>
      <c r="Q2087" s="14">
        <v>0</v>
      </c>
      <c r="R2087" s="229">
        <v>0</v>
      </c>
      <c r="S2087" s="229">
        <v>0</v>
      </c>
      <c r="T2087" s="229">
        <v>0</v>
      </c>
      <c r="U2087" s="229">
        <v>0</v>
      </c>
      <c r="V2087" s="229">
        <v>0</v>
      </c>
      <c r="W2087" s="229">
        <v>0</v>
      </c>
      <c r="X2087" s="229">
        <v>0</v>
      </c>
      <c r="Y2087" s="229">
        <v>0</v>
      </c>
      <c r="Z2087" s="229">
        <v>0</v>
      </c>
      <c r="AA2087" s="229">
        <v>0</v>
      </c>
      <c r="AB2087" s="229">
        <v>0</v>
      </c>
      <c r="AC2087" s="12">
        <v>1</v>
      </c>
      <c r="AD2087" s="14">
        <v>1</v>
      </c>
      <c r="AE2087" s="14">
        <v>0</v>
      </c>
      <c r="AF2087" s="26">
        <v>0</v>
      </c>
      <c r="AG2087" s="12">
        <v>133</v>
      </c>
      <c r="AH2087" s="14">
        <v>0</v>
      </c>
      <c r="AI2087" s="209">
        <v>89.906629249855939</v>
      </c>
      <c r="AJ2087" s="3"/>
      <c r="AK2087" s="3"/>
      <c r="AL2087" s="3"/>
      <c r="AM2087" s="3"/>
      <c r="AN2087" s="3"/>
      <c r="AO2087" s="40"/>
      <c r="AP2087" s="209">
        <v>83.830124936827858</v>
      </c>
      <c r="AQ2087" s="3"/>
      <c r="AR2087" s="40"/>
      <c r="AS2087" s="238"/>
    </row>
    <row r="2088" spans="1:45" s="229" customFormat="1">
      <c r="A2088" s="42" t="s">
        <v>324</v>
      </c>
      <c r="B2088" s="390">
        <v>20.243333333333332</v>
      </c>
      <c r="C2088" s="229" t="s">
        <v>317</v>
      </c>
      <c r="D2088" s="229" t="s">
        <v>639</v>
      </c>
      <c r="E2088" s="229" t="s">
        <v>1</v>
      </c>
      <c r="F2088" s="229">
        <v>612</v>
      </c>
      <c r="G2088" s="40">
        <f>F2088/314</f>
        <v>1.9490445859872612</v>
      </c>
      <c r="H2088" s="14">
        <v>0</v>
      </c>
      <c r="I2088" s="229">
        <v>0</v>
      </c>
      <c r="J2088" s="229">
        <v>1</v>
      </c>
      <c r="K2088" s="26">
        <v>0</v>
      </c>
      <c r="L2088" s="14">
        <v>0</v>
      </c>
      <c r="M2088" s="229">
        <v>0</v>
      </c>
      <c r="N2088" s="229">
        <v>1</v>
      </c>
      <c r="O2088" s="229">
        <v>0</v>
      </c>
      <c r="P2088" s="26">
        <v>1</v>
      </c>
      <c r="Q2088" s="14">
        <v>10</v>
      </c>
      <c r="R2088" s="229">
        <v>0</v>
      </c>
      <c r="S2088" s="229">
        <v>0</v>
      </c>
      <c r="T2088" s="229">
        <v>0</v>
      </c>
      <c r="U2088" s="229">
        <v>0</v>
      </c>
      <c r="V2088" s="229">
        <v>42</v>
      </c>
      <c r="W2088" s="229">
        <v>138</v>
      </c>
      <c r="X2088" s="229">
        <v>0</v>
      </c>
      <c r="Y2088" s="229">
        <v>0</v>
      </c>
      <c r="Z2088" s="229">
        <v>17</v>
      </c>
      <c r="AA2088" s="229">
        <v>253</v>
      </c>
      <c r="AB2088" s="229">
        <v>0</v>
      </c>
      <c r="AC2088" s="12">
        <v>1</v>
      </c>
      <c r="AD2088" s="14">
        <v>1</v>
      </c>
      <c r="AE2088" s="14">
        <v>0</v>
      </c>
      <c r="AF2088" s="26">
        <v>0</v>
      </c>
      <c r="AG2088" s="12">
        <v>133</v>
      </c>
      <c r="AH2088" s="14">
        <v>0</v>
      </c>
      <c r="AI2088" s="209">
        <v>90.146851888004605</v>
      </c>
      <c r="AJ2088" s="3"/>
      <c r="AK2088" s="3"/>
      <c r="AL2088" s="3"/>
      <c r="AM2088" s="3"/>
      <c r="AN2088" s="3"/>
      <c r="AO2088" s="40"/>
      <c r="AP2088" s="209">
        <v>83.186849899572522</v>
      </c>
      <c r="AQ2088" s="3">
        <v>85.381973861841274</v>
      </c>
      <c r="AR2088" s="40"/>
      <c r="AS2088" s="238"/>
    </row>
    <row r="2089" spans="1:45" s="229" customFormat="1">
      <c r="A2089" s="42" t="s">
        <v>324</v>
      </c>
      <c r="B2089" s="390">
        <v>20.243333333333332</v>
      </c>
      <c r="C2089" s="229" t="s">
        <v>317</v>
      </c>
      <c r="D2089" s="229" t="s">
        <v>640</v>
      </c>
      <c r="F2089" s="229">
        <v>3704</v>
      </c>
      <c r="G2089" s="40">
        <f>F2089/16675</f>
        <v>0.2221289355322339</v>
      </c>
      <c r="H2089" s="14">
        <v>0</v>
      </c>
      <c r="I2089" s="229">
        <v>1</v>
      </c>
      <c r="J2089" s="229">
        <v>0</v>
      </c>
      <c r="K2089" s="26">
        <v>1</v>
      </c>
      <c r="L2089" s="14">
        <v>0</v>
      </c>
      <c r="M2089" s="229">
        <v>1</v>
      </c>
      <c r="N2089" s="229">
        <v>1</v>
      </c>
      <c r="O2089" s="229">
        <v>0</v>
      </c>
      <c r="P2089" s="26">
        <v>2</v>
      </c>
      <c r="Q2089" s="14">
        <v>1</v>
      </c>
      <c r="R2089" s="229">
        <v>0</v>
      </c>
      <c r="S2089" s="229">
        <v>0</v>
      </c>
      <c r="T2089" s="229">
        <v>0</v>
      </c>
      <c r="U2089" s="229">
        <v>0</v>
      </c>
      <c r="V2089" s="229">
        <v>0</v>
      </c>
      <c r="W2089" s="229">
        <v>76</v>
      </c>
      <c r="X2089" s="229">
        <v>0</v>
      </c>
      <c r="Y2089" s="229">
        <v>0</v>
      </c>
      <c r="Z2089" s="229">
        <v>0</v>
      </c>
      <c r="AA2089" s="229">
        <v>0</v>
      </c>
      <c r="AB2089" s="229">
        <v>0</v>
      </c>
      <c r="AC2089" s="12">
        <v>2</v>
      </c>
      <c r="AD2089" s="14">
        <v>4</v>
      </c>
      <c r="AE2089" s="14">
        <v>282</v>
      </c>
      <c r="AF2089" s="26">
        <v>1679</v>
      </c>
      <c r="AG2089" s="12">
        <v>130</v>
      </c>
      <c r="AH2089" s="14">
        <v>1</v>
      </c>
      <c r="AI2089" s="209"/>
      <c r="AJ2089" s="3"/>
      <c r="AK2089" s="3"/>
      <c r="AL2089" s="3"/>
      <c r="AM2089" s="3"/>
      <c r="AN2089" s="3"/>
      <c r="AO2089" s="40"/>
      <c r="AP2089" s="209"/>
      <c r="AQ2089" s="3"/>
      <c r="AR2089" s="40"/>
      <c r="AS2089" s="238"/>
    </row>
    <row r="2090" spans="1:45" s="229" customFormat="1">
      <c r="A2090" s="42" t="s">
        <v>324</v>
      </c>
      <c r="B2090" s="390">
        <v>20.243333333333332</v>
      </c>
      <c r="C2090" s="229" t="s">
        <v>317</v>
      </c>
      <c r="D2090" s="229" t="s">
        <v>641</v>
      </c>
      <c r="F2090" s="229">
        <v>791</v>
      </c>
      <c r="G2090" s="40">
        <f>F2090/590</f>
        <v>1.340677966101695</v>
      </c>
      <c r="H2090" s="14">
        <v>1</v>
      </c>
      <c r="I2090" s="229">
        <v>0</v>
      </c>
      <c r="J2090" s="229">
        <v>0</v>
      </c>
      <c r="K2090" s="26">
        <v>0</v>
      </c>
      <c r="L2090" s="14">
        <v>0</v>
      </c>
      <c r="M2090" s="229">
        <v>0</v>
      </c>
      <c r="N2090" s="229">
        <v>1</v>
      </c>
      <c r="O2090" s="229">
        <v>0</v>
      </c>
      <c r="P2090" s="26">
        <v>1</v>
      </c>
      <c r="Q2090" s="14">
        <v>0</v>
      </c>
      <c r="R2090" s="229">
        <v>0</v>
      </c>
      <c r="S2090" s="229">
        <v>0</v>
      </c>
      <c r="T2090" s="229">
        <v>0</v>
      </c>
      <c r="U2090" s="229">
        <v>0</v>
      </c>
      <c r="V2090" s="229">
        <v>0</v>
      </c>
      <c r="W2090" s="229">
        <v>0</v>
      </c>
      <c r="X2090" s="229">
        <v>0</v>
      </c>
      <c r="Y2090" s="229">
        <v>0</v>
      </c>
      <c r="Z2090" s="229">
        <v>0</v>
      </c>
      <c r="AA2090" s="229">
        <v>0</v>
      </c>
      <c r="AB2090" s="229">
        <v>0</v>
      </c>
      <c r="AC2090" s="12">
        <v>1</v>
      </c>
      <c r="AD2090" s="14">
        <v>1</v>
      </c>
      <c r="AE2090" s="14">
        <v>0</v>
      </c>
      <c r="AF2090" s="26">
        <v>0</v>
      </c>
      <c r="AG2090" s="12">
        <v>116</v>
      </c>
      <c r="AH2090" s="14">
        <v>0</v>
      </c>
      <c r="AI2090" s="209">
        <v>89.973234800790237</v>
      </c>
      <c r="AJ2090" s="3"/>
      <c r="AK2090" s="3"/>
      <c r="AL2090" s="3"/>
      <c r="AM2090" s="3"/>
      <c r="AN2090" s="3"/>
      <c r="AO2090" s="40"/>
      <c r="AP2090" s="209">
        <v>85.737662167679531</v>
      </c>
      <c r="AQ2090" s="3"/>
      <c r="AR2090" s="40"/>
      <c r="AS2090" s="238"/>
    </row>
    <row r="2091" spans="1:45" s="229" customFormat="1">
      <c r="A2091" s="42" t="s">
        <v>324</v>
      </c>
      <c r="B2091" s="390">
        <v>20.243333333333332</v>
      </c>
      <c r="C2091" s="229" t="s">
        <v>317</v>
      </c>
      <c r="D2091" s="229" t="s">
        <v>648</v>
      </c>
      <c r="F2091" s="229">
        <v>2606</v>
      </c>
      <c r="G2091" s="40">
        <f>F2091/1394</f>
        <v>1.8694404591104734</v>
      </c>
      <c r="H2091" s="14">
        <v>0</v>
      </c>
      <c r="I2091" s="229">
        <v>1</v>
      </c>
      <c r="J2091" s="229">
        <v>0</v>
      </c>
      <c r="K2091" s="26">
        <v>0</v>
      </c>
      <c r="L2091" s="14">
        <v>0</v>
      </c>
      <c r="M2091" s="229">
        <v>0</v>
      </c>
      <c r="N2091" s="229">
        <v>1</v>
      </c>
      <c r="O2091" s="229">
        <v>0</v>
      </c>
      <c r="P2091" s="26">
        <v>1</v>
      </c>
      <c r="Q2091" s="14">
        <v>1</v>
      </c>
      <c r="R2091" s="229">
        <v>0</v>
      </c>
      <c r="S2091" s="229">
        <v>0</v>
      </c>
      <c r="T2091" s="229">
        <v>0</v>
      </c>
      <c r="U2091" s="229">
        <v>0</v>
      </c>
      <c r="V2091" s="229">
        <v>0</v>
      </c>
      <c r="W2091" s="229">
        <v>23</v>
      </c>
      <c r="X2091" s="229">
        <v>0</v>
      </c>
      <c r="Y2091" s="229">
        <v>0</v>
      </c>
      <c r="Z2091" s="229">
        <v>0</v>
      </c>
      <c r="AA2091" s="229">
        <v>49</v>
      </c>
      <c r="AB2091" s="229">
        <v>0</v>
      </c>
      <c r="AC2091" s="12">
        <v>1</v>
      </c>
      <c r="AD2091" s="14">
        <v>1</v>
      </c>
      <c r="AE2091" s="14">
        <v>0</v>
      </c>
      <c r="AF2091" s="26">
        <v>0</v>
      </c>
      <c r="AG2091" s="12">
        <v>129</v>
      </c>
      <c r="AH2091" s="14">
        <v>1</v>
      </c>
      <c r="AI2091" s="209"/>
      <c r="AJ2091" s="3"/>
      <c r="AK2091" s="3"/>
      <c r="AL2091" s="3"/>
      <c r="AM2091" s="3"/>
      <c r="AN2091" s="3"/>
      <c r="AO2091" s="40"/>
      <c r="AP2091" s="209"/>
      <c r="AQ2091" s="3"/>
      <c r="AR2091" s="40"/>
      <c r="AS2091" s="238"/>
    </row>
    <row r="2092" spans="1:45" s="229" customFormat="1">
      <c r="A2092" s="42" t="s">
        <v>324</v>
      </c>
      <c r="B2092" s="390">
        <v>20.243333333333332</v>
      </c>
      <c r="C2092" s="229" t="s">
        <v>317</v>
      </c>
      <c r="D2092" s="229" t="s">
        <v>649</v>
      </c>
      <c r="F2092" s="229">
        <v>1544</v>
      </c>
      <c r="G2092" s="40">
        <f>F2092/1737</f>
        <v>0.88888888888888884</v>
      </c>
      <c r="H2092" s="14">
        <v>1</v>
      </c>
      <c r="I2092" s="229">
        <v>0</v>
      </c>
      <c r="J2092" s="229">
        <v>0</v>
      </c>
      <c r="K2092" s="26">
        <v>0</v>
      </c>
      <c r="L2092" s="14">
        <v>0</v>
      </c>
      <c r="M2092" s="229">
        <v>0</v>
      </c>
      <c r="N2092" s="229">
        <v>1</v>
      </c>
      <c r="O2092" s="229">
        <v>0</v>
      </c>
      <c r="P2092" s="26">
        <v>1</v>
      </c>
      <c r="Q2092" s="14">
        <v>0</v>
      </c>
      <c r="R2092" s="229">
        <v>0</v>
      </c>
      <c r="S2092" s="229">
        <v>0</v>
      </c>
      <c r="T2092" s="229">
        <v>0</v>
      </c>
      <c r="U2092" s="229">
        <v>0</v>
      </c>
      <c r="V2092" s="229">
        <v>0</v>
      </c>
      <c r="W2092" s="229">
        <v>0</v>
      </c>
      <c r="X2092" s="229">
        <v>0</v>
      </c>
      <c r="Y2092" s="229">
        <v>0</v>
      </c>
      <c r="Z2092" s="229">
        <v>0</v>
      </c>
      <c r="AA2092" s="229">
        <v>0</v>
      </c>
      <c r="AB2092" s="229">
        <v>0</v>
      </c>
      <c r="AC2092" s="12">
        <v>1</v>
      </c>
      <c r="AD2092" s="14">
        <v>1</v>
      </c>
      <c r="AE2092" s="14">
        <v>0</v>
      </c>
      <c r="AF2092" s="26">
        <v>0</v>
      </c>
      <c r="AG2092" s="12">
        <v>113</v>
      </c>
      <c r="AH2092" s="14">
        <v>0</v>
      </c>
      <c r="AI2092" s="209"/>
      <c r="AJ2092" s="3"/>
      <c r="AK2092" s="3"/>
      <c r="AL2092" s="3"/>
      <c r="AM2092" s="3"/>
      <c r="AN2092" s="3"/>
      <c r="AO2092" s="40"/>
      <c r="AP2092" s="209"/>
      <c r="AQ2092" s="3"/>
      <c r="AR2092" s="40"/>
      <c r="AS2092" s="238"/>
    </row>
    <row r="2093" spans="1:45" s="229" customFormat="1">
      <c r="A2093" s="42" t="s">
        <v>324</v>
      </c>
      <c r="B2093" s="390">
        <v>20.243333333333332</v>
      </c>
      <c r="C2093" s="229" t="s">
        <v>317</v>
      </c>
      <c r="D2093" s="229" t="s">
        <v>669</v>
      </c>
      <c r="F2093" s="229">
        <v>2688</v>
      </c>
      <c r="G2093" s="40">
        <f>F2093/2108</f>
        <v>1.2751423149905123</v>
      </c>
      <c r="H2093" s="14">
        <v>0</v>
      </c>
      <c r="I2093" s="229">
        <v>0</v>
      </c>
      <c r="J2093" s="229">
        <v>0</v>
      </c>
      <c r="K2093" s="26">
        <v>1</v>
      </c>
      <c r="L2093" s="14">
        <v>1</v>
      </c>
      <c r="M2093" s="229">
        <v>0</v>
      </c>
      <c r="N2093" s="229">
        <v>0</v>
      </c>
      <c r="O2093" s="229">
        <v>0</v>
      </c>
      <c r="P2093" s="26">
        <v>1</v>
      </c>
      <c r="Q2093" s="14">
        <v>1</v>
      </c>
      <c r="R2093" s="229">
        <v>0</v>
      </c>
      <c r="S2093" s="229">
        <v>29</v>
      </c>
      <c r="T2093" s="229">
        <v>0</v>
      </c>
      <c r="U2093" s="229">
        <v>0</v>
      </c>
      <c r="V2093" s="229">
        <v>0</v>
      </c>
      <c r="W2093" s="229">
        <v>62</v>
      </c>
      <c r="X2093" s="229">
        <v>0</v>
      </c>
      <c r="Y2093" s="229">
        <v>0</v>
      </c>
      <c r="Z2093" s="229">
        <v>0</v>
      </c>
      <c r="AA2093" s="229">
        <v>0</v>
      </c>
      <c r="AB2093" s="229">
        <v>0</v>
      </c>
      <c r="AC2093" s="12">
        <v>2</v>
      </c>
      <c r="AD2093" s="14">
        <v>2</v>
      </c>
      <c r="AE2093" s="14">
        <v>1061</v>
      </c>
      <c r="AF2093" s="26">
        <v>2108</v>
      </c>
      <c r="AG2093" s="12">
        <v>124</v>
      </c>
      <c r="AH2093" s="14">
        <v>1</v>
      </c>
      <c r="AI2093" s="209"/>
      <c r="AJ2093" s="3"/>
      <c r="AK2093" s="3"/>
      <c r="AL2093" s="3"/>
      <c r="AM2093" s="3"/>
      <c r="AN2093" s="3"/>
      <c r="AO2093" s="40"/>
      <c r="AP2093" s="209"/>
      <c r="AQ2093" s="3"/>
      <c r="AR2093" s="40"/>
      <c r="AS2093" s="238"/>
    </row>
    <row r="2094" spans="1:45" s="229" customFormat="1">
      <c r="A2094" s="42" t="s">
        <v>324</v>
      </c>
      <c r="B2094" s="390">
        <v>20.243333333333332</v>
      </c>
      <c r="C2094" s="229" t="s">
        <v>317</v>
      </c>
      <c r="D2094" s="229" t="s">
        <v>670</v>
      </c>
      <c r="F2094" s="229">
        <v>824</v>
      </c>
      <c r="G2094" s="40">
        <f>F2094/761</f>
        <v>1.0827858081471748</v>
      </c>
      <c r="H2094" s="14">
        <v>0</v>
      </c>
      <c r="I2094" s="229">
        <v>0</v>
      </c>
      <c r="J2094" s="229">
        <v>0</v>
      </c>
      <c r="K2094" s="26">
        <v>1</v>
      </c>
      <c r="L2094" s="14">
        <v>0</v>
      </c>
      <c r="M2094" s="229">
        <v>0</v>
      </c>
      <c r="N2094" s="229">
        <v>1</v>
      </c>
      <c r="O2094" s="229">
        <v>0</v>
      </c>
      <c r="P2094" s="26">
        <v>1</v>
      </c>
      <c r="Q2094" s="14">
        <v>0</v>
      </c>
      <c r="R2094" s="229">
        <v>0</v>
      </c>
      <c r="S2094" s="229">
        <v>0</v>
      </c>
      <c r="T2094" s="229">
        <v>0</v>
      </c>
      <c r="U2094" s="229">
        <v>0</v>
      </c>
      <c r="V2094" s="229">
        <v>0</v>
      </c>
      <c r="W2094" s="229">
        <v>0</v>
      </c>
      <c r="X2094" s="229">
        <v>0</v>
      </c>
      <c r="Y2094" s="229">
        <v>0</v>
      </c>
      <c r="Z2094" s="229">
        <v>0</v>
      </c>
      <c r="AA2094" s="229">
        <v>0</v>
      </c>
      <c r="AB2094" s="229">
        <v>0</v>
      </c>
      <c r="AC2094" s="12">
        <v>1</v>
      </c>
      <c r="AD2094" s="14">
        <v>1</v>
      </c>
      <c r="AE2094" s="14">
        <v>0</v>
      </c>
      <c r="AF2094" s="26">
        <v>0</v>
      </c>
      <c r="AG2094" s="12">
        <v>129</v>
      </c>
      <c r="AH2094" s="14">
        <v>1</v>
      </c>
      <c r="AI2094" s="209">
        <v>89.832390450845637</v>
      </c>
      <c r="AJ2094" s="3"/>
      <c r="AK2094" s="3"/>
      <c r="AL2094" s="3"/>
      <c r="AM2094" s="3"/>
      <c r="AN2094" s="3"/>
      <c r="AO2094" s="40"/>
      <c r="AP2094" s="209">
        <v>83.582250799809287</v>
      </c>
      <c r="AQ2094" s="3"/>
      <c r="AR2094" s="40"/>
      <c r="AS2094" s="238"/>
    </row>
    <row r="2095" spans="1:45" s="229" customFormat="1">
      <c r="A2095" s="42" t="s">
        <v>324</v>
      </c>
      <c r="B2095" s="390">
        <v>20.243333333333332</v>
      </c>
      <c r="C2095" s="229" t="s">
        <v>317</v>
      </c>
      <c r="D2095" s="229" t="s">
        <v>671</v>
      </c>
      <c r="F2095" s="229">
        <v>4460</v>
      </c>
      <c r="G2095" s="40">
        <f>F2095/1957</f>
        <v>2.2789984670413901</v>
      </c>
      <c r="H2095" s="14">
        <v>0</v>
      </c>
      <c r="I2095" s="229">
        <v>1</v>
      </c>
      <c r="J2095" s="229">
        <v>0</v>
      </c>
      <c r="K2095" s="26">
        <v>0</v>
      </c>
      <c r="L2095" s="14">
        <v>0</v>
      </c>
      <c r="M2095" s="229">
        <v>0</v>
      </c>
      <c r="N2095" s="229">
        <v>1</v>
      </c>
      <c r="O2095" s="229">
        <v>0</v>
      </c>
      <c r="P2095" s="26">
        <v>1</v>
      </c>
      <c r="Q2095" s="14">
        <v>0</v>
      </c>
      <c r="R2095" s="229">
        <v>0</v>
      </c>
      <c r="S2095" s="229">
        <v>0</v>
      </c>
      <c r="T2095" s="229">
        <v>0</v>
      </c>
      <c r="U2095" s="229">
        <v>0</v>
      </c>
      <c r="V2095" s="229">
        <v>0</v>
      </c>
      <c r="W2095" s="229">
        <v>0</v>
      </c>
      <c r="X2095" s="229">
        <v>0</v>
      </c>
      <c r="Y2095" s="229">
        <v>0</v>
      </c>
      <c r="Z2095" s="229">
        <v>0</v>
      </c>
      <c r="AA2095" s="229">
        <v>0</v>
      </c>
      <c r="AB2095" s="229">
        <v>0</v>
      </c>
      <c r="AC2095" s="12">
        <v>1</v>
      </c>
      <c r="AD2095" s="14">
        <v>1</v>
      </c>
      <c r="AE2095" s="14">
        <v>0</v>
      </c>
      <c r="AF2095" s="26">
        <v>0</v>
      </c>
      <c r="AG2095" s="12">
        <v>127</v>
      </c>
      <c r="AH2095" s="14">
        <v>1</v>
      </c>
      <c r="AI2095" s="209"/>
      <c r="AJ2095" s="3"/>
      <c r="AK2095" s="3"/>
      <c r="AL2095" s="3"/>
      <c r="AM2095" s="3"/>
      <c r="AN2095" s="3"/>
      <c r="AO2095" s="40"/>
      <c r="AP2095" s="209"/>
      <c r="AQ2095" s="3"/>
      <c r="AR2095" s="40"/>
      <c r="AS2095" s="238"/>
    </row>
    <row r="2096" spans="1:45" s="229" customFormat="1">
      <c r="A2096" s="42" t="s">
        <v>324</v>
      </c>
      <c r="B2096" s="390">
        <v>20.243333333333332</v>
      </c>
      <c r="C2096" s="229" t="s">
        <v>317</v>
      </c>
      <c r="D2096" s="229" t="s">
        <v>672</v>
      </c>
      <c r="F2096" s="229">
        <v>4329</v>
      </c>
      <c r="G2096" s="40">
        <f>F2096/3413</f>
        <v>1.2683855845297392</v>
      </c>
      <c r="H2096" s="14">
        <v>0</v>
      </c>
      <c r="I2096" s="229">
        <v>0</v>
      </c>
      <c r="J2096" s="229">
        <v>0</v>
      </c>
      <c r="K2096" s="26">
        <v>1</v>
      </c>
      <c r="L2096" s="14">
        <v>0</v>
      </c>
      <c r="M2096" s="229">
        <v>1</v>
      </c>
      <c r="N2096" s="229">
        <v>1</v>
      </c>
      <c r="O2096" s="229">
        <v>0</v>
      </c>
      <c r="P2096" s="26">
        <v>2</v>
      </c>
      <c r="Q2096" s="14">
        <v>0</v>
      </c>
      <c r="R2096" s="229">
        <v>0</v>
      </c>
      <c r="S2096" s="229">
        <v>0</v>
      </c>
      <c r="T2096" s="229">
        <v>0</v>
      </c>
      <c r="U2096" s="229">
        <v>0</v>
      </c>
      <c r="V2096" s="229">
        <v>0</v>
      </c>
      <c r="W2096" s="229">
        <v>0</v>
      </c>
      <c r="X2096" s="229">
        <v>0</v>
      </c>
      <c r="Y2096" s="229">
        <v>0</v>
      </c>
      <c r="Z2096" s="229">
        <v>0</v>
      </c>
      <c r="AA2096" s="229">
        <v>0</v>
      </c>
      <c r="AB2096" s="229">
        <v>0</v>
      </c>
      <c r="AC2096" s="12">
        <v>1</v>
      </c>
      <c r="AD2096" s="14">
        <v>1</v>
      </c>
      <c r="AE2096" s="14">
        <v>0</v>
      </c>
      <c r="AF2096" s="26">
        <v>0</v>
      </c>
      <c r="AG2096" s="12">
        <v>116</v>
      </c>
      <c r="AH2096" s="14">
        <v>1</v>
      </c>
      <c r="AI2096" s="209"/>
      <c r="AJ2096" s="3"/>
      <c r="AK2096" s="3"/>
      <c r="AL2096" s="3"/>
      <c r="AM2096" s="3"/>
      <c r="AN2096" s="3"/>
      <c r="AO2096" s="40"/>
      <c r="AP2096" s="209"/>
      <c r="AQ2096" s="3"/>
      <c r="AR2096" s="40"/>
      <c r="AS2096" s="238"/>
    </row>
    <row r="2097" spans="1:45" s="229" customFormat="1">
      <c r="A2097" s="42" t="s">
        <v>324</v>
      </c>
      <c r="B2097" s="390">
        <v>20.243333333333332</v>
      </c>
      <c r="C2097" s="229" t="s">
        <v>317</v>
      </c>
      <c r="D2097" s="229" t="s">
        <v>673</v>
      </c>
      <c r="F2097" s="229">
        <v>5769</v>
      </c>
      <c r="G2097" s="40">
        <f>F2097/2475</f>
        <v>2.330909090909091</v>
      </c>
      <c r="H2097" s="14">
        <v>0</v>
      </c>
      <c r="I2097" s="229">
        <v>1</v>
      </c>
      <c r="J2097" s="229">
        <v>0</v>
      </c>
      <c r="K2097" s="26">
        <v>1</v>
      </c>
      <c r="L2097" s="14">
        <v>0</v>
      </c>
      <c r="M2097" s="229">
        <v>1</v>
      </c>
      <c r="N2097" s="229">
        <v>1</v>
      </c>
      <c r="O2097" s="229">
        <v>0</v>
      </c>
      <c r="P2097" s="26">
        <v>2</v>
      </c>
      <c r="Q2097" s="14">
        <v>2</v>
      </c>
      <c r="R2097" s="229">
        <v>0</v>
      </c>
      <c r="S2097" s="229">
        <v>0</v>
      </c>
      <c r="T2097" s="229">
        <v>0</v>
      </c>
      <c r="U2097" s="229">
        <v>0</v>
      </c>
      <c r="V2097" s="229">
        <v>0</v>
      </c>
      <c r="W2097" s="229">
        <v>0</v>
      </c>
      <c r="X2097" s="229">
        <v>0</v>
      </c>
      <c r="Y2097" s="229">
        <v>0</v>
      </c>
      <c r="Z2097" s="229">
        <v>164</v>
      </c>
      <c r="AA2097" s="229">
        <v>200</v>
      </c>
      <c r="AB2097" s="229">
        <v>0</v>
      </c>
      <c r="AC2097" s="12">
        <v>2</v>
      </c>
      <c r="AD2097" s="14">
        <v>3</v>
      </c>
      <c r="AE2097" s="14">
        <v>727</v>
      </c>
      <c r="AF2097" s="26">
        <v>5308</v>
      </c>
      <c r="AG2097" s="12">
        <v>128</v>
      </c>
      <c r="AH2097" s="14">
        <v>1</v>
      </c>
      <c r="AI2097" s="209"/>
      <c r="AJ2097" s="3"/>
      <c r="AK2097" s="3"/>
      <c r="AL2097" s="3"/>
      <c r="AM2097" s="3"/>
      <c r="AN2097" s="3"/>
      <c r="AO2097" s="40"/>
      <c r="AP2097" s="209"/>
      <c r="AQ2097" s="3"/>
      <c r="AR2097" s="40"/>
      <c r="AS2097" s="238"/>
    </row>
    <row r="2098" spans="1:45" s="229" customFormat="1">
      <c r="A2098" s="42" t="s">
        <v>324</v>
      </c>
      <c r="B2098" s="390">
        <v>20.243333333333332</v>
      </c>
      <c r="C2098" s="229" t="s">
        <v>317</v>
      </c>
      <c r="D2098" s="229" t="s">
        <v>674</v>
      </c>
      <c r="F2098" s="229">
        <v>7222</v>
      </c>
      <c r="G2098" s="40">
        <f>F2098/3621</f>
        <v>1.9944766639049987</v>
      </c>
      <c r="H2098" s="14">
        <v>0</v>
      </c>
      <c r="I2098" s="229">
        <v>1</v>
      </c>
      <c r="J2098" s="229">
        <v>0</v>
      </c>
      <c r="K2098" s="26">
        <v>1</v>
      </c>
      <c r="L2098" s="14">
        <v>0</v>
      </c>
      <c r="M2098" s="229">
        <v>1</v>
      </c>
      <c r="N2098" s="229">
        <v>1</v>
      </c>
      <c r="O2098" s="229">
        <v>0</v>
      </c>
      <c r="P2098" s="26">
        <v>2</v>
      </c>
      <c r="Q2098" s="14">
        <v>1</v>
      </c>
      <c r="R2098" s="229">
        <v>0</v>
      </c>
      <c r="S2098" s="229">
        <v>0</v>
      </c>
      <c r="T2098" s="229">
        <v>0</v>
      </c>
      <c r="U2098" s="229">
        <v>0</v>
      </c>
      <c r="V2098" s="229">
        <v>0</v>
      </c>
      <c r="W2098" s="229">
        <v>0</v>
      </c>
      <c r="X2098" s="229">
        <v>0</v>
      </c>
      <c r="Y2098" s="229">
        <v>0</v>
      </c>
      <c r="Z2098" s="229">
        <v>0</v>
      </c>
      <c r="AA2098" s="229">
        <v>63</v>
      </c>
      <c r="AB2098" s="229">
        <v>0</v>
      </c>
      <c r="AC2098" s="12">
        <v>2</v>
      </c>
      <c r="AD2098" s="14">
        <v>8</v>
      </c>
      <c r="AE2098" s="14">
        <v>416</v>
      </c>
      <c r="AF2098" s="26">
        <v>3433</v>
      </c>
      <c r="AG2098" s="12">
        <v>117</v>
      </c>
      <c r="AH2098" s="14">
        <v>1</v>
      </c>
      <c r="AI2098" s="209">
        <v>90.405175048859903</v>
      </c>
      <c r="AJ2098" s="3"/>
      <c r="AK2098" s="3"/>
      <c r="AL2098" s="3"/>
      <c r="AM2098" s="3"/>
      <c r="AN2098" s="3"/>
      <c r="AO2098" s="40"/>
      <c r="AP2098" s="209">
        <v>83.091744936451832</v>
      </c>
      <c r="AQ2098" s="3"/>
      <c r="AR2098" s="40"/>
      <c r="AS2098" s="238"/>
    </row>
    <row r="2099" spans="1:45" s="229" customFormat="1">
      <c r="A2099" s="42" t="s">
        <v>324</v>
      </c>
      <c r="B2099" s="390">
        <v>20.243333333333332</v>
      </c>
      <c r="C2099" s="229" t="s">
        <v>317</v>
      </c>
      <c r="D2099" s="229" t="s">
        <v>675</v>
      </c>
      <c r="F2099" s="229">
        <v>5991</v>
      </c>
      <c r="G2099" s="40">
        <f>F2099/4003</f>
        <v>1.4966275293529852</v>
      </c>
      <c r="H2099" s="14">
        <v>0</v>
      </c>
      <c r="I2099" s="229">
        <v>0</v>
      </c>
      <c r="J2099" s="229">
        <v>0</v>
      </c>
      <c r="K2099" s="26">
        <v>1</v>
      </c>
      <c r="L2099" s="14">
        <v>0</v>
      </c>
      <c r="M2099" s="229">
        <v>0</v>
      </c>
      <c r="N2099" s="229">
        <v>1</v>
      </c>
      <c r="O2099" s="229">
        <v>0</v>
      </c>
      <c r="P2099" s="26">
        <v>1</v>
      </c>
      <c r="Q2099" s="14">
        <v>4</v>
      </c>
      <c r="R2099" s="229">
        <v>75</v>
      </c>
      <c r="S2099" s="229">
        <v>150</v>
      </c>
      <c r="T2099" s="229">
        <v>0</v>
      </c>
      <c r="U2099" s="229">
        <v>0</v>
      </c>
      <c r="V2099" s="229">
        <v>99</v>
      </c>
      <c r="W2099" s="229">
        <v>868</v>
      </c>
      <c r="X2099" s="229">
        <v>0</v>
      </c>
      <c r="Y2099" s="229">
        <v>0</v>
      </c>
      <c r="Z2099" s="229">
        <v>0</v>
      </c>
      <c r="AA2099" s="229">
        <v>0</v>
      </c>
      <c r="AB2099" s="229">
        <v>0</v>
      </c>
      <c r="AC2099" s="12">
        <v>1</v>
      </c>
      <c r="AD2099" s="14">
        <v>1</v>
      </c>
      <c r="AE2099" s="14">
        <v>0</v>
      </c>
      <c r="AF2099" s="26">
        <v>0</v>
      </c>
      <c r="AG2099" s="12">
        <v>123</v>
      </c>
      <c r="AH2099" s="14">
        <v>1</v>
      </c>
      <c r="AI2099" s="209">
        <v>90.076783237042704</v>
      </c>
      <c r="AJ2099" s="3"/>
      <c r="AK2099" s="3"/>
      <c r="AL2099" s="3"/>
      <c r="AM2099" s="3"/>
      <c r="AN2099" s="3"/>
      <c r="AO2099" s="40"/>
      <c r="AP2099" s="209">
        <v>83.39712049244595</v>
      </c>
      <c r="AQ2099" s="3"/>
      <c r="AR2099" s="40"/>
      <c r="AS2099" s="238"/>
    </row>
    <row r="2100" spans="1:45" s="229" customFormat="1" ht="17" thickBot="1">
      <c r="A2100" s="55" t="s">
        <v>324</v>
      </c>
      <c r="B2100" s="388">
        <v>20.243333333333332</v>
      </c>
      <c r="C2100" s="229" t="s">
        <v>317</v>
      </c>
      <c r="D2100" s="229" t="s">
        <v>677</v>
      </c>
      <c r="F2100" s="229">
        <v>6273</v>
      </c>
      <c r="G2100" s="40">
        <f>F2100/4134</f>
        <v>1.5174165457184325</v>
      </c>
      <c r="H2100" s="14">
        <v>0</v>
      </c>
      <c r="I2100" s="229">
        <v>0</v>
      </c>
      <c r="J2100" s="229">
        <v>1</v>
      </c>
      <c r="K2100" s="26">
        <v>0</v>
      </c>
      <c r="L2100" s="14">
        <v>0</v>
      </c>
      <c r="M2100" s="229">
        <v>0</v>
      </c>
      <c r="N2100" s="229">
        <v>1</v>
      </c>
      <c r="O2100" s="229">
        <v>0</v>
      </c>
      <c r="P2100" s="26">
        <v>1</v>
      </c>
      <c r="Q2100" s="14">
        <v>1</v>
      </c>
      <c r="R2100" s="229">
        <v>19</v>
      </c>
      <c r="S2100" s="229">
        <v>28</v>
      </c>
      <c r="T2100" s="229">
        <v>0</v>
      </c>
      <c r="U2100" s="229">
        <v>0</v>
      </c>
      <c r="V2100" s="229">
        <v>0</v>
      </c>
      <c r="W2100" s="229">
        <v>0</v>
      </c>
      <c r="X2100" s="229">
        <v>0</v>
      </c>
      <c r="Y2100" s="229">
        <v>0</v>
      </c>
      <c r="Z2100" s="229">
        <v>0</v>
      </c>
      <c r="AA2100" s="229">
        <v>314</v>
      </c>
      <c r="AB2100" s="229">
        <v>1</v>
      </c>
      <c r="AC2100" s="12">
        <v>1</v>
      </c>
      <c r="AD2100" s="14">
        <v>1</v>
      </c>
      <c r="AE2100" s="14">
        <v>0</v>
      </c>
      <c r="AF2100" s="26">
        <v>0</v>
      </c>
      <c r="AG2100" s="12">
        <v>133</v>
      </c>
      <c r="AH2100" s="14">
        <v>1</v>
      </c>
      <c r="AI2100" s="209">
        <v>90.003019954585127</v>
      </c>
      <c r="AJ2100" s="3"/>
      <c r="AK2100" s="3"/>
      <c r="AL2100" s="3"/>
      <c r="AM2100" s="3"/>
      <c r="AN2100" s="3"/>
      <c r="AO2100" s="40"/>
      <c r="AP2100" s="209">
        <v>85.459829097395911</v>
      </c>
      <c r="AQ2100" s="3"/>
      <c r="AR2100" s="40"/>
      <c r="AS2100" s="238"/>
    </row>
    <row r="2101" spans="1:45" s="229" customFormat="1" ht="17" thickBot="1">
      <c r="A2101" s="84" t="s">
        <v>321</v>
      </c>
      <c r="B2101" s="388">
        <v>3.105</v>
      </c>
      <c r="C2101" s="30" t="s">
        <v>668</v>
      </c>
      <c r="D2101" s="30" t="s">
        <v>721</v>
      </c>
      <c r="E2101" s="30" t="s">
        <v>615</v>
      </c>
      <c r="F2101" s="30">
        <v>61</v>
      </c>
      <c r="G2101" s="45">
        <f>F2101/24</f>
        <v>2.5416666666666665</v>
      </c>
      <c r="H2101" s="28">
        <v>0</v>
      </c>
      <c r="I2101" s="30">
        <v>0</v>
      </c>
      <c r="J2101" s="30">
        <v>1</v>
      </c>
      <c r="K2101" s="29">
        <v>0</v>
      </c>
      <c r="L2101" s="28">
        <v>0</v>
      </c>
      <c r="M2101" s="30">
        <v>0</v>
      </c>
      <c r="N2101" s="30">
        <v>0</v>
      </c>
      <c r="O2101" s="30">
        <v>0</v>
      </c>
      <c r="P2101" s="29">
        <v>0</v>
      </c>
      <c r="Q2101" s="28">
        <v>0</v>
      </c>
      <c r="R2101" s="30">
        <v>0</v>
      </c>
      <c r="S2101" s="30">
        <v>0</v>
      </c>
      <c r="T2101" s="30">
        <v>0</v>
      </c>
      <c r="U2101" s="30">
        <v>0</v>
      </c>
      <c r="V2101" s="30">
        <v>0</v>
      </c>
      <c r="W2101" s="30">
        <v>0</v>
      </c>
      <c r="X2101" s="30">
        <v>0</v>
      </c>
      <c r="Y2101" s="30">
        <v>0</v>
      </c>
      <c r="Z2101" s="30">
        <v>0</v>
      </c>
      <c r="AA2101" s="30">
        <v>0</v>
      </c>
      <c r="AB2101" s="30"/>
      <c r="AC2101" s="27">
        <v>1</v>
      </c>
      <c r="AD2101" s="28">
        <v>0</v>
      </c>
      <c r="AE2101" s="28">
        <v>0</v>
      </c>
      <c r="AF2101" s="29">
        <v>0</v>
      </c>
      <c r="AG2101" s="27">
        <v>86</v>
      </c>
      <c r="AH2101" s="28">
        <v>0</v>
      </c>
      <c r="AI2101" s="211">
        <v>84.5</v>
      </c>
      <c r="AJ2101" s="77"/>
      <c r="AK2101" s="77"/>
      <c r="AL2101" s="77"/>
      <c r="AM2101" s="77"/>
      <c r="AN2101" s="77"/>
      <c r="AO2101" s="45"/>
      <c r="AP2101" s="211"/>
      <c r="AQ2101" s="77"/>
      <c r="AR2101" s="45"/>
      <c r="AS2101" s="236"/>
    </row>
    <row r="2102" spans="1:45" s="229" customFormat="1">
      <c r="A2102" s="83" t="s">
        <v>327</v>
      </c>
      <c r="B2102" s="384">
        <v>84.28</v>
      </c>
      <c r="C2102" s="229" t="s">
        <v>184</v>
      </c>
      <c r="D2102" s="229" t="s">
        <v>59</v>
      </c>
      <c r="E2102" s="229" t="s">
        <v>615</v>
      </c>
      <c r="F2102" s="229">
        <v>60</v>
      </c>
      <c r="G2102" s="40">
        <f>F2102/53</f>
        <v>1.1320754716981132</v>
      </c>
      <c r="H2102" s="14">
        <v>1</v>
      </c>
      <c r="I2102" s="229">
        <v>0</v>
      </c>
      <c r="J2102" s="229">
        <v>0</v>
      </c>
      <c r="K2102" s="26">
        <v>0</v>
      </c>
      <c r="L2102" s="14">
        <v>0</v>
      </c>
      <c r="M2102" s="229">
        <v>0</v>
      </c>
      <c r="N2102" s="229">
        <v>0</v>
      </c>
      <c r="O2102" s="229">
        <v>0</v>
      </c>
      <c r="P2102" s="26">
        <v>0</v>
      </c>
      <c r="Q2102" s="14">
        <v>0</v>
      </c>
      <c r="R2102" s="229">
        <v>0</v>
      </c>
      <c r="S2102" s="229">
        <v>0</v>
      </c>
      <c r="T2102" s="229">
        <v>0</v>
      </c>
      <c r="U2102" s="229">
        <v>0</v>
      </c>
      <c r="V2102" s="229">
        <v>0</v>
      </c>
      <c r="W2102" s="229">
        <v>0</v>
      </c>
      <c r="X2102" s="229">
        <v>0</v>
      </c>
      <c r="Y2102" s="229">
        <v>0</v>
      </c>
      <c r="Z2102" s="229">
        <v>0</v>
      </c>
      <c r="AA2102" s="229">
        <v>0</v>
      </c>
      <c r="AB2102" s="229">
        <v>0</v>
      </c>
      <c r="AC2102" s="12">
        <v>1</v>
      </c>
      <c r="AD2102" s="14">
        <v>0</v>
      </c>
      <c r="AE2102" s="14">
        <v>0</v>
      </c>
      <c r="AF2102" s="26">
        <v>0</v>
      </c>
      <c r="AG2102" s="12">
        <v>99</v>
      </c>
      <c r="AH2102" s="14">
        <v>0</v>
      </c>
      <c r="AI2102" s="209">
        <v>84.8</v>
      </c>
      <c r="AJ2102" s="3"/>
      <c r="AK2102" s="3"/>
      <c r="AL2102" s="3"/>
      <c r="AM2102" s="3"/>
      <c r="AN2102" s="3"/>
      <c r="AO2102" s="40"/>
      <c r="AP2102" s="209"/>
      <c r="AQ2102" s="3"/>
      <c r="AR2102" s="40"/>
      <c r="AS2102" s="238"/>
    </row>
    <row r="2103" spans="1:45" s="229" customFormat="1">
      <c r="A2103" s="83" t="s">
        <v>327</v>
      </c>
      <c r="B2103" s="386">
        <v>84.28</v>
      </c>
      <c r="C2103" s="229" t="s">
        <v>184</v>
      </c>
      <c r="D2103" s="229" t="s">
        <v>60</v>
      </c>
      <c r="E2103" s="229" t="s">
        <v>423</v>
      </c>
      <c r="F2103" s="229">
        <v>429</v>
      </c>
      <c r="G2103" s="40">
        <f>F2103/200</f>
        <v>2.145</v>
      </c>
      <c r="H2103" s="14">
        <v>0</v>
      </c>
      <c r="I2103" s="229">
        <v>0</v>
      </c>
      <c r="J2103" s="229">
        <v>0</v>
      </c>
      <c r="K2103" s="26">
        <v>1</v>
      </c>
      <c r="L2103" s="14">
        <v>0</v>
      </c>
      <c r="M2103" s="229">
        <v>0</v>
      </c>
      <c r="N2103" s="229">
        <v>1</v>
      </c>
      <c r="O2103" s="229">
        <v>0</v>
      </c>
      <c r="P2103" s="26">
        <v>1</v>
      </c>
      <c r="Q2103" s="14">
        <v>2</v>
      </c>
      <c r="R2103" s="229">
        <v>15</v>
      </c>
      <c r="S2103" s="229">
        <v>16</v>
      </c>
      <c r="T2103" s="229">
        <v>0</v>
      </c>
      <c r="U2103" s="229">
        <v>0</v>
      </c>
      <c r="V2103" s="229">
        <v>0</v>
      </c>
      <c r="W2103" s="229">
        <v>0</v>
      </c>
      <c r="X2103" s="229">
        <v>0</v>
      </c>
      <c r="Y2103" s="229">
        <v>0</v>
      </c>
      <c r="Z2103" s="229">
        <v>0</v>
      </c>
      <c r="AA2103" s="229">
        <v>100</v>
      </c>
      <c r="AB2103" s="229">
        <v>0</v>
      </c>
      <c r="AC2103" s="12">
        <v>2</v>
      </c>
      <c r="AD2103" s="14">
        <v>2</v>
      </c>
      <c r="AE2103" s="14">
        <v>363</v>
      </c>
      <c r="AF2103" s="26">
        <v>429</v>
      </c>
      <c r="AG2103" s="12">
        <v>102</v>
      </c>
      <c r="AH2103" s="14">
        <v>0</v>
      </c>
      <c r="AI2103" s="209">
        <v>84.8</v>
      </c>
      <c r="AJ2103" s="3"/>
      <c r="AK2103" s="3"/>
      <c r="AL2103" s="3"/>
      <c r="AM2103" s="3"/>
      <c r="AN2103" s="3"/>
      <c r="AO2103" s="40"/>
      <c r="AP2103" s="209">
        <v>84.6</v>
      </c>
      <c r="AQ2103" s="3"/>
      <c r="AR2103" s="40"/>
      <c r="AS2103" s="238"/>
    </row>
    <row r="2104" spans="1:45" s="229" customFormat="1">
      <c r="A2104" s="83" t="s">
        <v>327</v>
      </c>
      <c r="B2104" s="386">
        <v>84.28</v>
      </c>
      <c r="C2104" s="229" t="s">
        <v>184</v>
      </c>
      <c r="D2104" s="229" t="s">
        <v>59</v>
      </c>
      <c r="E2104" s="229" t="s">
        <v>423</v>
      </c>
      <c r="F2104" s="229">
        <v>297</v>
      </c>
      <c r="G2104" s="40">
        <f>F2104/238</f>
        <v>1.2478991596638656</v>
      </c>
      <c r="H2104" s="14">
        <v>1</v>
      </c>
      <c r="I2104" s="229">
        <v>0</v>
      </c>
      <c r="J2104" s="229">
        <v>0</v>
      </c>
      <c r="K2104" s="26">
        <v>0</v>
      </c>
      <c r="L2104" s="14">
        <v>0</v>
      </c>
      <c r="M2104" s="229">
        <v>0</v>
      </c>
      <c r="N2104" s="229">
        <v>0</v>
      </c>
      <c r="O2104" s="229">
        <v>0</v>
      </c>
      <c r="P2104" s="26">
        <v>0</v>
      </c>
      <c r="Q2104" s="14">
        <v>0</v>
      </c>
      <c r="R2104" s="229">
        <v>0</v>
      </c>
      <c r="S2104" s="229">
        <v>0</v>
      </c>
      <c r="T2104" s="229">
        <v>0</v>
      </c>
      <c r="U2104" s="229">
        <v>0</v>
      </c>
      <c r="V2104" s="229">
        <v>0</v>
      </c>
      <c r="W2104" s="229">
        <v>0</v>
      </c>
      <c r="X2104" s="229">
        <v>0</v>
      </c>
      <c r="Y2104" s="229">
        <v>0</v>
      </c>
      <c r="Z2104" s="229">
        <v>0</v>
      </c>
      <c r="AA2104" s="229">
        <v>0</v>
      </c>
      <c r="AB2104" s="229">
        <v>0</v>
      </c>
      <c r="AC2104" s="12">
        <v>3</v>
      </c>
      <c r="AD2104" s="14">
        <v>0</v>
      </c>
      <c r="AE2104" s="14">
        <v>0</v>
      </c>
      <c r="AF2104" s="26">
        <v>0</v>
      </c>
      <c r="AG2104" s="12">
        <v>99</v>
      </c>
      <c r="AH2104" s="14">
        <v>0</v>
      </c>
      <c r="AI2104" s="209">
        <v>84.8</v>
      </c>
      <c r="AJ2104" s="3"/>
      <c r="AK2104" s="3"/>
      <c r="AL2104" s="3"/>
      <c r="AM2104" s="3"/>
      <c r="AN2104" s="3"/>
      <c r="AO2104" s="40"/>
      <c r="AP2104" s="209">
        <v>84.3</v>
      </c>
      <c r="AQ2104" s="3"/>
      <c r="AR2104" s="40"/>
      <c r="AS2104" s="238"/>
    </row>
    <row r="2105" spans="1:45" s="229" customFormat="1">
      <c r="A2105" s="83" t="s">
        <v>327</v>
      </c>
      <c r="B2105" s="386">
        <v>84.28</v>
      </c>
      <c r="C2105" s="229" t="s">
        <v>184</v>
      </c>
      <c r="D2105" s="229" t="s">
        <v>60</v>
      </c>
      <c r="E2105" s="229" t="s">
        <v>622</v>
      </c>
      <c r="F2105" s="229">
        <v>492</v>
      </c>
      <c r="G2105" s="40">
        <f>F2105/212</f>
        <v>2.3207547169811322</v>
      </c>
      <c r="H2105" s="14">
        <v>0</v>
      </c>
      <c r="I2105" s="229">
        <v>0</v>
      </c>
      <c r="J2105" s="229">
        <v>0</v>
      </c>
      <c r="K2105" s="26">
        <v>1</v>
      </c>
      <c r="L2105" s="14">
        <v>0</v>
      </c>
      <c r="M2105" s="229">
        <v>0</v>
      </c>
      <c r="N2105" s="229">
        <v>0</v>
      </c>
      <c r="O2105" s="229">
        <v>0</v>
      </c>
      <c r="P2105" s="26">
        <v>0</v>
      </c>
      <c r="Q2105" s="14">
        <v>0</v>
      </c>
      <c r="R2105" s="229">
        <v>0</v>
      </c>
      <c r="S2105" s="229">
        <v>0</v>
      </c>
      <c r="T2105" s="229">
        <v>0</v>
      </c>
      <c r="U2105" s="229">
        <v>0</v>
      </c>
      <c r="V2105" s="229">
        <v>0</v>
      </c>
      <c r="W2105" s="229">
        <v>0</v>
      </c>
      <c r="X2105" s="229">
        <v>0</v>
      </c>
      <c r="Y2105" s="229">
        <v>0</v>
      </c>
      <c r="Z2105" s="229">
        <v>0</v>
      </c>
      <c r="AA2105" s="229">
        <v>0</v>
      </c>
      <c r="AB2105" s="229">
        <v>0</v>
      </c>
      <c r="AC2105" s="12">
        <v>3</v>
      </c>
      <c r="AD2105" s="14">
        <v>0</v>
      </c>
      <c r="AE2105" s="14">
        <v>0</v>
      </c>
      <c r="AF2105" s="26">
        <v>0</v>
      </c>
      <c r="AG2105" s="12">
        <v>102</v>
      </c>
      <c r="AH2105" s="14">
        <v>0</v>
      </c>
      <c r="AI2105" s="209">
        <v>84.7</v>
      </c>
      <c r="AJ2105" s="3"/>
      <c r="AK2105" s="3"/>
      <c r="AL2105" s="3"/>
      <c r="AM2105" s="3"/>
      <c r="AN2105" s="3"/>
      <c r="AO2105" s="40"/>
      <c r="AP2105" s="209">
        <v>84.5</v>
      </c>
      <c r="AQ2105" s="3"/>
      <c r="AR2105" s="40"/>
      <c r="AS2105" s="238"/>
    </row>
    <row r="2106" spans="1:45" s="229" customFormat="1">
      <c r="A2106" s="83" t="s">
        <v>327</v>
      </c>
      <c r="B2106" s="386">
        <v>84.28</v>
      </c>
      <c r="C2106" s="229" t="s">
        <v>184</v>
      </c>
      <c r="D2106" s="229" t="s">
        <v>61</v>
      </c>
      <c r="E2106" s="229" t="s">
        <v>423</v>
      </c>
      <c r="F2106" s="229">
        <v>239</v>
      </c>
      <c r="G2106" s="40">
        <f>F2106/239</f>
        <v>1</v>
      </c>
      <c r="H2106" s="14">
        <v>0</v>
      </c>
      <c r="I2106" s="229">
        <v>0</v>
      </c>
      <c r="J2106" s="229">
        <v>0</v>
      </c>
      <c r="K2106" s="26">
        <v>1</v>
      </c>
      <c r="L2106" s="14">
        <v>0</v>
      </c>
      <c r="M2106" s="229">
        <v>0</v>
      </c>
      <c r="N2106" s="229">
        <v>0</v>
      </c>
      <c r="O2106" s="229">
        <v>0</v>
      </c>
      <c r="P2106" s="26">
        <v>0</v>
      </c>
      <c r="Q2106" s="14">
        <v>0</v>
      </c>
      <c r="R2106" s="229">
        <v>0</v>
      </c>
      <c r="S2106" s="229">
        <v>0</v>
      </c>
      <c r="T2106" s="229">
        <v>0</v>
      </c>
      <c r="U2106" s="229">
        <v>0</v>
      </c>
      <c r="V2106" s="229">
        <v>0</v>
      </c>
      <c r="W2106" s="229">
        <v>0</v>
      </c>
      <c r="X2106" s="229">
        <v>0</v>
      </c>
      <c r="Y2106" s="229">
        <v>0</v>
      </c>
      <c r="Z2106" s="229">
        <v>0</v>
      </c>
      <c r="AA2106" s="229">
        <v>0</v>
      </c>
      <c r="AC2106" s="12">
        <v>3</v>
      </c>
      <c r="AD2106" s="14">
        <v>0</v>
      </c>
      <c r="AE2106" s="14">
        <v>0</v>
      </c>
      <c r="AF2106" s="26">
        <v>0</v>
      </c>
      <c r="AG2106" s="12">
        <v>113</v>
      </c>
      <c r="AH2106" s="14">
        <v>0</v>
      </c>
      <c r="AI2106" s="209">
        <v>84.7</v>
      </c>
      <c r="AJ2106" s="3"/>
      <c r="AK2106" s="3"/>
      <c r="AL2106" s="3"/>
      <c r="AM2106" s="3"/>
      <c r="AN2106" s="3"/>
      <c r="AO2106" s="40"/>
      <c r="AP2106" s="209">
        <v>84.6</v>
      </c>
      <c r="AQ2106" s="3"/>
      <c r="AR2106" s="40"/>
      <c r="AS2106" s="238"/>
    </row>
    <row r="2107" spans="1:45" s="229" customFormat="1">
      <c r="A2107" s="83" t="s">
        <v>327</v>
      </c>
      <c r="B2107" s="386">
        <v>84.28</v>
      </c>
      <c r="C2107" s="229" t="s">
        <v>184</v>
      </c>
      <c r="D2107" s="229" t="s">
        <v>61</v>
      </c>
      <c r="E2107" s="229" t="s">
        <v>622</v>
      </c>
      <c r="F2107" s="229">
        <v>363</v>
      </c>
      <c r="G2107" s="40">
        <f>F2107/360</f>
        <v>1.0083333333333333</v>
      </c>
      <c r="H2107" s="14">
        <v>0</v>
      </c>
      <c r="I2107" s="229">
        <v>0</v>
      </c>
      <c r="J2107" s="229">
        <v>0</v>
      </c>
      <c r="K2107" s="26">
        <v>1</v>
      </c>
      <c r="L2107" s="14">
        <v>0</v>
      </c>
      <c r="M2107" s="229">
        <v>0</v>
      </c>
      <c r="N2107" s="229">
        <v>0</v>
      </c>
      <c r="O2107" s="229">
        <v>0</v>
      </c>
      <c r="P2107" s="26">
        <v>0</v>
      </c>
      <c r="Q2107" s="14">
        <v>2</v>
      </c>
      <c r="R2107" s="229">
        <v>0</v>
      </c>
      <c r="S2107" s="229">
        <v>15</v>
      </c>
      <c r="T2107" s="229">
        <v>0</v>
      </c>
      <c r="U2107" s="229">
        <v>0</v>
      </c>
      <c r="V2107" s="229">
        <v>0</v>
      </c>
      <c r="W2107" s="229">
        <v>56</v>
      </c>
      <c r="X2107" s="229">
        <v>0</v>
      </c>
      <c r="Y2107" s="229">
        <v>0</v>
      </c>
      <c r="Z2107" s="229">
        <v>0</v>
      </c>
      <c r="AA2107" s="229">
        <v>0</v>
      </c>
      <c r="AB2107" s="229">
        <v>0</v>
      </c>
      <c r="AC2107" s="12">
        <v>3</v>
      </c>
      <c r="AD2107" s="14">
        <v>0</v>
      </c>
      <c r="AE2107" s="14">
        <v>0</v>
      </c>
      <c r="AF2107" s="26">
        <v>0</v>
      </c>
      <c r="AG2107" s="12">
        <v>113</v>
      </c>
      <c r="AH2107" s="14">
        <v>0</v>
      </c>
      <c r="AI2107" s="209">
        <v>84.7</v>
      </c>
      <c r="AJ2107" s="3"/>
      <c r="AK2107" s="3"/>
      <c r="AL2107" s="3"/>
      <c r="AM2107" s="3"/>
      <c r="AN2107" s="3"/>
      <c r="AO2107" s="40"/>
      <c r="AP2107" s="209"/>
      <c r="AQ2107" s="3"/>
      <c r="AR2107" s="40"/>
      <c r="AS2107" s="238"/>
    </row>
    <row r="2108" spans="1:45" s="229" customFormat="1">
      <c r="A2108" s="83" t="s">
        <v>327</v>
      </c>
      <c r="B2108" s="386">
        <v>84.28</v>
      </c>
      <c r="C2108" s="229" t="s">
        <v>184</v>
      </c>
      <c r="D2108" s="229" t="s">
        <v>773</v>
      </c>
      <c r="E2108" s="229" t="s">
        <v>423</v>
      </c>
      <c r="F2108" s="229">
        <v>370</v>
      </c>
      <c r="G2108" s="40">
        <f>F2108/304</f>
        <v>1.2171052631578947</v>
      </c>
      <c r="H2108" s="14">
        <v>0</v>
      </c>
      <c r="I2108" s="229">
        <v>0</v>
      </c>
      <c r="J2108" s="229">
        <v>0</v>
      </c>
      <c r="K2108" s="26">
        <v>1</v>
      </c>
      <c r="L2108" s="14">
        <v>0</v>
      </c>
      <c r="M2108" s="229">
        <v>0</v>
      </c>
      <c r="N2108" s="229">
        <v>0</v>
      </c>
      <c r="O2108" s="229">
        <v>0</v>
      </c>
      <c r="P2108" s="26">
        <v>0</v>
      </c>
      <c r="Q2108" s="14">
        <v>0</v>
      </c>
      <c r="R2108" s="229">
        <v>0</v>
      </c>
      <c r="S2108" s="229">
        <v>0</v>
      </c>
      <c r="T2108" s="229">
        <v>0</v>
      </c>
      <c r="U2108" s="229">
        <v>0</v>
      </c>
      <c r="V2108" s="229">
        <v>0</v>
      </c>
      <c r="W2108" s="229">
        <v>0</v>
      </c>
      <c r="X2108" s="229">
        <v>0</v>
      </c>
      <c r="Y2108" s="229">
        <v>0</v>
      </c>
      <c r="Z2108" s="229">
        <v>0</v>
      </c>
      <c r="AA2108" s="229">
        <v>0</v>
      </c>
      <c r="AB2108" s="229">
        <v>0</v>
      </c>
      <c r="AC2108" s="12">
        <v>3</v>
      </c>
      <c r="AD2108" s="14">
        <v>0</v>
      </c>
      <c r="AE2108" s="14">
        <v>0</v>
      </c>
      <c r="AF2108" s="26">
        <v>0</v>
      </c>
      <c r="AG2108" s="12">
        <v>92</v>
      </c>
      <c r="AH2108" s="14">
        <v>0</v>
      </c>
      <c r="AI2108" s="209">
        <v>85.3</v>
      </c>
      <c r="AJ2108" s="3"/>
      <c r="AK2108" s="3"/>
      <c r="AL2108" s="3"/>
      <c r="AM2108" s="3"/>
      <c r="AN2108" s="3"/>
      <c r="AO2108" s="40"/>
      <c r="AP2108" s="209">
        <v>85.2</v>
      </c>
      <c r="AQ2108" s="3"/>
      <c r="AR2108" s="40"/>
      <c r="AS2108" s="238"/>
    </row>
    <row r="2109" spans="1:45" s="229" customFormat="1">
      <c r="A2109" s="83" t="s">
        <v>327</v>
      </c>
      <c r="B2109" s="386">
        <v>84.28</v>
      </c>
      <c r="C2109" s="229" t="s">
        <v>184</v>
      </c>
      <c r="D2109" s="229" t="s">
        <v>774</v>
      </c>
      <c r="E2109" s="229" t="s">
        <v>618</v>
      </c>
      <c r="F2109" s="229">
        <v>317</v>
      </c>
      <c r="G2109" s="40">
        <f>F2109/104</f>
        <v>3.0480769230769229</v>
      </c>
      <c r="H2109" s="14">
        <v>0</v>
      </c>
      <c r="I2109" s="229">
        <v>0</v>
      </c>
      <c r="J2109" s="229">
        <v>0</v>
      </c>
      <c r="K2109" s="26">
        <v>1</v>
      </c>
      <c r="L2109" s="14">
        <v>0</v>
      </c>
      <c r="M2109" s="229">
        <v>0</v>
      </c>
      <c r="N2109" s="229">
        <v>0</v>
      </c>
      <c r="O2109" s="229">
        <v>0</v>
      </c>
      <c r="P2109" s="26">
        <v>0</v>
      </c>
      <c r="Q2109" s="14">
        <v>0</v>
      </c>
      <c r="R2109" s="229">
        <v>0</v>
      </c>
      <c r="S2109" s="229">
        <v>0</v>
      </c>
      <c r="T2109" s="229">
        <v>0</v>
      </c>
      <c r="U2109" s="229">
        <v>0</v>
      </c>
      <c r="V2109" s="229">
        <v>0</v>
      </c>
      <c r="W2109" s="229">
        <v>0</v>
      </c>
      <c r="X2109" s="229">
        <v>0</v>
      </c>
      <c r="Y2109" s="229">
        <v>0</v>
      </c>
      <c r="Z2109" s="229">
        <v>0</v>
      </c>
      <c r="AA2109" s="229">
        <v>0</v>
      </c>
      <c r="AB2109" s="229">
        <v>0</v>
      </c>
      <c r="AC2109" s="12">
        <v>3</v>
      </c>
      <c r="AD2109" s="14">
        <v>0</v>
      </c>
      <c r="AE2109" s="14">
        <v>0</v>
      </c>
      <c r="AF2109" s="26">
        <v>0</v>
      </c>
      <c r="AG2109" s="12">
        <v>123</v>
      </c>
      <c r="AH2109" s="14">
        <v>0</v>
      </c>
      <c r="AI2109" s="209">
        <v>85</v>
      </c>
      <c r="AJ2109" s="3"/>
      <c r="AK2109" s="3"/>
      <c r="AL2109" s="3"/>
      <c r="AM2109" s="3"/>
      <c r="AN2109" s="3"/>
      <c r="AO2109" s="40"/>
      <c r="AP2109" s="209">
        <v>84.9</v>
      </c>
      <c r="AQ2109" s="3"/>
      <c r="AR2109" s="40"/>
      <c r="AS2109" s="238"/>
    </row>
    <row r="2110" spans="1:45" s="229" customFormat="1">
      <c r="A2110" s="83" t="s">
        <v>327</v>
      </c>
      <c r="B2110" s="386">
        <v>84.28</v>
      </c>
      <c r="C2110" s="229" t="s">
        <v>184</v>
      </c>
      <c r="D2110" s="229" t="s">
        <v>774</v>
      </c>
      <c r="E2110" s="229" t="s">
        <v>621</v>
      </c>
      <c r="F2110" s="229">
        <v>729</v>
      </c>
      <c r="G2110" s="40">
        <f>F2110/311</f>
        <v>2.3440514469453375</v>
      </c>
      <c r="H2110" s="14">
        <v>0</v>
      </c>
      <c r="I2110" s="229">
        <v>0</v>
      </c>
      <c r="J2110" s="229">
        <v>0</v>
      </c>
      <c r="K2110" s="26">
        <v>1</v>
      </c>
      <c r="L2110" s="14">
        <v>0</v>
      </c>
      <c r="M2110" s="229">
        <v>0</v>
      </c>
      <c r="N2110" s="229">
        <v>0</v>
      </c>
      <c r="O2110" s="229">
        <v>0</v>
      </c>
      <c r="P2110" s="26">
        <v>0</v>
      </c>
      <c r="Q2110" s="14">
        <v>0</v>
      </c>
      <c r="R2110" s="229">
        <v>0</v>
      </c>
      <c r="S2110" s="229">
        <v>0</v>
      </c>
      <c r="T2110" s="229">
        <v>0</v>
      </c>
      <c r="U2110" s="229">
        <v>0</v>
      </c>
      <c r="V2110" s="229">
        <v>0</v>
      </c>
      <c r="W2110" s="229">
        <v>0</v>
      </c>
      <c r="X2110" s="229">
        <v>0</v>
      </c>
      <c r="Y2110" s="229">
        <v>0</v>
      </c>
      <c r="Z2110" s="229">
        <v>0</v>
      </c>
      <c r="AA2110" s="229">
        <v>0</v>
      </c>
      <c r="AB2110" s="229">
        <v>0</v>
      </c>
      <c r="AC2110" s="12">
        <v>3</v>
      </c>
      <c r="AD2110" s="14">
        <v>0</v>
      </c>
      <c r="AE2110" s="14">
        <v>0</v>
      </c>
      <c r="AF2110" s="26">
        <v>0</v>
      </c>
      <c r="AG2110" s="12">
        <v>123</v>
      </c>
      <c r="AH2110" s="14">
        <v>0</v>
      </c>
      <c r="AI2110" s="209">
        <v>85.1</v>
      </c>
      <c r="AJ2110" s="3"/>
      <c r="AK2110" s="3"/>
      <c r="AL2110" s="3"/>
      <c r="AM2110" s="3"/>
      <c r="AN2110" s="3"/>
      <c r="AO2110" s="40"/>
      <c r="AP2110" s="209">
        <v>84.9</v>
      </c>
      <c r="AQ2110" s="3"/>
      <c r="AR2110" s="40"/>
      <c r="AS2110" s="238"/>
    </row>
    <row r="2111" spans="1:45" s="229" customFormat="1" ht="17" thickBot="1">
      <c r="A2111" s="83" t="s">
        <v>327</v>
      </c>
      <c r="B2111" s="385">
        <v>84.28</v>
      </c>
      <c r="C2111" s="36" t="s">
        <v>184</v>
      </c>
      <c r="D2111" s="36" t="s">
        <v>775</v>
      </c>
      <c r="E2111" s="36" t="s">
        <v>618</v>
      </c>
      <c r="F2111" s="36">
        <v>746</v>
      </c>
      <c r="G2111" s="48">
        <f>F2111/488</f>
        <v>1.528688524590164</v>
      </c>
      <c r="H2111" s="34">
        <v>0</v>
      </c>
      <c r="I2111" s="36">
        <v>0</v>
      </c>
      <c r="J2111" s="36">
        <v>0</v>
      </c>
      <c r="K2111" s="35">
        <v>1</v>
      </c>
      <c r="L2111" s="34">
        <v>0</v>
      </c>
      <c r="M2111" s="36">
        <v>0</v>
      </c>
      <c r="N2111" s="36">
        <v>0</v>
      </c>
      <c r="O2111" s="36">
        <v>0</v>
      </c>
      <c r="P2111" s="35">
        <v>0</v>
      </c>
      <c r="Q2111" s="34">
        <v>2</v>
      </c>
      <c r="R2111" s="36">
        <v>0</v>
      </c>
      <c r="S2111" s="36">
        <v>51</v>
      </c>
      <c r="T2111" s="36">
        <v>0</v>
      </c>
      <c r="U2111" s="36">
        <v>0</v>
      </c>
      <c r="V2111" s="36">
        <v>0</v>
      </c>
      <c r="W2111" s="36">
        <v>0</v>
      </c>
      <c r="X2111" s="36">
        <v>0</v>
      </c>
      <c r="Y2111" s="36">
        <v>0</v>
      </c>
      <c r="Z2111" s="36">
        <v>0</v>
      </c>
      <c r="AA2111" s="36">
        <v>0</v>
      </c>
      <c r="AB2111" s="36">
        <v>0</v>
      </c>
      <c r="AC2111" s="33">
        <v>3</v>
      </c>
      <c r="AD2111" s="34">
        <v>0</v>
      </c>
      <c r="AE2111" s="34">
        <v>0</v>
      </c>
      <c r="AF2111" s="35">
        <v>0</v>
      </c>
      <c r="AG2111" s="33">
        <v>122</v>
      </c>
      <c r="AH2111" s="34">
        <v>0</v>
      </c>
      <c r="AI2111" s="210">
        <v>85.4</v>
      </c>
      <c r="AJ2111" s="51"/>
      <c r="AK2111" s="51"/>
      <c r="AL2111" s="51"/>
      <c r="AM2111" s="51"/>
      <c r="AN2111" s="51"/>
      <c r="AO2111" s="48"/>
      <c r="AP2111" s="210">
        <v>85.4</v>
      </c>
      <c r="AQ2111" s="51"/>
      <c r="AR2111" s="48"/>
      <c r="AS2111" s="239"/>
    </row>
    <row r="2112" spans="1:45" s="229" customFormat="1">
      <c r="A2112" s="147" t="s">
        <v>327</v>
      </c>
      <c r="B2112" s="384">
        <v>84.28</v>
      </c>
      <c r="C2112" s="8" t="s">
        <v>185</v>
      </c>
      <c r="D2112" s="8" t="s">
        <v>59</v>
      </c>
      <c r="E2112" s="8" t="s">
        <v>618</v>
      </c>
      <c r="F2112" s="8">
        <v>1296</v>
      </c>
      <c r="G2112" s="10">
        <f>F2112/724</f>
        <v>1.7900552486187846</v>
      </c>
      <c r="H2112" s="11">
        <v>0</v>
      </c>
      <c r="I2112" s="8">
        <v>0</v>
      </c>
      <c r="J2112" s="8">
        <v>0</v>
      </c>
      <c r="K2112" s="41">
        <v>1</v>
      </c>
      <c r="L2112" s="11">
        <v>0</v>
      </c>
      <c r="M2112" s="8">
        <v>0</v>
      </c>
      <c r="N2112" s="8">
        <v>0</v>
      </c>
      <c r="O2112" s="8">
        <v>0</v>
      </c>
      <c r="P2112" s="41">
        <v>0</v>
      </c>
      <c r="Q2112" s="11">
        <v>0</v>
      </c>
      <c r="R2112" s="8">
        <v>0</v>
      </c>
      <c r="S2112" s="8">
        <v>0</v>
      </c>
      <c r="T2112" s="8">
        <v>0</v>
      </c>
      <c r="U2112" s="8">
        <v>0</v>
      </c>
      <c r="V2112" s="8">
        <v>0</v>
      </c>
      <c r="W2112" s="8">
        <v>0</v>
      </c>
      <c r="X2112" s="8">
        <v>0</v>
      </c>
      <c r="Y2112" s="8">
        <v>0</v>
      </c>
      <c r="Z2112" s="8">
        <v>0</v>
      </c>
      <c r="AA2112" s="8">
        <v>0</v>
      </c>
      <c r="AB2112" s="8">
        <v>0</v>
      </c>
      <c r="AC2112" s="9">
        <v>3</v>
      </c>
      <c r="AD2112" s="11">
        <v>0</v>
      </c>
      <c r="AE2112" s="11">
        <v>0</v>
      </c>
      <c r="AF2112" s="41">
        <v>0</v>
      </c>
      <c r="AG2112" s="9">
        <v>110</v>
      </c>
      <c r="AH2112" s="11">
        <v>0</v>
      </c>
      <c r="AI2112" s="208">
        <v>85</v>
      </c>
      <c r="AJ2112" s="54"/>
      <c r="AK2112" s="54"/>
      <c r="AL2112" s="54"/>
      <c r="AM2112" s="54"/>
      <c r="AN2112" s="54"/>
      <c r="AO2112" s="10"/>
      <c r="AP2112" s="208">
        <v>85.1</v>
      </c>
      <c r="AQ2112" s="54"/>
      <c r="AR2112" s="10"/>
      <c r="AS2112" s="237"/>
    </row>
    <row r="2113" spans="1:45" s="229" customFormat="1" ht="17" thickBot="1">
      <c r="A2113" s="84" t="s">
        <v>327</v>
      </c>
      <c r="B2113" s="385">
        <v>84.28</v>
      </c>
      <c r="C2113" s="36" t="s">
        <v>185</v>
      </c>
      <c r="D2113" s="36" t="s">
        <v>60</v>
      </c>
      <c r="E2113" s="36" t="s">
        <v>423</v>
      </c>
      <c r="F2113" s="36">
        <v>949</v>
      </c>
      <c r="G2113" s="48">
        <f>F2113/282</f>
        <v>3.3652482269503547</v>
      </c>
      <c r="H2113" s="34">
        <v>0</v>
      </c>
      <c r="I2113" s="36">
        <v>0</v>
      </c>
      <c r="J2113" s="36">
        <v>0</v>
      </c>
      <c r="K2113" s="35">
        <v>1</v>
      </c>
      <c r="L2113" s="34">
        <v>0</v>
      </c>
      <c r="M2113" s="36">
        <v>0</v>
      </c>
      <c r="N2113" s="36">
        <v>0</v>
      </c>
      <c r="O2113" s="36">
        <v>0</v>
      </c>
      <c r="P2113" s="35">
        <v>0</v>
      </c>
      <c r="Q2113" s="34">
        <v>0</v>
      </c>
      <c r="R2113" s="36">
        <v>0</v>
      </c>
      <c r="S2113" s="36">
        <v>0</v>
      </c>
      <c r="T2113" s="36">
        <v>0</v>
      </c>
      <c r="U2113" s="36">
        <v>0</v>
      </c>
      <c r="V2113" s="36">
        <v>0</v>
      </c>
      <c r="W2113" s="36">
        <v>0</v>
      </c>
      <c r="X2113" s="36">
        <v>0</v>
      </c>
      <c r="Y2113" s="36">
        <v>0</v>
      </c>
      <c r="Z2113" s="36">
        <v>0</v>
      </c>
      <c r="AA2113" s="36">
        <v>0</v>
      </c>
      <c r="AB2113" s="36">
        <v>0</v>
      </c>
      <c r="AC2113" s="33">
        <v>3</v>
      </c>
      <c r="AD2113" s="34">
        <v>0</v>
      </c>
      <c r="AE2113" s="34">
        <v>0</v>
      </c>
      <c r="AF2113" s="35">
        <v>0</v>
      </c>
      <c r="AG2113" s="33">
        <v>96</v>
      </c>
      <c r="AH2113" s="34">
        <v>0</v>
      </c>
      <c r="AI2113" s="210">
        <v>84.8</v>
      </c>
      <c r="AJ2113" s="51"/>
      <c r="AK2113" s="51"/>
      <c r="AL2113" s="51"/>
      <c r="AM2113" s="51"/>
      <c r="AN2113" s="51"/>
      <c r="AO2113" s="48"/>
      <c r="AP2113" s="210">
        <v>84.9</v>
      </c>
      <c r="AQ2113" s="51"/>
      <c r="AR2113" s="48"/>
      <c r="AS2113" s="239"/>
    </row>
  </sheetData>
  <mergeCells count="13">
    <mergeCell ref="AE2:AF2"/>
    <mergeCell ref="AI2:AO2"/>
    <mergeCell ref="AP2:AR2"/>
    <mergeCell ref="A1:D1"/>
    <mergeCell ref="Q1:AB1"/>
    <mergeCell ref="AI1:AR1"/>
    <mergeCell ref="H2:K2"/>
    <mergeCell ref="L2:P2"/>
    <mergeCell ref="R2:S2"/>
    <mergeCell ref="T2:U2"/>
    <mergeCell ref="V2:W2"/>
    <mergeCell ref="X2:Y2"/>
    <mergeCell ref="Z2:AA2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3EC49-76EA-8842-A828-59D6C5852E30}">
  <dimension ref="A1:AR73"/>
  <sheetViews>
    <sheetView topLeftCell="A41" workbookViewId="0">
      <selection activeCell="B78" sqref="B78"/>
    </sheetView>
  </sheetViews>
  <sheetFormatPr baseColWidth="10" defaultRowHeight="16"/>
  <cols>
    <col min="1" max="1" width="21" style="6" bestFit="1" customWidth="1"/>
    <col min="2" max="7" width="10.83203125" style="6"/>
    <col min="8" max="8" width="20.83203125" style="6" customWidth="1"/>
    <col min="9" max="36" width="10.83203125" style="6"/>
    <col min="37" max="37" width="10.6640625" style="6" bestFit="1" customWidth="1"/>
    <col min="38" max="38" width="13.5" style="6" customWidth="1"/>
    <col min="39" max="39" width="13" style="6" customWidth="1"/>
    <col min="40" max="40" width="14.1640625" style="6" customWidth="1"/>
    <col min="41" max="41" width="12.83203125" style="6" customWidth="1"/>
    <col min="42" max="42" width="16" style="6" customWidth="1"/>
    <col min="43" max="43" width="5.83203125" style="6" bestFit="1" customWidth="1"/>
    <col min="44" max="44" width="19" style="6" bestFit="1" customWidth="1"/>
    <col min="45" max="16384" width="10.83203125" style="6"/>
  </cols>
  <sheetData>
    <row r="1" spans="1:44" ht="17" thickBot="1">
      <c r="A1" s="264"/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264"/>
      <c r="AE1" s="264"/>
      <c r="AF1" s="264"/>
      <c r="AG1" s="352" t="s">
        <v>843</v>
      </c>
      <c r="AH1" s="353"/>
      <c r="AI1" s="353"/>
      <c r="AJ1" s="353"/>
      <c r="AK1" s="353"/>
      <c r="AL1" s="353"/>
      <c r="AM1" s="353"/>
      <c r="AN1" s="353"/>
      <c r="AO1" s="353"/>
      <c r="AP1" s="353"/>
      <c r="AQ1" s="353"/>
      <c r="AR1" s="354"/>
    </row>
    <row r="2" spans="1:44" ht="17" thickBot="1">
      <c r="A2" s="264"/>
      <c r="B2" s="264"/>
      <c r="C2" s="264"/>
      <c r="D2" s="264"/>
      <c r="E2" s="264"/>
      <c r="F2" s="264"/>
      <c r="G2" s="264"/>
      <c r="H2" s="264"/>
      <c r="I2" s="357" t="s">
        <v>11</v>
      </c>
      <c r="J2" s="355"/>
      <c r="K2" s="355"/>
      <c r="L2" s="355"/>
      <c r="M2" s="356"/>
      <c r="N2" s="264"/>
      <c r="O2" s="357" t="s">
        <v>37</v>
      </c>
      <c r="P2" s="355"/>
      <c r="Q2" s="355"/>
      <c r="R2" s="356"/>
      <c r="S2" s="264"/>
      <c r="T2" s="264"/>
      <c r="U2" s="264"/>
      <c r="V2" s="357" t="s">
        <v>841</v>
      </c>
      <c r="W2" s="355"/>
      <c r="X2" s="355"/>
      <c r="Y2" s="356"/>
      <c r="Z2" s="357" t="s">
        <v>842</v>
      </c>
      <c r="AA2" s="355"/>
      <c r="AB2" s="356"/>
      <c r="AC2" s="355" t="s">
        <v>776</v>
      </c>
      <c r="AD2" s="355"/>
      <c r="AE2" s="355"/>
      <c r="AF2" s="356"/>
      <c r="AG2" s="265"/>
      <c r="AH2" s="266"/>
      <c r="AI2" s="266"/>
      <c r="AJ2" s="266"/>
      <c r="AK2" s="266"/>
      <c r="AL2" s="357" t="s">
        <v>47</v>
      </c>
      <c r="AM2" s="355"/>
      <c r="AN2" s="355"/>
      <c r="AO2" s="355"/>
      <c r="AP2" s="355"/>
      <c r="AQ2" s="355"/>
      <c r="AR2" s="356"/>
    </row>
    <row r="3" spans="1:44" ht="35" thickBot="1">
      <c r="A3" s="267" t="s">
        <v>288</v>
      </c>
      <c r="B3" s="268" t="s">
        <v>840</v>
      </c>
      <c r="C3" s="269" t="s">
        <v>36</v>
      </c>
      <c r="D3" s="267" t="s">
        <v>33</v>
      </c>
      <c r="E3" s="267" t="s">
        <v>34</v>
      </c>
      <c r="F3" s="267" t="s">
        <v>594</v>
      </c>
      <c r="G3" s="267" t="s">
        <v>777</v>
      </c>
      <c r="H3" s="270" t="s">
        <v>839</v>
      </c>
      <c r="I3" s="271" t="s">
        <v>360</v>
      </c>
      <c r="J3" s="271" t="s">
        <v>361</v>
      </c>
      <c r="K3" s="271" t="s">
        <v>46</v>
      </c>
      <c r="L3" s="271" t="s">
        <v>44</v>
      </c>
      <c r="M3" s="271" t="s">
        <v>47</v>
      </c>
      <c r="N3" s="269" t="s">
        <v>778</v>
      </c>
      <c r="O3" s="268" t="s">
        <v>440</v>
      </c>
      <c r="P3" s="271" t="s">
        <v>343</v>
      </c>
      <c r="Q3" s="271" t="s">
        <v>429</v>
      </c>
      <c r="R3" s="271" t="s">
        <v>453</v>
      </c>
      <c r="S3" s="269" t="s">
        <v>430</v>
      </c>
      <c r="T3" s="267" t="s">
        <v>439</v>
      </c>
      <c r="U3" s="267" t="s">
        <v>362</v>
      </c>
      <c r="V3" s="272" t="s">
        <v>15</v>
      </c>
      <c r="W3" s="272" t="s">
        <v>369</v>
      </c>
      <c r="X3" s="272" t="s">
        <v>17</v>
      </c>
      <c r="Y3" s="273" t="s">
        <v>375</v>
      </c>
      <c r="Z3" s="274" t="s">
        <v>15</v>
      </c>
      <c r="AA3" s="272" t="s">
        <v>369</v>
      </c>
      <c r="AB3" s="273" t="s">
        <v>375</v>
      </c>
      <c r="AC3" s="272" t="s">
        <v>15</v>
      </c>
      <c r="AD3" s="272" t="s">
        <v>369</v>
      </c>
      <c r="AE3" s="272" t="s">
        <v>17</v>
      </c>
      <c r="AF3" s="273" t="s">
        <v>375</v>
      </c>
      <c r="AG3" s="268" t="s">
        <v>20</v>
      </c>
      <c r="AH3" s="271" t="s">
        <v>779</v>
      </c>
      <c r="AI3" s="271" t="s">
        <v>591</v>
      </c>
      <c r="AJ3" s="271" t="s">
        <v>30</v>
      </c>
      <c r="AK3" s="271" t="s">
        <v>844</v>
      </c>
      <c r="AL3" s="275" t="s">
        <v>845</v>
      </c>
      <c r="AM3" s="275" t="s">
        <v>845</v>
      </c>
      <c r="AN3" s="275" t="s">
        <v>846</v>
      </c>
      <c r="AO3" s="275" t="s">
        <v>847</v>
      </c>
      <c r="AP3" s="275" t="s">
        <v>848</v>
      </c>
      <c r="AQ3" s="271" t="s">
        <v>780</v>
      </c>
      <c r="AR3" s="269" t="s">
        <v>781</v>
      </c>
    </row>
    <row r="4" spans="1:44">
      <c r="A4" s="276" t="s">
        <v>324</v>
      </c>
      <c r="B4" s="296">
        <v>85.704999999999998</v>
      </c>
      <c r="C4" s="297">
        <v>20.243333333333332</v>
      </c>
      <c r="D4" s="279" t="s">
        <v>552</v>
      </c>
      <c r="E4" s="279" t="s">
        <v>61</v>
      </c>
      <c r="F4" s="277">
        <v>5529</v>
      </c>
      <c r="G4" s="280">
        <f>F4/4161</f>
        <v>1.3287671232876712</v>
      </c>
      <c r="H4" s="279" t="s">
        <v>331</v>
      </c>
      <c r="I4" s="281">
        <v>1</v>
      </c>
      <c r="J4" s="282">
        <v>1</v>
      </c>
      <c r="K4" s="282">
        <v>0</v>
      </c>
      <c r="L4" s="282">
        <v>2</v>
      </c>
      <c r="M4" s="282">
        <v>0</v>
      </c>
      <c r="N4" s="282">
        <f>SUM((J4*1000)+(K4*100)+(L4*10)+(M4*1))</f>
        <v>1020</v>
      </c>
      <c r="O4" s="281">
        <v>0</v>
      </c>
      <c r="P4" s="282">
        <v>0</v>
      </c>
      <c r="Q4" s="282">
        <v>0</v>
      </c>
      <c r="R4" s="282">
        <v>1</v>
      </c>
      <c r="S4" s="283">
        <f t="shared" ref="S4:S35" si="0">SUM((O4*1000)+(P4*100)+(Q4*10)+(R4*1))</f>
        <v>1</v>
      </c>
      <c r="T4" s="284">
        <v>1</v>
      </c>
      <c r="U4" s="281">
        <v>84</v>
      </c>
      <c r="V4" s="277">
        <v>1</v>
      </c>
      <c r="W4" s="280">
        <v>0</v>
      </c>
      <c r="X4" s="280">
        <v>0</v>
      </c>
      <c r="Y4" s="278">
        <v>0</v>
      </c>
      <c r="Z4" s="277">
        <v>1</v>
      </c>
      <c r="AA4" s="280">
        <v>0</v>
      </c>
      <c r="AB4" s="278">
        <v>0</v>
      </c>
      <c r="AC4" s="281">
        <v>1</v>
      </c>
      <c r="AD4" s="282">
        <v>0</v>
      </c>
      <c r="AE4" s="282">
        <v>1</v>
      </c>
      <c r="AF4" s="282">
        <v>0</v>
      </c>
      <c r="AG4" s="279">
        <v>89</v>
      </c>
      <c r="AH4" s="279"/>
      <c r="AI4" s="279">
        <v>89</v>
      </c>
      <c r="AJ4" s="277"/>
      <c r="AK4" s="279"/>
      <c r="AL4" s="277"/>
      <c r="AM4" s="280"/>
      <c r="AN4" s="280"/>
      <c r="AO4" s="280"/>
      <c r="AP4" s="278"/>
      <c r="AQ4" s="280"/>
      <c r="AR4" s="279"/>
    </row>
    <row r="5" spans="1:44">
      <c r="A5" s="285" t="s">
        <v>324</v>
      </c>
      <c r="B5" s="296">
        <v>85.704999999999998</v>
      </c>
      <c r="C5" s="297">
        <v>20.243333333333332</v>
      </c>
      <c r="D5" s="284" t="s">
        <v>552</v>
      </c>
      <c r="E5" s="284" t="s">
        <v>60</v>
      </c>
      <c r="F5" s="281">
        <v>4120</v>
      </c>
      <c r="G5" s="282">
        <f>F5/3130</f>
        <v>1.3162939297124601</v>
      </c>
      <c r="H5" s="284" t="s">
        <v>782</v>
      </c>
      <c r="I5" s="281">
        <v>0</v>
      </c>
      <c r="J5" s="282">
        <v>1</v>
      </c>
      <c r="K5" s="282">
        <v>0</v>
      </c>
      <c r="L5" s="282">
        <v>0</v>
      </c>
      <c r="M5" s="282">
        <v>0</v>
      </c>
      <c r="N5" s="282">
        <f>SUM((J5*1000)+(K5*100)+(L5*10)+(M5*1))</f>
        <v>1000</v>
      </c>
      <c r="O5" s="281">
        <v>0</v>
      </c>
      <c r="P5" s="282">
        <v>0</v>
      </c>
      <c r="Q5" s="282">
        <v>0</v>
      </c>
      <c r="R5" s="282">
        <v>1</v>
      </c>
      <c r="S5" s="283">
        <f t="shared" si="0"/>
        <v>1</v>
      </c>
      <c r="T5" s="284">
        <v>1</v>
      </c>
      <c r="U5" s="281">
        <v>100</v>
      </c>
      <c r="V5" s="281">
        <v>1</v>
      </c>
      <c r="W5" s="282">
        <v>0</v>
      </c>
      <c r="X5" s="282">
        <v>0</v>
      </c>
      <c r="Y5" s="283">
        <v>0</v>
      </c>
      <c r="Z5" s="281">
        <v>0</v>
      </c>
      <c r="AA5" s="282">
        <v>1</v>
      </c>
      <c r="AB5" s="283">
        <v>0</v>
      </c>
      <c r="AC5" s="281">
        <v>0</v>
      </c>
      <c r="AD5" s="282">
        <v>1</v>
      </c>
      <c r="AE5" s="282">
        <v>0</v>
      </c>
      <c r="AF5" s="282">
        <v>0</v>
      </c>
      <c r="AG5" s="284">
        <v>89</v>
      </c>
      <c r="AH5" s="284"/>
      <c r="AI5" s="284">
        <v>89</v>
      </c>
      <c r="AJ5" s="281"/>
      <c r="AK5" s="284">
        <v>81</v>
      </c>
      <c r="AL5" s="281"/>
      <c r="AM5" s="282"/>
      <c r="AN5" s="282"/>
      <c r="AO5" s="282"/>
      <c r="AP5" s="283"/>
      <c r="AQ5" s="282"/>
      <c r="AR5" s="284"/>
    </row>
    <row r="6" spans="1:44">
      <c r="A6" s="285" t="s">
        <v>324</v>
      </c>
      <c r="B6" s="296">
        <v>85.704999999999998</v>
      </c>
      <c r="C6" s="297">
        <v>20.243333333333332</v>
      </c>
      <c r="D6" s="284" t="s">
        <v>552</v>
      </c>
      <c r="E6" s="284" t="s">
        <v>783</v>
      </c>
      <c r="F6" s="281">
        <v>8262</v>
      </c>
      <c r="G6" s="282">
        <f>F6/3449</f>
        <v>2.3954769498405333</v>
      </c>
      <c r="H6" s="284" t="s">
        <v>782</v>
      </c>
      <c r="I6" s="281">
        <v>0</v>
      </c>
      <c r="J6" s="282">
        <v>0</v>
      </c>
      <c r="K6" s="282">
        <v>0</v>
      </c>
      <c r="L6" s="282">
        <v>0</v>
      </c>
      <c r="M6" s="282">
        <v>0</v>
      </c>
      <c r="N6" s="282">
        <f>SUM((J6*1000)+(K6*100)+(L6*10)+(M6*1))</f>
        <v>0</v>
      </c>
      <c r="O6" s="281">
        <v>0</v>
      </c>
      <c r="P6" s="282">
        <v>0</v>
      </c>
      <c r="Q6" s="282">
        <v>0</v>
      </c>
      <c r="R6" s="282">
        <v>1</v>
      </c>
      <c r="S6" s="283">
        <f t="shared" si="0"/>
        <v>1</v>
      </c>
      <c r="T6" s="284">
        <v>1</v>
      </c>
      <c r="U6" s="281">
        <v>127</v>
      </c>
      <c r="V6" s="281">
        <v>0</v>
      </c>
      <c r="W6" s="282">
        <v>1</v>
      </c>
      <c r="X6" s="282">
        <v>0</v>
      </c>
      <c r="Y6" s="283">
        <v>1</v>
      </c>
      <c r="Z6" s="281">
        <v>0</v>
      </c>
      <c r="AA6" s="282">
        <v>0</v>
      </c>
      <c r="AB6" s="283">
        <v>0</v>
      </c>
      <c r="AC6" s="281">
        <v>0</v>
      </c>
      <c r="AD6" s="282">
        <v>0</v>
      </c>
      <c r="AE6" s="282">
        <v>0</v>
      </c>
      <c r="AF6" s="282">
        <v>0</v>
      </c>
      <c r="AG6" s="284">
        <v>91</v>
      </c>
      <c r="AH6" s="284"/>
      <c r="AI6" s="284">
        <v>90</v>
      </c>
      <c r="AJ6" s="281"/>
      <c r="AK6" s="284">
        <v>83</v>
      </c>
      <c r="AL6" s="281"/>
      <c r="AM6" s="282"/>
      <c r="AN6" s="282"/>
      <c r="AO6" s="282"/>
      <c r="AP6" s="283"/>
      <c r="AQ6" s="282"/>
      <c r="AR6" s="284"/>
    </row>
    <row r="7" spans="1:44">
      <c r="A7" s="285" t="s">
        <v>324</v>
      </c>
      <c r="B7" s="296">
        <v>85.711666666666673</v>
      </c>
      <c r="C7" s="297">
        <v>18.29</v>
      </c>
      <c r="D7" s="284" t="s">
        <v>548</v>
      </c>
      <c r="E7" s="284" t="s">
        <v>784</v>
      </c>
      <c r="F7" s="281">
        <v>672</v>
      </c>
      <c r="G7" s="282">
        <f>F7/505</f>
        <v>1.3306930693069308</v>
      </c>
      <c r="H7" s="284" t="s">
        <v>782</v>
      </c>
      <c r="I7" s="281">
        <v>0</v>
      </c>
      <c r="J7" s="282">
        <v>0</v>
      </c>
      <c r="K7" s="282">
        <v>1</v>
      </c>
      <c r="L7" s="282">
        <v>5</v>
      </c>
      <c r="M7" s="282">
        <v>0</v>
      </c>
      <c r="N7" s="282">
        <f>SUM((J7*1000)+(K7*100)+(L7*10)+(M7*1))</f>
        <v>150</v>
      </c>
      <c r="O7" s="281">
        <v>0</v>
      </c>
      <c r="P7" s="282">
        <v>0</v>
      </c>
      <c r="Q7" s="282">
        <v>0</v>
      </c>
      <c r="R7" s="282">
        <v>1</v>
      </c>
      <c r="S7" s="283">
        <f t="shared" si="0"/>
        <v>1</v>
      </c>
      <c r="T7" s="284">
        <v>1</v>
      </c>
      <c r="U7" s="281">
        <v>95</v>
      </c>
      <c r="V7" s="281">
        <v>1</v>
      </c>
      <c r="W7" s="282">
        <v>1</v>
      </c>
      <c r="X7" s="282">
        <v>0</v>
      </c>
      <c r="Y7" s="283">
        <v>0</v>
      </c>
      <c r="Z7" s="281">
        <v>0</v>
      </c>
      <c r="AA7" s="282">
        <v>1</v>
      </c>
      <c r="AB7" s="283">
        <v>0</v>
      </c>
      <c r="AC7" s="281">
        <v>0</v>
      </c>
      <c r="AD7" s="282">
        <v>0</v>
      </c>
      <c r="AE7" s="282">
        <v>0</v>
      </c>
      <c r="AF7" s="282">
        <v>0</v>
      </c>
      <c r="AG7" s="284">
        <v>76</v>
      </c>
      <c r="AH7" s="284"/>
      <c r="AI7" s="284">
        <v>83</v>
      </c>
      <c r="AJ7" s="281"/>
      <c r="AK7" s="284"/>
      <c r="AL7" s="281"/>
      <c r="AM7" s="282"/>
      <c r="AN7" s="282"/>
      <c r="AO7" s="282"/>
      <c r="AP7" s="283"/>
      <c r="AQ7" s="282"/>
      <c r="AR7" s="284"/>
    </row>
    <row r="8" spans="1:44">
      <c r="A8" s="285" t="s">
        <v>324</v>
      </c>
      <c r="B8" s="296">
        <v>85.711666666666673</v>
      </c>
      <c r="C8" s="297">
        <v>18.29</v>
      </c>
      <c r="D8" s="284" t="s">
        <v>548</v>
      </c>
      <c r="E8" s="284" t="s">
        <v>783</v>
      </c>
      <c r="F8" s="281">
        <v>410</v>
      </c>
      <c r="G8" s="282">
        <f>F8/106</f>
        <v>3.8679245283018866</v>
      </c>
      <c r="H8" s="284" t="s">
        <v>782</v>
      </c>
      <c r="I8" s="281">
        <v>1</v>
      </c>
      <c r="J8" s="282">
        <v>0</v>
      </c>
      <c r="K8" s="282">
        <v>1</v>
      </c>
      <c r="L8" s="282">
        <v>2</v>
      </c>
      <c r="M8" s="282">
        <v>0</v>
      </c>
      <c r="N8" s="282">
        <f>SUM((J8*1000)+(K8*100)+(L8*10)+(M8*1))</f>
        <v>120</v>
      </c>
      <c r="O8" s="281">
        <v>0</v>
      </c>
      <c r="P8" s="282">
        <v>0</v>
      </c>
      <c r="Q8" s="282">
        <v>0</v>
      </c>
      <c r="R8" s="282">
        <v>1</v>
      </c>
      <c r="S8" s="283">
        <f t="shared" si="0"/>
        <v>1</v>
      </c>
      <c r="T8" s="284">
        <v>1</v>
      </c>
      <c r="U8" s="281">
        <v>83</v>
      </c>
      <c r="V8" s="281">
        <v>1</v>
      </c>
      <c r="W8" s="282">
        <v>0</v>
      </c>
      <c r="X8" s="282">
        <v>0</v>
      </c>
      <c r="Y8" s="283">
        <v>0</v>
      </c>
      <c r="Z8" s="281">
        <v>0</v>
      </c>
      <c r="AA8" s="282">
        <v>0</v>
      </c>
      <c r="AB8" s="283">
        <v>0</v>
      </c>
      <c r="AC8" s="281">
        <v>0</v>
      </c>
      <c r="AD8" s="282">
        <v>0</v>
      </c>
      <c r="AE8" s="282">
        <v>0</v>
      </c>
      <c r="AF8" s="282">
        <v>0</v>
      </c>
      <c r="AG8" s="284">
        <v>80</v>
      </c>
      <c r="AH8" s="284"/>
      <c r="AI8" s="284">
        <v>86</v>
      </c>
      <c r="AJ8" s="281"/>
      <c r="AK8" s="284"/>
      <c r="AL8" s="281"/>
      <c r="AM8" s="282"/>
      <c r="AN8" s="282"/>
      <c r="AO8" s="282"/>
      <c r="AP8" s="283"/>
      <c r="AQ8" s="282"/>
      <c r="AR8" s="284"/>
    </row>
    <row r="9" spans="1:44">
      <c r="A9" s="285" t="s">
        <v>324</v>
      </c>
      <c r="B9" s="298">
        <v>85.686000000000007</v>
      </c>
      <c r="C9" s="299">
        <v>17.836533333333332</v>
      </c>
      <c r="D9" s="284" t="s">
        <v>555</v>
      </c>
      <c r="E9" s="284" t="s">
        <v>60</v>
      </c>
      <c r="F9" s="281">
        <v>274</v>
      </c>
      <c r="G9" s="282">
        <f>F9/61</f>
        <v>4.4918032786885247</v>
      </c>
      <c r="H9" s="284" t="s">
        <v>331</v>
      </c>
      <c r="I9" s="281">
        <v>0</v>
      </c>
      <c r="J9" s="282">
        <v>0</v>
      </c>
      <c r="K9" s="282">
        <v>1</v>
      </c>
      <c r="L9" s="282">
        <v>0</v>
      </c>
      <c r="M9" s="282">
        <v>0</v>
      </c>
      <c r="N9" s="282">
        <f>SUM((I9*10000)+(J9*1000)+(K9*100)+(L9*10)+(M9*1))</f>
        <v>100</v>
      </c>
      <c r="O9" s="281">
        <v>0</v>
      </c>
      <c r="P9" s="282">
        <v>0</v>
      </c>
      <c r="Q9" s="282">
        <v>0</v>
      </c>
      <c r="R9" s="282">
        <v>1</v>
      </c>
      <c r="S9" s="283">
        <f t="shared" si="0"/>
        <v>1</v>
      </c>
      <c r="T9" s="284">
        <v>1</v>
      </c>
      <c r="U9" s="281">
        <v>57</v>
      </c>
      <c r="V9" s="281">
        <v>1</v>
      </c>
      <c r="W9" s="282">
        <v>1</v>
      </c>
      <c r="X9" s="282">
        <v>0</v>
      </c>
      <c r="Y9" s="283">
        <v>0</v>
      </c>
      <c r="Z9" s="281">
        <v>0</v>
      </c>
      <c r="AA9" s="282">
        <v>0</v>
      </c>
      <c r="AB9" s="283">
        <v>0</v>
      </c>
      <c r="AC9" s="281">
        <v>1</v>
      </c>
      <c r="AD9" s="282">
        <v>1</v>
      </c>
      <c r="AE9" s="282">
        <v>1</v>
      </c>
      <c r="AF9" s="282">
        <v>0</v>
      </c>
      <c r="AG9" s="284">
        <v>86</v>
      </c>
      <c r="AH9" s="284"/>
      <c r="AI9" s="284"/>
      <c r="AJ9" s="281"/>
      <c r="AK9" s="284"/>
      <c r="AL9" s="281"/>
      <c r="AM9" s="282"/>
      <c r="AN9" s="282"/>
      <c r="AO9" s="282"/>
      <c r="AP9" s="283"/>
      <c r="AQ9" s="282">
        <f>AL9-AN9</f>
        <v>0</v>
      </c>
      <c r="AR9" s="284"/>
    </row>
    <row r="10" spans="1:44">
      <c r="A10" s="285" t="s">
        <v>324</v>
      </c>
      <c r="B10" s="298">
        <v>85.686000000000007</v>
      </c>
      <c r="C10" s="299">
        <v>17.836533333333332</v>
      </c>
      <c r="D10" s="284" t="s">
        <v>558</v>
      </c>
      <c r="E10" s="284" t="s">
        <v>785</v>
      </c>
      <c r="F10" s="281">
        <v>223</v>
      </c>
      <c r="G10" s="282">
        <f>F10/143</f>
        <v>1.5594405594405594</v>
      </c>
      <c r="H10" s="284" t="s">
        <v>331</v>
      </c>
      <c r="I10" s="281">
        <v>0</v>
      </c>
      <c r="J10" s="282">
        <v>1</v>
      </c>
      <c r="K10" s="282">
        <v>1</v>
      </c>
      <c r="L10" s="282">
        <v>0</v>
      </c>
      <c r="M10" s="282">
        <v>0</v>
      </c>
      <c r="N10" s="282">
        <f>SUM((I10*10000)+(J10*1000)+(K10*100)+(L10*10)+(M10*1))</f>
        <v>1100</v>
      </c>
      <c r="O10" s="281">
        <v>0</v>
      </c>
      <c r="P10" s="282">
        <v>0</v>
      </c>
      <c r="Q10" s="282">
        <v>1</v>
      </c>
      <c r="R10" s="282">
        <v>0</v>
      </c>
      <c r="S10" s="283">
        <f t="shared" si="0"/>
        <v>10</v>
      </c>
      <c r="T10" s="284">
        <v>0</v>
      </c>
      <c r="U10" s="281">
        <v>85</v>
      </c>
      <c r="V10" s="281">
        <v>1</v>
      </c>
      <c r="W10" s="282">
        <v>0</v>
      </c>
      <c r="X10" s="282">
        <v>0</v>
      </c>
      <c r="Y10" s="283">
        <v>0</v>
      </c>
      <c r="Z10" s="281">
        <v>0</v>
      </c>
      <c r="AA10" s="282">
        <v>0</v>
      </c>
      <c r="AB10" s="283">
        <v>0</v>
      </c>
      <c r="AC10" s="281">
        <v>1</v>
      </c>
      <c r="AD10" s="282">
        <v>1</v>
      </c>
      <c r="AE10" s="282">
        <v>1</v>
      </c>
      <c r="AF10" s="282">
        <v>0</v>
      </c>
      <c r="AG10" s="284"/>
      <c r="AH10" s="284">
        <v>86</v>
      </c>
      <c r="AI10" s="284"/>
      <c r="AJ10" s="281"/>
      <c r="AK10" s="284"/>
      <c r="AL10" s="281"/>
      <c r="AM10" s="282"/>
      <c r="AN10" s="282"/>
      <c r="AO10" s="282"/>
      <c r="AP10" s="283"/>
      <c r="AQ10" s="282">
        <f>AL10-AN10</f>
        <v>0</v>
      </c>
      <c r="AR10" s="284"/>
    </row>
    <row r="11" spans="1:44">
      <c r="A11" s="285" t="s">
        <v>324</v>
      </c>
      <c r="B11" s="298">
        <v>85.686000000000007</v>
      </c>
      <c r="C11" s="299">
        <v>17.836533333333332</v>
      </c>
      <c r="D11" s="284" t="s">
        <v>558</v>
      </c>
      <c r="E11" s="284" t="s">
        <v>786</v>
      </c>
      <c r="F11" s="281">
        <v>183</v>
      </c>
      <c r="G11" s="282">
        <f>F11/181</f>
        <v>1.011049723756906</v>
      </c>
      <c r="H11" s="284" t="s">
        <v>331</v>
      </c>
      <c r="I11" s="281">
        <v>0</v>
      </c>
      <c r="J11" s="282">
        <v>0</v>
      </c>
      <c r="K11" s="282">
        <v>0</v>
      </c>
      <c r="L11" s="282">
        <v>0</v>
      </c>
      <c r="M11" s="282">
        <v>1</v>
      </c>
      <c r="N11" s="282">
        <f>SUM((I11*10000)+(J11*1000)+(K11*100)+(L11*10)+(M11*1))</f>
        <v>1</v>
      </c>
      <c r="O11" s="281">
        <v>0</v>
      </c>
      <c r="P11" s="282">
        <v>0</v>
      </c>
      <c r="Q11" s="282">
        <v>1</v>
      </c>
      <c r="R11" s="282">
        <v>0</v>
      </c>
      <c r="S11" s="283">
        <f t="shared" si="0"/>
        <v>10</v>
      </c>
      <c r="T11" s="284">
        <v>0</v>
      </c>
      <c r="U11" s="281">
        <v>85</v>
      </c>
      <c r="V11" s="281">
        <v>1</v>
      </c>
      <c r="W11" s="282">
        <v>1</v>
      </c>
      <c r="X11" s="282">
        <v>0</v>
      </c>
      <c r="Y11" s="283">
        <v>0</v>
      </c>
      <c r="Z11" s="281">
        <v>0</v>
      </c>
      <c r="AA11" s="282">
        <v>0</v>
      </c>
      <c r="AB11" s="283">
        <v>0</v>
      </c>
      <c r="AC11" s="281">
        <v>1</v>
      </c>
      <c r="AD11" s="282">
        <v>1</v>
      </c>
      <c r="AE11" s="282">
        <v>1</v>
      </c>
      <c r="AF11" s="282">
        <v>0</v>
      </c>
      <c r="AG11" s="284"/>
      <c r="AH11" s="284"/>
      <c r="AI11" s="284"/>
      <c r="AJ11" s="281"/>
      <c r="AK11" s="284"/>
      <c r="AL11" s="281">
        <v>87</v>
      </c>
      <c r="AM11" s="282"/>
      <c r="AN11" s="282">
        <v>88</v>
      </c>
      <c r="AO11" s="282"/>
      <c r="AP11" s="283"/>
      <c r="AQ11" s="282">
        <f>AL11-AN11</f>
        <v>-1</v>
      </c>
      <c r="AR11" s="284">
        <v>1</v>
      </c>
    </row>
    <row r="12" spans="1:44" ht="17" thickBot="1">
      <c r="A12" s="286" t="s">
        <v>324</v>
      </c>
      <c r="B12" s="298">
        <v>85.686000000000007</v>
      </c>
      <c r="C12" s="299">
        <v>17.836533333333332</v>
      </c>
      <c r="D12" s="287" t="s">
        <v>558</v>
      </c>
      <c r="E12" s="287" t="s">
        <v>787</v>
      </c>
      <c r="F12" s="274">
        <v>30</v>
      </c>
      <c r="G12" s="272">
        <f>F12/29</f>
        <v>1.0344827586206897</v>
      </c>
      <c r="H12" s="287" t="s">
        <v>782</v>
      </c>
      <c r="I12" s="274">
        <v>0</v>
      </c>
      <c r="J12" s="272">
        <v>0</v>
      </c>
      <c r="K12" s="272">
        <v>0</v>
      </c>
      <c r="L12" s="272">
        <v>0</v>
      </c>
      <c r="M12" s="272">
        <v>0</v>
      </c>
      <c r="N12" s="272">
        <f>SUM((I12*10000)+(J12*1000)+(K12*100)+(L12*10)+(M12*1))</f>
        <v>0</v>
      </c>
      <c r="O12" s="274">
        <v>1</v>
      </c>
      <c r="P12" s="272">
        <v>0</v>
      </c>
      <c r="Q12" s="272">
        <v>0</v>
      </c>
      <c r="R12" s="272">
        <v>0</v>
      </c>
      <c r="S12" s="273">
        <f t="shared" si="0"/>
        <v>1000</v>
      </c>
      <c r="T12" s="287">
        <v>0</v>
      </c>
      <c r="U12" s="274">
        <v>85</v>
      </c>
      <c r="V12" s="274">
        <v>0</v>
      </c>
      <c r="W12" s="272">
        <v>0</v>
      </c>
      <c r="X12" s="272">
        <v>0</v>
      </c>
      <c r="Y12" s="273">
        <v>0</v>
      </c>
      <c r="Z12" s="274">
        <v>0</v>
      </c>
      <c r="AA12" s="272">
        <v>0</v>
      </c>
      <c r="AB12" s="273">
        <v>0</v>
      </c>
      <c r="AC12" s="274">
        <v>0</v>
      </c>
      <c r="AD12" s="272">
        <v>0</v>
      </c>
      <c r="AE12" s="272">
        <v>0</v>
      </c>
      <c r="AF12" s="272">
        <v>0</v>
      </c>
      <c r="AG12" s="287">
        <v>88</v>
      </c>
      <c r="AH12" s="287"/>
      <c r="AI12" s="287"/>
      <c r="AJ12" s="274"/>
      <c r="AK12" s="287"/>
      <c r="AL12" s="274"/>
      <c r="AM12" s="272"/>
      <c r="AN12" s="272"/>
      <c r="AO12" s="272"/>
      <c r="AP12" s="273"/>
      <c r="AQ12" s="272">
        <f>AL12-AN12</f>
        <v>0</v>
      </c>
      <c r="AR12" s="287"/>
    </row>
    <row r="13" spans="1:44">
      <c r="A13" s="276" t="s">
        <v>327</v>
      </c>
      <c r="B13" s="298">
        <v>85.645333333333326</v>
      </c>
      <c r="C13" s="299">
        <v>84.28</v>
      </c>
      <c r="D13" s="279" t="s">
        <v>788</v>
      </c>
      <c r="E13" s="279" t="s">
        <v>789</v>
      </c>
      <c r="F13" s="277">
        <v>388</v>
      </c>
      <c r="G13" s="280">
        <f>F13/191</f>
        <v>2.0314136125654452</v>
      </c>
      <c r="H13" s="279" t="s">
        <v>782</v>
      </c>
      <c r="I13" s="277">
        <v>0</v>
      </c>
      <c r="J13" s="280">
        <v>1</v>
      </c>
      <c r="K13" s="280">
        <v>0</v>
      </c>
      <c r="L13" s="280">
        <v>0</v>
      </c>
      <c r="M13" s="280">
        <v>0</v>
      </c>
      <c r="N13" s="280">
        <f>SUM((J13*1000)+(K13*100)+(L13*10)+(M13*1))</f>
        <v>1000</v>
      </c>
      <c r="O13" s="277">
        <v>0</v>
      </c>
      <c r="P13" s="280">
        <v>0</v>
      </c>
      <c r="Q13" s="280">
        <v>1</v>
      </c>
      <c r="R13" s="280">
        <v>0</v>
      </c>
      <c r="S13" s="278">
        <f t="shared" si="0"/>
        <v>10</v>
      </c>
      <c r="T13" s="279">
        <v>1</v>
      </c>
      <c r="U13" s="277">
        <v>108</v>
      </c>
      <c r="V13" s="277">
        <v>0</v>
      </c>
      <c r="W13" s="280">
        <v>0</v>
      </c>
      <c r="X13" s="280">
        <v>0</v>
      </c>
      <c r="Y13" s="278">
        <v>0</v>
      </c>
      <c r="Z13" s="277">
        <v>0</v>
      </c>
      <c r="AA13" s="280">
        <v>0</v>
      </c>
      <c r="AB13" s="278">
        <v>0</v>
      </c>
      <c r="AC13" s="277">
        <v>0</v>
      </c>
      <c r="AD13" s="280">
        <v>0</v>
      </c>
      <c r="AE13" s="280">
        <v>0</v>
      </c>
      <c r="AF13" s="280">
        <v>0</v>
      </c>
      <c r="AG13" s="279">
        <v>86</v>
      </c>
      <c r="AH13" s="279"/>
      <c r="AI13" s="279">
        <v>81</v>
      </c>
      <c r="AJ13" s="277"/>
      <c r="AK13" s="279"/>
      <c r="AL13" s="277"/>
      <c r="AM13" s="280"/>
      <c r="AN13" s="280"/>
      <c r="AO13" s="280"/>
      <c r="AP13" s="278"/>
      <c r="AQ13" s="280"/>
      <c r="AR13" s="279"/>
    </row>
    <row r="14" spans="1:44">
      <c r="A14" s="285" t="s">
        <v>327</v>
      </c>
      <c r="B14" s="298">
        <v>85.645333333333326</v>
      </c>
      <c r="C14" s="299">
        <v>84.28</v>
      </c>
      <c r="D14" s="284" t="s">
        <v>788</v>
      </c>
      <c r="E14" s="284" t="s">
        <v>790</v>
      </c>
      <c r="F14" s="281"/>
      <c r="G14" s="282"/>
      <c r="H14" s="284" t="s">
        <v>331</v>
      </c>
      <c r="I14" s="281">
        <v>0</v>
      </c>
      <c r="J14" s="282">
        <v>1</v>
      </c>
      <c r="K14" s="282">
        <v>0</v>
      </c>
      <c r="L14" s="282">
        <v>0</v>
      </c>
      <c r="M14" s="282">
        <v>0</v>
      </c>
      <c r="N14" s="282">
        <f>SUM((J14*1000)+(K14*100)+(L14*10)+(M14*1))</f>
        <v>1000</v>
      </c>
      <c r="O14" s="281">
        <v>0</v>
      </c>
      <c r="P14" s="282">
        <v>0</v>
      </c>
      <c r="Q14" s="282">
        <v>0</v>
      </c>
      <c r="R14" s="282">
        <v>1</v>
      </c>
      <c r="S14" s="283">
        <f t="shared" si="0"/>
        <v>1</v>
      </c>
      <c r="T14" s="284">
        <v>1</v>
      </c>
      <c r="U14" s="281">
        <v>108</v>
      </c>
      <c r="V14" s="281">
        <v>1</v>
      </c>
      <c r="W14" s="282">
        <v>0</v>
      </c>
      <c r="X14" s="282">
        <v>0</v>
      </c>
      <c r="Y14" s="283">
        <v>0</v>
      </c>
      <c r="Z14" s="281">
        <v>0</v>
      </c>
      <c r="AA14" s="282">
        <v>0</v>
      </c>
      <c r="AB14" s="283">
        <v>0</v>
      </c>
      <c r="AC14" s="281">
        <v>1</v>
      </c>
      <c r="AD14" s="282">
        <v>1</v>
      </c>
      <c r="AE14" s="282">
        <v>1</v>
      </c>
      <c r="AF14" s="282">
        <v>0</v>
      </c>
      <c r="AG14" s="284">
        <v>86</v>
      </c>
      <c r="AH14" s="284"/>
      <c r="AI14" s="284">
        <v>83</v>
      </c>
      <c r="AJ14" s="281"/>
      <c r="AK14" s="284"/>
      <c r="AL14" s="281"/>
      <c r="AM14" s="282"/>
      <c r="AN14" s="282"/>
      <c r="AO14" s="282"/>
      <c r="AP14" s="283"/>
      <c r="AQ14" s="282"/>
      <c r="AR14" s="284"/>
    </row>
    <row r="15" spans="1:44">
      <c r="A15" s="285" t="s">
        <v>327</v>
      </c>
      <c r="B15" s="298">
        <v>85.645333333333326</v>
      </c>
      <c r="C15" s="299">
        <v>84.28</v>
      </c>
      <c r="D15" s="284" t="s">
        <v>788</v>
      </c>
      <c r="E15" s="284" t="s">
        <v>791</v>
      </c>
      <c r="F15" s="281">
        <v>669</v>
      </c>
      <c r="G15" s="282">
        <f>F15/368</f>
        <v>1.8179347826086956</v>
      </c>
      <c r="H15" s="284" t="s">
        <v>331</v>
      </c>
      <c r="I15" s="281">
        <v>0</v>
      </c>
      <c r="J15" s="282">
        <v>1</v>
      </c>
      <c r="K15" s="282">
        <v>0</v>
      </c>
      <c r="L15" s="282">
        <v>0</v>
      </c>
      <c r="M15" s="282">
        <v>0</v>
      </c>
      <c r="N15" s="282">
        <f>SUM((J15*1000)+(K15*100)+(L15*10)+(M15*1))</f>
        <v>1000</v>
      </c>
      <c r="O15" s="281">
        <v>0</v>
      </c>
      <c r="P15" s="282">
        <v>0</v>
      </c>
      <c r="Q15" s="282">
        <v>0</v>
      </c>
      <c r="R15" s="282">
        <v>1</v>
      </c>
      <c r="S15" s="283">
        <f t="shared" si="0"/>
        <v>1</v>
      </c>
      <c r="T15" s="284">
        <v>0</v>
      </c>
      <c r="U15" s="281">
        <v>104</v>
      </c>
      <c r="V15" s="281">
        <v>1</v>
      </c>
      <c r="W15" s="282">
        <v>0</v>
      </c>
      <c r="X15" s="282">
        <v>0</v>
      </c>
      <c r="Y15" s="283">
        <v>0</v>
      </c>
      <c r="Z15" s="281">
        <v>0</v>
      </c>
      <c r="AA15" s="282">
        <v>0</v>
      </c>
      <c r="AB15" s="283">
        <v>0</v>
      </c>
      <c r="AC15" s="281">
        <v>1</v>
      </c>
      <c r="AD15" s="282">
        <v>1</v>
      </c>
      <c r="AE15" s="282">
        <v>1</v>
      </c>
      <c r="AF15" s="282">
        <v>0</v>
      </c>
      <c r="AG15" s="284">
        <v>87</v>
      </c>
      <c r="AH15" s="284"/>
      <c r="AI15" s="284">
        <v>82</v>
      </c>
      <c r="AJ15" s="281"/>
      <c r="AK15" s="284"/>
      <c r="AL15" s="281"/>
      <c r="AM15" s="282"/>
      <c r="AN15" s="282"/>
      <c r="AO15" s="282"/>
      <c r="AP15" s="283"/>
      <c r="AQ15" s="282"/>
      <c r="AR15" s="284"/>
    </row>
    <row r="16" spans="1:44">
      <c r="A16" s="285" t="s">
        <v>327</v>
      </c>
      <c r="B16" s="298">
        <v>85.645333333333326</v>
      </c>
      <c r="C16" s="299">
        <v>84.28</v>
      </c>
      <c r="D16" s="284" t="s">
        <v>788</v>
      </c>
      <c r="E16" s="284" t="s">
        <v>792</v>
      </c>
      <c r="F16" s="281">
        <v>213</v>
      </c>
      <c r="G16" s="282">
        <f>F16/192</f>
        <v>1.109375</v>
      </c>
      <c r="H16" s="284" t="s">
        <v>331</v>
      </c>
      <c r="I16" s="281">
        <v>0</v>
      </c>
      <c r="J16" s="282">
        <v>0</v>
      </c>
      <c r="K16" s="282">
        <v>0</v>
      </c>
      <c r="L16" s="282">
        <v>0</v>
      </c>
      <c r="M16" s="282">
        <v>1</v>
      </c>
      <c r="N16" s="282">
        <f>SUM((J16*1000)+(K16*100)+(L16*10)+(M16*1))</f>
        <v>1</v>
      </c>
      <c r="O16" s="281">
        <v>0</v>
      </c>
      <c r="P16" s="282">
        <v>0</v>
      </c>
      <c r="Q16" s="282">
        <v>1</v>
      </c>
      <c r="R16" s="282">
        <v>0</v>
      </c>
      <c r="S16" s="283">
        <f t="shared" si="0"/>
        <v>10</v>
      </c>
      <c r="T16" s="284">
        <v>0</v>
      </c>
      <c r="U16" s="281">
        <v>104</v>
      </c>
      <c r="V16" s="281">
        <v>1</v>
      </c>
      <c r="W16" s="282">
        <v>0</v>
      </c>
      <c r="X16" s="282">
        <v>0</v>
      </c>
      <c r="Y16" s="283">
        <v>0</v>
      </c>
      <c r="Z16" s="281">
        <v>0</v>
      </c>
      <c r="AA16" s="282">
        <v>0</v>
      </c>
      <c r="AB16" s="283">
        <v>0</v>
      </c>
      <c r="AC16" s="281">
        <v>1</v>
      </c>
      <c r="AD16" s="282">
        <v>1</v>
      </c>
      <c r="AE16" s="282">
        <v>1</v>
      </c>
      <c r="AF16" s="282">
        <v>0</v>
      </c>
      <c r="AG16" s="284">
        <v>86</v>
      </c>
      <c r="AH16" s="284"/>
      <c r="AI16" s="284">
        <v>79</v>
      </c>
      <c r="AJ16" s="281"/>
      <c r="AK16" s="284"/>
      <c r="AL16" s="281"/>
      <c r="AM16" s="282"/>
      <c r="AN16" s="282"/>
      <c r="AO16" s="282"/>
      <c r="AP16" s="283"/>
      <c r="AQ16" s="282"/>
      <c r="AR16" s="284"/>
    </row>
    <row r="17" spans="1:44">
      <c r="A17" s="285" t="s">
        <v>327</v>
      </c>
      <c r="B17" s="298">
        <v>85.645333333333326</v>
      </c>
      <c r="C17" s="299">
        <v>84.28</v>
      </c>
      <c r="D17" s="284" t="s">
        <v>788</v>
      </c>
      <c r="E17" s="284" t="s">
        <v>793</v>
      </c>
      <c r="F17" s="281">
        <v>201</v>
      </c>
      <c r="G17" s="282">
        <f>F17/155</f>
        <v>1.2967741935483872</v>
      </c>
      <c r="H17" s="284" t="s">
        <v>331</v>
      </c>
      <c r="I17" s="281">
        <v>0</v>
      </c>
      <c r="J17" s="282">
        <v>0</v>
      </c>
      <c r="K17" s="282">
        <v>0</v>
      </c>
      <c r="L17" s="282">
        <v>0</v>
      </c>
      <c r="M17" s="282">
        <v>1</v>
      </c>
      <c r="N17" s="282">
        <f>SUM((J17*1000)+(K17*100)+(L17*10)+(M17*1))</f>
        <v>1</v>
      </c>
      <c r="O17" s="281">
        <v>0</v>
      </c>
      <c r="P17" s="282">
        <v>0</v>
      </c>
      <c r="Q17" s="282">
        <v>1</v>
      </c>
      <c r="R17" s="282">
        <v>0</v>
      </c>
      <c r="S17" s="283">
        <f t="shared" si="0"/>
        <v>10</v>
      </c>
      <c r="T17" s="284">
        <v>1</v>
      </c>
      <c r="U17" s="281">
        <v>104</v>
      </c>
      <c r="V17" s="281">
        <v>0</v>
      </c>
      <c r="W17" s="282">
        <v>0</v>
      </c>
      <c r="X17" s="282">
        <v>1</v>
      </c>
      <c r="Y17" s="283">
        <v>0</v>
      </c>
      <c r="Z17" s="281">
        <v>0</v>
      </c>
      <c r="AA17" s="282">
        <v>0</v>
      </c>
      <c r="AB17" s="283">
        <v>0</v>
      </c>
      <c r="AC17" s="281">
        <v>0</v>
      </c>
      <c r="AD17" s="282">
        <v>0</v>
      </c>
      <c r="AE17" s="282">
        <v>1</v>
      </c>
      <c r="AF17" s="282">
        <v>0</v>
      </c>
      <c r="AG17" s="284"/>
      <c r="AH17" s="284"/>
      <c r="AI17" s="284"/>
      <c r="AJ17" s="281"/>
      <c r="AK17" s="284"/>
      <c r="AL17" s="281">
        <v>86</v>
      </c>
      <c r="AM17" s="282"/>
      <c r="AN17" s="282">
        <v>87</v>
      </c>
      <c r="AO17" s="282"/>
      <c r="AP17" s="283"/>
      <c r="AQ17" s="282">
        <f>AL17-AN17</f>
        <v>-1</v>
      </c>
      <c r="AR17" s="284">
        <v>1</v>
      </c>
    </row>
    <row r="18" spans="1:44">
      <c r="A18" s="285" t="s">
        <v>327</v>
      </c>
      <c r="B18" s="298">
        <v>85.645333333333326</v>
      </c>
      <c r="C18" s="299">
        <v>84.28</v>
      </c>
      <c r="D18" s="284" t="s">
        <v>788</v>
      </c>
      <c r="E18" s="284" t="s">
        <v>794</v>
      </c>
      <c r="F18" s="281">
        <v>231</v>
      </c>
      <c r="G18" s="282">
        <f>F18/193</f>
        <v>1.1968911917098446</v>
      </c>
      <c r="H18" s="284" t="s">
        <v>331</v>
      </c>
      <c r="I18" s="281">
        <v>1</v>
      </c>
      <c r="J18" s="282">
        <v>0</v>
      </c>
      <c r="K18" s="282">
        <v>0</v>
      </c>
      <c r="L18" s="282">
        <v>0</v>
      </c>
      <c r="M18" s="282">
        <v>1</v>
      </c>
      <c r="N18" s="282">
        <f t="shared" ref="N18:N56" si="1">SUM((I18*10000)+(J18*1000)+(K18*100)+(L18*10)+(M18*1))</f>
        <v>10001</v>
      </c>
      <c r="O18" s="281">
        <v>0</v>
      </c>
      <c r="P18" s="282">
        <v>0</v>
      </c>
      <c r="Q18" s="282">
        <v>1</v>
      </c>
      <c r="R18" s="282">
        <v>0</v>
      </c>
      <c r="S18" s="283">
        <f t="shared" si="0"/>
        <v>10</v>
      </c>
      <c r="T18" s="284">
        <v>1</v>
      </c>
      <c r="U18" s="281">
        <v>91</v>
      </c>
      <c r="V18" s="281">
        <v>1</v>
      </c>
      <c r="W18" s="282">
        <v>0</v>
      </c>
      <c r="X18" s="282">
        <v>0</v>
      </c>
      <c r="Y18" s="283">
        <v>0</v>
      </c>
      <c r="Z18" s="281">
        <v>0</v>
      </c>
      <c r="AA18" s="282">
        <v>0</v>
      </c>
      <c r="AB18" s="283">
        <v>0</v>
      </c>
      <c r="AC18" s="281">
        <v>1</v>
      </c>
      <c r="AD18" s="282">
        <v>0</v>
      </c>
      <c r="AE18" s="282">
        <v>1</v>
      </c>
      <c r="AF18" s="282">
        <v>0</v>
      </c>
      <c r="AG18" s="284"/>
      <c r="AH18" s="284"/>
      <c r="AI18" s="284"/>
      <c r="AJ18" s="281"/>
      <c r="AK18" s="284"/>
      <c r="AL18" s="281">
        <v>86</v>
      </c>
      <c r="AM18" s="282"/>
      <c r="AN18" s="282">
        <v>87</v>
      </c>
      <c r="AO18" s="282"/>
      <c r="AP18" s="283"/>
      <c r="AQ18" s="282">
        <f>AL18-AN18</f>
        <v>-1</v>
      </c>
      <c r="AR18" s="284">
        <v>1</v>
      </c>
    </row>
    <row r="19" spans="1:44">
      <c r="A19" s="285" t="s">
        <v>327</v>
      </c>
      <c r="B19" s="298">
        <v>85.645333333333326</v>
      </c>
      <c r="C19" s="299">
        <v>84.28</v>
      </c>
      <c r="D19" s="284" t="s">
        <v>788</v>
      </c>
      <c r="E19" s="284" t="s">
        <v>795</v>
      </c>
      <c r="F19" s="281">
        <v>584</v>
      </c>
      <c r="G19" s="282">
        <f>F19/467</f>
        <v>1.2505353319057815</v>
      </c>
      <c r="H19" s="284" t="s">
        <v>331</v>
      </c>
      <c r="I19" s="281">
        <v>1</v>
      </c>
      <c r="J19" s="282">
        <v>0</v>
      </c>
      <c r="K19" s="282">
        <v>0</v>
      </c>
      <c r="L19" s="282">
        <v>0</v>
      </c>
      <c r="M19" s="282">
        <v>1</v>
      </c>
      <c r="N19" s="282">
        <f t="shared" si="1"/>
        <v>10001</v>
      </c>
      <c r="O19" s="281">
        <v>0</v>
      </c>
      <c r="P19" s="282">
        <v>0</v>
      </c>
      <c r="Q19" s="282">
        <v>1</v>
      </c>
      <c r="R19" s="282">
        <v>0</v>
      </c>
      <c r="S19" s="283">
        <f t="shared" si="0"/>
        <v>10</v>
      </c>
      <c r="T19" s="284">
        <v>0</v>
      </c>
      <c r="U19" s="281">
        <v>91</v>
      </c>
      <c r="V19" s="281">
        <v>1</v>
      </c>
      <c r="W19" s="282">
        <v>0</v>
      </c>
      <c r="X19" s="282">
        <v>1</v>
      </c>
      <c r="Y19" s="283">
        <v>0</v>
      </c>
      <c r="Z19" s="281">
        <v>0</v>
      </c>
      <c r="AA19" s="282">
        <v>0</v>
      </c>
      <c r="AB19" s="283">
        <v>0</v>
      </c>
      <c r="AC19" s="281">
        <v>1</v>
      </c>
      <c r="AD19" s="282">
        <v>0</v>
      </c>
      <c r="AE19" s="282">
        <v>1</v>
      </c>
      <c r="AF19" s="282">
        <v>0</v>
      </c>
      <c r="AG19" s="284"/>
      <c r="AH19" s="284"/>
      <c r="AI19" s="284"/>
      <c r="AJ19" s="281"/>
      <c r="AK19" s="284"/>
      <c r="AL19" s="281">
        <v>87</v>
      </c>
      <c r="AM19" s="282"/>
      <c r="AN19" s="282">
        <v>85</v>
      </c>
      <c r="AO19" s="282">
        <v>86</v>
      </c>
      <c r="AP19" s="283"/>
      <c r="AQ19" s="282">
        <f>AL19-AN19</f>
        <v>2</v>
      </c>
      <c r="AR19" s="284">
        <v>2</v>
      </c>
    </row>
    <row r="20" spans="1:44">
      <c r="A20" s="285" t="s">
        <v>327</v>
      </c>
      <c r="B20" s="298">
        <v>85.645333333333326</v>
      </c>
      <c r="C20" s="299">
        <v>84.28</v>
      </c>
      <c r="D20" s="284" t="s">
        <v>788</v>
      </c>
      <c r="E20" s="284" t="s">
        <v>796</v>
      </c>
      <c r="F20" s="281">
        <v>77</v>
      </c>
      <c r="G20" s="282">
        <f>F20/64</f>
        <v>1.203125</v>
      </c>
      <c r="H20" s="284" t="s">
        <v>782</v>
      </c>
      <c r="I20" s="281">
        <v>0</v>
      </c>
      <c r="J20" s="282">
        <v>0</v>
      </c>
      <c r="K20" s="282">
        <v>0</v>
      </c>
      <c r="L20" s="282">
        <v>0</v>
      </c>
      <c r="M20" s="282">
        <v>1</v>
      </c>
      <c r="N20" s="282">
        <f t="shared" si="1"/>
        <v>1</v>
      </c>
      <c r="O20" s="281">
        <v>0</v>
      </c>
      <c r="P20" s="282">
        <v>0</v>
      </c>
      <c r="Q20" s="282">
        <v>1</v>
      </c>
      <c r="R20" s="282">
        <v>0</v>
      </c>
      <c r="S20" s="283">
        <f t="shared" si="0"/>
        <v>10</v>
      </c>
      <c r="T20" s="284">
        <v>0</v>
      </c>
      <c r="U20" s="281">
        <v>91</v>
      </c>
      <c r="V20" s="281">
        <v>0</v>
      </c>
      <c r="W20" s="282">
        <v>0</v>
      </c>
      <c r="X20" s="282">
        <v>0</v>
      </c>
      <c r="Y20" s="283">
        <v>0</v>
      </c>
      <c r="Z20" s="281">
        <v>0</v>
      </c>
      <c r="AA20" s="282">
        <v>0</v>
      </c>
      <c r="AB20" s="283">
        <v>0</v>
      </c>
      <c r="AC20" s="281">
        <v>0</v>
      </c>
      <c r="AD20" s="282">
        <v>0</v>
      </c>
      <c r="AE20" s="282">
        <v>0</v>
      </c>
      <c r="AF20" s="282">
        <v>0</v>
      </c>
      <c r="AG20" s="284"/>
      <c r="AH20" s="284"/>
      <c r="AI20" s="284"/>
      <c r="AJ20" s="281"/>
      <c r="AK20" s="284"/>
      <c r="AL20" s="281">
        <v>86</v>
      </c>
      <c r="AM20" s="282"/>
      <c r="AN20" s="282"/>
      <c r="AO20" s="282"/>
      <c r="AP20" s="283"/>
      <c r="AQ20" s="282"/>
      <c r="AR20" s="284"/>
    </row>
    <row r="21" spans="1:44" ht="17" thickBot="1">
      <c r="A21" s="286" t="s">
        <v>327</v>
      </c>
      <c r="B21" s="300">
        <v>85.645333333333326</v>
      </c>
      <c r="C21" s="301">
        <v>84.28</v>
      </c>
      <c r="D21" s="287" t="s">
        <v>788</v>
      </c>
      <c r="E21" s="287" t="s">
        <v>797</v>
      </c>
      <c r="F21" s="274">
        <v>170</v>
      </c>
      <c r="G21" s="272">
        <f>F21/159</f>
        <v>1.0691823899371069</v>
      </c>
      <c r="H21" s="287" t="s">
        <v>331</v>
      </c>
      <c r="I21" s="274">
        <v>0</v>
      </c>
      <c r="J21" s="272">
        <v>0</v>
      </c>
      <c r="K21" s="272">
        <v>0</v>
      </c>
      <c r="L21" s="272">
        <v>0</v>
      </c>
      <c r="M21" s="272">
        <v>1</v>
      </c>
      <c r="N21" s="272">
        <f t="shared" si="1"/>
        <v>1</v>
      </c>
      <c r="O21" s="274">
        <v>0</v>
      </c>
      <c r="P21" s="272">
        <v>0</v>
      </c>
      <c r="Q21" s="272">
        <v>1</v>
      </c>
      <c r="R21" s="272">
        <v>0</v>
      </c>
      <c r="S21" s="273">
        <f t="shared" si="0"/>
        <v>10</v>
      </c>
      <c r="T21" s="287">
        <v>1</v>
      </c>
      <c r="U21" s="274">
        <v>76</v>
      </c>
      <c r="V21" s="274">
        <v>1</v>
      </c>
      <c r="W21" s="272">
        <v>1</v>
      </c>
      <c r="X21" s="272">
        <v>0</v>
      </c>
      <c r="Y21" s="273">
        <v>0</v>
      </c>
      <c r="Z21" s="274">
        <v>0</v>
      </c>
      <c r="AA21" s="272">
        <v>0</v>
      </c>
      <c r="AB21" s="273">
        <v>0</v>
      </c>
      <c r="AC21" s="274">
        <v>1</v>
      </c>
      <c r="AD21" s="272">
        <v>1</v>
      </c>
      <c r="AE21" s="272">
        <v>1</v>
      </c>
      <c r="AF21" s="272">
        <v>0</v>
      </c>
      <c r="AG21" s="287"/>
      <c r="AH21" s="287"/>
      <c r="AI21" s="287"/>
      <c r="AJ21" s="274"/>
      <c r="AK21" s="287"/>
      <c r="AL21" s="274">
        <v>87</v>
      </c>
      <c r="AM21" s="272"/>
      <c r="AN21" s="272">
        <v>87</v>
      </c>
      <c r="AO21" s="272"/>
      <c r="AP21" s="273"/>
      <c r="AQ21" s="272">
        <f>AL21-AN21</f>
        <v>0</v>
      </c>
      <c r="AR21" s="287">
        <v>0</v>
      </c>
    </row>
    <row r="22" spans="1:44">
      <c r="A22" s="276" t="s">
        <v>320</v>
      </c>
      <c r="B22" s="302">
        <v>83.86</v>
      </c>
      <c r="C22" s="303">
        <v>-1.9466666666666668</v>
      </c>
      <c r="D22" s="278" t="s">
        <v>532</v>
      </c>
      <c r="E22" s="279" t="s">
        <v>798</v>
      </c>
      <c r="F22" s="277">
        <v>1081</v>
      </c>
      <c r="G22" s="280">
        <f>F22/684</f>
        <v>1.5804093567251463</v>
      </c>
      <c r="H22" s="279" t="s">
        <v>331</v>
      </c>
      <c r="I22" s="277">
        <v>0</v>
      </c>
      <c r="J22" s="280">
        <v>1</v>
      </c>
      <c r="K22" s="280">
        <v>0</v>
      </c>
      <c r="L22" s="280">
        <v>0</v>
      </c>
      <c r="M22" s="280">
        <v>0</v>
      </c>
      <c r="N22" s="280">
        <f t="shared" si="1"/>
        <v>1000</v>
      </c>
      <c r="O22" s="277">
        <v>0</v>
      </c>
      <c r="P22" s="280">
        <v>0</v>
      </c>
      <c r="Q22" s="280">
        <v>0</v>
      </c>
      <c r="R22" s="280">
        <v>1</v>
      </c>
      <c r="S22" s="278">
        <f t="shared" si="0"/>
        <v>1</v>
      </c>
      <c r="T22" s="279">
        <v>1</v>
      </c>
      <c r="U22" s="277">
        <v>125</v>
      </c>
      <c r="V22" s="277">
        <v>1</v>
      </c>
      <c r="W22" s="280">
        <v>0</v>
      </c>
      <c r="X22" s="280">
        <v>0</v>
      </c>
      <c r="Y22" s="278">
        <v>0</v>
      </c>
      <c r="Z22" s="277">
        <v>1</v>
      </c>
      <c r="AA22" s="280">
        <v>0</v>
      </c>
      <c r="AB22" s="278">
        <v>0</v>
      </c>
      <c r="AC22" s="277">
        <v>1</v>
      </c>
      <c r="AD22" s="280">
        <v>0</v>
      </c>
      <c r="AE22" s="280">
        <v>1</v>
      </c>
      <c r="AF22" s="280">
        <v>0</v>
      </c>
      <c r="AG22" s="279">
        <v>77</v>
      </c>
      <c r="AH22" s="279"/>
      <c r="AI22" s="279">
        <v>77</v>
      </c>
      <c r="AJ22" s="277"/>
      <c r="AK22" s="279"/>
      <c r="AL22" s="277"/>
      <c r="AM22" s="280"/>
      <c r="AN22" s="280"/>
      <c r="AO22" s="280"/>
      <c r="AP22" s="278"/>
      <c r="AQ22" s="280"/>
      <c r="AR22" s="279"/>
    </row>
    <row r="23" spans="1:44">
      <c r="A23" s="285" t="s">
        <v>320</v>
      </c>
      <c r="B23" s="304">
        <v>83.86</v>
      </c>
      <c r="C23" s="305">
        <v>-1.9466666666666668</v>
      </c>
      <c r="D23" s="283" t="s">
        <v>532</v>
      </c>
      <c r="E23" s="284" t="s">
        <v>799</v>
      </c>
      <c r="F23" s="281">
        <v>632</v>
      </c>
      <c r="G23" s="282">
        <f>F23/539</f>
        <v>1.1725417439703154</v>
      </c>
      <c r="H23" s="284" t="s">
        <v>331</v>
      </c>
      <c r="I23" s="281">
        <v>0</v>
      </c>
      <c r="J23" s="282">
        <v>0</v>
      </c>
      <c r="K23" s="282">
        <v>0</v>
      </c>
      <c r="L23" s="282">
        <v>0</v>
      </c>
      <c r="M23" s="282">
        <v>1</v>
      </c>
      <c r="N23" s="282">
        <f t="shared" si="1"/>
        <v>1</v>
      </c>
      <c r="O23" s="281">
        <v>0</v>
      </c>
      <c r="P23" s="282">
        <v>0</v>
      </c>
      <c r="Q23" s="282">
        <v>0</v>
      </c>
      <c r="R23" s="282">
        <v>1</v>
      </c>
      <c r="S23" s="283">
        <f t="shared" si="0"/>
        <v>1</v>
      </c>
      <c r="T23" s="284">
        <v>1</v>
      </c>
      <c r="U23" s="281">
        <v>125</v>
      </c>
      <c r="V23" s="281">
        <v>1</v>
      </c>
      <c r="W23" s="282">
        <v>0</v>
      </c>
      <c r="X23" s="282">
        <v>0</v>
      </c>
      <c r="Y23" s="283">
        <v>0</v>
      </c>
      <c r="Z23" s="281">
        <v>1</v>
      </c>
      <c r="AA23" s="282">
        <v>0</v>
      </c>
      <c r="AB23" s="283">
        <v>0</v>
      </c>
      <c r="AC23" s="281">
        <v>1</v>
      </c>
      <c r="AD23" s="282">
        <v>0</v>
      </c>
      <c r="AE23" s="282">
        <v>1</v>
      </c>
      <c r="AF23" s="282">
        <v>0</v>
      </c>
      <c r="AG23" s="284"/>
      <c r="AH23" s="284"/>
      <c r="AI23" s="284"/>
      <c r="AJ23" s="281"/>
      <c r="AK23" s="284"/>
      <c r="AL23" s="281">
        <v>84</v>
      </c>
      <c r="AM23" s="282">
        <v>78</v>
      </c>
      <c r="AN23" s="282"/>
      <c r="AO23" s="282"/>
      <c r="AP23" s="283"/>
      <c r="AQ23" s="282"/>
      <c r="AR23" s="284"/>
    </row>
    <row r="24" spans="1:44">
      <c r="A24" s="285" t="s">
        <v>320</v>
      </c>
      <c r="B24" s="304">
        <v>83.86</v>
      </c>
      <c r="C24" s="305">
        <v>-1.9466666666666668</v>
      </c>
      <c r="D24" s="283" t="s">
        <v>532</v>
      </c>
      <c r="E24" s="284" t="s">
        <v>62</v>
      </c>
      <c r="F24" s="281">
        <v>2190</v>
      </c>
      <c r="G24" s="282">
        <f>F24/1295</f>
        <v>1.6911196911196911</v>
      </c>
      <c r="H24" s="284" t="s">
        <v>331</v>
      </c>
      <c r="I24" s="281">
        <v>1</v>
      </c>
      <c r="J24" s="282">
        <v>1</v>
      </c>
      <c r="K24" s="282">
        <v>0</v>
      </c>
      <c r="L24" s="282">
        <v>0</v>
      </c>
      <c r="M24" s="282">
        <v>0</v>
      </c>
      <c r="N24" s="282">
        <f t="shared" si="1"/>
        <v>11000</v>
      </c>
      <c r="O24" s="281">
        <v>0</v>
      </c>
      <c r="P24" s="282">
        <v>0</v>
      </c>
      <c r="Q24" s="282">
        <v>1</v>
      </c>
      <c r="R24" s="282">
        <v>0</v>
      </c>
      <c r="S24" s="283">
        <f t="shared" si="0"/>
        <v>10</v>
      </c>
      <c r="T24" s="284">
        <v>1</v>
      </c>
      <c r="U24" s="281">
        <v>128</v>
      </c>
      <c r="V24" s="281">
        <v>1</v>
      </c>
      <c r="W24" s="282">
        <v>1</v>
      </c>
      <c r="X24" s="282">
        <v>1</v>
      </c>
      <c r="Y24" s="283">
        <v>0</v>
      </c>
      <c r="Z24" s="281">
        <v>0</v>
      </c>
      <c r="AA24" s="282">
        <v>0</v>
      </c>
      <c r="AB24" s="283">
        <v>0</v>
      </c>
      <c r="AC24" s="281">
        <v>1</v>
      </c>
      <c r="AD24" s="282">
        <v>1</v>
      </c>
      <c r="AE24" s="282">
        <v>1</v>
      </c>
      <c r="AF24" s="282">
        <v>0</v>
      </c>
      <c r="AG24" s="284">
        <v>85</v>
      </c>
      <c r="AH24" s="284"/>
      <c r="AI24" s="284">
        <v>83</v>
      </c>
      <c r="AJ24" s="281"/>
      <c r="AK24" s="284">
        <v>79</v>
      </c>
      <c r="AL24" s="281"/>
      <c r="AM24" s="282"/>
      <c r="AN24" s="282"/>
      <c r="AO24" s="282"/>
      <c r="AP24" s="283"/>
      <c r="AQ24" s="282"/>
      <c r="AR24" s="284"/>
    </row>
    <row r="25" spans="1:44">
      <c r="A25" s="285" t="s">
        <v>320</v>
      </c>
      <c r="B25" s="304">
        <v>83.86</v>
      </c>
      <c r="C25" s="305">
        <v>-1.9466666666666668</v>
      </c>
      <c r="D25" s="283" t="s">
        <v>532</v>
      </c>
      <c r="E25" s="284" t="s">
        <v>800</v>
      </c>
      <c r="F25" s="281">
        <v>341</v>
      </c>
      <c r="G25" s="282">
        <f>F25/216</f>
        <v>1.5787037037037037</v>
      </c>
      <c r="H25" s="284" t="s">
        <v>331</v>
      </c>
      <c r="I25" s="281">
        <v>0</v>
      </c>
      <c r="J25" s="282">
        <v>0</v>
      </c>
      <c r="K25" s="282">
        <v>0</v>
      </c>
      <c r="L25" s="282">
        <v>0</v>
      </c>
      <c r="M25" s="282">
        <v>1</v>
      </c>
      <c r="N25" s="282">
        <f t="shared" si="1"/>
        <v>1</v>
      </c>
      <c r="O25" s="281">
        <v>0</v>
      </c>
      <c r="P25" s="282">
        <v>0</v>
      </c>
      <c r="Q25" s="282">
        <v>1</v>
      </c>
      <c r="R25" s="282">
        <v>0</v>
      </c>
      <c r="S25" s="283">
        <f t="shared" si="0"/>
        <v>10</v>
      </c>
      <c r="T25" s="284">
        <v>0</v>
      </c>
      <c r="U25" s="281">
        <v>124</v>
      </c>
      <c r="V25" s="281">
        <v>1</v>
      </c>
      <c r="W25" s="282">
        <v>0</v>
      </c>
      <c r="X25" s="282">
        <v>0</v>
      </c>
      <c r="Y25" s="283">
        <v>0</v>
      </c>
      <c r="Z25" s="281">
        <v>0</v>
      </c>
      <c r="AA25" s="282">
        <v>0</v>
      </c>
      <c r="AB25" s="283">
        <v>0</v>
      </c>
      <c r="AC25" s="281">
        <v>1</v>
      </c>
      <c r="AD25" s="282">
        <v>0</v>
      </c>
      <c r="AE25" s="282">
        <v>1</v>
      </c>
      <c r="AF25" s="282">
        <v>0</v>
      </c>
      <c r="AG25" s="284"/>
      <c r="AH25" s="284"/>
      <c r="AI25" s="284"/>
      <c r="AJ25" s="281"/>
      <c r="AK25" s="284"/>
      <c r="AL25" s="281">
        <v>84</v>
      </c>
      <c r="AM25" s="282"/>
      <c r="AN25" s="282"/>
      <c r="AO25" s="282">
        <v>82</v>
      </c>
      <c r="AP25" s="283"/>
      <c r="AQ25" s="282"/>
      <c r="AR25" s="284">
        <v>2</v>
      </c>
    </row>
    <row r="26" spans="1:44">
      <c r="A26" s="285" t="s">
        <v>320</v>
      </c>
      <c r="B26" s="304">
        <v>83.86</v>
      </c>
      <c r="C26" s="305">
        <v>-1.9466666666666668</v>
      </c>
      <c r="D26" s="283" t="s">
        <v>532</v>
      </c>
      <c r="E26" s="284" t="s">
        <v>801</v>
      </c>
      <c r="F26" s="281">
        <v>1258</v>
      </c>
      <c r="G26" s="282">
        <f>F26/623</f>
        <v>2.0192616372391652</v>
      </c>
      <c r="H26" s="284" t="s">
        <v>331</v>
      </c>
      <c r="I26" s="281">
        <v>0</v>
      </c>
      <c r="J26" s="282">
        <v>0</v>
      </c>
      <c r="K26" s="282">
        <v>1</v>
      </c>
      <c r="L26" s="282">
        <v>0</v>
      </c>
      <c r="M26" s="282">
        <v>0</v>
      </c>
      <c r="N26" s="282">
        <f t="shared" si="1"/>
        <v>100</v>
      </c>
      <c r="O26" s="281">
        <v>0</v>
      </c>
      <c r="P26" s="282">
        <v>0</v>
      </c>
      <c r="Q26" s="282">
        <v>0</v>
      </c>
      <c r="R26" s="282">
        <v>1</v>
      </c>
      <c r="S26" s="283">
        <f t="shared" si="0"/>
        <v>1</v>
      </c>
      <c r="T26" s="284">
        <v>0</v>
      </c>
      <c r="U26" s="281">
        <v>125</v>
      </c>
      <c r="V26" s="281">
        <v>1</v>
      </c>
      <c r="W26" s="282">
        <v>1</v>
      </c>
      <c r="X26" s="282">
        <v>0</v>
      </c>
      <c r="Y26" s="283">
        <v>0</v>
      </c>
      <c r="Z26" s="281">
        <v>0</v>
      </c>
      <c r="AA26" s="282">
        <v>0</v>
      </c>
      <c r="AB26" s="283">
        <v>0</v>
      </c>
      <c r="AC26" s="281">
        <v>1</v>
      </c>
      <c r="AD26" s="282">
        <v>1</v>
      </c>
      <c r="AE26" s="282">
        <v>1</v>
      </c>
      <c r="AF26" s="282">
        <v>0</v>
      </c>
      <c r="AG26" s="284">
        <v>82</v>
      </c>
      <c r="AH26" s="284"/>
      <c r="AI26" s="284">
        <v>81</v>
      </c>
      <c r="AJ26" s="281"/>
      <c r="AK26" s="284"/>
      <c r="AL26" s="281"/>
      <c r="AM26" s="282"/>
      <c r="AN26" s="282"/>
      <c r="AO26" s="282"/>
      <c r="AP26" s="283"/>
      <c r="AQ26" s="282"/>
      <c r="AR26" s="284"/>
    </row>
    <row r="27" spans="1:44">
      <c r="A27" s="285" t="s">
        <v>320</v>
      </c>
      <c r="B27" s="304">
        <v>83.86</v>
      </c>
      <c r="C27" s="305">
        <v>-1.9466666666666668</v>
      </c>
      <c r="D27" s="283" t="s">
        <v>534</v>
      </c>
      <c r="E27" s="284" t="s">
        <v>774</v>
      </c>
      <c r="F27" s="281">
        <v>1726</v>
      </c>
      <c r="G27" s="282">
        <f>F27/1080</f>
        <v>1.5981481481481481</v>
      </c>
      <c r="H27" s="284" t="s">
        <v>331</v>
      </c>
      <c r="I27" s="281">
        <v>1</v>
      </c>
      <c r="J27" s="282">
        <v>0</v>
      </c>
      <c r="K27" s="282">
        <v>0</v>
      </c>
      <c r="L27" s="282">
        <v>0</v>
      </c>
      <c r="M27" s="282">
        <v>1</v>
      </c>
      <c r="N27" s="282">
        <f t="shared" si="1"/>
        <v>10001</v>
      </c>
      <c r="O27" s="281">
        <v>0</v>
      </c>
      <c r="P27" s="282">
        <v>0</v>
      </c>
      <c r="Q27" s="282">
        <v>1</v>
      </c>
      <c r="R27" s="282">
        <v>0</v>
      </c>
      <c r="S27" s="283">
        <f t="shared" si="0"/>
        <v>10</v>
      </c>
      <c r="T27" s="284">
        <v>1</v>
      </c>
      <c r="U27" s="281">
        <v>100</v>
      </c>
      <c r="V27" s="281">
        <v>1</v>
      </c>
      <c r="W27" s="282">
        <v>0</v>
      </c>
      <c r="X27" s="282">
        <v>0</v>
      </c>
      <c r="Y27" s="283">
        <v>0</v>
      </c>
      <c r="Z27" s="281">
        <v>0</v>
      </c>
      <c r="AA27" s="282">
        <v>0</v>
      </c>
      <c r="AB27" s="283">
        <v>0</v>
      </c>
      <c r="AC27" s="281">
        <v>1</v>
      </c>
      <c r="AD27" s="282">
        <v>1</v>
      </c>
      <c r="AE27" s="282">
        <v>1</v>
      </c>
      <c r="AF27" s="282">
        <v>0</v>
      </c>
      <c r="AG27" s="284">
        <v>83</v>
      </c>
      <c r="AH27" s="284"/>
      <c r="AI27" s="284"/>
      <c r="AJ27" s="281"/>
      <c r="AK27" s="284"/>
      <c r="AL27" s="281">
        <v>85</v>
      </c>
      <c r="AM27" s="282"/>
      <c r="AN27" s="282">
        <v>84</v>
      </c>
      <c r="AO27" s="282"/>
      <c r="AP27" s="283"/>
      <c r="AQ27" s="282">
        <f>AL27-AN27</f>
        <v>1</v>
      </c>
      <c r="AR27" s="284">
        <v>1</v>
      </c>
    </row>
    <row r="28" spans="1:44">
      <c r="A28" s="285" t="s">
        <v>320</v>
      </c>
      <c r="B28" s="304">
        <v>83.86</v>
      </c>
      <c r="C28" s="305">
        <v>-1.9466666666666668</v>
      </c>
      <c r="D28" s="283" t="s">
        <v>534</v>
      </c>
      <c r="E28" s="284" t="s">
        <v>802</v>
      </c>
      <c r="F28" s="281">
        <v>932</v>
      </c>
      <c r="G28" s="282">
        <f>F28/519</f>
        <v>1.7957610789980731</v>
      </c>
      <c r="H28" s="284" t="s">
        <v>331</v>
      </c>
      <c r="I28" s="281">
        <v>1</v>
      </c>
      <c r="J28" s="282">
        <v>0</v>
      </c>
      <c r="K28" s="282">
        <v>0</v>
      </c>
      <c r="L28" s="282">
        <v>0</v>
      </c>
      <c r="M28" s="282">
        <v>1</v>
      </c>
      <c r="N28" s="282">
        <f t="shared" si="1"/>
        <v>10001</v>
      </c>
      <c r="O28" s="281">
        <v>0</v>
      </c>
      <c r="P28" s="282">
        <v>0</v>
      </c>
      <c r="Q28" s="282">
        <v>1</v>
      </c>
      <c r="R28" s="282">
        <v>0</v>
      </c>
      <c r="S28" s="283">
        <f t="shared" si="0"/>
        <v>10</v>
      </c>
      <c r="T28" s="284">
        <v>1</v>
      </c>
      <c r="U28" s="281">
        <v>94</v>
      </c>
      <c r="V28" s="281">
        <v>1</v>
      </c>
      <c r="W28" s="282">
        <v>1</v>
      </c>
      <c r="X28" s="282">
        <v>1</v>
      </c>
      <c r="Y28" s="283">
        <v>0</v>
      </c>
      <c r="Z28" s="281">
        <v>0</v>
      </c>
      <c r="AA28" s="282">
        <v>0</v>
      </c>
      <c r="AB28" s="283">
        <v>0</v>
      </c>
      <c r="AC28" s="281">
        <v>1</v>
      </c>
      <c r="AD28" s="282">
        <v>1</v>
      </c>
      <c r="AE28" s="282">
        <v>1</v>
      </c>
      <c r="AF28" s="282">
        <v>0</v>
      </c>
      <c r="AG28" s="284"/>
      <c r="AH28" s="284"/>
      <c r="AI28" s="284"/>
      <c r="AJ28" s="281"/>
      <c r="AK28" s="284"/>
      <c r="AL28" s="281">
        <v>84</v>
      </c>
      <c r="AM28" s="282"/>
      <c r="AN28" s="282">
        <v>85</v>
      </c>
      <c r="AO28" s="282"/>
      <c r="AP28" s="283"/>
      <c r="AQ28" s="282">
        <f>AL28-AN28</f>
        <v>-1</v>
      </c>
      <c r="AR28" s="284"/>
    </row>
    <row r="29" spans="1:44">
      <c r="A29" s="285" t="s">
        <v>320</v>
      </c>
      <c r="B29" s="304">
        <v>83.86</v>
      </c>
      <c r="C29" s="305">
        <v>-1.9466666666666668</v>
      </c>
      <c r="D29" s="283" t="s">
        <v>534</v>
      </c>
      <c r="E29" s="284" t="s">
        <v>803</v>
      </c>
      <c r="F29" s="281">
        <v>1036</v>
      </c>
      <c r="G29" s="282">
        <f>F29/543</f>
        <v>1.9079189686924494</v>
      </c>
      <c r="H29" s="284" t="s">
        <v>331</v>
      </c>
      <c r="I29" s="281">
        <v>1</v>
      </c>
      <c r="J29" s="282">
        <v>0</v>
      </c>
      <c r="K29" s="282">
        <v>0</v>
      </c>
      <c r="L29" s="282">
        <v>0</v>
      </c>
      <c r="M29" s="282">
        <v>0</v>
      </c>
      <c r="N29" s="282">
        <f t="shared" si="1"/>
        <v>10000</v>
      </c>
      <c r="O29" s="281">
        <v>0</v>
      </c>
      <c r="P29" s="282">
        <v>0</v>
      </c>
      <c r="Q29" s="282">
        <v>1</v>
      </c>
      <c r="R29" s="282">
        <v>0</v>
      </c>
      <c r="S29" s="283">
        <f t="shared" si="0"/>
        <v>10</v>
      </c>
      <c r="T29" s="284">
        <v>1</v>
      </c>
      <c r="U29" s="281">
        <v>94</v>
      </c>
      <c r="V29" s="281">
        <v>1</v>
      </c>
      <c r="W29" s="282">
        <v>1</v>
      </c>
      <c r="X29" s="282">
        <v>1</v>
      </c>
      <c r="Y29" s="283">
        <v>0</v>
      </c>
      <c r="Z29" s="281">
        <v>0</v>
      </c>
      <c r="AA29" s="282">
        <v>0</v>
      </c>
      <c r="AB29" s="283">
        <v>0</v>
      </c>
      <c r="AC29" s="281">
        <v>1</v>
      </c>
      <c r="AD29" s="282">
        <v>1</v>
      </c>
      <c r="AE29" s="282">
        <v>1</v>
      </c>
      <c r="AF29" s="282">
        <v>0</v>
      </c>
      <c r="AG29" s="284">
        <v>83</v>
      </c>
      <c r="AH29" s="284"/>
      <c r="AI29" s="284">
        <v>82</v>
      </c>
      <c r="AJ29" s="281"/>
      <c r="AK29" s="284"/>
      <c r="AL29" s="281"/>
      <c r="AM29" s="282"/>
      <c r="AN29" s="282"/>
      <c r="AO29" s="282"/>
      <c r="AP29" s="283"/>
      <c r="AQ29" s="282"/>
      <c r="AR29" s="284"/>
    </row>
    <row r="30" spans="1:44">
      <c r="A30" s="285" t="s">
        <v>320</v>
      </c>
      <c r="B30" s="304">
        <v>83.86</v>
      </c>
      <c r="C30" s="305">
        <v>-1.9466666666666668</v>
      </c>
      <c r="D30" s="283" t="s">
        <v>534</v>
      </c>
      <c r="E30" s="284" t="s">
        <v>804</v>
      </c>
      <c r="F30" s="281">
        <v>1418</v>
      </c>
      <c r="G30" s="282">
        <f>F30/807</f>
        <v>1.7571251548946716</v>
      </c>
      <c r="H30" s="284" t="s">
        <v>331</v>
      </c>
      <c r="I30" s="281">
        <v>0</v>
      </c>
      <c r="J30" s="282">
        <v>0</v>
      </c>
      <c r="K30" s="282">
        <v>0</v>
      </c>
      <c r="L30" s="282">
        <v>0</v>
      </c>
      <c r="M30" s="282">
        <v>1</v>
      </c>
      <c r="N30" s="282">
        <f t="shared" si="1"/>
        <v>1</v>
      </c>
      <c r="O30" s="281">
        <v>0</v>
      </c>
      <c r="P30" s="282">
        <v>0</v>
      </c>
      <c r="Q30" s="282">
        <v>0</v>
      </c>
      <c r="R30" s="282">
        <v>1</v>
      </c>
      <c r="S30" s="283">
        <f t="shared" si="0"/>
        <v>1</v>
      </c>
      <c r="T30" s="284">
        <v>1</v>
      </c>
      <c r="U30" s="281">
        <v>113</v>
      </c>
      <c r="V30" s="281">
        <v>1</v>
      </c>
      <c r="W30" s="282">
        <v>0</v>
      </c>
      <c r="X30" s="282">
        <v>0</v>
      </c>
      <c r="Y30" s="283">
        <v>0</v>
      </c>
      <c r="Z30" s="281">
        <v>0</v>
      </c>
      <c r="AA30" s="282">
        <v>0</v>
      </c>
      <c r="AB30" s="283">
        <v>0</v>
      </c>
      <c r="AC30" s="281">
        <v>1</v>
      </c>
      <c r="AD30" s="282">
        <v>0</v>
      </c>
      <c r="AE30" s="282">
        <v>1</v>
      </c>
      <c r="AF30" s="282">
        <v>0</v>
      </c>
      <c r="AG30" s="284">
        <v>85</v>
      </c>
      <c r="AH30" s="284"/>
      <c r="AI30" s="284"/>
      <c r="AJ30" s="281"/>
      <c r="AK30" s="284"/>
      <c r="AL30" s="281"/>
      <c r="AM30" s="282"/>
      <c r="AN30" s="282"/>
      <c r="AO30" s="282"/>
      <c r="AP30" s="283"/>
      <c r="AQ30" s="282"/>
      <c r="AR30" s="284"/>
    </row>
    <row r="31" spans="1:44">
      <c r="A31" s="285" t="s">
        <v>320</v>
      </c>
      <c r="B31" s="304">
        <v>83.86</v>
      </c>
      <c r="C31" s="305">
        <v>-1.9466666666666668</v>
      </c>
      <c r="D31" s="283" t="s">
        <v>534</v>
      </c>
      <c r="E31" s="284" t="s">
        <v>805</v>
      </c>
      <c r="F31" s="281">
        <v>376</v>
      </c>
      <c r="G31" s="282">
        <f>F31/275</f>
        <v>1.3672727272727272</v>
      </c>
      <c r="H31" s="284" t="s">
        <v>782</v>
      </c>
      <c r="I31" s="281">
        <v>0</v>
      </c>
      <c r="J31" s="282">
        <v>0</v>
      </c>
      <c r="K31" s="282">
        <v>0</v>
      </c>
      <c r="L31" s="282">
        <v>0</v>
      </c>
      <c r="M31" s="282">
        <v>1</v>
      </c>
      <c r="N31" s="282">
        <f t="shared" si="1"/>
        <v>1</v>
      </c>
      <c r="O31" s="281">
        <v>0</v>
      </c>
      <c r="P31" s="282">
        <v>0</v>
      </c>
      <c r="Q31" s="282">
        <v>1</v>
      </c>
      <c r="R31" s="282">
        <v>0</v>
      </c>
      <c r="S31" s="283">
        <f t="shared" si="0"/>
        <v>10</v>
      </c>
      <c r="T31" s="284">
        <v>0</v>
      </c>
      <c r="U31" s="281">
        <v>113</v>
      </c>
      <c r="V31" s="281">
        <v>0</v>
      </c>
      <c r="W31" s="282">
        <v>0</v>
      </c>
      <c r="X31" s="282">
        <v>0</v>
      </c>
      <c r="Y31" s="283">
        <v>0</v>
      </c>
      <c r="Z31" s="281">
        <v>0</v>
      </c>
      <c r="AA31" s="282">
        <v>0</v>
      </c>
      <c r="AB31" s="283">
        <v>0</v>
      </c>
      <c r="AC31" s="281">
        <v>0</v>
      </c>
      <c r="AD31" s="282">
        <v>0</v>
      </c>
      <c r="AE31" s="282">
        <v>0</v>
      </c>
      <c r="AF31" s="282">
        <v>0</v>
      </c>
      <c r="AG31" s="284"/>
      <c r="AH31" s="284"/>
      <c r="AI31" s="284"/>
      <c r="AJ31" s="281"/>
      <c r="AK31" s="284"/>
      <c r="AL31" s="281">
        <v>85</v>
      </c>
      <c r="AM31" s="282"/>
      <c r="AN31" s="282">
        <v>84</v>
      </c>
      <c r="AO31" s="282"/>
      <c r="AP31" s="283"/>
      <c r="AQ31" s="282">
        <f>AL31-AN31</f>
        <v>1</v>
      </c>
      <c r="AR31" s="284">
        <v>1</v>
      </c>
    </row>
    <row r="32" spans="1:44">
      <c r="A32" s="285" t="s">
        <v>320</v>
      </c>
      <c r="B32" s="304">
        <v>83.86</v>
      </c>
      <c r="C32" s="305">
        <v>-1.9466666666666668</v>
      </c>
      <c r="D32" s="283" t="s">
        <v>531</v>
      </c>
      <c r="E32" s="284" t="s">
        <v>794</v>
      </c>
      <c r="F32" s="281">
        <v>1297</v>
      </c>
      <c r="G32" s="282">
        <f>F32/613</f>
        <v>2.1158238172920063</v>
      </c>
      <c r="H32" s="284" t="s">
        <v>331</v>
      </c>
      <c r="I32" s="281">
        <v>0</v>
      </c>
      <c r="J32" s="282">
        <v>0</v>
      </c>
      <c r="K32" s="282">
        <v>0</v>
      </c>
      <c r="L32" s="282">
        <v>0</v>
      </c>
      <c r="M32" s="282">
        <v>1</v>
      </c>
      <c r="N32" s="282">
        <f t="shared" si="1"/>
        <v>1</v>
      </c>
      <c r="O32" s="281">
        <v>0</v>
      </c>
      <c r="P32" s="282">
        <v>0</v>
      </c>
      <c r="Q32" s="282">
        <v>1</v>
      </c>
      <c r="R32" s="282">
        <v>0</v>
      </c>
      <c r="S32" s="283">
        <f t="shared" si="0"/>
        <v>10</v>
      </c>
      <c r="T32" s="284">
        <v>0</v>
      </c>
      <c r="U32" s="281">
        <v>100</v>
      </c>
      <c r="V32" s="281">
        <v>1</v>
      </c>
      <c r="W32" s="282">
        <v>1</v>
      </c>
      <c r="X32" s="282">
        <v>1</v>
      </c>
      <c r="Y32" s="283">
        <v>0</v>
      </c>
      <c r="Z32" s="281">
        <v>0</v>
      </c>
      <c r="AA32" s="282">
        <v>0</v>
      </c>
      <c r="AB32" s="283">
        <v>0</v>
      </c>
      <c r="AC32" s="281">
        <v>1</v>
      </c>
      <c r="AD32" s="282">
        <v>1</v>
      </c>
      <c r="AE32" s="282">
        <v>1</v>
      </c>
      <c r="AF32" s="282">
        <v>0</v>
      </c>
      <c r="AG32" s="284"/>
      <c r="AH32" s="284"/>
      <c r="AI32" s="284"/>
      <c r="AJ32" s="281"/>
      <c r="AK32" s="284"/>
      <c r="AL32" s="281">
        <v>84</v>
      </c>
      <c r="AM32" s="282"/>
      <c r="AN32" s="282">
        <v>84</v>
      </c>
      <c r="AO32" s="282"/>
      <c r="AP32" s="283"/>
      <c r="AQ32" s="282">
        <f>AL32-AN32</f>
        <v>0</v>
      </c>
      <c r="AR32" s="284">
        <v>0</v>
      </c>
    </row>
    <row r="33" spans="1:44">
      <c r="A33" s="285" t="s">
        <v>320</v>
      </c>
      <c r="B33" s="304">
        <v>83.86</v>
      </c>
      <c r="C33" s="305">
        <v>-1.9466666666666668</v>
      </c>
      <c r="D33" s="283" t="s">
        <v>531</v>
      </c>
      <c r="E33" s="284" t="s">
        <v>795</v>
      </c>
      <c r="F33" s="281">
        <v>479</v>
      </c>
      <c r="G33" s="282">
        <f>F33/414</f>
        <v>1.1570048309178744</v>
      </c>
      <c r="H33" s="284" t="s">
        <v>331</v>
      </c>
      <c r="I33" s="281">
        <v>0</v>
      </c>
      <c r="J33" s="282">
        <v>1</v>
      </c>
      <c r="K33" s="282">
        <v>0</v>
      </c>
      <c r="L33" s="282">
        <v>0</v>
      </c>
      <c r="M33" s="282">
        <v>0</v>
      </c>
      <c r="N33" s="282">
        <f t="shared" si="1"/>
        <v>1000</v>
      </c>
      <c r="O33" s="281">
        <v>0</v>
      </c>
      <c r="P33" s="282">
        <v>0</v>
      </c>
      <c r="Q33" s="282">
        <v>1</v>
      </c>
      <c r="R33" s="282">
        <v>0</v>
      </c>
      <c r="S33" s="283">
        <f t="shared" si="0"/>
        <v>10</v>
      </c>
      <c r="T33" s="284">
        <v>0</v>
      </c>
      <c r="U33" s="281">
        <v>100</v>
      </c>
      <c r="V33" s="281">
        <v>0</v>
      </c>
      <c r="W33" s="282">
        <v>1</v>
      </c>
      <c r="X33" s="282">
        <v>0</v>
      </c>
      <c r="Y33" s="283">
        <v>0</v>
      </c>
      <c r="Z33" s="281">
        <v>0</v>
      </c>
      <c r="AA33" s="282">
        <v>0</v>
      </c>
      <c r="AB33" s="283">
        <v>0</v>
      </c>
      <c r="AC33" s="281">
        <v>1</v>
      </c>
      <c r="AD33" s="282">
        <v>1</v>
      </c>
      <c r="AE33" s="282">
        <v>1</v>
      </c>
      <c r="AF33" s="282">
        <v>0</v>
      </c>
      <c r="AG33" s="284">
        <v>83</v>
      </c>
      <c r="AH33" s="284"/>
      <c r="AI33" s="284"/>
      <c r="AJ33" s="281"/>
      <c r="AK33" s="284"/>
      <c r="AL33" s="281"/>
      <c r="AM33" s="282"/>
      <c r="AN33" s="282"/>
      <c r="AO33" s="282"/>
      <c r="AP33" s="283"/>
      <c r="AQ33" s="282"/>
      <c r="AR33" s="284"/>
    </row>
    <row r="34" spans="1:44">
      <c r="A34" s="285" t="s">
        <v>320</v>
      </c>
      <c r="B34" s="304">
        <v>83.86</v>
      </c>
      <c r="C34" s="305">
        <v>-1.9466666666666668</v>
      </c>
      <c r="D34" s="283" t="s">
        <v>531</v>
      </c>
      <c r="E34" s="284" t="s">
        <v>791</v>
      </c>
      <c r="F34" s="281">
        <v>731</v>
      </c>
      <c r="G34" s="282">
        <f>F34/666</f>
        <v>1.0975975975975976</v>
      </c>
      <c r="H34" s="284" t="s">
        <v>331</v>
      </c>
      <c r="I34" s="281">
        <v>1</v>
      </c>
      <c r="J34" s="282">
        <v>0</v>
      </c>
      <c r="K34" s="282">
        <v>0</v>
      </c>
      <c r="L34" s="282">
        <v>0</v>
      </c>
      <c r="M34" s="282">
        <v>1</v>
      </c>
      <c r="N34" s="282">
        <f t="shared" si="1"/>
        <v>10001</v>
      </c>
      <c r="O34" s="281">
        <v>0</v>
      </c>
      <c r="P34" s="282">
        <v>0</v>
      </c>
      <c r="Q34" s="282">
        <v>0</v>
      </c>
      <c r="R34" s="282">
        <v>1</v>
      </c>
      <c r="S34" s="283">
        <f t="shared" si="0"/>
        <v>1</v>
      </c>
      <c r="T34" s="284">
        <v>1</v>
      </c>
      <c r="U34" s="281">
        <v>102</v>
      </c>
      <c r="V34" s="281">
        <v>1</v>
      </c>
      <c r="W34" s="282">
        <v>0</v>
      </c>
      <c r="X34" s="282">
        <v>0</v>
      </c>
      <c r="Y34" s="283">
        <v>0</v>
      </c>
      <c r="Z34" s="281">
        <v>0</v>
      </c>
      <c r="AA34" s="282">
        <v>0</v>
      </c>
      <c r="AB34" s="283">
        <v>0</v>
      </c>
      <c r="AC34" s="281">
        <v>1</v>
      </c>
      <c r="AD34" s="282">
        <v>1</v>
      </c>
      <c r="AE34" s="282">
        <v>1</v>
      </c>
      <c r="AF34" s="282">
        <v>0</v>
      </c>
      <c r="AG34" s="284"/>
      <c r="AH34" s="284"/>
      <c r="AI34" s="284"/>
      <c r="AJ34" s="281"/>
      <c r="AK34" s="284"/>
      <c r="AL34" s="281">
        <v>85</v>
      </c>
      <c r="AM34" s="282"/>
      <c r="AN34" s="282">
        <v>85</v>
      </c>
      <c r="AO34" s="282"/>
      <c r="AP34" s="283"/>
      <c r="AQ34" s="282">
        <f>AL34-AN34</f>
        <v>0</v>
      </c>
      <c r="AR34" s="284">
        <v>0</v>
      </c>
    </row>
    <row r="35" spans="1:44">
      <c r="A35" s="285" t="s">
        <v>320</v>
      </c>
      <c r="B35" s="304">
        <v>83.86</v>
      </c>
      <c r="C35" s="305">
        <v>-1.9466666666666668</v>
      </c>
      <c r="D35" s="283" t="s">
        <v>531</v>
      </c>
      <c r="E35" s="284" t="s">
        <v>792</v>
      </c>
      <c r="F35" s="281">
        <v>313</v>
      </c>
      <c r="G35" s="282">
        <f>F35/278</f>
        <v>1.1258992805755397</v>
      </c>
      <c r="H35" s="284" t="s">
        <v>331</v>
      </c>
      <c r="I35" s="281">
        <v>0</v>
      </c>
      <c r="J35" s="282">
        <v>1</v>
      </c>
      <c r="K35" s="282">
        <v>0</v>
      </c>
      <c r="L35" s="282">
        <v>0</v>
      </c>
      <c r="M35" s="282">
        <v>0</v>
      </c>
      <c r="N35" s="282">
        <f t="shared" si="1"/>
        <v>1000</v>
      </c>
      <c r="O35" s="281">
        <v>0</v>
      </c>
      <c r="P35" s="282">
        <v>0</v>
      </c>
      <c r="Q35" s="282">
        <v>1</v>
      </c>
      <c r="R35" s="282">
        <v>0</v>
      </c>
      <c r="S35" s="283">
        <f t="shared" si="0"/>
        <v>10</v>
      </c>
      <c r="T35" s="284">
        <v>1</v>
      </c>
      <c r="U35" s="281">
        <v>102</v>
      </c>
      <c r="V35" s="281">
        <v>1</v>
      </c>
      <c r="W35" s="282">
        <v>1</v>
      </c>
      <c r="X35" s="282">
        <v>0</v>
      </c>
      <c r="Y35" s="283">
        <v>0</v>
      </c>
      <c r="Z35" s="281">
        <v>0</v>
      </c>
      <c r="AA35" s="282">
        <v>0</v>
      </c>
      <c r="AB35" s="283">
        <v>0</v>
      </c>
      <c r="AC35" s="281">
        <v>1</v>
      </c>
      <c r="AD35" s="282">
        <v>1</v>
      </c>
      <c r="AE35" s="282">
        <v>1</v>
      </c>
      <c r="AF35" s="282">
        <v>0</v>
      </c>
      <c r="AG35" s="284">
        <v>85</v>
      </c>
      <c r="AH35" s="284"/>
      <c r="AI35" s="284">
        <v>83</v>
      </c>
      <c r="AJ35" s="281"/>
      <c r="AK35" s="284"/>
      <c r="AL35" s="281"/>
      <c r="AM35" s="282"/>
      <c r="AN35" s="282"/>
      <c r="AO35" s="282"/>
      <c r="AP35" s="283"/>
      <c r="AQ35" s="282"/>
      <c r="AR35" s="284"/>
    </row>
    <row r="36" spans="1:44">
      <c r="A36" s="285" t="s">
        <v>320</v>
      </c>
      <c r="B36" s="304">
        <v>83.86</v>
      </c>
      <c r="C36" s="305">
        <v>-1.9466666666666668</v>
      </c>
      <c r="D36" s="283" t="s">
        <v>531</v>
      </c>
      <c r="E36" s="284" t="s">
        <v>793</v>
      </c>
      <c r="F36" s="281">
        <v>1530</v>
      </c>
      <c r="G36" s="282">
        <f>F36/1105</f>
        <v>1.3846153846153846</v>
      </c>
      <c r="H36" s="284" t="s">
        <v>331</v>
      </c>
      <c r="I36" s="281">
        <v>1</v>
      </c>
      <c r="J36" s="282">
        <v>0</v>
      </c>
      <c r="K36" s="282">
        <v>0</v>
      </c>
      <c r="L36" s="282">
        <v>0</v>
      </c>
      <c r="M36" s="282">
        <v>1</v>
      </c>
      <c r="N36" s="282">
        <f t="shared" si="1"/>
        <v>10001</v>
      </c>
      <c r="O36" s="281">
        <v>0</v>
      </c>
      <c r="P36" s="282">
        <v>0</v>
      </c>
      <c r="Q36" s="282">
        <v>1</v>
      </c>
      <c r="R36" s="282">
        <v>0</v>
      </c>
      <c r="S36" s="283">
        <f t="shared" ref="S36:S67" si="2">SUM((O36*1000)+(P36*100)+(Q36*10)+(R36*1))</f>
        <v>10</v>
      </c>
      <c r="T36" s="284">
        <v>0</v>
      </c>
      <c r="U36" s="281">
        <v>102</v>
      </c>
      <c r="V36" s="281">
        <v>1</v>
      </c>
      <c r="W36" s="282">
        <v>1</v>
      </c>
      <c r="X36" s="282">
        <v>0</v>
      </c>
      <c r="Y36" s="283">
        <v>0</v>
      </c>
      <c r="Z36" s="281">
        <v>0</v>
      </c>
      <c r="AA36" s="282">
        <v>0</v>
      </c>
      <c r="AB36" s="283">
        <v>0</v>
      </c>
      <c r="AC36" s="281">
        <v>1</v>
      </c>
      <c r="AD36" s="282">
        <v>1</v>
      </c>
      <c r="AE36" s="282">
        <v>1</v>
      </c>
      <c r="AF36" s="282">
        <v>0</v>
      </c>
      <c r="AG36" s="284"/>
      <c r="AH36" s="284"/>
      <c r="AI36" s="284"/>
      <c r="AJ36" s="281"/>
      <c r="AK36" s="284"/>
      <c r="AL36" s="281">
        <v>83</v>
      </c>
      <c r="AM36" s="282">
        <v>85</v>
      </c>
      <c r="AN36" s="282"/>
      <c r="AO36" s="282">
        <v>84</v>
      </c>
      <c r="AP36" s="283"/>
      <c r="AQ36" s="282"/>
      <c r="AR36" s="284">
        <v>1</v>
      </c>
    </row>
    <row r="37" spans="1:44">
      <c r="A37" s="285" t="s">
        <v>320</v>
      </c>
      <c r="B37" s="304">
        <v>83.86</v>
      </c>
      <c r="C37" s="305">
        <v>-1.9466666666666668</v>
      </c>
      <c r="D37" s="283" t="s">
        <v>531</v>
      </c>
      <c r="E37" s="284" t="s">
        <v>806</v>
      </c>
      <c r="F37" s="281">
        <v>1029</v>
      </c>
      <c r="G37" s="282">
        <f>F37/783</f>
        <v>1.314176245210728</v>
      </c>
      <c r="H37" s="284" t="s">
        <v>331</v>
      </c>
      <c r="I37" s="281">
        <v>1</v>
      </c>
      <c r="J37" s="282">
        <v>1</v>
      </c>
      <c r="K37" s="282">
        <v>0</v>
      </c>
      <c r="L37" s="282">
        <v>0</v>
      </c>
      <c r="M37" s="282">
        <v>0</v>
      </c>
      <c r="N37" s="282">
        <f t="shared" si="1"/>
        <v>11000</v>
      </c>
      <c r="O37" s="281">
        <v>0</v>
      </c>
      <c r="P37" s="282">
        <v>0</v>
      </c>
      <c r="Q37" s="282">
        <v>1</v>
      </c>
      <c r="R37" s="282">
        <v>0</v>
      </c>
      <c r="S37" s="283">
        <f t="shared" si="2"/>
        <v>10</v>
      </c>
      <c r="T37" s="284">
        <v>0</v>
      </c>
      <c r="U37" s="281">
        <v>102</v>
      </c>
      <c r="V37" s="281">
        <v>1</v>
      </c>
      <c r="W37" s="282">
        <v>0</v>
      </c>
      <c r="X37" s="282">
        <v>0</v>
      </c>
      <c r="Y37" s="283">
        <v>0</v>
      </c>
      <c r="Z37" s="281">
        <v>0</v>
      </c>
      <c r="AA37" s="282">
        <v>0</v>
      </c>
      <c r="AB37" s="283">
        <v>0</v>
      </c>
      <c r="AC37" s="281">
        <v>1</v>
      </c>
      <c r="AD37" s="282">
        <v>1</v>
      </c>
      <c r="AE37" s="282">
        <v>1</v>
      </c>
      <c r="AF37" s="282">
        <v>0</v>
      </c>
      <c r="AG37" s="284">
        <v>85</v>
      </c>
      <c r="AH37" s="284"/>
      <c r="AI37" s="284">
        <v>85</v>
      </c>
      <c r="AJ37" s="281"/>
      <c r="AK37" s="284"/>
      <c r="AL37" s="281"/>
      <c r="AM37" s="282"/>
      <c r="AN37" s="282"/>
      <c r="AO37" s="282"/>
      <c r="AP37" s="283"/>
      <c r="AQ37" s="282"/>
      <c r="AR37" s="284"/>
    </row>
    <row r="38" spans="1:44">
      <c r="A38" s="285" t="s">
        <v>320</v>
      </c>
      <c r="B38" s="304">
        <v>83.86</v>
      </c>
      <c r="C38" s="305">
        <v>-1.9466666666666668</v>
      </c>
      <c r="D38" s="283" t="s">
        <v>531</v>
      </c>
      <c r="E38" s="284" t="s">
        <v>807</v>
      </c>
      <c r="F38" s="281">
        <v>1026</v>
      </c>
      <c r="G38" s="282">
        <f>F38/951</f>
        <v>1.0788643533123028</v>
      </c>
      <c r="H38" s="284" t="s">
        <v>331</v>
      </c>
      <c r="I38" s="281">
        <v>1</v>
      </c>
      <c r="J38" s="282">
        <v>1</v>
      </c>
      <c r="K38" s="282">
        <v>0</v>
      </c>
      <c r="L38" s="282">
        <v>0</v>
      </c>
      <c r="M38" s="282">
        <v>0</v>
      </c>
      <c r="N38" s="282">
        <f t="shared" si="1"/>
        <v>11000</v>
      </c>
      <c r="O38" s="281">
        <v>0</v>
      </c>
      <c r="P38" s="282">
        <v>0</v>
      </c>
      <c r="Q38" s="282">
        <v>1</v>
      </c>
      <c r="R38" s="282">
        <v>0</v>
      </c>
      <c r="S38" s="283">
        <f t="shared" si="2"/>
        <v>10</v>
      </c>
      <c r="T38" s="284">
        <v>1</v>
      </c>
      <c r="U38" s="281">
        <v>102</v>
      </c>
      <c r="V38" s="281">
        <v>1</v>
      </c>
      <c r="W38" s="282">
        <v>0</v>
      </c>
      <c r="X38" s="282">
        <v>0</v>
      </c>
      <c r="Y38" s="283">
        <v>0</v>
      </c>
      <c r="Z38" s="281">
        <v>0</v>
      </c>
      <c r="AA38" s="282">
        <v>0</v>
      </c>
      <c r="AB38" s="283">
        <v>0</v>
      </c>
      <c r="AC38" s="281">
        <v>1</v>
      </c>
      <c r="AD38" s="282">
        <v>1</v>
      </c>
      <c r="AE38" s="282">
        <v>1</v>
      </c>
      <c r="AF38" s="282">
        <v>0</v>
      </c>
      <c r="AG38" s="284">
        <v>84</v>
      </c>
      <c r="AH38" s="284"/>
      <c r="AI38" s="284">
        <v>83</v>
      </c>
      <c r="AJ38" s="281"/>
      <c r="AK38" s="284"/>
      <c r="AL38" s="281"/>
      <c r="AM38" s="282"/>
      <c r="AN38" s="282"/>
      <c r="AO38" s="282"/>
      <c r="AP38" s="283"/>
      <c r="AQ38" s="282"/>
      <c r="AR38" s="284"/>
    </row>
    <row r="39" spans="1:44">
      <c r="A39" s="285" t="s">
        <v>320</v>
      </c>
      <c r="B39" s="304">
        <v>83.86</v>
      </c>
      <c r="C39" s="305">
        <v>-1.9466666666666668</v>
      </c>
      <c r="D39" s="283" t="s">
        <v>529</v>
      </c>
      <c r="E39" s="284" t="s">
        <v>808</v>
      </c>
      <c r="F39" s="281">
        <v>389</v>
      </c>
      <c r="G39" s="282">
        <f>F39/367</f>
        <v>1.0599455040871935</v>
      </c>
      <c r="H39" s="284" t="s">
        <v>331</v>
      </c>
      <c r="I39" s="281">
        <v>0</v>
      </c>
      <c r="J39" s="282">
        <v>0</v>
      </c>
      <c r="K39" s="282">
        <v>0</v>
      </c>
      <c r="L39" s="282">
        <v>0</v>
      </c>
      <c r="M39" s="282">
        <v>1</v>
      </c>
      <c r="N39" s="282">
        <f t="shared" si="1"/>
        <v>1</v>
      </c>
      <c r="O39" s="281">
        <v>0</v>
      </c>
      <c r="P39" s="282">
        <v>0</v>
      </c>
      <c r="Q39" s="282">
        <v>1</v>
      </c>
      <c r="R39" s="282">
        <v>0</v>
      </c>
      <c r="S39" s="283">
        <f t="shared" si="2"/>
        <v>10</v>
      </c>
      <c r="T39" s="284">
        <v>1</v>
      </c>
      <c r="U39" s="281">
        <v>98</v>
      </c>
      <c r="V39" s="281">
        <v>1</v>
      </c>
      <c r="W39" s="282">
        <v>0</v>
      </c>
      <c r="X39" s="282">
        <v>1</v>
      </c>
      <c r="Y39" s="283">
        <v>0</v>
      </c>
      <c r="Z39" s="281">
        <v>0</v>
      </c>
      <c r="AA39" s="282">
        <v>0</v>
      </c>
      <c r="AB39" s="283">
        <v>0</v>
      </c>
      <c r="AC39" s="281">
        <v>1</v>
      </c>
      <c r="AD39" s="282">
        <v>0</v>
      </c>
      <c r="AE39" s="282">
        <v>1</v>
      </c>
      <c r="AF39" s="282">
        <v>0</v>
      </c>
      <c r="AG39" s="284"/>
      <c r="AH39" s="284"/>
      <c r="AI39" s="284"/>
      <c r="AJ39" s="281"/>
      <c r="AK39" s="284"/>
      <c r="AL39" s="281">
        <v>85</v>
      </c>
      <c r="AM39" s="282"/>
      <c r="AN39" s="282"/>
      <c r="AO39" s="282"/>
      <c r="AP39" s="283"/>
      <c r="AQ39" s="282"/>
      <c r="AR39" s="284"/>
    </row>
    <row r="40" spans="1:44">
      <c r="A40" s="285" t="s">
        <v>320</v>
      </c>
      <c r="B40" s="304">
        <v>83.86</v>
      </c>
      <c r="C40" s="305">
        <v>-1.9466666666666668</v>
      </c>
      <c r="D40" s="283" t="s">
        <v>529</v>
      </c>
      <c r="E40" s="284" t="s">
        <v>809</v>
      </c>
      <c r="F40" s="281">
        <v>360</v>
      </c>
      <c r="G40" s="282">
        <f>F40/290</f>
        <v>1.2413793103448276</v>
      </c>
      <c r="H40" s="284" t="s">
        <v>331</v>
      </c>
      <c r="I40" s="281">
        <v>0</v>
      </c>
      <c r="J40" s="282">
        <v>0</v>
      </c>
      <c r="K40" s="282">
        <v>1</v>
      </c>
      <c r="L40" s="282">
        <v>0</v>
      </c>
      <c r="M40" s="282">
        <v>0</v>
      </c>
      <c r="N40" s="282">
        <f t="shared" si="1"/>
        <v>100</v>
      </c>
      <c r="O40" s="281">
        <v>0</v>
      </c>
      <c r="P40" s="282">
        <v>0</v>
      </c>
      <c r="Q40" s="282">
        <v>1</v>
      </c>
      <c r="R40" s="282">
        <v>0</v>
      </c>
      <c r="S40" s="283">
        <f t="shared" si="2"/>
        <v>10</v>
      </c>
      <c r="T40" s="284">
        <v>1</v>
      </c>
      <c r="U40" s="281">
        <v>98</v>
      </c>
      <c r="V40" s="281">
        <v>1</v>
      </c>
      <c r="W40" s="282">
        <v>0</v>
      </c>
      <c r="X40" s="282">
        <v>1</v>
      </c>
      <c r="Y40" s="283">
        <v>0</v>
      </c>
      <c r="Z40" s="281">
        <v>0</v>
      </c>
      <c r="AA40" s="282">
        <v>0</v>
      </c>
      <c r="AB40" s="283">
        <v>0</v>
      </c>
      <c r="AC40" s="281">
        <v>1</v>
      </c>
      <c r="AD40" s="282">
        <v>0</v>
      </c>
      <c r="AE40" s="282">
        <v>1</v>
      </c>
      <c r="AF40" s="282">
        <v>0</v>
      </c>
      <c r="AG40" s="284"/>
      <c r="AH40" s="284"/>
      <c r="AI40" s="288">
        <v>82</v>
      </c>
      <c r="AJ40" s="281"/>
      <c r="AK40" s="284"/>
      <c r="AL40" s="281"/>
      <c r="AM40" s="282"/>
      <c r="AN40" s="282"/>
      <c r="AO40" s="282"/>
      <c r="AP40" s="283"/>
      <c r="AQ40" s="282"/>
      <c r="AR40" s="284"/>
    </row>
    <row r="41" spans="1:44">
      <c r="A41" s="285" t="s">
        <v>320</v>
      </c>
      <c r="B41" s="304">
        <v>83.86</v>
      </c>
      <c r="C41" s="305">
        <v>-1.9466666666666668</v>
      </c>
      <c r="D41" s="283" t="s">
        <v>810</v>
      </c>
      <c r="E41" s="284" t="s">
        <v>811</v>
      </c>
      <c r="F41" s="281">
        <v>975</v>
      </c>
      <c r="G41" s="282">
        <f>F41/636</f>
        <v>1.5330188679245282</v>
      </c>
      <c r="H41" s="284" t="s">
        <v>331</v>
      </c>
      <c r="I41" s="281">
        <v>0</v>
      </c>
      <c r="J41" s="282">
        <v>1</v>
      </c>
      <c r="K41" s="282">
        <v>0</v>
      </c>
      <c r="L41" s="282">
        <v>0</v>
      </c>
      <c r="M41" s="282">
        <v>0</v>
      </c>
      <c r="N41" s="282">
        <f t="shared" si="1"/>
        <v>1000</v>
      </c>
      <c r="O41" s="281">
        <v>0</v>
      </c>
      <c r="P41" s="282">
        <v>0</v>
      </c>
      <c r="Q41" s="282">
        <v>0</v>
      </c>
      <c r="R41" s="282">
        <v>1</v>
      </c>
      <c r="S41" s="283">
        <f t="shared" si="2"/>
        <v>1</v>
      </c>
      <c r="T41" s="284">
        <v>1</v>
      </c>
      <c r="U41" s="281">
        <v>124</v>
      </c>
      <c r="V41" s="281">
        <v>1</v>
      </c>
      <c r="W41" s="282">
        <v>0</v>
      </c>
      <c r="X41" s="282">
        <v>0</v>
      </c>
      <c r="Y41" s="283">
        <v>0</v>
      </c>
      <c r="Z41" s="281">
        <v>0</v>
      </c>
      <c r="AA41" s="282">
        <v>0</v>
      </c>
      <c r="AB41" s="283">
        <v>0</v>
      </c>
      <c r="AC41" s="281">
        <v>1</v>
      </c>
      <c r="AD41" s="282">
        <v>1</v>
      </c>
      <c r="AE41" s="282">
        <v>1</v>
      </c>
      <c r="AF41" s="282">
        <v>0</v>
      </c>
      <c r="AG41" s="284">
        <v>84</v>
      </c>
      <c r="AH41" s="284"/>
      <c r="AI41" s="284">
        <v>84</v>
      </c>
      <c r="AJ41" s="281"/>
      <c r="AK41" s="284"/>
      <c r="AL41" s="281"/>
      <c r="AM41" s="282"/>
      <c r="AN41" s="282"/>
      <c r="AO41" s="282"/>
      <c r="AP41" s="283"/>
      <c r="AQ41" s="282"/>
      <c r="AR41" s="284"/>
    </row>
    <row r="42" spans="1:44">
      <c r="A42" s="285" t="s">
        <v>320</v>
      </c>
      <c r="B42" s="304">
        <v>83.86</v>
      </c>
      <c r="C42" s="305">
        <v>-1.9466666666666668</v>
      </c>
      <c r="D42" s="283" t="s">
        <v>810</v>
      </c>
      <c r="E42" s="284" t="s">
        <v>812</v>
      </c>
      <c r="F42" s="281">
        <v>722</v>
      </c>
      <c r="G42" s="282">
        <f>F42/450</f>
        <v>1.6044444444444443</v>
      </c>
      <c r="H42" s="284" t="s">
        <v>331</v>
      </c>
      <c r="I42" s="281">
        <v>0</v>
      </c>
      <c r="J42" s="282">
        <v>1</v>
      </c>
      <c r="K42" s="282">
        <v>0</v>
      </c>
      <c r="L42" s="282">
        <v>0</v>
      </c>
      <c r="M42" s="282">
        <v>0</v>
      </c>
      <c r="N42" s="282">
        <f t="shared" si="1"/>
        <v>1000</v>
      </c>
      <c r="O42" s="281">
        <v>0</v>
      </c>
      <c r="P42" s="282">
        <v>0</v>
      </c>
      <c r="Q42" s="282">
        <v>1</v>
      </c>
      <c r="R42" s="282">
        <v>0</v>
      </c>
      <c r="S42" s="283">
        <f t="shared" si="2"/>
        <v>10</v>
      </c>
      <c r="T42" s="284">
        <v>0</v>
      </c>
      <c r="U42" s="281">
        <v>126</v>
      </c>
      <c r="V42" s="281">
        <v>1</v>
      </c>
      <c r="W42" s="282">
        <v>0</v>
      </c>
      <c r="X42" s="282">
        <v>0</v>
      </c>
      <c r="Y42" s="283">
        <v>0</v>
      </c>
      <c r="Z42" s="281">
        <v>0</v>
      </c>
      <c r="AA42" s="282">
        <v>0</v>
      </c>
      <c r="AB42" s="283">
        <v>0</v>
      </c>
      <c r="AC42" s="281">
        <v>1</v>
      </c>
      <c r="AD42" s="282">
        <v>1</v>
      </c>
      <c r="AE42" s="282">
        <v>1</v>
      </c>
      <c r="AF42" s="282">
        <v>0</v>
      </c>
      <c r="AG42" s="284"/>
      <c r="AH42" s="284">
        <v>84</v>
      </c>
      <c r="AI42" s="284">
        <v>86</v>
      </c>
      <c r="AJ42" s="281"/>
      <c r="AK42" s="284"/>
      <c r="AL42" s="281"/>
      <c r="AM42" s="282"/>
      <c r="AN42" s="282"/>
      <c r="AO42" s="282"/>
      <c r="AP42" s="283"/>
      <c r="AQ42" s="282"/>
      <c r="AR42" s="284"/>
    </row>
    <row r="43" spans="1:44">
      <c r="A43" s="285" t="s">
        <v>320</v>
      </c>
      <c r="B43" s="304">
        <v>83.86</v>
      </c>
      <c r="C43" s="305">
        <v>-1.9466666666666668</v>
      </c>
      <c r="D43" s="283" t="s">
        <v>810</v>
      </c>
      <c r="E43" s="284" t="s">
        <v>813</v>
      </c>
      <c r="F43" s="281">
        <v>777</v>
      </c>
      <c r="G43" s="282">
        <f>F43/441</f>
        <v>1.7619047619047619</v>
      </c>
      <c r="H43" s="284" t="s">
        <v>331</v>
      </c>
      <c r="I43" s="281">
        <v>0</v>
      </c>
      <c r="J43" s="282">
        <v>1</v>
      </c>
      <c r="K43" s="282">
        <v>0</v>
      </c>
      <c r="L43" s="282">
        <v>1</v>
      </c>
      <c r="M43" s="282">
        <v>0</v>
      </c>
      <c r="N43" s="282">
        <f t="shared" si="1"/>
        <v>1010</v>
      </c>
      <c r="O43" s="281">
        <v>0</v>
      </c>
      <c r="P43" s="282">
        <v>0</v>
      </c>
      <c r="Q43" s="282">
        <v>0</v>
      </c>
      <c r="R43" s="282">
        <v>1</v>
      </c>
      <c r="S43" s="283">
        <f t="shared" si="2"/>
        <v>1</v>
      </c>
      <c r="T43" s="284">
        <v>0</v>
      </c>
      <c r="U43" s="281">
        <v>126</v>
      </c>
      <c r="V43" s="281">
        <v>1</v>
      </c>
      <c r="W43" s="282">
        <v>0</v>
      </c>
      <c r="X43" s="282">
        <v>0</v>
      </c>
      <c r="Y43" s="283">
        <v>0</v>
      </c>
      <c r="Z43" s="281">
        <v>0</v>
      </c>
      <c r="AA43" s="282">
        <v>0</v>
      </c>
      <c r="AB43" s="283">
        <v>0</v>
      </c>
      <c r="AC43" s="281">
        <v>1</v>
      </c>
      <c r="AD43" s="282">
        <v>1</v>
      </c>
      <c r="AE43" s="282">
        <v>1</v>
      </c>
      <c r="AF43" s="282">
        <v>0</v>
      </c>
      <c r="AG43" s="284">
        <v>84</v>
      </c>
      <c r="AH43" s="284"/>
      <c r="AI43" s="284">
        <v>80</v>
      </c>
      <c r="AJ43" s="281"/>
      <c r="AK43" s="284"/>
      <c r="AL43" s="281"/>
      <c r="AM43" s="282"/>
      <c r="AN43" s="282"/>
      <c r="AO43" s="282"/>
      <c r="AP43" s="283"/>
      <c r="AQ43" s="282"/>
      <c r="AR43" s="284"/>
    </row>
    <row r="44" spans="1:44">
      <c r="A44" s="285" t="s">
        <v>320</v>
      </c>
      <c r="B44" s="304">
        <v>83.86</v>
      </c>
      <c r="C44" s="305">
        <v>-1.9466666666666668</v>
      </c>
      <c r="D44" s="283" t="s">
        <v>810</v>
      </c>
      <c r="E44" s="284" t="s">
        <v>797</v>
      </c>
      <c r="F44" s="281">
        <v>845</v>
      </c>
      <c r="G44" s="282">
        <f>F44/603</f>
        <v>1.4013266998341625</v>
      </c>
      <c r="H44" s="284" t="s">
        <v>331</v>
      </c>
      <c r="I44" s="281">
        <v>0</v>
      </c>
      <c r="J44" s="282">
        <v>1</v>
      </c>
      <c r="K44" s="282">
        <v>1</v>
      </c>
      <c r="L44" s="282">
        <v>0</v>
      </c>
      <c r="M44" s="282">
        <v>0</v>
      </c>
      <c r="N44" s="282">
        <f t="shared" si="1"/>
        <v>1100</v>
      </c>
      <c r="O44" s="281">
        <v>0</v>
      </c>
      <c r="P44" s="282">
        <v>0</v>
      </c>
      <c r="Q44" s="282">
        <v>0</v>
      </c>
      <c r="R44" s="282">
        <v>1</v>
      </c>
      <c r="S44" s="283">
        <f t="shared" si="2"/>
        <v>1</v>
      </c>
      <c r="T44" s="284">
        <v>0</v>
      </c>
      <c r="U44" s="281">
        <v>106</v>
      </c>
      <c r="V44" s="281">
        <v>1</v>
      </c>
      <c r="W44" s="282">
        <v>0</v>
      </c>
      <c r="X44" s="282">
        <v>0</v>
      </c>
      <c r="Y44" s="283">
        <v>0</v>
      </c>
      <c r="Z44" s="281">
        <v>0</v>
      </c>
      <c r="AA44" s="282">
        <v>0</v>
      </c>
      <c r="AB44" s="283">
        <v>0</v>
      </c>
      <c r="AC44" s="281">
        <v>1</v>
      </c>
      <c r="AD44" s="282">
        <v>0</v>
      </c>
      <c r="AE44" s="282">
        <v>1</v>
      </c>
      <c r="AF44" s="282">
        <v>0</v>
      </c>
      <c r="AG44" s="284">
        <v>85</v>
      </c>
      <c r="AH44" s="284"/>
      <c r="AI44" s="284">
        <v>82</v>
      </c>
      <c r="AJ44" s="281"/>
      <c r="AK44" s="284"/>
      <c r="AL44" s="281"/>
      <c r="AM44" s="282"/>
      <c r="AN44" s="282"/>
      <c r="AO44" s="282"/>
      <c r="AP44" s="283"/>
      <c r="AQ44" s="282"/>
      <c r="AR44" s="284"/>
    </row>
    <row r="45" spans="1:44" ht="17" thickBot="1">
      <c r="A45" s="285" t="s">
        <v>320</v>
      </c>
      <c r="B45" s="304">
        <v>83.86</v>
      </c>
      <c r="C45" s="305">
        <v>-1.9466666666666668</v>
      </c>
      <c r="D45" s="283" t="s">
        <v>810</v>
      </c>
      <c r="E45" s="284" t="s">
        <v>814</v>
      </c>
      <c r="F45" s="281">
        <v>788</v>
      </c>
      <c r="G45" s="282">
        <f>F45/712</f>
        <v>1.1067415730337078</v>
      </c>
      <c r="H45" s="284" t="s">
        <v>331</v>
      </c>
      <c r="I45" s="281">
        <v>0</v>
      </c>
      <c r="J45" s="282">
        <v>1</v>
      </c>
      <c r="K45" s="282">
        <v>0</v>
      </c>
      <c r="L45" s="282">
        <v>1</v>
      </c>
      <c r="M45" s="282">
        <v>0</v>
      </c>
      <c r="N45" s="282">
        <f t="shared" si="1"/>
        <v>1010</v>
      </c>
      <c r="O45" s="281">
        <v>0</v>
      </c>
      <c r="P45" s="282">
        <v>0</v>
      </c>
      <c r="Q45" s="282">
        <v>0</v>
      </c>
      <c r="R45" s="282">
        <v>1</v>
      </c>
      <c r="S45" s="283">
        <f t="shared" si="2"/>
        <v>1</v>
      </c>
      <c r="T45" s="284">
        <v>0</v>
      </c>
      <c r="U45" s="281">
        <v>106</v>
      </c>
      <c r="V45" s="281">
        <v>1</v>
      </c>
      <c r="W45" s="282">
        <v>0</v>
      </c>
      <c r="X45" s="282">
        <v>0</v>
      </c>
      <c r="Y45" s="283">
        <v>0</v>
      </c>
      <c r="Z45" s="281">
        <v>0</v>
      </c>
      <c r="AA45" s="282">
        <v>0</v>
      </c>
      <c r="AB45" s="283">
        <v>0</v>
      </c>
      <c r="AC45" s="281">
        <v>1</v>
      </c>
      <c r="AD45" s="282">
        <v>0</v>
      </c>
      <c r="AE45" s="282">
        <v>1</v>
      </c>
      <c r="AF45" s="282">
        <v>0</v>
      </c>
      <c r="AG45" s="284"/>
      <c r="AH45" s="284">
        <v>83</v>
      </c>
      <c r="AI45" s="284"/>
      <c r="AJ45" s="281">
        <v>85</v>
      </c>
      <c r="AK45" s="284"/>
      <c r="AL45" s="281"/>
      <c r="AM45" s="282"/>
      <c r="AN45" s="282"/>
      <c r="AO45" s="282"/>
      <c r="AP45" s="283"/>
      <c r="AQ45" s="282"/>
      <c r="AR45" s="284"/>
    </row>
    <row r="46" spans="1:44">
      <c r="A46" s="276" t="s">
        <v>319</v>
      </c>
      <c r="B46" s="302">
        <v>83.3</v>
      </c>
      <c r="C46" s="303">
        <v>-4.3979999999999997</v>
      </c>
      <c r="D46" s="278" t="s">
        <v>815</v>
      </c>
      <c r="E46" s="279" t="s">
        <v>126</v>
      </c>
      <c r="F46" s="277">
        <v>918</v>
      </c>
      <c r="G46" s="280">
        <f>F46/386</f>
        <v>2.3782383419689119</v>
      </c>
      <c r="H46" s="279" t="s">
        <v>263</v>
      </c>
      <c r="I46" s="277">
        <v>0</v>
      </c>
      <c r="J46" s="280">
        <v>1</v>
      </c>
      <c r="K46" s="280">
        <v>0</v>
      </c>
      <c r="L46" s="280">
        <v>0</v>
      </c>
      <c r="M46" s="280">
        <v>0</v>
      </c>
      <c r="N46" s="280">
        <f t="shared" si="1"/>
        <v>1000</v>
      </c>
      <c r="O46" s="277">
        <v>0</v>
      </c>
      <c r="P46" s="280">
        <v>0</v>
      </c>
      <c r="Q46" s="280">
        <v>0</v>
      </c>
      <c r="R46" s="280">
        <v>1</v>
      </c>
      <c r="S46" s="278">
        <f t="shared" si="2"/>
        <v>1</v>
      </c>
      <c r="T46" s="279">
        <v>1</v>
      </c>
      <c r="U46" s="277">
        <v>145</v>
      </c>
      <c r="V46" s="277">
        <v>1</v>
      </c>
      <c r="W46" s="280">
        <v>0</v>
      </c>
      <c r="X46" s="280">
        <v>0</v>
      </c>
      <c r="Y46" s="278">
        <v>0</v>
      </c>
      <c r="Z46" s="277">
        <v>0</v>
      </c>
      <c r="AA46" s="280">
        <v>0</v>
      </c>
      <c r="AB46" s="278">
        <v>0</v>
      </c>
      <c r="AC46" s="277">
        <v>0</v>
      </c>
      <c r="AD46" s="280">
        <v>0</v>
      </c>
      <c r="AE46" s="280">
        <v>0</v>
      </c>
      <c r="AF46" s="280">
        <v>0</v>
      </c>
      <c r="AG46" s="279"/>
      <c r="AH46" s="279"/>
      <c r="AI46" s="279">
        <v>85</v>
      </c>
      <c r="AJ46" s="277"/>
      <c r="AK46" s="279"/>
      <c r="AL46" s="277"/>
      <c r="AM46" s="280"/>
      <c r="AN46" s="280"/>
      <c r="AO46" s="280"/>
      <c r="AP46" s="278"/>
      <c r="AQ46" s="280"/>
      <c r="AR46" s="279"/>
    </row>
    <row r="47" spans="1:44">
      <c r="A47" s="285" t="s">
        <v>319</v>
      </c>
      <c r="B47" s="304">
        <v>83.3</v>
      </c>
      <c r="C47" s="305">
        <v>-4.3979999999999997</v>
      </c>
      <c r="D47" s="283" t="s">
        <v>815</v>
      </c>
      <c r="E47" s="284" t="s">
        <v>775</v>
      </c>
      <c r="F47" s="281">
        <v>928</v>
      </c>
      <c r="G47" s="282">
        <f>F47/589</f>
        <v>1.5755517826825127</v>
      </c>
      <c r="H47" s="284" t="s">
        <v>331</v>
      </c>
      <c r="I47" s="281">
        <v>0</v>
      </c>
      <c r="J47" s="282">
        <v>0</v>
      </c>
      <c r="K47" s="282">
        <v>0</v>
      </c>
      <c r="L47" s="282">
        <v>5</v>
      </c>
      <c r="M47" s="282">
        <v>0</v>
      </c>
      <c r="N47" s="282">
        <f t="shared" si="1"/>
        <v>50</v>
      </c>
      <c r="O47" s="281">
        <v>0</v>
      </c>
      <c r="P47" s="282">
        <v>0</v>
      </c>
      <c r="Q47" s="282">
        <v>0</v>
      </c>
      <c r="R47" s="282">
        <v>1</v>
      </c>
      <c r="S47" s="283">
        <f t="shared" si="2"/>
        <v>1</v>
      </c>
      <c r="T47" s="284">
        <v>1</v>
      </c>
      <c r="U47" s="281">
        <v>83</v>
      </c>
      <c r="V47" s="281">
        <v>1</v>
      </c>
      <c r="W47" s="282">
        <v>0</v>
      </c>
      <c r="X47" s="282">
        <v>0</v>
      </c>
      <c r="Y47" s="283">
        <v>0</v>
      </c>
      <c r="Z47" s="281">
        <v>0</v>
      </c>
      <c r="AA47" s="282">
        <v>0</v>
      </c>
      <c r="AB47" s="283">
        <v>0</v>
      </c>
      <c r="AC47" s="281">
        <v>1</v>
      </c>
      <c r="AD47" s="282">
        <v>0</v>
      </c>
      <c r="AE47" s="282">
        <v>1</v>
      </c>
      <c r="AF47" s="282">
        <v>0</v>
      </c>
      <c r="AG47" s="284">
        <v>84</v>
      </c>
      <c r="AH47" s="284"/>
      <c r="AI47" s="284"/>
      <c r="AJ47" s="281"/>
      <c r="AK47" s="284"/>
      <c r="AL47" s="281"/>
      <c r="AM47" s="282"/>
      <c r="AN47" s="282"/>
      <c r="AO47" s="282"/>
      <c r="AP47" s="283"/>
      <c r="AQ47" s="282"/>
      <c r="AR47" s="284"/>
    </row>
    <row r="48" spans="1:44">
      <c r="A48" s="285" t="s">
        <v>319</v>
      </c>
      <c r="B48" s="304">
        <v>83.3</v>
      </c>
      <c r="C48" s="305">
        <v>-4.3979999999999997</v>
      </c>
      <c r="D48" s="283" t="s">
        <v>815</v>
      </c>
      <c r="E48" s="284" t="s">
        <v>332</v>
      </c>
      <c r="F48" s="281">
        <v>658</v>
      </c>
      <c r="G48" s="282">
        <f>F48/426</f>
        <v>1.5446009389671362</v>
      </c>
      <c r="H48" s="284" t="s">
        <v>331</v>
      </c>
      <c r="I48" s="281">
        <v>0</v>
      </c>
      <c r="J48" s="282">
        <v>0</v>
      </c>
      <c r="K48" s="282">
        <v>1</v>
      </c>
      <c r="L48" s="282">
        <v>0</v>
      </c>
      <c r="M48" s="282">
        <v>0</v>
      </c>
      <c r="N48" s="282">
        <f t="shared" si="1"/>
        <v>100</v>
      </c>
      <c r="O48" s="281">
        <v>0</v>
      </c>
      <c r="P48" s="282">
        <v>0</v>
      </c>
      <c r="Q48" s="282">
        <v>1</v>
      </c>
      <c r="R48" s="282">
        <v>0</v>
      </c>
      <c r="S48" s="283">
        <f t="shared" si="2"/>
        <v>10</v>
      </c>
      <c r="T48" s="284">
        <v>1</v>
      </c>
      <c r="U48" s="281">
        <v>96</v>
      </c>
      <c r="V48" s="281">
        <v>1</v>
      </c>
      <c r="W48" s="282">
        <v>1</v>
      </c>
      <c r="X48" s="282">
        <v>0</v>
      </c>
      <c r="Y48" s="283">
        <v>0</v>
      </c>
      <c r="Z48" s="281">
        <v>0</v>
      </c>
      <c r="AA48" s="282">
        <v>0</v>
      </c>
      <c r="AB48" s="283">
        <v>0</v>
      </c>
      <c r="AC48" s="281">
        <v>1</v>
      </c>
      <c r="AD48" s="282">
        <v>1</v>
      </c>
      <c r="AE48" s="282">
        <v>1</v>
      </c>
      <c r="AF48" s="282">
        <v>0</v>
      </c>
      <c r="AG48" s="284">
        <v>84</v>
      </c>
      <c r="AH48" s="284"/>
      <c r="AI48" s="284">
        <v>86</v>
      </c>
      <c r="AJ48" s="281"/>
      <c r="AK48" s="284"/>
      <c r="AL48" s="281"/>
      <c r="AM48" s="282"/>
      <c r="AN48" s="282"/>
      <c r="AO48" s="282"/>
      <c r="AP48" s="283"/>
      <c r="AQ48" s="282"/>
      <c r="AR48" s="284"/>
    </row>
    <row r="49" spans="1:44">
      <c r="A49" s="285" t="s">
        <v>319</v>
      </c>
      <c r="B49" s="304">
        <v>83.4255</v>
      </c>
      <c r="C49" s="305">
        <v>-4.4379999999999997</v>
      </c>
      <c r="D49" s="283" t="s">
        <v>816</v>
      </c>
      <c r="E49" s="284" t="s">
        <v>773</v>
      </c>
      <c r="F49" s="281">
        <v>178</v>
      </c>
      <c r="G49" s="282">
        <f>F49/159</f>
        <v>1.1194968553459119</v>
      </c>
      <c r="H49" s="284" t="s">
        <v>263</v>
      </c>
      <c r="I49" s="281">
        <v>0</v>
      </c>
      <c r="J49" s="282">
        <v>0</v>
      </c>
      <c r="K49" s="282">
        <v>0</v>
      </c>
      <c r="L49" s="282">
        <v>0</v>
      </c>
      <c r="M49" s="282">
        <v>0</v>
      </c>
      <c r="N49" s="282">
        <f t="shared" si="1"/>
        <v>0</v>
      </c>
      <c r="O49" s="281">
        <v>0</v>
      </c>
      <c r="P49" s="282">
        <v>0</v>
      </c>
      <c r="Q49" s="282">
        <v>1</v>
      </c>
      <c r="R49" s="282">
        <v>0</v>
      </c>
      <c r="S49" s="283">
        <f t="shared" si="2"/>
        <v>10</v>
      </c>
      <c r="T49" s="284">
        <v>0</v>
      </c>
      <c r="U49" s="281">
        <v>96</v>
      </c>
      <c r="V49" s="281">
        <v>1</v>
      </c>
      <c r="W49" s="282">
        <v>0</v>
      </c>
      <c r="X49" s="282">
        <v>0</v>
      </c>
      <c r="Y49" s="283">
        <v>0</v>
      </c>
      <c r="Z49" s="281">
        <v>0</v>
      </c>
      <c r="AA49" s="282">
        <v>0</v>
      </c>
      <c r="AB49" s="283">
        <v>0</v>
      </c>
      <c r="AC49" s="281">
        <v>0</v>
      </c>
      <c r="AD49" s="282">
        <v>0</v>
      </c>
      <c r="AE49" s="282">
        <v>0</v>
      </c>
      <c r="AF49" s="282">
        <v>0</v>
      </c>
      <c r="AG49" s="284">
        <v>82</v>
      </c>
      <c r="AH49" s="284"/>
      <c r="AI49" s="284"/>
      <c r="AJ49" s="281"/>
      <c r="AK49" s="284"/>
      <c r="AL49" s="281"/>
      <c r="AM49" s="282"/>
      <c r="AN49" s="282"/>
      <c r="AO49" s="282"/>
      <c r="AP49" s="283"/>
      <c r="AQ49" s="282"/>
      <c r="AR49" s="284"/>
    </row>
    <row r="50" spans="1:44">
      <c r="A50" s="285" t="s">
        <v>319</v>
      </c>
      <c r="B50" s="304">
        <v>83.4255</v>
      </c>
      <c r="C50" s="305">
        <v>-4.4379999999999997</v>
      </c>
      <c r="D50" s="283" t="s">
        <v>816</v>
      </c>
      <c r="E50" s="284" t="s">
        <v>61</v>
      </c>
      <c r="F50" s="281">
        <v>505</v>
      </c>
      <c r="G50" s="282">
        <f>F50/392</f>
        <v>1.2882653061224489</v>
      </c>
      <c r="H50" s="284" t="s">
        <v>331</v>
      </c>
      <c r="I50" s="281">
        <v>0</v>
      </c>
      <c r="J50" s="282">
        <v>0</v>
      </c>
      <c r="K50" s="282">
        <v>0</v>
      </c>
      <c r="L50" s="282">
        <v>4</v>
      </c>
      <c r="M50" s="282">
        <v>0</v>
      </c>
      <c r="N50" s="282">
        <f t="shared" si="1"/>
        <v>40</v>
      </c>
      <c r="O50" s="281">
        <v>0</v>
      </c>
      <c r="P50" s="282">
        <v>0</v>
      </c>
      <c r="Q50" s="282">
        <v>0</v>
      </c>
      <c r="R50" s="282">
        <v>1</v>
      </c>
      <c r="S50" s="283">
        <f t="shared" si="2"/>
        <v>1</v>
      </c>
      <c r="T50" s="284">
        <v>1</v>
      </c>
      <c r="U50" s="281">
        <v>101</v>
      </c>
      <c r="V50" s="281">
        <v>1</v>
      </c>
      <c r="W50" s="282">
        <v>0</v>
      </c>
      <c r="X50" s="282">
        <v>0</v>
      </c>
      <c r="Y50" s="283">
        <v>0</v>
      </c>
      <c r="Z50" s="281">
        <v>0</v>
      </c>
      <c r="AA50" s="282">
        <v>0</v>
      </c>
      <c r="AB50" s="283">
        <v>0</v>
      </c>
      <c r="AC50" s="281">
        <v>1</v>
      </c>
      <c r="AD50" s="282">
        <v>0</v>
      </c>
      <c r="AE50" s="282">
        <v>1</v>
      </c>
      <c r="AF50" s="282">
        <v>0</v>
      </c>
      <c r="AG50" s="284"/>
      <c r="AH50" s="284"/>
      <c r="AI50" s="284"/>
      <c r="AJ50" s="281">
        <v>82</v>
      </c>
      <c r="AK50" s="284"/>
      <c r="AL50" s="281"/>
      <c r="AM50" s="282"/>
      <c r="AN50" s="282"/>
      <c r="AO50" s="282"/>
      <c r="AP50" s="283"/>
      <c r="AQ50" s="282"/>
      <c r="AR50" s="284"/>
    </row>
    <row r="51" spans="1:44">
      <c r="A51" s="285" t="s">
        <v>319</v>
      </c>
      <c r="B51" s="304">
        <v>83.4255</v>
      </c>
      <c r="C51" s="305">
        <v>-4.4379999999999997</v>
      </c>
      <c r="D51" s="283" t="s">
        <v>816</v>
      </c>
      <c r="E51" s="284" t="s">
        <v>817</v>
      </c>
      <c r="F51" s="281">
        <v>325</v>
      </c>
      <c r="G51" s="282">
        <f>F51/304</f>
        <v>1.069078947368421</v>
      </c>
      <c r="H51" s="284" t="s">
        <v>331</v>
      </c>
      <c r="I51" s="281">
        <v>1</v>
      </c>
      <c r="J51" s="282">
        <v>0</v>
      </c>
      <c r="K51" s="282">
        <v>0</v>
      </c>
      <c r="L51" s="282">
        <v>0</v>
      </c>
      <c r="M51" s="282">
        <v>0</v>
      </c>
      <c r="N51" s="282">
        <f t="shared" si="1"/>
        <v>10000</v>
      </c>
      <c r="O51" s="281">
        <v>0</v>
      </c>
      <c r="P51" s="282">
        <v>0</v>
      </c>
      <c r="Q51" s="282">
        <v>1</v>
      </c>
      <c r="R51" s="282">
        <v>0</v>
      </c>
      <c r="S51" s="283">
        <f t="shared" si="2"/>
        <v>10</v>
      </c>
      <c r="T51" s="284">
        <v>1</v>
      </c>
      <c r="U51" s="281">
        <v>94</v>
      </c>
      <c r="V51" s="281">
        <v>1</v>
      </c>
      <c r="W51" s="282">
        <v>1</v>
      </c>
      <c r="X51" s="282">
        <v>0</v>
      </c>
      <c r="Y51" s="283">
        <v>0</v>
      </c>
      <c r="Z51" s="281">
        <v>0</v>
      </c>
      <c r="AA51" s="282">
        <v>0</v>
      </c>
      <c r="AB51" s="283">
        <v>0</v>
      </c>
      <c r="AC51" s="281">
        <v>1</v>
      </c>
      <c r="AD51" s="282">
        <v>1</v>
      </c>
      <c r="AE51" s="282">
        <v>1</v>
      </c>
      <c r="AF51" s="282">
        <v>0</v>
      </c>
      <c r="AG51" s="284">
        <v>83</v>
      </c>
      <c r="AH51" s="284"/>
      <c r="AI51" s="284"/>
      <c r="AJ51" s="281"/>
      <c r="AK51" s="284"/>
      <c r="AL51" s="281"/>
      <c r="AM51" s="282"/>
      <c r="AN51" s="282"/>
      <c r="AO51" s="282"/>
      <c r="AP51" s="283"/>
      <c r="AQ51" s="282"/>
      <c r="AR51" s="284"/>
    </row>
    <row r="52" spans="1:44" ht="17" thickBot="1">
      <c r="A52" s="286" t="s">
        <v>319</v>
      </c>
      <c r="B52" s="304">
        <v>83.4255</v>
      </c>
      <c r="C52" s="305">
        <v>-4.4379999999999997</v>
      </c>
      <c r="D52" s="273" t="s">
        <v>816</v>
      </c>
      <c r="E52" s="287" t="s">
        <v>818</v>
      </c>
      <c r="F52" s="274">
        <v>257</v>
      </c>
      <c r="G52" s="272">
        <f>F52/238</f>
        <v>1.0798319327731092</v>
      </c>
      <c r="H52" s="287" t="s">
        <v>331</v>
      </c>
      <c r="I52" s="274">
        <v>1</v>
      </c>
      <c r="J52" s="272">
        <v>0</v>
      </c>
      <c r="K52" s="272">
        <v>0</v>
      </c>
      <c r="L52" s="272">
        <v>0</v>
      </c>
      <c r="M52" s="272">
        <v>0</v>
      </c>
      <c r="N52" s="272">
        <f t="shared" si="1"/>
        <v>10000</v>
      </c>
      <c r="O52" s="274">
        <v>0</v>
      </c>
      <c r="P52" s="272">
        <v>0</v>
      </c>
      <c r="Q52" s="272">
        <v>1</v>
      </c>
      <c r="R52" s="272">
        <v>0</v>
      </c>
      <c r="S52" s="273">
        <f t="shared" si="2"/>
        <v>10</v>
      </c>
      <c r="T52" s="287">
        <v>1</v>
      </c>
      <c r="U52" s="274">
        <v>94</v>
      </c>
      <c r="V52" s="274">
        <v>1</v>
      </c>
      <c r="W52" s="272">
        <v>1</v>
      </c>
      <c r="X52" s="272">
        <v>0</v>
      </c>
      <c r="Y52" s="273">
        <v>0</v>
      </c>
      <c r="Z52" s="274">
        <v>0</v>
      </c>
      <c r="AA52" s="272">
        <v>0</v>
      </c>
      <c r="AB52" s="273">
        <v>0</v>
      </c>
      <c r="AC52" s="274">
        <v>1</v>
      </c>
      <c r="AD52" s="272">
        <v>1</v>
      </c>
      <c r="AE52" s="272">
        <v>1</v>
      </c>
      <c r="AF52" s="272">
        <v>0</v>
      </c>
      <c r="AG52" s="287"/>
      <c r="AH52" s="287"/>
      <c r="AI52" s="287">
        <v>82</v>
      </c>
      <c r="AJ52" s="274"/>
      <c r="AK52" s="287"/>
      <c r="AL52" s="274"/>
      <c r="AM52" s="272"/>
      <c r="AN52" s="272"/>
      <c r="AO52" s="272"/>
      <c r="AP52" s="273"/>
      <c r="AQ52" s="272"/>
      <c r="AR52" s="287"/>
    </row>
    <row r="53" spans="1:44">
      <c r="A53" s="276" t="s">
        <v>325</v>
      </c>
      <c r="B53" s="302">
        <v>86.05716666666666</v>
      </c>
      <c r="C53" s="303">
        <v>31.958333333333332</v>
      </c>
      <c r="D53" s="278" t="s">
        <v>507</v>
      </c>
      <c r="E53" s="279" t="s">
        <v>819</v>
      </c>
      <c r="F53" s="277">
        <v>910</v>
      </c>
      <c r="G53" s="280">
        <f>F53/488</f>
        <v>1.8647540983606556</v>
      </c>
      <c r="H53" s="279" t="s">
        <v>331</v>
      </c>
      <c r="I53" s="289">
        <v>1</v>
      </c>
      <c r="J53" s="280">
        <v>0</v>
      </c>
      <c r="K53" s="280">
        <v>0</v>
      </c>
      <c r="L53" s="280">
        <v>0</v>
      </c>
      <c r="M53" s="280">
        <v>0</v>
      </c>
      <c r="N53" s="280">
        <f t="shared" si="1"/>
        <v>10000</v>
      </c>
      <c r="O53" s="289">
        <v>0</v>
      </c>
      <c r="P53" s="280">
        <v>0</v>
      </c>
      <c r="Q53" s="280">
        <v>1</v>
      </c>
      <c r="R53" s="280">
        <v>0</v>
      </c>
      <c r="S53" s="278">
        <f t="shared" si="2"/>
        <v>10</v>
      </c>
      <c r="T53" s="279">
        <v>1</v>
      </c>
      <c r="U53" s="277">
        <v>105</v>
      </c>
      <c r="V53" s="277">
        <v>1</v>
      </c>
      <c r="W53" s="280">
        <v>0</v>
      </c>
      <c r="X53" s="280">
        <v>0</v>
      </c>
      <c r="Y53" s="278">
        <v>0</v>
      </c>
      <c r="Z53" s="277">
        <v>0</v>
      </c>
      <c r="AA53" s="280">
        <v>0</v>
      </c>
      <c r="AB53" s="278">
        <v>0</v>
      </c>
      <c r="AC53" s="277">
        <v>1</v>
      </c>
      <c r="AD53" s="280">
        <v>1</v>
      </c>
      <c r="AE53" s="280">
        <v>1</v>
      </c>
      <c r="AF53" s="280">
        <v>0</v>
      </c>
      <c r="AG53" s="279">
        <v>75</v>
      </c>
      <c r="AH53" s="279"/>
      <c r="AI53" s="279">
        <v>78</v>
      </c>
      <c r="AJ53" s="277"/>
      <c r="AK53" s="279"/>
      <c r="AL53" s="277"/>
      <c r="AM53" s="280"/>
      <c r="AN53" s="280"/>
      <c r="AO53" s="280"/>
      <c r="AP53" s="278"/>
      <c r="AQ53" s="280"/>
      <c r="AR53" s="279"/>
    </row>
    <row r="54" spans="1:44">
      <c r="A54" s="285" t="s">
        <v>325</v>
      </c>
      <c r="B54" s="304">
        <v>86.05716666666666</v>
      </c>
      <c r="C54" s="305">
        <v>31.958333333333332</v>
      </c>
      <c r="D54" s="283" t="s">
        <v>507</v>
      </c>
      <c r="E54" s="284" t="s">
        <v>820</v>
      </c>
      <c r="F54" s="281">
        <v>893</v>
      </c>
      <c r="G54" s="282">
        <f>F54/493</f>
        <v>1.8113590263691683</v>
      </c>
      <c r="H54" s="284" t="s">
        <v>331</v>
      </c>
      <c r="I54" s="281">
        <v>1</v>
      </c>
      <c r="J54" s="282">
        <v>1</v>
      </c>
      <c r="K54" s="282">
        <v>1</v>
      </c>
      <c r="L54" s="282">
        <v>0</v>
      </c>
      <c r="M54" s="282">
        <v>0</v>
      </c>
      <c r="N54" s="282">
        <f t="shared" si="1"/>
        <v>11100</v>
      </c>
      <c r="O54" s="290">
        <v>0</v>
      </c>
      <c r="P54" s="291">
        <v>0</v>
      </c>
      <c r="Q54" s="282">
        <v>1</v>
      </c>
      <c r="R54" s="282">
        <v>0</v>
      </c>
      <c r="S54" s="283">
        <f t="shared" si="2"/>
        <v>10</v>
      </c>
      <c r="T54" s="284">
        <v>1</v>
      </c>
      <c r="U54" s="281">
        <v>105</v>
      </c>
      <c r="V54" s="281">
        <v>1</v>
      </c>
      <c r="W54" s="282">
        <v>0</v>
      </c>
      <c r="X54" s="282">
        <v>0</v>
      </c>
      <c r="Y54" s="283">
        <v>0</v>
      </c>
      <c r="Z54" s="281">
        <v>0</v>
      </c>
      <c r="AA54" s="282">
        <v>0</v>
      </c>
      <c r="AB54" s="283">
        <v>0</v>
      </c>
      <c r="AC54" s="281">
        <v>1</v>
      </c>
      <c r="AD54" s="282">
        <v>1</v>
      </c>
      <c r="AE54" s="282">
        <v>1</v>
      </c>
      <c r="AF54" s="282">
        <v>0</v>
      </c>
      <c r="AG54" s="284">
        <v>76</v>
      </c>
      <c r="AH54" s="284"/>
      <c r="AI54" s="284">
        <v>74</v>
      </c>
      <c r="AJ54" s="281"/>
      <c r="AK54" s="284"/>
      <c r="AL54" s="281"/>
      <c r="AM54" s="282"/>
      <c r="AN54" s="282"/>
      <c r="AO54" s="282"/>
      <c r="AP54" s="283"/>
      <c r="AQ54" s="282"/>
      <c r="AR54" s="284"/>
    </row>
    <row r="55" spans="1:44">
      <c r="A55" s="285" t="s">
        <v>325</v>
      </c>
      <c r="B55" s="304">
        <v>86.05716666666666</v>
      </c>
      <c r="C55" s="305">
        <v>31.958333333333332</v>
      </c>
      <c r="D55" s="283" t="s">
        <v>507</v>
      </c>
      <c r="E55" s="284" t="s">
        <v>821</v>
      </c>
      <c r="F55" s="281">
        <v>1274</v>
      </c>
      <c r="G55" s="282">
        <f>F55/684</f>
        <v>1.8625730994152048</v>
      </c>
      <c r="H55" s="284" t="s">
        <v>331</v>
      </c>
      <c r="I55" s="281">
        <v>1</v>
      </c>
      <c r="J55" s="282">
        <v>0</v>
      </c>
      <c r="K55" s="282">
        <v>1</v>
      </c>
      <c r="L55" s="282">
        <v>0</v>
      </c>
      <c r="M55" s="282">
        <v>1</v>
      </c>
      <c r="N55" s="282">
        <f t="shared" si="1"/>
        <v>10101</v>
      </c>
      <c r="O55" s="290">
        <v>0</v>
      </c>
      <c r="P55" s="291">
        <v>0</v>
      </c>
      <c r="Q55" s="282">
        <v>1</v>
      </c>
      <c r="R55" s="282">
        <v>0</v>
      </c>
      <c r="S55" s="292">
        <f t="shared" si="2"/>
        <v>10</v>
      </c>
      <c r="T55" s="293">
        <v>1</v>
      </c>
      <c r="U55" s="281">
        <v>101</v>
      </c>
      <c r="V55" s="281">
        <v>1</v>
      </c>
      <c r="W55" s="282">
        <v>1</v>
      </c>
      <c r="X55" s="282">
        <v>0</v>
      </c>
      <c r="Y55" s="283">
        <v>0</v>
      </c>
      <c r="Z55" s="281">
        <v>0</v>
      </c>
      <c r="AA55" s="282">
        <v>0</v>
      </c>
      <c r="AB55" s="283">
        <v>0</v>
      </c>
      <c r="AC55" s="281">
        <v>1</v>
      </c>
      <c r="AD55" s="282">
        <v>1</v>
      </c>
      <c r="AE55" s="282">
        <v>1</v>
      </c>
      <c r="AF55" s="282">
        <v>0</v>
      </c>
      <c r="AG55" s="284"/>
      <c r="AH55" s="284"/>
      <c r="AI55" s="284"/>
      <c r="AJ55" s="281"/>
      <c r="AK55" s="284"/>
      <c r="AL55" s="281">
        <v>72</v>
      </c>
      <c r="AM55" s="282">
        <v>76</v>
      </c>
      <c r="AN55" s="282">
        <v>71</v>
      </c>
      <c r="AO55" s="282"/>
      <c r="AP55" s="283">
        <v>78</v>
      </c>
      <c r="AQ55" s="282">
        <f>AL55-AN55</f>
        <v>1</v>
      </c>
      <c r="AR55" s="284"/>
    </row>
    <row r="56" spans="1:44">
      <c r="A56" s="285" t="s">
        <v>325</v>
      </c>
      <c r="B56" s="304">
        <v>86.05716666666666</v>
      </c>
      <c r="C56" s="305">
        <v>31.958333333333332</v>
      </c>
      <c r="D56" s="283" t="s">
        <v>507</v>
      </c>
      <c r="E56" s="284" t="s">
        <v>822</v>
      </c>
      <c r="F56" s="281">
        <v>831</v>
      </c>
      <c r="G56" s="282">
        <f>F56/321</f>
        <v>2.5887850467289719</v>
      </c>
      <c r="H56" s="284" t="s">
        <v>331</v>
      </c>
      <c r="I56" s="281">
        <v>1</v>
      </c>
      <c r="J56" s="282">
        <v>0</v>
      </c>
      <c r="K56" s="282">
        <v>1</v>
      </c>
      <c r="L56" s="282">
        <v>0</v>
      </c>
      <c r="M56" s="282">
        <v>0</v>
      </c>
      <c r="N56" s="282">
        <f t="shared" si="1"/>
        <v>10100</v>
      </c>
      <c r="O56" s="290">
        <v>0</v>
      </c>
      <c r="P56" s="282">
        <v>0</v>
      </c>
      <c r="Q56" s="282">
        <v>0</v>
      </c>
      <c r="R56" s="282">
        <v>1</v>
      </c>
      <c r="S56" s="292">
        <f t="shared" si="2"/>
        <v>1</v>
      </c>
      <c r="T56" s="284">
        <v>1</v>
      </c>
      <c r="U56" s="281">
        <v>123</v>
      </c>
      <c r="V56" s="281">
        <v>1</v>
      </c>
      <c r="W56" s="282">
        <v>1</v>
      </c>
      <c r="X56" s="282">
        <v>0</v>
      </c>
      <c r="Y56" s="283">
        <v>0</v>
      </c>
      <c r="Z56" s="281">
        <v>0</v>
      </c>
      <c r="AA56" s="282">
        <v>0</v>
      </c>
      <c r="AB56" s="283">
        <v>0</v>
      </c>
      <c r="AC56" s="281">
        <v>1</v>
      </c>
      <c r="AD56" s="282">
        <v>1</v>
      </c>
      <c r="AE56" s="282">
        <v>1</v>
      </c>
      <c r="AF56" s="282">
        <v>0</v>
      </c>
      <c r="AG56" s="284">
        <v>76</v>
      </c>
      <c r="AH56" s="284"/>
      <c r="AI56" s="284">
        <v>78</v>
      </c>
      <c r="AJ56" s="281"/>
      <c r="AK56" s="284"/>
      <c r="AL56" s="281"/>
      <c r="AM56" s="282"/>
      <c r="AN56" s="282"/>
      <c r="AO56" s="282"/>
      <c r="AP56" s="283"/>
      <c r="AQ56" s="282"/>
      <c r="AR56" s="284"/>
    </row>
    <row r="57" spans="1:44">
      <c r="A57" s="285" t="s">
        <v>325</v>
      </c>
      <c r="B57" s="304">
        <v>86.05716666666666</v>
      </c>
      <c r="C57" s="305">
        <v>31.958333333333332</v>
      </c>
      <c r="D57" s="283" t="s">
        <v>507</v>
      </c>
      <c r="E57" s="284" t="s">
        <v>823</v>
      </c>
      <c r="F57" s="281"/>
      <c r="G57" s="282"/>
      <c r="H57" s="284"/>
      <c r="I57" s="281"/>
      <c r="J57" s="282"/>
      <c r="K57" s="282"/>
      <c r="L57" s="282"/>
      <c r="M57" s="282"/>
      <c r="N57" s="282"/>
      <c r="O57" s="290"/>
      <c r="P57" s="282"/>
      <c r="Q57" s="282"/>
      <c r="R57" s="282"/>
      <c r="S57" s="292"/>
      <c r="T57" s="284"/>
      <c r="U57" s="281"/>
      <c r="V57" s="281"/>
      <c r="W57" s="282"/>
      <c r="X57" s="282"/>
      <c r="Y57" s="283"/>
      <c r="Z57" s="281"/>
      <c r="AA57" s="282"/>
      <c r="AB57" s="283"/>
      <c r="AC57" s="281"/>
      <c r="AD57" s="282"/>
      <c r="AE57" s="282"/>
      <c r="AF57" s="282"/>
      <c r="AG57" s="284">
        <v>77</v>
      </c>
      <c r="AH57" s="284"/>
      <c r="AI57" s="284"/>
      <c r="AJ57" s="281"/>
      <c r="AK57" s="284"/>
      <c r="AL57" s="281"/>
      <c r="AM57" s="282"/>
      <c r="AN57" s="282"/>
      <c r="AO57" s="282"/>
      <c r="AP57" s="283"/>
      <c r="AQ57" s="282"/>
      <c r="AR57" s="284"/>
    </row>
    <row r="58" spans="1:44">
      <c r="A58" s="285" t="s">
        <v>325</v>
      </c>
      <c r="B58" s="304">
        <v>86.05716666666666</v>
      </c>
      <c r="C58" s="305">
        <v>31.958333333333332</v>
      </c>
      <c r="D58" s="283" t="s">
        <v>507</v>
      </c>
      <c r="E58" s="284" t="s">
        <v>824</v>
      </c>
      <c r="F58" s="281">
        <v>421</v>
      </c>
      <c r="G58" s="282">
        <f>F58/273</f>
        <v>1.5421245421245422</v>
      </c>
      <c r="H58" s="284" t="s">
        <v>331</v>
      </c>
      <c r="I58" s="281">
        <v>0</v>
      </c>
      <c r="J58" s="282">
        <v>0</v>
      </c>
      <c r="K58" s="282">
        <v>1</v>
      </c>
      <c r="L58" s="282">
        <v>0</v>
      </c>
      <c r="M58" s="282">
        <v>0</v>
      </c>
      <c r="N58" s="282">
        <f t="shared" ref="N58:N59" si="3">SUM((I58*10000)+(J58*1000)+(K58*100)+(L58*10)+(M58*1))</f>
        <v>100</v>
      </c>
      <c r="O58" s="290">
        <v>0</v>
      </c>
      <c r="P58" s="282">
        <v>0</v>
      </c>
      <c r="Q58" s="282">
        <v>1</v>
      </c>
      <c r="R58" s="282">
        <v>0</v>
      </c>
      <c r="S58" s="292">
        <f t="shared" ref="S58:S72" si="4">SUM((O58*1000)+(P58*100)+(Q58*10)+(R58*1))</f>
        <v>10</v>
      </c>
      <c r="T58" s="284">
        <v>1</v>
      </c>
      <c r="U58" s="281">
        <v>104</v>
      </c>
      <c r="V58" s="281">
        <v>1</v>
      </c>
      <c r="W58" s="282">
        <v>0</v>
      </c>
      <c r="X58" s="282">
        <v>0</v>
      </c>
      <c r="Y58" s="283">
        <v>0</v>
      </c>
      <c r="Z58" s="281">
        <v>0</v>
      </c>
      <c r="AA58" s="282">
        <v>0</v>
      </c>
      <c r="AB58" s="283">
        <v>0</v>
      </c>
      <c r="AC58" s="281">
        <v>1</v>
      </c>
      <c r="AD58" s="282">
        <v>1</v>
      </c>
      <c r="AE58" s="282">
        <v>1</v>
      </c>
      <c r="AF58" s="282">
        <v>0</v>
      </c>
      <c r="AG58" s="284">
        <v>77</v>
      </c>
      <c r="AH58" s="284"/>
      <c r="AI58" s="284">
        <v>79</v>
      </c>
      <c r="AJ58" s="281"/>
      <c r="AK58" s="284"/>
      <c r="AL58" s="281"/>
      <c r="AM58" s="282"/>
      <c r="AN58" s="282"/>
      <c r="AO58" s="282"/>
      <c r="AP58" s="283"/>
      <c r="AQ58" s="282"/>
      <c r="AR58" s="284"/>
    </row>
    <row r="59" spans="1:44">
      <c r="A59" s="285" t="s">
        <v>325</v>
      </c>
      <c r="B59" s="304">
        <v>86.05716666666666</v>
      </c>
      <c r="C59" s="305">
        <v>31.958333333333332</v>
      </c>
      <c r="D59" s="283" t="s">
        <v>507</v>
      </c>
      <c r="E59" s="284" t="s">
        <v>825</v>
      </c>
      <c r="F59" s="281">
        <v>601</v>
      </c>
      <c r="G59" s="282">
        <f>F59/407</f>
        <v>1.4766584766584767</v>
      </c>
      <c r="H59" s="284" t="s">
        <v>331</v>
      </c>
      <c r="I59" s="281">
        <v>1</v>
      </c>
      <c r="J59" s="282">
        <v>0</v>
      </c>
      <c r="K59" s="282">
        <v>1</v>
      </c>
      <c r="L59" s="282">
        <v>0</v>
      </c>
      <c r="M59" s="282">
        <v>1</v>
      </c>
      <c r="N59" s="282">
        <f t="shared" si="3"/>
        <v>10101</v>
      </c>
      <c r="O59" s="290">
        <v>0</v>
      </c>
      <c r="P59" s="282">
        <v>0</v>
      </c>
      <c r="Q59" s="282">
        <v>1</v>
      </c>
      <c r="R59" s="282">
        <v>0</v>
      </c>
      <c r="S59" s="292">
        <f t="shared" si="4"/>
        <v>10</v>
      </c>
      <c r="T59" s="284">
        <v>0</v>
      </c>
      <c r="U59" s="281">
        <v>104</v>
      </c>
      <c r="V59" s="281">
        <v>1</v>
      </c>
      <c r="W59" s="282">
        <v>1</v>
      </c>
      <c r="X59" s="282">
        <v>1</v>
      </c>
      <c r="Y59" s="283">
        <v>0</v>
      </c>
      <c r="Z59" s="281">
        <v>0</v>
      </c>
      <c r="AA59" s="282">
        <v>0</v>
      </c>
      <c r="AB59" s="283">
        <v>0</v>
      </c>
      <c r="AC59" s="281">
        <v>1</v>
      </c>
      <c r="AD59" s="282">
        <v>1</v>
      </c>
      <c r="AE59" s="282">
        <v>1</v>
      </c>
      <c r="AF59" s="282">
        <v>0</v>
      </c>
      <c r="AG59" s="284"/>
      <c r="AH59" s="284"/>
      <c r="AI59" s="284"/>
      <c r="AJ59" s="281"/>
      <c r="AK59" s="284"/>
      <c r="AL59" s="281">
        <v>75</v>
      </c>
      <c r="AM59" s="282">
        <v>77</v>
      </c>
      <c r="AN59" s="282"/>
      <c r="AO59" s="282"/>
      <c r="AP59" s="283"/>
      <c r="AQ59" s="282"/>
      <c r="AR59" s="284"/>
    </row>
    <row r="60" spans="1:44">
      <c r="A60" s="285" t="s">
        <v>325</v>
      </c>
      <c r="B60" s="304">
        <v>86.05716666666666</v>
      </c>
      <c r="C60" s="305">
        <v>31.958333333333332</v>
      </c>
      <c r="D60" s="283" t="s">
        <v>507</v>
      </c>
      <c r="E60" s="284" t="s">
        <v>826</v>
      </c>
      <c r="F60" s="281">
        <v>718</v>
      </c>
      <c r="G60" s="282">
        <f>F60/348</f>
        <v>2.0632183908045976</v>
      </c>
      <c r="H60" s="284" t="s">
        <v>331</v>
      </c>
      <c r="I60" s="281">
        <v>1</v>
      </c>
      <c r="J60" s="282">
        <v>0</v>
      </c>
      <c r="K60" s="282">
        <v>1</v>
      </c>
      <c r="L60" s="282">
        <v>0</v>
      </c>
      <c r="M60" s="282">
        <v>0</v>
      </c>
      <c r="N60" s="282">
        <f t="shared" ref="N60:N72" si="5">SUM((I60*10000)+(J60*1000)+(K60*100)+(L60*10)+(M60*1))</f>
        <v>10100</v>
      </c>
      <c r="O60" s="290">
        <v>0</v>
      </c>
      <c r="P60" s="282">
        <v>0</v>
      </c>
      <c r="Q60" s="282">
        <v>1</v>
      </c>
      <c r="R60" s="282">
        <v>0</v>
      </c>
      <c r="S60" s="283">
        <f t="shared" si="4"/>
        <v>10</v>
      </c>
      <c r="T60" s="284">
        <v>1</v>
      </c>
      <c r="U60" s="281">
        <v>104</v>
      </c>
      <c r="V60" s="281">
        <v>1</v>
      </c>
      <c r="W60" s="282">
        <v>1</v>
      </c>
      <c r="X60" s="282">
        <v>0</v>
      </c>
      <c r="Y60" s="283">
        <v>0</v>
      </c>
      <c r="Z60" s="281">
        <v>0</v>
      </c>
      <c r="AA60" s="282">
        <v>0</v>
      </c>
      <c r="AB60" s="283">
        <v>0</v>
      </c>
      <c r="AC60" s="281">
        <v>1</v>
      </c>
      <c r="AD60" s="282">
        <v>1</v>
      </c>
      <c r="AE60" s="282">
        <v>1</v>
      </c>
      <c r="AF60" s="282">
        <v>0</v>
      </c>
      <c r="AG60" s="284">
        <v>78</v>
      </c>
      <c r="AH60" s="284"/>
      <c r="AI60" s="284">
        <v>77</v>
      </c>
      <c r="AJ60" s="281"/>
      <c r="AK60" s="284"/>
      <c r="AL60" s="281"/>
      <c r="AM60" s="282"/>
      <c r="AN60" s="282"/>
      <c r="AO60" s="282"/>
      <c r="AP60" s="283"/>
      <c r="AQ60" s="282"/>
      <c r="AR60" s="284"/>
    </row>
    <row r="61" spans="1:44">
      <c r="A61" s="285" t="s">
        <v>325</v>
      </c>
      <c r="B61" s="304">
        <v>86.05716666666666</v>
      </c>
      <c r="C61" s="305">
        <v>31.958333333333332</v>
      </c>
      <c r="D61" s="283" t="s">
        <v>507</v>
      </c>
      <c r="E61" s="284" t="s">
        <v>827</v>
      </c>
      <c r="F61" s="281">
        <v>871</v>
      </c>
      <c r="G61" s="282">
        <f>F61/457</f>
        <v>1.9059080962800876</v>
      </c>
      <c r="H61" s="284" t="s">
        <v>331</v>
      </c>
      <c r="I61" s="281">
        <v>1</v>
      </c>
      <c r="J61" s="282">
        <v>0</v>
      </c>
      <c r="K61" s="282">
        <v>0</v>
      </c>
      <c r="L61" s="282">
        <v>0</v>
      </c>
      <c r="M61" s="282">
        <v>1</v>
      </c>
      <c r="N61" s="282">
        <f t="shared" si="5"/>
        <v>10001</v>
      </c>
      <c r="O61" s="290">
        <v>0</v>
      </c>
      <c r="P61" s="282">
        <v>0</v>
      </c>
      <c r="Q61" s="282">
        <v>1</v>
      </c>
      <c r="R61" s="282">
        <v>0</v>
      </c>
      <c r="S61" s="283">
        <f t="shared" si="4"/>
        <v>10</v>
      </c>
      <c r="T61" s="284">
        <v>0</v>
      </c>
      <c r="U61" s="281">
        <v>96</v>
      </c>
      <c r="V61" s="281">
        <v>1</v>
      </c>
      <c r="W61" s="282">
        <v>1</v>
      </c>
      <c r="X61" s="282">
        <v>1</v>
      </c>
      <c r="Y61" s="283">
        <v>0</v>
      </c>
      <c r="Z61" s="281">
        <v>0</v>
      </c>
      <c r="AA61" s="282">
        <v>0</v>
      </c>
      <c r="AB61" s="283">
        <v>0</v>
      </c>
      <c r="AC61" s="281">
        <v>1</v>
      </c>
      <c r="AD61" s="282">
        <v>1</v>
      </c>
      <c r="AE61" s="282">
        <v>1</v>
      </c>
      <c r="AF61" s="282">
        <v>0</v>
      </c>
      <c r="AG61" s="284">
        <v>78</v>
      </c>
      <c r="AH61" s="284"/>
      <c r="AI61" s="284">
        <v>78</v>
      </c>
      <c r="AJ61" s="281"/>
      <c r="AK61" s="284"/>
      <c r="AL61" s="281"/>
      <c r="AM61" s="282"/>
      <c r="AN61" s="282"/>
      <c r="AO61" s="282"/>
      <c r="AP61" s="283"/>
      <c r="AQ61" s="282"/>
      <c r="AR61" s="284"/>
    </row>
    <row r="62" spans="1:44">
      <c r="A62" s="285" t="s">
        <v>325</v>
      </c>
      <c r="B62" s="304">
        <v>86.05716666666666</v>
      </c>
      <c r="C62" s="305">
        <v>31.958333333333332</v>
      </c>
      <c r="D62" s="283" t="s">
        <v>507</v>
      </c>
      <c r="E62" s="284" t="s">
        <v>828</v>
      </c>
      <c r="F62" s="281">
        <v>473</v>
      </c>
      <c r="G62" s="282">
        <f>F62/350</f>
        <v>1.3514285714285714</v>
      </c>
      <c r="H62" s="284" t="s">
        <v>331</v>
      </c>
      <c r="I62" s="281">
        <v>1</v>
      </c>
      <c r="J62" s="282">
        <v>0</v>
      </c>
      <c r="K62" s="282">
        <v>0</v>
      </c>
      <c r="L62" s="282">
        <v>0</v>
      </c>
      <c r="M62" s="294">
        <v>0</v>
      </c>
      <c r="N62" s="282">
        <f t="shared" si="5"/>
        <v>10000</v>
      </c>
      <c r="O62" s="290">
        <v>0</v>
      </c>
      <c r="P62" s="282">
        <v>0</v>
      </c>
      <c r="Q62" s="282">
        <v>1</v>
      </c>
      <c r="R62" s="282">
        <v>0</v>
      </c>
      <c r="S62" s="283">
        <f t="shared" si="4"/>
        <v>10</v>
      </c>
      <c r="T62" s="284">
        <v>0</v>
      </c>
      <c r="U62" s="281">
        <v>96</v>
      </c>
      <c r="V62" s="281">
        <v>1</v>
      </c>
      <c r="W62" s="282">
        <v>0</v>
      </c>
      <c r="X62" s="282">
        <v>0</v>
      </c>
      <c r="Y62" s="283">
        <v>0</v>
      </c>
      <c r="Z62" s="281">
        <v>0</v>
      </c>
      <c r="AA62" s="282">
        <v>0</v>
      </c>
      <c r="AB62" s="283">
        <v>0</v>
      </c>
      <c r="AC62" s="281">
        <v>1</v>
      </c>
      <c r="AD62" s="282">
        <v>1</v>
      </c>
      <c r="AE62" s="282">
        <v>1</v>
      </c>
      <c r="AF62" s="282">
        <v>0</v>
      </c>
      <c r="AG62" s="284">
        <v>73</v>
      </c>
      <c r="AH62" s="284"/>
      <c r="AI62" s="284">
        <v>78</v>
      </c>
      <c r="AJ62" s="281"/>
      <c r="AK62" s="284"/>
      <c r="AL62" s="281"/>
      <c r="AM62" s="282"/>
      <c r="AN62" s="282"/>
      <c r="AO62" s="282"/>
      <c r="AP62" s="283"/>
      <c r="AQ62" s="282"/>
      <c r="AR62" s="284"/>
    </row>
    <row r="63" spans="1:44">
      <c r="A63" s="285" t="s">
        <v>325</v>
      </c>
      <c r="B63" s="304">
        <v>86.05716666666666</v>
      </c>
      <c r="C63" s="305">
        <v>31.958333333333332</v>
      </c>
      <c r="D63" s="283" t="s">
        <v>507</v>
      </c>
      <c r="E63" s="284" t="s">
        <v>829</v>
      </c>
      <c r="F63" s="281">
        <v>314</v>
      </c>
      <c r="G63" s="282">
        <f>F63/164</f>
        <v>1.9146341463414633</v>
      </c>
      <c r="H63" s="284" t="s">
        <v>331</v>
      </c>
      <c r="I63" s="281">
        <v>0</v>
      </c>
      <c r="J63" s="282">
        <v>0</v>
      </c>
      <c r="K63" s="282">
        <v>0</v>
      </c>
      <c r="L63" s="282">
        <v>0</v>
      </c>
      <c r="M63" s="294">
        <v>0</v>
      </c>
      <c r="N63" s="282">
        <f t="shared" si="5"/>
        <v>0</v>
      </c>
      <c r="O63" s="290">
        <v>0</v>
      </c>
      <c r="P63" s="282">
        <v>0</v>
      </c>
      <c r="Q63" s="282">
        <v>0</v>
      </c>
      <c r="R63" s="282">
        <v>1</v>
      </c>
      <c r="S63" s="283">
        <f t="shared" si="4"/>
        <v>1</v>
      </c>
      <c r="T63" s="284">
        <v>0</v>
      </c>
      <c r="U63" s="281">
        <v>96</v>
      </c>
      <c r="V63" s="281">
        <v>1</v>
      </c>
      <c r="W63" s="282">
        <v>1</v>
      </c>
      <c r="X63" s="282">
        <v>0</v>
      </c>
      <c r="Y63" s="283">
        <v>0</v>
      </c>
      <c r="Z63" s="281">
        <v>0</v>
      </c>
      <c r="AA63" s="282">
        <v>0</v>
      </c>
      <c r="AB63" s="283">
        <v>0</v>
      </c>
      <c r="AC63" s="281">
        <v>1</v>
      </c>
      <c r="AD63" s="282">
        <v>1</v>
      </c>
      <c r="AE63" s="282">
        <v>1</v>
      </c>
      <c r="AF63" s="282">
        <v>0</v>
      </c>
      <c r="AG63" s="284">
        <v>79</v>
      </c>
      <c r="AH63" s="284"/>
      <c r="AI63" s="284"/>
      <c r="AJ63" s="281"/>
      <c r="AK63" s="284"/>
      <c r="AL63" s="281"/>
      <c r="AM63" s="282"/>
      <c r="AN63" s="282"/>
      <c r="AO63" s="282"/>
      <c r="AP63" s="283"/>
      <c r="AQ63" s="282"/>
      <c r="AR63" s="284"/>
    </row>
    <row r="64" spans="1:44">
      <c r="A64" s="285" t="s">
        <v>325</v>
      </c>
      <c r="B64" s="304">
        <v>86.05716666666666</v>
      </c>
      <c r="C64" s="305">
        <v>31.958333333333332</v>
      </c>
      <c r="D64" s="283" t="s">
        <v>507</v>
      </c>
      <c r="E64" s="284" t="s">
        <v>830</v>
      </c>
      <c r="F64" s="281">
        <v>996</v>
      </c>
      <c r="G64" s="282">
        <f>F64/553</f>
        <v>1.8010849909584086</v>
      </c>
      <c r="H64" s="284" t="s">
        <v>331</v>
      </c>
      <c r="I64" s="281">
        <v>1</v>
      </c>
      <c r="J64" s="282">
        <v>0</v>
      </c>
      <c r="K64" s="282">
        <v>1</v>
      </c>
      <c r="L64" s="282">
        <v>1</v>
      </c>
      <c r="M64" s="294">
        <v>0</v>
      </c>
      <c r="N64" s="282">
        <f t="shared" si="5"/>
        <v>10110</v>
      </c>
      <c r="O64" s="290">
        <v>0</v>
      </c>
      <c r="P64" s="282">
        <v>0</v>
      </c>
      <c r="Q64" s="282">
        <v>1</v>
      </c>
      <c r="R64" s="282">
        <v>0</v>
      </c>
      <c r="S64" s="283">
        <f t="shared" si="4"/>
        <v>10</v>
      </c>
      <c r="T64" s="284">
        <v>1</v>
      </c>
      <c r="U64" s="281">
        <v>105</v>
      </c>
      <c r="V64" s="281">
        <v>1</v>
      </c>
      <c r="W64" s="282">
        <v>1</v>
      </c>
      <c r="X64" s="282">
        <v>0</v>
      </c>
      <c r="Y64" s="283">
        <v>0</v>
      </c>
      <c r="Z64" s="281">
        <v>1</v>
      </c>
      <c r="AA64" s="282">
        <v>0</v>
      </c>
      <c r="AB64" s="283">
        <v>0</v>
      </c>
      <c r="AC64" s="281">
        <v>1</v>
      </c>
      <c r="AD64" s="282">
        <v>1</v>
      </c>
      <c r="AE64" s="282">
        <v>1</v>
      </c>
      <c r="AF64" s="282">
        <v>0</v>
      </c>
      <c r="AG64" s="284">
        <v>76</v>
      </c>
      <c r="AH64" s="284"/>
      <c r="AI64" s="284">
        <v>77</v>
      </c>
      <c r="AJ64" s="281"/>
      <c r="AK64" s="284"/>
      <c r="AL64" s="281"/>
      <c r="AM64" s="282"/>
      <c r="AN64" s="282"/>
      <c r="AO64" s="282"/>
      <c r="AP64" s="283"/>
      <c r="AQ64" s="282"/>
      <c r="AR64" s="284"/>
    </row>
    <row r="65" spans="1:44">
      <c r="A65" s="285" t="s">
        <v>325</v>
      </c>
      <c r="B65" s="304">
        <v>86.05716666666666</v>
      </c>
      <c r="C65" s="305">
        <v>31.958333333333332</v>
      </c>
      <c r="D65" s="283" t="s">
        <v>507</v>
      </c>
      <c r="E65" s="284" t="s">
        <v>831</v>
      </c>
      <c r="F65" s="281">
        <v>414</v>
      </c>
      <c r="G65" s="282">
        <f>F65/300</f>
        <v>1.38</v>
      </c>
      <c r="H65" s="284" t="s">
        <v>331</v>
      </c>
      <c r="I65" s="281">
        <v>0</v>
      </c>
      <c r="J65" s="282">
        <v>0</v>
      </c>
      <c r="K65" s="282">
        <v>0</v>
      </c>
      <c r="L65" s="282">
        <v>1</v>
      </c>
      <c r="M65" s="294">
        <v>0</v>
      </c>
      <c r="N65" s="282">
        <f t="shared" si="5"/>
        <v>10</v>
      </c>
      <c r="O65" s="281">
        <v>0</v>
      </c>
      <c r="P65" s="291">
        <v>0</v>
      </c>
      <c r="Q65" s="282">
        <v>1</v>
      </c>
      <c r="R65" s="282">
        <v>0</v>
      </c>
      <c r="S65" s="283">
        <f t="shared" si="4"/>
        <v>10</v>
      </c>
      <c r="T65" s="284">
        <v>0</v>
      </c>
      <c r="U65" s="281">
        <v>105</v>
      </c>
      <c r="V65" s="281">
        <v>1</v>
      </c>
      <c r="W65" s="282">
        <v>0</v>
      </c>
      <c r="X65" s="282">
        <v>0</v>
      </c>
      <c r="Y65" s="283">
        <v>0</v>
      </c>
      <c r="Z65" s="281">
        <v>0</v>
      </c>
      <c r="AA65" s="282">
        <v>0</v>
      </c>
      <c r="AB65" s="283">
        <v>0</v>
      </c>
      <c r="AC65" s="281">
        <v>1</v>
      </c>
      <c r="AD65" s="282">
        <v>1</v>
      </c>
      <c r="AE65" s="282">
        <v>1</v>
      </c>
      <c r="AF65" s="282">
        <v>0</v>
      </c>
      <c r="AG65" s="284">
        <v>78</v>
      </c>
      <c r="AH65" s="284"/>
      <c r="AI65" s="284">
        <v>78</v>
      </c>
      <c r="AJ65" s="281"/>
      <c r="AK65" s="284"/>
      <c r="AL65" s="281"/>
      <c r="AM65" s="282"/>
      <c r="AN65" s="282"/>
      <c r="AO65" s="282"/>
      <c r="AP65" s="283"/>
      <c r="AQ65" s="282"/>
      <c r="AR65" s="284"/>
    </row>
    <row r="66" spans="1:44">
      <c r="A66" s="285" t="s">
        <v>325</v>
      </c>
      <c r="B66" s="304">
        <v>86.05716666666666</v>
      </c>
      <c r="C66" s="305">
        <v>31.958333333333332</v>
      </c>
      <c r="D66" s="283" t="s">
        <v>507</v>
      </c>
      <c r="E66" s="284" t="s">
        <v>832</v>
      </c>
      <c r="F66" s="281">
        <v>618</v>
      </c>
      <c r="G66" s="282">
        <f>F66/441</f>
        <v>1.4013605442176871</v>
      </c>
      <c r="H66" s="284" t="s">
        <v>782</v>
      </c>
      <c r="I66" s="281">
        <v>1</v>
      </c>
      <c r="J66" s="282">
        <v>1</v>
      </c>
      <c r="K66" s="282">
        <v>1</v>
      </c>
      <c r="L66" s="282">
        <v>0</v>
      </c>
      <c r="M66" s="294">
        <v>0</v>
      </c>
      <c r="N66" s="282">
        <f t="shared" si="5"/>
        <v>11100</v>
      </c>
      <c r="O66" s="281">
        <v>0</v>
      </c>
      <c r="P66" s="282">
        <v>0</v>
      </c>
      <c r="Q66" s="282">
        <v>1</v>
      </c>
      <c r="R66" s="282">
        <v>0</v>
      </c>
      <c r="S66" s="283">
        <f t="shared" si="4"/>
        <v>10</v>
      </c>
      <c r="T66" s="284">
        <v>1</v>
      </c>
      <c r="U66" s="281">
        <v>113</v>
      </c>
      <c r="V66" s="281">
        <v>1</v>
      </c>
      <c r="W66" s="282">
        <v>0</v>
      </c>
      <c r="X66" s="282">
        <v>0</v>
      </c>
      <c r="Y66" s="283">
        <v>0</v>
      </c>
      <c r="Z66" s="281">
        <v>0</v>
      </c>
      <c r="AA66" s="282">
        <v>0</v>
      </c>
      <c r="AB66" s="283">
        <v>0</v>
      </c>
      <c r="AC66" s="281">
        <v>0</v>
      </c>
      <c r="AD66" s="282">
        <v>0</v>
      </c>
      <c r="AE66" s="282">
        <v>0</v>
      </c>
      <c r="AF66" s="282">
        <v>0</v>
      </c>
      <c r="AG66" s="284">
        <v>78</v>
      </c>
      <c r="AH66" s="284"/>
      <c r="AI66" s="284">
        <v>76</v>
      </c>
      <c r="AJ66" s="281"/>
      <c r="AK66" s="284"/>
      <c r="AL66" s="281"/>
      <c r="AM66" s="282"/>
      <c r="AN66" s="282"/>
      <c r="AO66" s="282"/>
      <c r="AP66" s="283"/>
      <c r="AQ66" s="282"/>
      <c r="AR66" s="284"/>
    </row>
    <row r="67" spans="1:44">
      <c r="A67" s="285" t="s">
        <v>325</v>
      </c>
      <c r="B67" s="304">
        <v>86.05716666666666</v>
      </c>
      <c r="C67" s="305">
        <v>31.958333333333332</v>
      </c>
      <c r="D67" s="283" t="s">
        <v>507</v>
      </c>
      <c r="E67" s="284" t="s">
        <v>833</v>
      </c>
      <c r="F67" s="281">
        <v>509</v>
      </c>
      <c r="G67" s="282">
        <f>F67/249</f>
        <v>2.0441767068273093</v>
      </c>
      <c r="H67" s="284" t="s">
        <v>331</v>
      </c>
      <c r="I67" s="281">
        <v>1</v>
      </c>
      <c r="J67" s="282">
        <v>0</v>
      </c>
      <c r="K67" s="282">
        <v>1</v>
      </c>
      <c r="L67" s="282">
        <v>0</v>
      </c>
      <c r="M67" s="294">
        <v>1</v>
      </c>
      <c r="N67" s="282">
        <f t="shared" si="5"/>
        <v>10101</v>
      </c>
      <c r="O67" s="281">
        <v>0</v>
      </c>
      <c r="P67" s="282">
        <v>0</v>
      </c>
      <c r="Q67" s="282">
        <v>1</v>
      </c>
      <c r="R67" s="282">
        <v>0</v>
      </c>
      <c r="S67" s="283">
        <f t="shared" si="4"/>
        <v>10</v>
      </c>
      <c r="T67" s="284">
        <v>1</v>
      </c>
      <c r="U67" s="281">
        <v>96</v>
      </c>
      <c r="V67" s="281">
        <v>0</v>
      </c>
      <c r="W67" s="282">
        <v>0</v>
      </c>
      <c r="X67" s="282">
        <v>1</v>
      </c>
      <c r="Y67" s="283">
        <v>0</v>
      </c>
      <c r="Z67" s="281">
        <v>0</v>
      </c>
      <c r="AA67" s="282">
        <v>0</v>
      </c>
      <c r="AB67" s="283">
        <v>0</v>
      </c>
      <c r="AC67" s="281">
        <v>0</v>
      </c>
      <c r="AD67" s="282">
        <v>0</v>
      </c>
      <c r="AE67" s="282">
        <v>1</v>
      </c>
      <c r="AF67" s="282">
        <v>0</v>
      </c>
      <c r="AG67" s="284"/>
      <c r="AH67" s="284"/>
      <c r="AI67" s="284"/>
      <c r="AJ67" s="281"/>
      <c r="AK67" s="284"/>
      <c r="AL67" s="281">
        <v>76</v>
      </c>
      <c r="AM67" s="282">
        <v>77</v>
      </c>
      <c r="AN67" s="282"/>
      <c r="AO67" s="282">
        <v>78</v>
      </c>
      <c r="AP67" s="283"/>
      <c r="AQ67" s="282"/>
      <c r="AR67" s="284"/>
    </row>
    <row r="68" spans="1:44">
      <c r="A68" s="285" t="s">
        <v>325</v>
      </c>
      <c r="B68" s="304">
        <v>86.05716666666666</v>
      </c>
      <c r="C68" s="305">
        <v>31.958333333333332</v>
      </c>
      <c r="D68" s="283" t="s">
        <v>507</v>
      </c>
      <c r="E68" s="284" t="s">
        <v>834</v>
      </c>
      <c r="F68" s="281">
        <v>665</v>
      </c>
      <c r="G68" s="282">
        <f>F68/601</f>
        <v>1.1064891846921796</v>
      </c>
      <c r="H68" s="284" t="s">
        <v>331</v>
      </c>
      <c r="I68" s="281">
        <v>0</v>
      </c>
      <c r="J68" s="282">
        <v>1</v>
      </c>
      <c r="K68" s="282">
        <v>1</v>
      </c>
      <c r="L68" s="282">
        <v>1</v>
      </c>
      <c r="M68" s="294">
        <v>0</v>
      </c>
      <c r="N68" s="282">
        <f t="shared" si="5"/>
        <v>1110</v>
      </c>
      <c r="O68" s="281">
        <v>0</v>
      </c>
      <c r="P68" s="282">
        <v>0</v>
      </c>
      <c r="Q68" s="282">
        <v>1</v>
      </c>
      <c r="R68" s="282">
        <v>0</v>
      </c>
      <c r="S68" s="283">
        <f t="shared" si="4"/>
        <v>10</v>
      </c>
      <c r="T68" s="284">
        <v>1</v>
      </c>
      <c r="U68" s="281">
        <v>103</v>
      </c>
      <c r="V68" s="281">
        <v>0</v>
      </c>
      <c r="W68" s="282">
        <v>1</v>
      </c>
      <c r="X68" s="282">
        <v>1</v>
      </c>
      <c r="Y68" s="283">
        <v>0</v>
      </c>
      <c r="Z68" s="281">
        <v>1</v>
      </c>
      <c r="AA68" s="282">
        <v>0</v>
      </c>
      <c r="AB68" s="283">
        <v>0</v>
      </c>
      <c r="AC68" s="281">
        <v>1</v>
      </c>
      <c r="AD68" s="282">
        <v>1</v>
      </c>
      <c r="AE68" s="282">
        <v>1</v>
      </c>
      <c r="AF68" s="282">
        <v>0</v>
      </c>
      <c r="AG68" s="284">
        <v>75</v>
      </c>
      <c r="AH68" s="284">
        <v>77</v>
      </c>
      <c r="AI68" s="284">
        <v>78</v>
      </c>
      <c r="AJ68" s="281"/>
      <c r="AK68" s="284"/>
      <c r="AL68" s="281"/>
      <c r="AM68" s="282"/>
      <c r="AN68" s="282"/>
      <c r="AO68" s="282"/>
      <c r="AP68" s="283"/>
      <c r="AQ68" s="282"/>
      <c r="AR68" s="284"/>
    </row>
    <row r="69" spans="1:44">
      <c r="A69" s="285" t="s">
        <v>325</v>
      </c>
      <c r="B69" s="304">
        <v>86.05716666666666</v>
      </c>
      <c r="C69" s="305">
        <v>31.958333333333332</v>
      </c>
      <c r="D69" s="283" t="s">
        <v>507</v>
      </c>
      <c r="E69" s="284" t="s">
        <v>835</v>
      </c>
      <c r="F69" s="281">
        <v>485</v>
      </c>
      <c r="G69" s="282">
        <f>F69/296</f>
        <v>1.6385135135135136</v>
      </c>
      <c r="H69" s="284" t="s">
        <v>331</v>
      </c>
      <c r="I69" s="281">
        <v>1</v>
      </c>
      <c r="J69" s="282">
        <v>0</v>
      </c>
      <c r="K69" s="282">
        <v>1</v>
      </c>
      <c r="L69" s="282">
        <v>0</v>
      </c>
      <c r="M69" s="294">
        <v>1</v>
      </c>
      <c r="N69" s="282">
        <f t="shared" si="5"/>
        <v>10101</v>
      </c>
      <c r="O69" s="281">
        <v>0</v>
      </c>
      <c r="P69" s="282">
        <v>0</v>
      </c>
      <c r="Q69" s="282">
        <v>1</v>
      </c>
      <c r="R69" s="282">
        <v>0</v>
      </c>
      <c r="S69" s="283">
        <f t="shared" si="4"/>
        <v>10</v>
      </c>
      <c r="T69" s="284">
        <v>1</v>
      </c>
      <c r="U69" s="281">
        <v>103</v>
      </c>
      <c r="V69" s="281">
        <v>1</v>
      </c>
      <c r="W69" s="282">
        <v>1</v>
      </c>
      <c r="X69" s="282">
        <v>1</v>
      </c>
      <c r="Y69" s="283">
        <v>0</v>
      </c>
      <c r="Z69" s="281">
        <v>0</v>
      </c>
      <c r="AA69" s="282">
        <v>0</v>
      </c>
      <c r="AB69" s="283">
        <v>0</v>
      </c>
      <c r="AC69" s="281">
        <v>1</v>
      </c>
      <c r="AD69" s="282">
        <v>1</v>
      </c>
      <c r="AE69" s="282">
        <v>1</v>
      </c>
      <c r="AF69" s="282">
        <v>0</v>
      </c>
      <c r="AG69" s="284"/>
      <c r="AH69" s="284"/>
      <c r="AI69" s="284"/>
      <c r="AJ69" s="281"/>
      <c r="AK69" s="284"/>
      <c r="AL69" s="281">
        <v>76</v>
      </c>
      <c r="AM69" s="282">
        <v>78</v>
      </c>
      <c r="AN69" s="282">
        <v>77</v>
      </c>
      <c r="AO69" s="282"/>
      <c r="AP69" s="283"/>
      <c r="AQ69" s="282">
        <f t="shared" ref="AQ69" si="6">AL69-AN69</f>
        <v>-1</v>
      </c>
      <c r="AR69" s="284"/>
    </row>
    <row r="70" spans="1:44">
      <c r="A70" s="285" t="s">
        <v>325</v>
      </c>
      <c r="B70" s="304">
        <v>86.05716666666666</v>
      </c>
      <c r="C70" s="305">
        <v>31.958333333333332</v>
      </c>
      <c r="D70" s="283" t="s">
        <v>507</v>
      </c>
      <c r="E70" s="284" t="s">
        <v>836</v>
      </c>
      <c r="F70" s="281">
        <v>498</v>
      </c>
      <c r="G70" s="282">
        <f>F70/420</f>
        <v>1.1857142857142857</v>
      </c>
      <c r="H70" s="284" t="s">
        <v>782</v>
      </c>
      <c r="I70" s="281">
        <v>1</v>
      </c>
      <c r="J70" s="282">
        <v>0</v>
      </c>
      <c r="K70" s="282">
        <v>1</v>
      </c>
      <c r="L70" s="282">
        <v>0</v>
      </c>
      <c r="M70" s="294">
        <v>1</v>
      </c>
      <c r="N70" s="282">
        <f t="shared" si="5"/>
        <v>10101</v>
      </c>
      <c r="O70" s="281">
        <v>0</v>
      </c>
      <c r="P70" s="282">
        <v>0</v>
      </c>
      <c r="Q70" s="282">
        <v>0</v>
      </c>
      <c r="R70" s="282">
        <v>1</v>
      </c>
      <c r="S70" s="283">
        <f t="shared" si="4"/>
        <v>1</v>
      </c>
      <c r="T70" s="284">
        <v>1</v>
      </c>
      <c r="U70" s="281">
        <v>85</v>
      </c>
      <c r="V70" s="281">
        <v>0</v>
      </c>
      <c r="W70" s="282">
        <v>1</v>
      </c>
      <c r="X70" s="282">
        <v>1</v>
      </c>
      <c r="Y70" s="283">
        <v>0</v>
      </c>
      <c r="Z70" s="281">
        <v>0</v>
      </c>
      <c r="AA70" s="282">
        <v>0</v>
      </c>
      <c r="AB70" s="283">
        <v>0</v>
      </c>
      <c r="AC70" s="281">
        <v>0</v>
      </c>
      <c r="AD70" s="282">
        <v>0</v>
      </c>
      <c r="AE70" s="282">
        <v>0</v>
      </c>
      <c r="AF70" s="282">
        <v>0</v>
      </c>
      <c r="AG70" s="284">
        <v>77</v>
      </c>
      <c r="AH70" s="284"/>
      <c r="AI70" s="284">
        <v>78</v>
      </c>
      <c r="AJ70" s="281"/>
      <c r="AK70" s="284"/>
      <c r="AL70" s="281"/>
      <c r="AM70" s="282"/>
      <c r="AN70" s="282"/>
      <c r="AO70" s="282"/>
      <c r="AP70" s="283"/>
      <c r="AQ70" s="282"/>
      <c r="AR70" s="284"/>
    </row>
    <row r="71" spans="1:44">
      <c r="A71" s="285" t="s">
        <v>325</v>
      </c>
      <c r="B71" s="304">
        <v>86.05716666666666</v>
      </c>
      <c r="C71" s="305">
        <v>31.958333333333332</v>
      </c>
      <c r="D71" s="283" t="s">
        <v>507</v>
      </c>
      <c r="E71" s="284" t="s">
        <v>837</v>
      </c>
      <c r="F71" s="281">
        <v>476</v>
      </c>
      <c r="G71" s="282">
        <f>F71/295</f>
        <v>1.6135593220338984</v>
      </c>
      <c r="H71" s="284" t="s">
        <v>782</v>
      </c>
      <c r="I71" s="281">
        <v>1</v>
      </c>
      <c r="J71" s="282">
        <v>0</v>
      </c>
      <c r="K71" s="282">
        <v>1</v>
      </c>
      <c r="L71" s="282">
        <v>1</v>
      </c>
      <c r="M71" s="294">
        <v>0</v>
      </c>
      <c r="N71" s="282">
        <f t="shared" si="5"/>
        <v>10110</v>
      </c>
      <c r="O71" s="281">
        <v>0</v>
      </c>
      <c r="P71" s="282">
        <v>0</v>
      </c>
      <c r="Q71" s="282">
        <v>1</v>
      </c>
      <c r="R71" s="282">
        <v>0</v>
      </c>
      <c r="S71" s="283">
        <f t="shared" si="4"/>
        <v>10</v>
      </c>
      <c r="T71" s="284">
        <v>1</v>
      </c>
      <c r="U71" s="281">
        <v>79</v>
      </c>
      <c r="V71" s="281">
        <v>0</v>
      </c>
      <c r="W71" s="282">
        <v>0</v>
      </c>
      <c r="X71" s="282">
        <v>0</v>
      </c>
      <c r="Y71" s="283">
        <v>0</v>
      </c>
      <c r="Z71" s="281">
        <v>0</v>
      </c>
      <c r="AA71" s="282">
        <v>0</v>
      </c>
      <c r="AB71" s="283">
        <v>0</v>
      </c>
      <c r="AC71" s="281">
        <v>0</v>
      </c>
      <c r="AD71" s="282">
        <v>0</v>
      </c>
      <c r="AE71" s="282">
        <v>0</v>
      </c>
      <c r="AF71" s="282">
        <v>0</v>
      </c>
      <c r="AG71" s="284"/>
      <c r="AH71" s="284"/>
      <c r="AI71" s="284"/>
      <c r="AJ71" s="281"/>
      <c r="AK71" s="284"/>
      <c r="AL71" s="281">
        <v>74</v>
      </c>
      <c r="AM71" s="282">
        <v>75</v>
      </c>
      <c r="AN71" s="282">
        <v>74</v>
      </c>
      <c r="AO71" s="282"/>
      <c r="AP71" s="283"/>
      <c r="AQ71" s="282"/>
      <c r="AR71" s="284"/>
    </row>
    <row r="72" spans="1:44" ht="17" thickBot="1">
      <c r="A72" s="286" t="s">
        <v>325</v>
      </c>
      <c r="B72" s="306">
        <v>86.05716666666666</v>
      </c>
      <c r="C72" s="307">
        <v>31.958333333333332</v>
      </c>
      <c r="D72" s="273" t="s">
        <v>507</v>
      </c>
      <c r="E72" s="287" t="s">
        <v>838</v>
      </c>
      <c r="F72" s="274">
        <v>712</v>
      </c>
      <c r="G72" s="272">
        <f>F72/628</f>
        <v>1.1337579617834395</v>
      </c>
      <c r="H72" s="287" t="s">
        <v>782</v>
      </c>
      <c r="I72" s="274">
        <v>1</v>
      </c>
      <c r="J72" s="272">
        <v>0</v>
      </c>
      <c r="K72" s="272">
        <v>1</v>
      </c>
      <c r="L72" s="272">
        <v>1</v>
      </c>
      <c r="M72" s="295">
        <v>0</v>
      </c>
      <c r="N72" s="272">
        <f t="shared" si="5"/>
        <v>10110</v>
      </c>
      <c r="O72" s="274">
        <v>0</v>
      </c>
      <c r="P72" s="272">
        <v>0</v>
      </c>
      <c r="Q72" s="272">
        <v>1</v>
      </c>
      <c r="R72" s="272">
        <v>0</v>
      </c>
      <c r="S72" s="273">
        <f t="shared" si="4"/>
        <v>10</v>
      </c>
      <c r="T72" s="287">
        <v>1</v>
      </c>
      <c r="U72" s="274">
        <v>98</v>
      </c>
      <c r="V72" s="274">
        <v>1</v>
      </c>
      <c r="W72" s="272">
        <v>1</v>
      </c>
      <c r="X72" s="272">
        <v>0</v>
      </c>
      <c r="Y72" s="273">
        <v>0</v>
      </c>
      <c r="Z72" s="274">
        <v>0</v>
      </c>
      <c r="AA72" s="272">
        <v>0</v>
      </c>
      <c r="AB72" s="273">
        <v>0</v>
      </c>
      <c r="AC72" s="274">
        <v>0</v>
      </c>
      <c r="AD72" s="272">
        <v>0</v>
      </c>
      <c r="AE72" s="272">
        <v>0</v>
      </c>
      <c r="AF72" s="272"/>
      <c r="AG72" s="287"/>
      <c r="AH72" s="287"/>
      <c r="AI72" s="287"/>
      <c r="AJ72" s="274"/>
      <c r="AK72" s="287"/>
      <c r="AL72" s="274">
        <v>76</v>
      </c>
      <c r="AM72" s="272">
        <v>77</v>
      </c>
      <c r="AN72" s="272">
        <v>76</v>
      </c>
      <c r="AO72" s="272">
        <v>78</v>
      </c>
      <c r="AP72" s="273"/>
      <c r="AQ72" s="272"/>
      <c r="AR72" s="287"/>
    </row>
    <row r="73" spans="1:44">
      <c r="M73" s="263"/>
    </row>
  </sheetData>
  <mergeCells count="7">
    <mergeCell ref="AG1:AR1"/>
    <mergeCell ref="AC2:AF2"/>
    <mergeCell ref="I2:M2"/>
    <mergeCell ref="O2:R2"/>
    <mergeCell ref="V2:Y2"/>
    <mergeCell ref="Z2:AB2"/>
    <mergeCell ref="AL2:AR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53600-D1CA-764C-AE4E-3A2BC57AE1F9}">
  <sheetPr>
    <pageSetUpPr fitToPage="1"/>
  </sheetPr>
  <dimension ref="A1:M42"/>
  <sheetViews>
    <sheetView topLeftCell="A7" zoomScale="90" zoomScaleNormal="90" zoomScalePageLayoutView="70" workbookViewId="0">
      <selection activeCell="G45" sqref="G45"/>
    </sheetView>
  </sheetViews>
  <sheetFormatPr baseColWidth="10" defaultColWidth="13.1640625" defaultRowHeight="16"/>
  <cols>
    <col min="1" max="1" width="26" style="6" bestFit="1" customWidth="1"/>
    <col min="2" max="2" width="13.5" style="6" bestFit="1" customWidth="1"/>
    <col min="3" max="3" width="15.83203125" style="6" bestFit="1" customWidth="1"/>
    <col min="4" max="4" width="13.1640625" style="6"/>
    <col min="5" max="5" width="17.83203125" style="6" bestFit="1" customWidth="1"/>
    <col min="6" max="6" width="16.6640625" style="6" bestFit="1" customWidth="1"/>
    <col min="7" max="7" width="13.1640625" style="6"/>
    <col min="8" max="8" width="14.5" style="6" bestFit="1" customWidth="1"/>
    <col min="9" max="9" width="13.1640625" style="6"/>
    <col min="10" max="10" width="17.83203125" style="6" bestFit="1" customWidth="1"/>
    <col min="11" max="16384" width="13.1640625" style="6"/>
  </cols>
  <sheetData>
    <row r="1" spans="1:13" ht="26">
      <c r="A1" s="143" t="s">
        <v>484</v>
      </c>
      <c r="E1" s="1"/>
      <c r="H1" s="110"/>
      <c r="I1" s="110"/>
      <c r="J1" s="110"/>
      <c r="K1" s="110"/>
      <c r="L1" s="110"/>
      <c r="M1" s="110"/>
    </row>
    <row r="2" spans="1:13" ht="17" thickBot="1"/>
    <row r="3" spans="1:13" ht="20" thickBot="1">
      <c r="A3" s="111" t="s">
        <v>366</v>
      </c>
      <c r="B3" s="50"/>
      <c r="C3" s="112">
        <v>0</v>
      </c>
      <c r="D3" s="112">
        <v>1</v>
      </c>
      <c r="E3" s="112">
        <v>2</v>
      </c>
      <c r="F3" s="112">
        <v>3</v>
      </c>
      <c r="G3" s="112">
        <v>4</v>
      </c>
      <c r="H3" s="112">
        <v>5</v>
      </c>
    </row>
    <row r="4" spans="1:13" ht="17" thickBot="1">
      <c r="A4" s="370" t="s">
        <v>37</v>
      </c>
      <c r="B4" s="371"/>
      <c r="C4" s="113"/>
      <c r="D4" s="114" t="s">
        <v>342</v>
      </c>
      <c r="E4" s="114" t="s">
        <v>343</v>
      </c>
      <c r="F4" s="114" t="s">
        <v>344</v>
      </c>
      <c r="G4" s="114" t="s">
        <v>439</v>
      </c>
      <c r="H4" s="115" t="s">
        <v>431</v>
      </c>
      <c r="J4" s="2"/>
    </row>
    <row r="5" spans="1:13" ht="17" thickBot="1">
      <c r="A5" s="370" t="s">
        <v>42</v>
      </c>
      <c r="B5" s="371"/>
      <c r="C5" s="31"/>
      <c r="D5" s="32" t="s">
        <v>440</v>
      </c>
      <c r="E5" s="32"/>
      <c r="F5" s="32" t="s">
        <v>429</v>
      </c>
      <c r="G5" s="32"/>
      <c r="H5" s="116" t="s">
        <v>441</v>
      </c>
    </row>
    <row r="6" spans="1:13">
      <c r="A6" s="374" t="s">
        <v>11</v>
      </c>
      <c r="B6" s="50" t="s">
        <v>360</v>
      </c>
      <c r="C6" s="31" t="s">
        <v>442</v>
      </c>
      <c r="D6" s="32" t="s">
        <v>443</v>
      </c>
      <c r="E6" s="32"/>
      <c r="F6" s="32"/>
      <c r="G6" s="32"/>
      <c r="H6" s="116"/>
    </row>
    <row r="7" spans="1:13">
      <c r="A7" s="375"/>
      <c r="B7" s="13" t="s">
        <v>44</v>
      </c>
      <c r="C7" s="31" t="s">
        <v>442</v>
      </c>
      <c r="D7" s="32" t="s">
        <v>445</v>
      </c>
      <c r="E7" s="32"/>
      <c r="F7" s="32"/>
      <c r="G7" s="32"/>
      <c r="H7" s="116" t="s">
        <v>446</v>
      </c>
    </row>
    <row r="8" spans="1:13">
      <c r="A8" s="375"/>
      <c r="B8" s="13" t="s">
        <v>361</v>
      </c>
      <c r="C8" s="31" t="s">
        <v>442</v>
      </c>
      <c r="D8" s="32" t="s">
        <v>443</v>
      </c>
      <c r="E8" s="32"/>
      <c r="F8" s="32"/>
      <c r="G8" s="32"/>
      <c r="H8" s="116"/>
    </row>
    <row r="9" spans="1:13" ht="17" thickBot="1">
      <c r="A9" s="376"/>
      <c r="B9" s="90" t="s">
        <v>46</v>
      </c>
      <c r="C9" s="31" t="s">
        <v>442</v>
      </c>
      <c r="D9" s="32" t="s">
        <v>443</v>
      </c>
      <c r="E9" s="32"/>
      <c r="F9" s="32"/>
      <c r="G9" s="32"/>
      <c r="H9" s="116"/>
    </row>
    <row r="10" spans="1:13" ht="17" thickBot="1">
      <c r="A10" s="370"/>
      <c r="B10" s="380"/>
      <c r="C10" s="31"/>
      <c r="D10" s="32"/>
      <c r="E10" s="32"/>
      <c r="F10" s="32"/>
      <c r="G10" s="32"/>
      <c r="H10" s="116"/>
    </row>
    <row r="11" spans="1:13">
      <c r="A11" s="381" t="s">
        <v>13</v>
      </c>
      <c r="B11" s="141" t="s">
        <v>49</v>
      </c>
      <c r="C11" s="91" t="s">
        <v>442</v>
      </c>
      <c r="D11" s="32" t="s">
        <v>450</v>
      </c>
      <c r="E11" s="32" t="s">
        <v>451</v>
      </c>
      <c r="F11" s="32" t="s">
        <v>452</v>
      </c>
      <c r="G11" s="32"/>
      <c r="H11" s="116"/>
    </row>
    <row r="12" spans="1:13">
      <c r="A12" s="382"/>
      <c r="B12" s="15" t="s">
        <v>50</v>
      </c>
      <c r="C12" s="91" t="s">
        <v>456</v>
      </c>
      <c r="D12" s="32" t="s">
        <v>457</v>
      </c>
      <c r="E12" s="32"/>
      <c r="F12" s="32"/>
      <c r="G12" s="32"/>
      <c r="H12" s="116" t="s">
        <v>458</v>
      </c>
    </row>
    <row r="13" spans="1:13">
      <c r="A13" s="382"/>
      <c r="B13" s="15" t="s">
        <v>288</v>
      </c>
      <c r="C13" s="91" t="s">
        <v>463</v>
      </c>
      <c r="D13" s="32" t="s">
        <v>464</v>
      </c>
      <c r="E13" s="32" t="s">
        <v>465</v>
      </c>
      <c r="F13" s="32"/>
      <c r="G13" s="32"/>
      <c r="H13" s="116"/>
    </row>
    <row r="14" spans="1:13" ht="17" thickBot="1">
      <c r="A14" s="383"/>
      <c r="B14" s="142" t="s">
        <v>483</v>
      </c>
      <c r="C14" s="91"/>
      <c r="D14" s="32"/>
      <c r="E14" s="32"/>
      <c r="F14" s="32"/>
      <c r="G14" s="32"/>
      <c r="H14" s="116"/>
    </row>
    <row r="15" spans="1:13" ht="17" thickBot="1">
      <c r="A15" s="123" t="s">
        <v>466</v>
      </c>
      <c r="B15" s="140"/>
      <c r="C15" s="31" t="s">
        <v>442</v>
      </c>
      <c r="D15" s="32" t="s">
        <v>467</v>
      </c>
      <c r="E15" s="32" t="s">
        <v>468</v>
      </c>
      <c r="F15" s="32" t="s">
        <v>469</v>
      </c>
      <c r="G15" s="32" t="s">
        <v>470</v>
      </c>
      <c r="H15" s="116" t="s">
        <v>471</v>
      </c>
    </row>
    <row r="16" spans="1:13" ht="17" thickBot="1">
      <c r="A16" s="123" t="s">
        <v>340</v>
      </c>
      <c r="B16" s="124"/>
      <c r="C16" s="31" t="s">
        <v>442</v>
      </c>
      <c r="D16" s="32" t="s">
        <v>15</v>
      </c>
      <c r="E16" s="32" t="s">
        <v>16</v>
      </c>
      <c r="F16" s="32" t="s">
        <v>17</v>
      </c>
      <c r="G16" s="32" t="s">
        <v>347</v>
      </c>
      <c r="H16" s="116"/>
    </row>
    <row r="17" spans="1:8" ht="17" thickBot="1">
      <c r="A17" s="123" t="s">
        <v>10</v>
      </c>
      <c r="B17" s="124"/>
      <c r="C17" s="31" t="s">
        <v>442</v>
      </c>
      <c r="D17" s="32" t="s">
        <v>15</v>
      </c>
      <c r="E17" s="32" t="s">
        <v>16</v>
      </c>
      <c r="F17" s="32" t="s">
        <v>17</v>
      </c>
      <c r="G17" s="32" t="s">
        <v>347</v>
      </c>
      <c r="H17" s="116"/>
    </row>
    <row r="18" spans="1:8" ht="17" thickBot="1">
      <c r="A18" s="123" t="s">
        <v>473</v>
      </c>
      <c r="B18" s="124"/>
      <c r="C18" s="126" t="s">
        <v>442</v>
      </c>
      <c r="D18" s="127" t="s">
        <v>20</v>
      </c>
      <c r="E18" s="127" t="s">
        <v>24</v>
      </c>
      <c r="F18" s="127" t="s">
        <v>474</v>
      </c>
      <c r="G18" s="127"/>
      <c r="H18" s="128"/>
    </row>
    <row r="19" spans="1:8" ht="17" thickBot="1"/>
    <row r="20" spans="1:8" ht="20" thickBot="1">
      <c r="A20" s="361" t="s">
        <v>476</v>
      </c>
      <c r="B20" s="362"/>
      <c r="C20" s="129">
        <v>0</v>
      </c>
      <c r="D20" s="130">
        <v>1</v>
      </c>
      <c r="E20" s="131">
        <v>2</v>
      </c>
      <c r="F20" s="130">
        <v>3</v>
      </c>
      <c r="G20" s="131">
        <v>4</v>
      </c>
      <c r="H20" s="130">
        <v>5</v>
      </c>
    </row>
    <row r="21" spans="1:8" ht="17" thickBot="1">
      <c r="A21" s="363" t="s">
        <v>477</v>
      </c>
      <c r="B21" s="364"/>
      <c r="C21" s="358" t="s">
        <v>478</v>
      </c>
      <c r="D21" s="359"/>
      <c r="E21" s="359"/>
      <c r="F21" s="359"/>
      <c r="G21" s="359"/>
      <c r="H21" s="360"/>
    </row>
    <row r="22" spans="1:8" ht="17" thickBot="1">
      <c r="A22" s="363" t="s">
        <v>371</v>
      </c>
      <c r="B22" s="364"/>
      <c r="C22" s="92"/>
      <c r="D22" s="95" t="s">
        <v>366</v>
      </c>
      <c r="E22" s="95" t="s">
        <v>16</v>
      </c>
      <c r="F22" s="95" t="s">
        <v>372</v>
      </c>
      <c r="G22" s="95" t="s">
        <v>347</v>
      </c>
      <c r="H22" s="132"/>
    </row>
    <row r="23" spans="1:8">
      <c r="A23" s="365" t="s">
        <v>37</v>
      </c>
      <c r="B23" s="133" t="s">
        <v>366</v>
      </c>
      <c r="C23" s="92"/>
      <c r="D23" s="95" t="s">
        <v>342</v>
      </c>
      <c r="E23" s="95" t="s">
        <v>343</v>
      </c>
      <c r="F23" s="95" t="s">
        <v>344</v>
      </c>
      <c r="G23" s="95" t="s">
        <v>453</v>
      </c>
      <c r="H23" s="132"/>
    </row>
    <row r="24" spans="1:8">
      <c r="A24" s="366"/>
      <c r="B24" s="134" t="s">
        <v>16</v>
      </c>
      <c r="C24" s="92"/>
      <c r="D24" s="95" t="s">
        <v>440</v>
      </c>
      <c r="E24" s="95" t="s">
        <v>343</v>
      </c>
      <c r="F24" s="95" t="s">
        <v>429</v>
      </c>
      <c r="G24" s="95" t="s">
        <v>453</v>
      </c>
      <c r="H24" s="132"/>
    </row>
    <row r="25" spans="1:8">
      <c r="A25" s="366"/>
      <c r="B25" s="134" t="s">
        <v>372</v>
      </c>
      <c r="C25" s="92"/>
      <c r="D25" s="95" t="s">
        <v>440</v>
      </c>
      <c r="E25" s="95" t="s">
        <v>343</v>
      </c>
      <c r="F25" s="95" t="s">
        <v>429</v>
      </c>
      <c r="G25" s="95" t="s">
        <v>453</v>
      </c>
      <c r="H25" s="132"/>
    </row>
    <row r="26" spans="1:8" ht="17" thickBot="1">
      <c r="A26" s="367"/>
      <c r="B26" s="135" t="s">
        <v>347</v>
      </c>
      <c r="C26" s="92"/>
      <c r="D26" s="95" t="s">
        <v>444</v>
      </c>
      <c r="E26" s="95" t="s">
        <v>479</v>
      </c>
      <c r="F26" s="95" t="s">
        <v>480</v>
      </c>
      <c r="G26" s="95" t="s">
        <v>475</v>
      </c>
      <c r="H26" s="132" t="s">
        <v>440</v>
      </c>
    </row>
    <row r="27" spans="1:8">
      <c r="A27" s="365" t="s">
        <v>11</v>
      </c>
      <c r="B27" s="136" t="s">
        <v>366</v>
      </c>
      <c r="C27" s="92" t="s">
        <v>442</v>
      </c>
      <c r="D27" s="95" t="s">
        <v>43</v>
      </c>
      <c r="E27" s="95" t="s">
        <v>481</v>
      </c>
      <c r="F27" s="95" t="s">
        <v>45</v>
      </c>
      <c r="G27" s="95" t="s">
        <v>46</v>
      </c>
      <c r="H27" s="132" t="s">
        <v>47</v>
      </c>
    </row>
    <row r="28" spans="1:8">
      <c r="A28" s="366"/>
      <c r="B28" s="134" t="s">
        <v>16</v>
      </c>
      <c r="C28" s="92" t="s">
        <v>442</v>
      </c>
      <c r="D28" s="95" t="s">
        <v>43</v>
      </c>
      <c r="E28" s="95" t="s">
        <v>481</v>
      </c>
      <c r="F28" s="95" t="s">
        <v>45</v>
      </c>
      <c r="G28" s="95" t="s">
        <v>46</v>
      </c>
      <c r="H28" s="132"/>
    </row>
    <row r="29" spans="1:8" ht="17" thickBot="1">
      <c r="A29" s="367"/>
      <c r="B29" s="135" t="s">
        <v>372</v>
      </c>
      <c r="C29" s="92" t="s">
        <v>442</v>
      </c>
      <c r="D29" s="95" t="s">
        <v>43</v>
      </c>
      <c r="E29" s="95" t="s">
        <v>481</v>
      </c>
      <c r="F29" s="95" t="s">
        <v>45</v>
      </c>
      <c r="G29" s="95" t="s">
        <v>46</v>
      </c>
      <c r="H29" s="132" t="s">
        <v>47</v>
      </c>
    </row>
    <row r="30" spans="1:8" ht="17" thickBot="1">
      <c r="A30" s="363" t="s">
        <v>459</v>
      </c>
      <c r="B30" s="364"/>
      <c r="C30" s="92"/>
      <c r="D30" s="95" t="s">
        <v>460</v>
      </c>
      <c r="E30" s="95" t="s">
        <v>461</v>
      </c>
      <c r="F30" s="95" t="s">
        <v>462</v>
      </c>
      <c r="G30" s="95"/>
      <c r="H30" s="132"/>
    </row>
    <row r="31" spans="1:8" ht="17" thickBot="1">
      <c r="A31" s="363" t="s">
        <v>341</v>
      </c>
      <c r="B31" s="364"/>
      <c r="C31" s="137"/>
      <c r="D31" s="138" t="s">
        <v>482</v>
      </c>
      <c r="E31" s="138" t="s">
        <v>350</v>
      </c>
      <c r="F31" s="138"/>
      <c r="G31" s="138"/>
      <c r="H31" s="139"/>
    </row>
    <row r="32" spans="1:8" ht="17" thickBot="1"/>
    <row r="33" spans="1:8" ht="20" thickBot="1">
      <c r="A33" s="372" t="s">
        <v>485</v>
      </c>
      <c r="B33" s="373"/>
      <c r="C33" s="117">
        <v>0</v>
      </c>
      <c r="D33" s="117">
        <v>1</v>
      </c>
      <c r="E33" s="117">
        <v>2</v>
      </c>
      <c r="F33" s="117">
        <v>3</v>
      </c>
      <c r="G33" s="117">
        <v>4</v>
      </c>
      <c r="H33" s="117">
        <v>5</v>
      </c>
    </row>
    <row r="34" spans="1:8" ht="17" thickBot="1">
      <c r="A34" s="368" t="s">
        <v>336</v>
      </c>
      <c r="B34" s="369"/>
      <c r="C34" s="118"/>
      <c r="D34" s="119" t="s">
        <v>342</v>
      </c>
      <c r="E34" s="119" t="s">
        <v>444</v>
      </c>
      <c r="F34" s="119" t="s">
        <v>344</v>
      </c>
      <c r="G34" s="119" t="s">
        <v>439</v>
      </c>
      <c r="H34" s="120"/>
    </row>
    <row r="35" spans="1:8">
      <c r="A35" s="377" t="s">
        <v>447</v>
      </c>
      <c r="B35" s="94" t="s">
        <v>360</v>
      </c>
      <c r="C35" s="19" t="s">
        <v>442</v>
      </c>
      <c r="D35" s="20" t="s">
        <v>443</v>
      </c>
      <c r="E35" s="20"/>
      <c r="F35" s="20"/>
      <c r="G35" s="20"/>
      <c r="H35" s="121"/>
    </row>
    <row r="36" spans="1:8">
      <c r="A36" s="378"/>
      <c r="B36" s="21" t="s">
        <v>44</v>
      </c>
      <c r="C36" s="19" t="s">
        <v>442</v>
      </c>
      <c r="D36" s="20" t="s">
        <v>448</v>
      </c>
      <c r="E36" s="20"/>
      <c r="F36" s="20"/>
      <c r="G36" s="20"/>
      <c r="H36" s="121"/>
    </row>
    <row r="37" spans="1:8">
      <c r="A37" s="378"/>
      <c r="B37" s="21" t="s">
        <v>361</v>
      </c>
      <c r="C37" s="19" t="s">
        <v>442</v>
      </c>
      <c r="D37" s="20" t="s">
        <v>449</v>
      </c>
      <c r="E37" s="20"/>
      <c r="F37" s="20"/>
      <c r="G37" s="20"/>
      <c r="H37" s="121"/>
    </row>
    <row r="38" spans="1:8" ht="17" thickBot="1">
      <c r="A38" s="379"/>
      <c r="B38" s="122" t="s">
        <v>46</v>
      </c>
      <c r="C38" s="19" t="s">
        <v>442</v>
      </c>
      <c r="D38" s="20" t="s">
        <v>443</v>
      </c>
      <c r="E38" s="20"/>
      <c r="F38" s="20"/>
      <c r="G38" s="20"/>
      <c r="H38" s="121"/>
    </row>
    <row r="39" spans="1:8" ht="17" thickBot="1">
      <c r="A39" s="368" t="s">
        <v>335</v>
      </c>
      <c r="B39" s="369"/>
      <c r="C39" s="19"/>
      <c r="D39" s="20" t="s">
        <v>453</v>
      </c>
      <c r="E39" s="20" t="s">
        <v>454</v>
      </c>
      <c r="F39" s="20" t="s">
        <v>429</v>
      </c>
      <c r="G39" s="20" t="s">
        <v>455</v>
      </c>
      <c r="H39" s="121" t="s">
        <v>440</v>
      </c>
    </row>
    <row r="40" spans="1:8" ht="17" thickBot="1">
      <c r="A40" s="368" t="s">
        <v>459</v>
      </c>
      <c r="B40" s="369"/>
      <c r="C40" s="19"/>
      <c r="D40" s="20" t="s">
        <v>460</v>
      </c>
      <c r="E40" s="20" t="s">
        <v>461</v>
      </c>
      <c r="F40" s="20" t="s">
        <v>462</v>
      </c>
      <c r="G40" s="20"/>
      <c r="H40" s="121"/>
    </row>
    <row r="41" spans="1:8" ht="17" thickBot="1">
      <c r="A41" s="368" t="s">
        <v>432</v>
      </c>
      <c r="B41" s="369"/>
      <c r="C41" s="19" t="s">
        <v>442</v>
      </c>
      <c r="D41" s="20" t="s">
        <v>366</v>
      </c>
      <c r="E41" s="20" t="s">
        <v>16</v>
      </c>
      <c r="F41" s="20" t="s">
        <v>17</v>
      </c>
      <c r="G41" s="20" t="s">
        <v>347</v>
      </c>
      <c r="H41" s="121"/>
    </row>
    <row r="42" spans="1:8" ht="17" thickBot="1">
      <c r="A42" s="368" t="s">
        <v>472</v>
      </c>
      <c r="B42" s="369"/>
      <c r="C42" s="96" t="s">
        <v>442</v>
      </c>
      <c r="D42" s="97" t="s">
        <v>467</v>
      </c>
      <c r="E42" s="97" t="s">
        <v>468</v>
      </c>
      <c r="F42" s="97" t="s">
        <v>469</v>
      </c>
      <c r="G42" s="97" t="s">
        <v>470</v>
      </c>
      <c r="H42" s="125" t="s">
        <v>471</v>
      </c>
    </row>
  </sheetData>
  <mergeCells count="20">
    <mergeCell ref="A42:B42"/>
    <mergeCell ref="A39:B39"/>
    <mergeCell ref="A40:B40"/>
    <mergeCell ref="A41:B41"/>
    <mergeCell ref="A4:B4"/>
    <mergeCell ref="A5:B5"/>
    <mergeCell ref="A33:B33"/>
    <mergeCell ref="A6:A9"/>
    <mergeCell ref="A34:B34"/>
    <mergeCell ref="A35:A38"/>
    <mergeCell ref="A10:B10"/>
    <mergeCell ref="A30:B30"/>
    <mergeCell ref="A31:B31"/>
    <mergeCell ref="A11:A14"/>
    <mergeCell ref="A27:A29"/>
    <mergeCell ref="C21:H21"/>
    <mergeCell ref="A20:B20"/>
    <mergeCell ref="A21:B21"/>
    <mergeCell ref="A22:B22"/>
    <mergeCell ref="A23:A26"/>
  </mergeCells>
  <pageMargins left="0.75000000000000011" right="0.75000000000000011" top="1" bottom="1" header="0.5" footer="0.5"/>
  <pageSetup paperSize="9" scale="37" orientation="landscape" horizontalDpi="4294967292" verticalDpi="429496729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1</vt:i4>
      </vt:variant>
    </vt:vector>
  </HeadingPairs>
  <TitlesOfParts>
    <vt:vector size="8" baseType="lpstr">
      <vt:lpstr>Contents</vt:lpstr>
      <vt:lpstr>Individual Plagioclase</vt:lpstr>
      <vt:lpstr>Mono-mineralic glomerocryst</vt:lpstr>
      <vt:lpstr>Poly-mineralic glomerocryst</vt:lpstr>
      <vt:lpstr>Olivine</vt:lpstr>
      <vt:lpstr>Clinopyroxene </vt:lpstr>
      <vt:lpstr>Classification</vt:lpstr>
      <vt:lpstr>Classification!Print_Area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Bennett</dc:creator>
  <cp:lastModifiedBy>Emma Bennett</cp:lastModifiedBy>
  <dcterms:created xsi:type="dcterms:W3CDTF">2019-01-04T10:32:46Z</dcterms:created>
  <dcterms:modified xsi:type="dcterms:W3CDTF">2019-06-17T14:39:25Z</dcterms:modified>
</cp:coreProperties>
</file>